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7A2D7E96-6E34-419A-AE5F-296B3A7E7977}"/>
  <workbookPr showInkAnnotation="0" codeName="ThisWorkbook" defaultThemeVersion="124226"/>
  <mc:AlternateContent xmlns:mc="http://schemas.openxmlformats.org/markup-compatibility/2006">
    <mc:Choice Requires="x15">
      <x15ac:absPath xmlns:x15ac="http://schemas.microsoft.com/office/spreadsheetml/2010/11/ac" url="Y:\Övrigt\DF65\skarpa mallar\"/>
    </mc:Choice>
  </mc:AlternateContent>
  <bookViews>
    <workbookView xWindow="360" yWindow="312" windowWidth="9720" windowHeight="7320" tabRatio="895" firstSheet="1" activeTab="1"/>
  </bookViews>
  <sheets>
    <sheet name="Modul1" sheetId="11" state="veryHidden" r:id="rId1"/>
    <sheet name="Instruktion" sheetId="35" r:id="rId2"/>
    <sheet name="Deltagarlista" sheetId="32" r:id="rId3"/>
    <sheet name="Arrangörslista" sheetId="33" r:id="rId4"/>
    <sheet name="Resultatlista" sheetId="34" r:id="rId5"/>
    <sheet name="Resultat Grand Master" sheetId="37" state="hidden" r:id="rId6"/>
  </sheets>
  <definedNames>
    <definedName name="_Key1" localSheetId="3" hidden="1">Arrangörslista!#REF!</definedName>
    <definedName name="_Key1" localSheetId="5" hidden="1">#REF!</definedName>
    <definedName name="_Key1" hidden="1">#REF!</definedName>
    <definedName name="_Order1" hidden="1">255</definedName>
    <definedName name="_Sort" localSheetId="3" hidden="1">Arrangörslista!#REF!</definedName>
    <definedName name="_Sort" localSheetId="5" hidden="1">#REF!</definedName>
    <definedName name="_Sort" hidden="1">#REF!</definedName>
    <definedName name="_xlnm.Print_Area" localSheetId="3">Arrangörslista!$B$4:$R$45</definedName>
    <definedName name="_xlnm.Print_Area" localSheetId="2">Deltagarlista!$B$2:$J$43</definedName>
  </definedNames>
  <calcPr calcId="152511" iterate="1" iterateDelta="0.01"/>
</workbook>
</file>

<file path=xl/calcChain.xml><?xml version="1.0" encoding="utf-8"?>
<calcChain xmlns="http://schemas.openxmlformats.org/spreadsheetml/2006/main">
  <c r="I10" i="34" l="1"/>
  <c r="H10" i="34"/>
  <c r="D63" i="34" l="1"/>
  <c r="D62" i="34"/>
  <c r="D61" i="34"/>
  <c r="D60" i="34"/>
  <c r="D59" i="34"/>
  <c r="D58" i="34"/>
  <c r="D57" i="34"/>
  <c r="D56" i="34"/>
  <c r="D55" i="34"/>
  <c r="D54" i="34"/>
  <c r="D53" i="34"/>
  <c r="D52" i="34"/>
  <c r="D51" i="34"/>
  <c r="D50" i="34"/>
  <c r="D49" i="34"/>
  <c r="D48" i="34"/>
  <c r="D47" i="34"/>
  <c r="D46" i="34"/>
  <c r="D45" i="34"/>
  <c r="D44" i="34"/>
  <c r="D43" i="34"/>
  <c r="D42" i="34"/>
  <c r="D41" i="34"/>
  <c r="D40" i="34"/>
  <c r="D39" i="34"/>
  <c r="D38" i="34"/>
  <c r="D37" i="34"/>
  <c r="D36" i="34"/>
  <c r="D35" i="34"/>
  <c r="D34" i="34"/>
  <c r="D33" i="34"/>
  <c r="D32" i="34"/>
  <c r="D31" i="34"/>
  <c r="D30" i="34"/>
  <c r="D29" i="34"/>
  <c r="D28" i="34"/>
  <c r="D27" i="34"/>
  <c r="D26" i="34"/>
  <c r="D25" i="34"/>
  <c r="D24" i="34"/>
  <c r="D23" i="34"/>
  <c r="D22" i="34"/>
  <c r="D21" i="34"/>
  <c r="D20" i="34"/>
  <c r="D19" i="34"/>
  <c r="D18" i="34"/>
  <c r="D17" i="34"/>
  <c r="P1" i="32"/>
  <c r="S13" i="32"/>
  <c r="J2" i="37" l="1"/>
  <c r="U5" i="33"/>
  <c r="Z2" i="34"/>
  <c r="J2" i="34"/>
  <c r="R2" i="37"/>
  <c r="F58" i="37"/>
  <c r="EG58" i="37" s="1"/>
  <c r="H13" i="32"/>
  <c r="D15" i="34" s="1"/>
  <c r="H8" i="32"/>
  <c r="D13" i="34" s="1"/>
  <c r="F53" i="37"/>
  <c r="H15" i="32"/>
  <c r="D5" i="34" s="1"/>
  <c r="H10" i="32"/>
  <c r="D7" i="34" s="1"/>
  <c r="F6" i="37"/>
  <c r="F7" i="37"/>
  <c r="EG7" i="37" s="1"/>
  <c r="F8" i="37"/>
  <c r="BS8" i="37" s="1"/>
  <c r="F9" i="37"/>
  <c r="F10" i="37"/>
  <c r="BS10" i="37" s="1"/>
  <c r="F11" i="37"/>
  <c r="F12" i="37"/>
  <c r="F13" i="37"/>
  <c r="BS13" i="37" s="1"/>
  <c r="F14" i="37"/>
  <c r="F15" i="37"/>
  <c r="F16" i="37"/>
  <c r="EG16" i="37" s="1"/>
  <c r="F17" i="37"/>
  <c r="F18" i="37"/>
  <c r="F19" i="37"/>
  <c r="F20" i="37"/>
  <c r="GV20" i="37" s="1"/>
  <c r="GW20" i="37" s="1"/>
  <c r="F21" i="37"/>
  <c r="BS21" i="37" s="1"/>
  <c r="F22" i="37"/>
  <c r="F23" i="37"/>
  <c r="F24" i="37"/>
  <c r="BS24" i="37" s="1"/>
  <c r="F25" i="37"/>
  <c r="BS25" i="37" s="1"/>
  <c r="F26" i="37"/>
  <c r="GV26" i="37" s="1"/>
  <c r="GW26" i="37" s="1"/>
  <c r="F27" i="37"/>
  <c r="F28" i="37"/>
  <c r="F29" i="37"/>
  <c r="F30" i="37"/>
  <c r="F31" i="37"/>
  <c r="BS31" i="37" s="1"/>
  <c r="F32" i="37"/>
  <c r="F33" i="37"/>
  <c r="F34" i="37"/>
  <c r="BS34" i="37" s="1"/>
  <c r="F35" i="37"/>
  <c r="BS35" i="37" s="1"/>
  <c r="F36" i="37"/>
  <c r="BS36" i="37" s="1"/>
  <c r="F37" i="37"/>
  <c r="F38" i="37"/>
  <c r="F39" i="37"/>
  <c r="BS39" i="37" s="1"/>
  <c r="F40" i="37"/>
  <c r="EG40" i="37" s="1"/>
  <c r="F41" i="37"/>
  <c r="GV41" i="37" s="1"/>
  <c r="GW41" i="37" s="1"/>
  <c r="F42" i="37"/>
  <c r="BS42" i="37" s="1"/>
  <c r="F59" i="37"/>
  <c r="H7" i="32"/>
  <c r="D12" i="34" s="1"/>
  <c r="H16" i="32"/>
  <c r="D10" i="34" s="1"/>
  <c r="F63" i="37"/>
  <c r="H12" i="32"/>
  <c r="D11" i="34" s="1"/>
  <c r="H14" i="32"/>
  <c r="D14" i="34" s="1"/>
  <c r="F4" i="37"/>
  <c r="F43" i="37"/>
  <c r="BS43" i="37" s="1"/>
  <c r="F44" i="37"/>
  <c r="F45" i="37"/>
  <c r="BS45" i="37" s="1"/>
  <c r="F46" i="37"/>
  <c r="F60" i="37"/>
  <c r="H17" i="32"/>
  <c r="D16" i="34" s="1"/>
  <c r="F47" i="37"/>
  <c r="F48" i="37"/>
  <c r="GV48" i="37" s="1"/>
  <c r="GW48" i="37" s="1"/>
  <c r="F49" i="37"/>
  <c r="BS49" i="37" s="1"/>
  <c r="H18" i="32"/>
  <c r="F50" i="37"/>
  <c r="BS50" i="37" s="1"/>
  <c r="F51" i="37"/>
  <c r="F56" i="37"/>
  <c r="H9" i="32"/>
  <c r="D6" i="34" s="1"/>
  <c r="H6" i="32"/>
  <c r="D8" i="34" s="1"/>
  <c r="H5" i="32"/>
  <c r="D4" i="34" s="1"/>
  <c r="F57" i="37"/>
  <c r="EG57" i="37" s="1"/>
  <c r="H11" i="32"/>
  <c r="D9" i="34" s="1"/>
  <c r="F61" i="37"/>
  <c r="EG61" i="37" s="1"/>
  <c r="F52" i="37"/>
  <c r="EG52" i="37" s="1"/>
  <c r="F62" i="37"/>
  <c r="F54" i="37"/>
  <c r="F55" i="37"/>
  <c r="EG55" i="37" s="1"/>
  <c r="F5" i="37"/>
  <c r="BS5" i="37" s="1"/>
  <c r="H21" i="34"/>
  <c r="H47" i="32"/>
  <c r="H48" i="32"/>
  <c r="H49" i="32"/>
  <c r="DM53" i="33" s="1"/>
  <c r="DK53" i="33" s="1"/>
  <c r="H50" i="32"/>
  <c r="D25" i="37" s="1"/>
  <c r="H51" i="32"/>
  <c r="H52" i="32"/>
  <c r="DM56" i="33" s="1"/>
  <c r="DK56" i="33" s="1"/>
  <c r="H53" i="32"/>
  <c r="D27" i="37" s="1"/>
  <c r="H54" i="32"/>
  <c r="D28" i="37" s="1"/>
  <c r="H55" i="32"/>
  <c r="D17" i="37" s="1"/>
  <c r="H56" i="32"/>
  <c r="D20" i="37" s="1"/>
  <c r="H57" i="32"/>
  <c r="H58" i="32"/>
  <c r="H59" i="32"/>
  <c r="DM63" i="33" s="1"/>
  <c r="DK63" i="33" s="1"/>
  <c r="H60" i="32"/>
  <c r="D12" i="37" s="1"/>
  <c r="H61" i="32"/>
  <c r="H62" i="32"/>
  <c r="DM66" i="33" s="1"/>
  <c r="DK66" i="33" s="1"/>
  <c r="H63" i="32"/>
  <c r="D9" i="37" s="1"/>
  <c r="H64" i="32"/>
  <c r="D16" i="37" s="1"/>
  <c r="H19" i="32"/>
  <c r="DM23" i="33" s="1"/>
  <c r="DK23" i="33" s="1"/>
  <c r="H20" i="32"/>
  <c r="H21" i="32"/>
  <c r="H22" i="32"/>
  <c r="DM26" i="33" s="1"/>
  <c r="DK26" i="33" s="1"/>
  <c r="H23" i="32"/>
  <c r="D5" i="37" s="1"/>
  <c r="H24" i="32"/>
  <c r="H25" i="32"/>
  <c r="H26" i="32"/>
  <c r="H27" i="32"/>
  <c r="DM31" i="33" s="1"/>
  <c r="DK31" i="33" s="1"/>
  <c r="H28" i="32"/>
  <c r="DM32" i="33" s="1"/>
  <c r="DK32" i="33" s="1"/>
  <c r="H29" i="32"/>
  <c r="H30" i="32"/>
  <c r="DM34" i="33" s="1"/>
  <c r="DK34" i="33" s="1"/>
  <c r="H31" i="32"/>
  <c r="D7" i="37" s="1"/>
  <c r="H32" i="32"/>
  <c r="H33" i="32"/>
  <c r="H34" i="32"/>
  <c r="DM38" i="33" s="1"/>
  <c r="DK38" i="33" s="1"/>
  <c r="H35" i="32"/>
  <c r="H36" i="32"/>
  <c r="DM40" i="33" s="1"/>
  <c r="DK40" i="33" s="1"/>
  <c r="H37" i="32"/>
  <c r="H38" i="32"/>
  <c r="H39" i="32"/>
  <c r="H40" i="32"/>
  <c r="D8" i="37" s="1"/>
  <c r="H41" i="32"/>
  <c r="H42" i="32"/>
  <c r="H43" i="32"/>
  <c r="D13" i="37" s="1"/>
  <c r="H44" i="32"/>
  <c r="DM48" i="33" s="1"/>
  <c r="DK48" i="33" s="1"/>
  <c r="H45" i="32"/>
  <c r="D21" i="37" s="1"/>
  <c r="H46" i="32"/>
  <c r="L3" i="32"/>
  <c r="M3" i="32" s="1"/>
  <c r="H6" i="33"/>
  <c r="F2" i="32"/>
  <c r="J127" i="37"/>
  <c r="J66" i="37"/>
  <c r="J65" i="37"/>
  <c r="BQ38" i="37"/>
  <c r="EC38" i="37" s="1"/>
  <c r="BP38" i="37"/>
  <c r="EB38" i="37" s="1"/>
  <c r="BO38" i="37"/>
  <c r="EA38" i="37" s="1"/>
  <c r="BN38" i="37"/>
  <c r="DZ38" i="37" s="1"/>
  <c r="BM38" i="37"/>
  <c r="DY38" i="37" s="1"/>
  <c r="BL38" i="37"/>
  <c r="DX38" i="37" s="1"/>
  <c r="BK38" i="37"/>
  <c r="DW38" i="37" s="1"/>
  <c r="BJ38" i="37"/>
  <c r="DV38" i="37" s="1"/>
  <c r="BI38" i="37"/>
  <c r="DU38" i="37" s="1"/>
  <c r="BH38" i="37"/>
  <c r="DT38" i="37" s="1"/>
  <c r="BG38" i="37"/>
  <c r="DS38" i="37" s="1"/>
  <c r="BF38" i="37"/>
  <c r="DR38" i="37" s="1"/>
  <c r="BE38" i="37"/>
  <c r="DQ38" i="37" s="1"/>
  <c r="BD38" i="37"/>
  <c r="DP38" i="37" s="1"/>
  <c r="BC38" i="37"/>
  <c r="DO38" i="37" s="1"/>
  <c r="BB38" i="37"/>
  <c r="DN38" i="37" s="1"/>
  <c r="BA38" i="37"/>
  <c r="DM38" i="37" s="1"/>
  <c r="AZ38" i="37"/>
  <c r="DL38" i="37" s="1"/>
  <c r="AY38" i="37"/>
  <c r="DK38" i="37" s="1"/>
  <c r="AX38" i="37"/>
  <c r="DJ38" i="37" s="1"/>
  <c r="AW38" i="37"/>
  <c r="DI38" i="37" s="1"/>
  <c r="AV38" i="37"/>
  <c r="DH38" i="37" s="1"/>
  <c r="AU38" i="37"/>
  <c r="DG38" i="37" s="1"/>
  <c r="AT38" i="37"/>
  <c r="DF38" i="37" s="1"/>
  <c r="AS38" i="37"/>
  <c r="DE38" i="37" s="1"/>
  <c r="AR38" i="37"/>
  <c r="DD38" i="37" s="1"/>
  <c r="AQ38" i="37"/>
  <c r="DC38" i="37" s="1"/>
  <c r="AP38" i="37"/>
  <c r="DB38" i="37" s="1"/>
  <c r="AO38" i="37"/>
  <c r="DA38" i="37" s="1"/>
  <c r="AN38" i="37"/>
  <c r="CZ38" i="37" s="1"/>
  <c r="AM38" i="37"/>
  <c r="CY38" i="37" s="1"/>
  <c r="AL38" i="37"/>
  <c r="CX38" i="37" s="1"/>
  <c r="AK38" i="37"/>
  <c r="CW38" i="37" s="1"/>
  <c r="AJ38" i="37"/>
  <c r="CV38" i="37" s="1"/>
  <c r="AI38" i="37"/>
  <c r="CU38" i="37" s="1"/>
  <c r="AH38" i="37"/>
  <c r="CT38" i="37" s="1"/>
  <c r="AG38" i="37"/>
  <c r="CS38" i="37" s="1"/>
  <c r="AF38" i="37"/>
  <c r="CR38" i="37" s="1"/>
  <c r="AE38" i="37"/>
  <c r="CQ38" i="37" s="1"/>
  <c r="G38" i="37"/>
  <c r="AC38" i="37"/>
  <c r="CO38" i="37" s="1"/>
  <c r="E38" i="37"/>
  <c r="C38" i="37"/>
  <c r="BQ35" i="37"/>
  <c r="EC35" i="37" s="1"/>
  <c r="BP35" i="37"/>
  <c r="EB35" i="37" s="1"/>
  <c r="BO35" i="37"/>
  <c r="EA35" i="37" s="1"/>
  <c r="BN35" i="37"/>
  <c r="DZ35" i="37" s="1"/>
  <c r="BM35" i="37"/>
  <c r="DY35" i="37" s="1"/>
  <c r="BL35" i="37"/>
  <c r="DX35" i="37" s="1"/>
  <c r="BK35" i="37"/>
  <c r="DW35" i="37" s="1"/>
  <c r="BJ35" i="37"/>
  <c r="DV35" i="37" s="1"/>
  <c r="BI35" i="37"/>
  <c r="DU35" i="37" s="1"/>
  <c r="BH35" i="37"/>
  <c r="DT35" i="37" s="1"/>
  <c r="BG35" i="37"/>
  <c r="DS35" i="37" s="1"/>
  <c r="BF35" i="37"/>
  <c r="DR35" i="37" s="1"/>
  <c r="BE35" i="37"/>
  <c r="DQ35" i="37" s="1"/>
  <c r="BD35" i="37"/>
  <c r="DP35" i="37" s="1"/>
  <c r="BC35" i="37"/>
  <c r="DO35" i="37" s="1"/>
  <c r="BB35" i="37"/>
  <c r="DN35" i="37" s="1"/>
  <c r="BA35" i="37"/>
  <c r="DM35" i="37" s="1"/>
  <c r="AZ35" i="37"/>
  <c r="DL35" i="37" s="1"/>
  <c r="AY35" i="37"/>
  <c r="DK35" i="37" s="1"/>
  <c r="AX35" i="37"/>
  <c r="DJ35" i="37" s="1"/>
  <c r="AW35" i="37"/>
  <c r="DI35" i="37" s="1"/>
  <c r="AV35" i="37"/>
  <c r="DH35" i="37" s="1"/>
  <c r="AU35" i="37"/>
  <c r="DG35" i="37" s="1"/>
  <c r="AT35" i="37"/>
  <c r="DF35" i="37" s="1"/>
  <c r="AS35" i="37"/>
  <c r="DE35" i="37" s="1"/>
  <c r="AR35" i="37"/>
  <c r="DD35" i="37" s="1"/>
  <c r="AQ35" i="37"/>
  <c r="DC35" i="37" s="1"/>
  <c r="AP35" i="37"/>
  <c r="DB35" i="37" s="1"/>
  <c r="AO35" i="37"/>
  <c r="DA35" i="37" s="1"/>
  <c r="AN35" i="37"/>
  <c r="CZ35" i="37" s="1"/>
  <c r="AM35" i="37"/>
  <c r="CY35" i="37" s="1"/>
  <c r="AL35" i="37"/>
  <c r="CX35" i="37" s="1"/>
  <c r="AK35" i="37"/>
  <c r="CW35" i="37" s="1"/>
  <c r="AJ35" i="37"/>
  <c r="CV35" i="37" s="1"/>
  <c r="AI35" i="37"/>
  <c r="CU35" i="37" s="1"/>
  <c r="AH35" i="37"/>
  <c r="CT35" i="37" s="1"/>
  <c r="AG35" i="37"/>
  <c r="CS35" i="37" s="1"/>
  <c r="AF35" i="37"/>
  <c r="CR35" i="37" s="1"/>
  <c r="AE35" i="37"/>
  <c r="CQ35" i="37" s="1"/>
  <c r="G35" i="37"/>
  <c r="E35" i="37"/>
  <c r="C35" i="37"/>
  <c r="BQ31" i="37"/>
  <c r="EC31" i="37" s="1"/>
  <c r="BP31" i="37"/>
  <c r="EB31" i="37" s="1"/>
  <c r="BO31" i="37"/>
  <c r="EA31" i="37" s="1"/>
  <c r="BN31" i="37"/>
  <c r="DZ31" i="37" s="1"/>
  <c r="BM31" i="37"/>
  <c r="DY31" i="37" s="1"/>
  <c r="BL31" i="37"/>
  <c r="DX31" i="37" s="1"/>
  <c r="BK31" i="37"/>
  <c r="DW31" i="37" s="1"/>
  <c r="BJ31" i="37"/>
  <c r="DV31" i="37" s="1"/>
  <c r="BI31" i="37"/>
  <c r="DU31" i="37" s="1"/>
  <c r="BH31" i="37"/>
  <c r="DT31" i="37" s="1"/>
  <c r="BG31" i="37"/>
  <c r="DS31" i="37" s="1"/>
  <c r="BF31" i="37"/>
  <c r="DR31" i="37" s="1"/>
  <c r="BE31" i="37"/>
  <c r="DQ31" i="37" s="1"/>
  <c r="BD31" i="37"/>
  <c r="DP31" i="37" s="1"/>
  <c r="BC31" i="37"/>
  <c r="DO31" i="37" s="1"/>
  <c r="BB31" i="37"/>
  <c r="DN31" i="37" s="1"/>
  <c r="BA31" i="37"/>
  <c r="DM31" i="37" s="1"/>
  <c r="AZ31" i="37"/>
  <c r="DL31" i="37" s="1"/>
  <c r="AY31" i="37"/>
  <c r="DK31" i="37" s="1"/>
  <c r="AX31" i="37"/>
  <c r="DJ31" i="37" s="1"/>
  <c r="AW31" i="37"/>
  <c r="DI31" i="37" s="1"/>
  <c r="AV31" i="37"/>
  <c r="DH31" i="37" s="1"/>
  <c r="AU31" i="37"/>
  <c r="DG31" i="37" s="1"/>
  <c r="AT31" i="37"/>
  <c r="DF31" i="37" s="1"/>
  <c r="AS31" i="37"/>
  <c r="DE31" i="37" s="1"/>
  <c r="AR31" i="37"/>
  <c r="DD31" i="37" s="1"/>
  <c r="AQ31" i="37"/>
  <c r="DC31" i="37" s="1"/>
  <c r="AP31" i="37"/>
  <c r="DB31" i="37" s="1"/>
  <c r="AO31" i="37"/>
  <c r="DA31" i="37" s="1"/>
  <c r="AN31" i="37"/>
  <c r="CZ31" i="37" s="1"/>
  <c r="AM31" i="37"/>
  <c r="CY31" i="37" s="1"/>
  <c r="AL31" i="37"/>
  <c r="CX31" i="37" s="1"/>
  <c r="AK31" i="37"/>
  <c r="CW31" i="37" s="1"/>
  <c r="AJ31" i="37"/>
  <c r="CV31" i="37" s="1"/>
  <c r="AI31" i="37"/>
  <c r="CU31" i="37" s="1"/>
  <c r="AH31" i="37"/>
  <c r="CT31" i="37" s="1"/>
  <c r="AG31" i="37"/>
  <c r="CS31" i="37" s="1"/>
  <c r="AF31" i="37"/>
  <c r="CR31" i="37" s="1"/>
  <c r="AE31" i="37"/>
  <c r="CQ31" i="37" s="1"/>
  <c r="G31" i="37"/>
  <c r="Y31" i="37"/>
  <c r="CK31" i="37" s="1"/>
  <c r="E31" i="37"/>
  <c r="C31" i="37"/>
  <c r="BQ7" i="37"/>
  <c r="EC7" i="37" s="1"/>
  <c r="BP7" i="37"/>
  <c r="EB7" i="37" s="1"/>
  <c r="BO7" i="37"/>
  <c r="EA7" i="37" s="1"/>
  <c r="BN7" i="37"/>
  <c r="DZ7" i="37" s="1"/>
  <c r="BM7" i="37"/>
  <c r="DY7" i="37" s="1"/>
  <c r="BL7" i="37"/>
  <c r="DX7" i="37" s="1"/>
  <c r="BK7" i="37"/>
  <c r="DW7" i="37" s="1"/>
  <c r="BJ7" i="37"/>
  <c r="DV7" i="37" s="1"/>
  <c r="BI7" i="37"/>
  <c r="DU7" i="37" s="1"/>
  <c r="BH7" i="37"/>
  <c r="DT7" i="37" s="1"/>
  <c r="BG7" i="37"/>
  <c r="DS7" i="37" s="1"/>
  <c r="BF7" i="37"/>
  <c r="DR7" i="37" s="1"/>
  <c r="BE7" i="37"/>
  <c r="DQ7" i="37" s="1"/>
  <c r="BD7" i="37"/>
  <c r="DP7" i="37" s="1"/>
  <c r="BC7" i="37"/>
  <c r="DO7" i="37" s="1"/>
  <c r="BB7" i="37"/>
  <c r="DN7" i="37" s="1"/>
  <c r="BA7" i="37"/>
  <c r="DM7" i="37" s="1"/>
  <c r="AZ7" i="37"/>
  <c r="DL7" i="37" s="1"/>
  <c r="AY7" i="37"/>
  <c r="DK7" i="37" s="1"/>
  <c r="AX7" i="37"/>
  <c r="DJ7" i="37" s="1"/>
  <c r="AW7" i="37"/>
  <c r="DI7" i="37" s="1"/>
  <c r="AV7" i="37"/>
  <c r="DH7" i="37" s="1"/>
  <c r="AU7" i="37"/>
  <c r="DG7" i="37" s="1"/>
  <c r="AT7" i="37"/>
  <c r="DF7" i="37" s="1"/>
  <c r="AS7" i="37"/>
  <c r="DE7" i="37" s="1"/>
  <c r="AR7" i="37"/>
  <c r="DD7" i="37" s="1"/>
  <c r="AQ7" i="37"/>
  <c r="DC7" i="37" s="1"/>
  <c r="AP7" i="37"/>
  <c r="DB7" i="37" s="1"/>
  <c r="AO7" i="37"/>
  <c r="DA7" i="37" s="1"/>
  <c r="AN7" i="37"/>
  <c r="CZ7" i="37" s="1"/>
  <c r="AM7" i="37"/>
  <c r="CY7" i="37" s="1"/>
  <c r="AL7" i="37"/>
  <c r="CX7" i="37" s="1"/>
  <c r="AK7" i="37"/>
  <c r="CW7" i="37" s="1"/>
  <c r="AJ7" i="37"/>
  <c r="CV7" i="37" s="1"/>
  <c r="AI7" i="37"/>
  <c r="CU7" i="37" s="1"/>
  <c r="AH7" i="37"/>
  <c r="CT7" i="37" s="1"/>
  <c r="AG7" i="37"/>
  <c r="CS7" i="37" s="1"/>
  <c r="AF7" i="37"/>
  <c r="CR7" i="37" s="1"/>
  <c r="AE7" i="37"/>
  <c r="CQ7" i="37" s="1"/>
  <c r="G7" i="37"/>
  <c r="V7" i="37"/>
  <c r="CH7" i="37" s="1"/>
  <c r="E7" i="37"/>
  <c r="C7" i="37"/>
  <c r="BQ40" i="37"/>
  <c r="EC40" i="37" s="1"/>
  <c r="BP40" i="37"/>
  <c r="EB40" i="37" s="1"/>
  <c r="BO40" i="37"/>
  <c r="EA40" i="37" s="1"/>
  <c r="BN40" i="37"/>
  <c r="DZ40" i="37" s="1"/>
  <c r="BM40" i="37"/>
  <c r="DY40" i="37" s="1"/>
  <c r="BL40" i="37"/>
  <c r="DX40" i="37" s="1"/>
  <c r="BK40" i="37"/>
  <c r="DW40" i="37" s="1"/>
  <c r="BJ40" i="37"/>
  <c r="DV40" i="37" s="1"/>
  <c r="BI40" i="37"/>
  <c r="DU40" i="37" s="1"/>
  <c r="BH40" i="37"/>
  <c r="DT40" i="37" s="1"/>
  <c r="BG40" i="37"/>
  <c r="DS40" i="37" s="1"/>
  <c r="BF40" i="37"/>
  <c r="DR40" i="37" s="1"/>
  <c r="BE40" i="37"/>
  <c r="DQ40" i="37" s="1"/>
  <c r="BD40" i="37"/>
  <c r="DP40" i="37" s="1"/>
  <c r="BC40" i="37"/>
  <c r="DO40" i="37" s="1"/>
  <c r="BB40" i="37"/>
  <c r="DN40" i="37" s="1"/>
  <c r="BA40" i="37"/>
  <c r="DM40" i="37" s="1"/>
  <c r="AZ40" i="37"/>
  <c r="DL40" i="37" s="1"/>
  <c r="AY40" i="37"/>
  <c r="DK40" i="37" s="1"/>
  <c r="AX40" i="37"/>
  <c r="DJ40" i="37" s="1"/>
  <c r="AW40" i="37"/>
  <c r="DI40" i="37" s="1"/>
  <c r="AV40" i="37"/>
  <c r="DH40" i="37" s="1"/>
  <c r="AU40" i="37"/>
  <c r="DG40" i="37" s="1"/>
  <c r="AT40" i="37"/>
  <c r="DF40" i="37" s="1"/>
  <c r="AS40" i="37"/>
  <c r="DE40" i="37" s="1"/>
  <c r="AR40" i="37"/>
  <c r="DD40" i="37" s="1"/>
  <c r="AQ40" i="37"/>
  <c r="DC40" i="37" s="1"/>
  <c r="AP40" i="37"/>
  <c r="DB40" i="37" s="1"/>
  <c r="AO40" i="37"/>
  <c r="DA40" i="37" s="1"/>
  <c r="AN40" i="37"/>
  <c r="CZ40" i="37" s="1"/>
  <c r="AM40" i="37"/>
  <c r="CY40" i="37" s="1"/>
  <c r="AL40" i="37"/>
  <c r="CX40" i="37" s="1"/>
  <c r="AK40" i="37"/>
  <c r="CW40" i="37" s="1"/>
  <c r="AJ40" i="37"/>
  <c r="CV40" i="37" s="1"/>
  <c r="AI40" i="37"/>
  <c r="CU40" i="37" s="1"/>
  <c r="AH40" i="37"/>
  <c r="CT40" i="37" s="1"/>
  <c r="AG40" i="37"/>
  <c r="CS40" i="37" s="1"/>
  <c r="AF40" i="37"/>
  <c r="CR40" i="37" s="1"/>
  <c r="AE40" i="37"/>
  <c r="CQ40" i="37" s="1"/>
  <c r="G40" i="37"/>
  <c r="AD40" i="37"/>
  <c r="CP40" i="37" s="1"/>
  <c r="E40" i="37"/>
  <c r="C40" i="37"/>
  <c r="BQ41" i="37"/>
  <c r="EC41" i="37" s="1"/>
  <c r="BP41" i="37"/>
  <c r="EB41" i="37" s="1"/>
  <c r="BO41" i="37"/>
  <c r="EA41" i="37" s="1"/>
  <c r="BN41" i="37"/>
  <c r="DZ41" i="37" s="1"/>
  <c r="BM41" i="37"/>
  <c r="DY41" i="37" s="1"/>
  <c r="BL41" i="37"/>
  <c r="DX41" i="37" s="1"/>
  <c r="BK41" i="37"/>
  <c r="DW41" i="37" s="1"/>
  <c r="BJ41" i="37"/>
  <c r="DV41" i="37" s="1"/>
  <c r="BI41" i="37"/>
  <c r="DU41" i="37" s="1"/>
  <c r="BH41" i="37"/>
  <c r="DT41" i="37" s="1"/>
  <c r="BG41" i="37"/>
  <c r="DS41" i="37" s="1"/>
  <c r="BF41" i="37"/>
  <c r="DR41" i="37" s="1"/>
  <c r="BE41" i="37"/>
  <c r="DQ41" i="37" s="1"/>
  <c r="BD41" i="37"/>
  <c r="DP41" i="37" s="1"/>
  <c r="BC41" i="37"/>
  <c r="DO41" i="37" s="1"/>
  <c r="BB41" i="37"/>
  <c r="DN41" i="37" s="1"/>
  <c r="BA41" i="37"/>
  <c r="DM41" i="37" s="1"/>
  <c r="AZ41" i="37"/>
  <c r="DL41" i="37" s="1"/>
  <c r="AY41" i="37"/>
  <c r="DK41" i="37" s="1"/>
  <c r="AX41" i="37"/>
  <c r="DJ41" i="37" s="1"/>
  <c r="AW41" i="37"/>
  <c r="DI41" i="37" s="1"/>
  <c r="AV41" i="37"/>
  <c r="DH41" i="37" s="1"/>
  <c r="AU41" i="37"/>
  <c r="DG41" i="37" s="1"/>
  <c r="AT41" i="37"/>
  <c r="DF41" i="37" s="1"/>
  <c r="AS41" i="37"/>
  <c r="DE41" i="37" s="1"/>
  <c r="AR41" i="37"/>
  <c r="DD41" i="37" s="1"/>
  <c r="AQ41" i="37"/>
  <c r="DC41" i="37" s="1"/>
  <c r="AP41" i="37"/>
  <c r="DB41" i="37" s="1"/>
  <c r="AO41" i="37"/>
  <c r="DA41" i="37" s="1"/>
  <c r="AN41" i="37"/>
  <c r="CZ41" i="37" s="1"/>
  <c r="AM41" i="37"/>
  <c r="CY41" i="37" s="1"/>
  <c r="AL41" i="37"/>
  <c r="CX41" i="37" s="1"/>
  <c r="AK41" i="37"/>
  <c r="CW41" i="37" s="1"/>
  <c r="AJ41" i="37"/>
  <c r="CV41" i="37" s="1"/>
  <c r="AI41" i="37"/>
  <c r="CU41" i="37" s="1"/>
  <c r="AH41" i="37"/>
  <c r="CT41" i="37" s="1"/>
  <c r="AG41" i="37"/>
  <c r="CS41" i="37" s="1"/>
  <c r="AF41" i="37"/>
  <c r="CR41" i="37" s="1"/>
  <c r="AE41" i="37"/>
  <c r="CQ41" i="37" s="1"/>
  <c r="G41" i="37"/>
  <c r="E41" i="37"/>
  <c r="C41" i="37"/>
  <c r="BQ42" i="37"/>
  <c r="EC42" i="37" s="1"/>
  <c r="BP42" i="37"/>
  <c r="EB42" i="37" s="1"/>
  <c r="BO42" i="37"/>
  <c r="EA42" i="37" s="1"/>
  <c r="BN42" i="37"/>
  <c r="DZ42" i="37" s="1"/>
  <c r="BM42" i="37"/>
  <c r="DY42" i="37" s="1"/>
  <c r="BL42" i="37"/>
  <c r="DX42" i="37" s="1"/>
  <c r="BK42" i="37"/>
  <c r="DW42" i="37" s="1"/>
  <c r="BJ42" i="37"/>
  <c r="DV42" i="37" s="1"/>
  <c r="BI42" i="37"/>
  <c r="DU42" i="37" s="1"/>
  <c r="BH42" i="37"/>
  <c r="DT42" i="37" s="1"/>
  <c r="BG42" i="37"/>
  <c r="DS42" i="37" s="1"/>
  <c r="BF42" i="37"/>
  <c r="DR42" i="37" s="1"/>
  <c r="BE42" i="37"/>
  <c r="DQ42" i="37" s="1"/>
  <c r="BD42" i="37"/>
  <c r="DP42" i="37" s="1"/>
  <c r="BC42" i="37"/>
  <c r="DO42" i="37" s="1"/>
  <c r="BB42" i="37"/>
  <c r="DN42" i="37" s="1"/>
  <c r="BA42" i="37"/>
  <c r="DM42" i="37" s="1"/>
  <c r="AZ42" i="37"/>
  <c r="DL42" i="37" s="1"/>
  <c r="AY42" i="37"/>
  <c r="DK42" i="37" s="1"/>
  <c r="AX42" i="37"/>
  <c r="DJ42" i="37" s="1"/>
  <c r="AW42" i="37"/>
  <c r="DI42" i="37" s="1"/>
  <c r="AV42" i="37"/>
  <c r="DH42" i="37" s="1"/>
  <c r="AU42" i="37"/>
  <c r="DG42" i="37" s="1"/>
  <c r="AT42" i="37"/>
  <c r="DF42" i="37" s="1"/>
  <c r="AS42" i="37"/>
  <c r="DE42" i="37" s="1"/>
  <c r="AR42" i="37"/>
  <c r="DD42" i="37" s="1"/>
  <c r="AQ42" i="37"/>
  <c r="DC42" i="37" s="1"/>
  <c r="AP42" i="37"/>
  <c r="DB42" i="37" s="1"/>
  <c r="AO42" i="37"/>
  <c r="DA42" i="37" s="1"/>
  <c r="AN42" i="37"/>
  <c r="CZ42" i="37" s="1"/>
  <c r="AM42" i="37"/>
  <c r="CY42" i="37" s="1"/>
  <c r="AL42" i="37"/>
  <c r="CX42" i="37" s="1"/>
  <c r="AK42" i="37"/>
  <c r="CW42" i="37" s="1"/>
  <c r="AJ42" i="37"/>
  <c r="CV42" i="37" s="1"/>
  <c r="AI42" i="37"/>
  <c r="CU42" i="37" s="1"/>
  <c r="AH42" i="37"/>
  <c r="CT42" i="37" s="1"/>
  <c r="AG42" i="37"/>
  <c r="CS42" i="37" s="1"/>
  <c r="AF42" i="37"/>
  <c r="CR42" i="37" s="1"/>
  <c r="AE42" i="37"/>
  <c r="CQ42" i="37" s="1"/>
  <c r="G42" i="37"/>
  <c r="AD42" i="37"/>
  <c r="CP42" i="37" s="1"/>
  <c r="E42" i="37"/>
  <c r="C42" i="37"/>
  <c r="BQ51" i="37"/>
  <c r="EC51" i="37" s="1"/>
  <c r="BP51" i="37"/>
  <c r="EB51" i="37" s="1"/>
  <c r="BO51" i="37"/>
  <c r="EA51" i="37" s="1"/>
  <c r="BN51" i="37"/>
  <c r="DZ51" i="37" s="1"/>
  <c r="BM51" i="37"/>
  <c r="DY51" i="37" s="1"/>
  <c r="BL51" i="37"/>
  <c r="DX51" i="37" s="1"/>
  <c r="BK51" i="37"/>
  <c r="DW51" i="37" s="1"/>
  <c r="BJ51" i="37"/>
  <c r="DV51" i="37" s="1"/>
  <c r="BI51" i="37"/>
  <c r="DU51" i="37" s="1"/>
  <c r="BH51" i="37"/>
  <c r="DT51" i="37" s="1"/>
  <c r="BG51" i="37"/>
  <c r="DS51" i="37" s="1"/>
  <c r="BF51" i="37"/>
  <c r="DR51" i="37" s="1"/>
  <c r="BE51" i="37"/>
  <c r="DQ51" i="37" s="1"/>
  <c r="BD51" i="37"/>
  <c r="DP51" i="37" s="1"/>
  <c r="BC51" i="37"/>
  <c r="DO51" i="37" s="1"/>
  <c r="BB51" i="37"/>
  <c r="DN51" i="37" s="1"/>
  <c r="BA51" i="37"/>
  <c r="DM51" i="37" s="1"/>
  <c r="AZ51" i="37"/>
  <c r="DL51" i="37" s="1"/>
  <c r="AY51" i="37"/>
  <c r="DK51" i="37" s="1"/>
  <c r="AX51" i="37"/>
  <c r="DJ51" i="37" s="1"/>
  <c r="AW51" i="37"/>
  <c r="DI51" i="37" s="1"/>
  <c r="AV51" i="37"/>
  <c r="DH51" i="37" s="1"/>
  <c r="AU51" i="37"/>
  <c r="DG51" i="37" s="1"/>
  <c r="AT51" i="37"/>
  <c r="DF51" i="37" s="1"/>
  <c r="AS51" i="37"/>
  <c r="DE51" i="37" s="1"/>
  <c r="AR51" i="37"/>
  <c r="DD51" i="37" s="1"/>
  <c r="AQ51" i="37"/>
  <c r="DC51" i="37" s="1"/>
  <c r="AP51" i="37"/>
  <c r="DB51" i="37" s="1"/>
  <c r="AO51" i="37"/>
  <c r="DA51" i="37" s="1"/>
  <c r="AN51" i="37"/>
  <c r="CZ51" i="37" s="1"/>
  <c r="AM51" i="37"/>
  <c r="CY51" i="37" s="1"/>
  <c r="AL51" i="37"/>
  <c r="CX51" i="37" s="1"/>
  <c r="AK51" i="37"/>
  <c r="CW51" i="37" s="1"/>
  <c r="AJ51" i="37"/>
  <c r="CV51" i="37" s="1"/>
  <c r="AI51" i="37"/>
  <c r="CU51" i="37" s="1"/>
  <c r="AH51" i="37"/>
  <c r="CT51" i="37" s="1"/>
  <c r="AG51" i="37"/>
  <c r="CS51" i="37" s="1"/>
  <c r="AF51" i="37"/>
  <c r="CR51" i="37" s="1"/>
  <c r="AE51" i="37"/>
  <c r="CQ51" i="37" s="1"/>
  <c r="G51" i="37"/>
  <c r="AD51" i="37"/>
  <c r="CP51" i="37" s="1"/>
  <c r="E51" i="37"/>
  <c r="C51" i="37"/>
  <c r="BQ48" i="37"/>
  <c r="EC48" i="37" s="1"/>
  <c r="BP48" i="37"/>
  <c r="EB48" i="37" s="1"/>
  <c r="BO48" i="37"/>
  <c r="EA48" i="37" s="1"/>
  <c r="BN48" i="37"/>
  <c r="DZ48" i="37" s="1"/>
  <c r="BM48" i="37"/>
  <c r="DY48" i="37" s="1"/>
  <c r="BL48" i="37"/>
  <c r="DX48" i="37" s="1"/>
  <c r="BK48" i="37"/>
  <c r="DW48" i="37" s="1"/>
  <c r="BJ48" i="37"/>
  <c r="DV48" i="37" s="1"/>
  <c r="BI48" i="37"/>
  <c r="DU48" i="37" s="1"/>
  <c r="BH48" i="37"/>
  <c r="DT48" i="37" s="1"/>
  <c r="BG48" i="37"/>
  <c r="DS48" i="37" s="1"/>
  <c r="BF48" i="37"/>
  <c r="DR48" i="37" s="1"/>
  <c r="BE48" i="37"/>
  <c r="DQ48" i="37" s="1"/>
  <c r="BD48" i="37"/>
  <c r="DP48" i="37" s="1"/>
  <c r="BC48" i="37"/>
  <c r="DO48" i="37" s="1"/>
  <c r="BB48" i="37"/>
  <c r="DN48" i="37" s="1"/>
  <c r="BA48" i="37"/>
  <c r="DM48" i="37" s="1"/>
  <c r="AZ48" i="37"/>
  <c r="DL48" i="37" s="1"/>
  <c r="AY48" i="37"/>
  <c r="DK48" i="37" s="1"/>
  <c r="AX48" i="37"/>
  <c r="DJ48" i="37" s="1"/>
  <c r="AW48" i="37"/>
  <c r="DI48" i="37" s="1"/>
  <c r="AV48" i="37"/>
  <c r="DH48" i="37" s="1"/>
  <c r="AU48" i="37"/>
  <c r="DG48" i="37" s="1"/>
  <c r="AT48" i="37"/>
  <c r="DF48" i="37" s="1"/>
  <c r="AS48" i="37"/>
  <c r="DE48" i="37" s="1"/>
  <c r="AR48" i="37"/>
  <c r="DD48" i="37" s="1"/>
  <c r="AQ48" i="37"/>
  <c r="DC48" i="37" s="1"/>
  <c r="AP48" i="37"/>
  <c r="DB48" i="37" s="1"/>
  <c r="AO48" i="37"/>
  <c r="DA48" i="37" s="1"/>
  <c r="AN48" i="37"/>
  <c r="CZ48" i="37" s="1"/>
  <c r="AM48" i="37"/>
  <c r="CY48" i="37" s="1"/>
  <c r="AL48" i="37"/>
  <c r="CX48" i="37" s="1"/>
  <c r="AK48" i="37"/>
  <c r="CW48" i="37" s="1"/>
  <c r="AJ48" i="37"/>
  <c r="CV48" i="37" s="1"/>
  <c r="AI48" i="37"/>
  <c r="CU48" i="37" s="1"/>
  <c r="AH48" i="37"/>
  <c r="CT48" i="37" s="1"/>
  <c r="AG48" i="37"/>
  <c r="CS48" i="37" s="1"/>
  <c r="AF48" i="37"/>
  <c r="CR48" i="37" s="1"/>
  <c r="AE48" i="37"/>
  <c r="CQ48" i="37" s="1"/>
  <c r="G48" i="37"/>
  <c r="AD48" i="37"/>
  <c r="CP48" i="37" s="1"/>
  <c r="E48" i="37"/>
  <c r="C48" i="37"/>
  <c r="BQ44" i="37"/>
  <c r="EC44" i="37" s="1"/>
  <c r="BP44" i="37"/>
  <c r="EB44" i="37" s="1"/>
  <c r="BO44" i="37"/>
  <c r="EA44" i="37" s="1"/>
  <c r="BN44" i="37"/>
  <c r="DZ44" i="37" s="1"/>
  <c r="BM44" i="37"/>
  <c r="DY44" i="37" s="1"/>
  <c r="BL44" i="37"/>
  <c r="DX44" i="37" s="1"/>
  <c r="BK44" i="37"/>
  <c r="DW44" i="37" s="1"/>
  <c r="BJ44" i="37"/>
  <c r="DV44" i="37" s="1"/>
  <c r="BI44" i="37"/>
  <c r="DU44" i="37" s="1"/>
  <c r="BH44" i="37"/>
  <c r="DT44" i="37" s="1"/>
  <c r="BG44" i="37"/>
  <c r="DS44" i="37" s="1"/>
  <c r="BF44" i="37"/>
  <c r="DR44" i="37" s="1"/>
  <c r="BE44" i="37"/>
  <c r="DQ44" i="37" s="1"/>
  <c r="BD44" i="37"/>
  <c r="DP44" i="37" s="1"/>
  <c r="BC44" i="37"/>
  <c r="DO44" i="37" s="1"/>
  <c r="BB44" i="37"/>
  <c r="DN44" i="37" s="1"/>
  <c r="BA44" i="37"/>
  <c r="DM44" i="37" s="1"/>
  <c r="AZ44" i="37"/>
  <c r="DL44" i="37" s="1"/>
  <c r="AY44" i="37"/>
  <c r="DK44" i="37" s="1"/>
  <c r="AX44" i="37"/>
  <c r="DJ44" i="37" s="1"/>
  <c r="AW44" i="37"/>
  <c r="DI44" i="37" s="1"/>
  <c r="AV44" i="37"/>
  <c r="DH44" i="37" s="1"/>
  <c r="AU44" i="37"/>
  <c r="DG44" i="37" s="1"/>
  <c r="AT44" i="37"/>
  <c r="DF44" i="37" s="1"/>
  <c r="AS44" i="37"/>
  <c r="DE44" i="37" s="1"/>
  <c r="AR44" i="37"/>
  <c r="DD44" i="37" s="1"/>
  <c r="AQ44" i="37"/>
  <c r="DC44" i="37" s="1"/>
  <c r="AP44" i="37"/>
  <c r="DB44" i="37" s="1"/>
  <c r="AO44" i="37"/>
  <c r="DA44" i="37" s="1"/>
  <c r="AN44" i="37"/>
  <c r="CZ44" i="37" s="1"/>
  <c r="AM44" i="37"/>
  <c r="CY44" i="37" s="1"/>
  <c r="AL44" i="37"/>
  <c r="CX44" i="37" s="1"/>
  <c r="AK44" i="37"/>
  <c r="CW44" i="37" s="1"/>
  <c r="AJ44" i="37"/>
  <c r="CV44" i="37" s="1"/>
  <c r="AI44" i="37"/>
  <c r="CU44" i="37" s="1"/>
  <c r="AH44" i="37"/>
  <c r="CT44" i="37" s="1"/>
  <c r="AG44" i="37"/>
  <c r="CS44" i="37" s="1"/>
  <c r="AF44" i="37"/>
  <c r="CR44" i="37" s="1"/>
  <c r="AE44" i="37"/>
  <c r="CQ44" i="37" s="1"/>
  <c r="G44" i="37"/>
  <c r="E44" i="37"/>
  <c r="C44" i="37"/>
  <c r="BQ50" i="37"/>
  <c r="EC50" i="37" s="1"/>
  <c r="BP50" i="37"/>
  <c r="EB50" i="37" s="1"/>
  <c r="BO50" i="37"/>
  <c r="EA50" i="37" s="1"/>
  <c r="BN50" i="37"/>
  <c r="DZ50" i="37" s="1"/>
  <c r="BM50" i="37"/>
  <c r="DY50" i="37" s="1"/>
  <c r="BL50" i="37"/>
  <c r="DX50" i="37" s="1"/>
  <c r="BK50" i="37"/>
  <c r="DW50" i="37" s="1"/>
  <c r="BJ50" i="37"/>
  <c r="DV50" i="37" s="1"/>
  <c r="BI50" i="37"/>
  <c r="DU50" i="37" s="1"/>
  <c r="BH50" i="37"/>
  <c r="DT50" i="37" s="1"/>
  <c r="BG50" i="37"/>
  <c r="DS50" i="37" s="1"/>
  <c r="BF50" i="37"/>
  <c r="DR50" i="37" s="1"/>
  <c r="BE50" i="37"/>
  <c r="DQ50" i="37" s="1"/>
  <c r="BD50" i="37"/>
  <c r="DP50" i="37" s="1"/>
  <c r="BC50" i="37"/>
  <c r="DO50" i="37" s="1"/>
  <c r="BB50" i="37"/>
  <c r="DN50" i="37" s="1"/>
  <c r="BA50" i="37"/>
  <c r="DM50" i="37" s="1"/>
  <c r="AZ50" i="37"/>
  <c r="DL50" i="37" s="1"/>
  <c r="AY50" i="37"/>
  <c r="DK50" i="37" s="1"/>
  <c r="AX50" i="37"/>
  <c r="DJ50" i="37" s="1"/>
  <c r="AW50" i="37"/>
  <c r="DI50" i="37" s="1"/>
  <c r="AV50" i="37"/>
  <c r="DH50" i="37" s="1"/>
  <c r="AU50" i="37"/>
  <c r="DG50" i="37" s="1"/>
  <c r="AT50" i="37"/>
  <c r="DF50" i="37" s="1"/>
  <c r="AS50" i="37"/>
  <c r="DE50" i="37" s="1"/>
  <c r="AR50" i="37"/>
  <c r="DD50" i="37" s="1"/>
  <c r="AQ50" i="37"/>
  <c r="DC50" i="37" s="1"/>
  <c r="AP50" i="37"/>
  <c r="DB50" i="37" s="1"/>
  <c r="AO50" i="37"/>
  <c r="DA50" i="37" s="1"/>
  <c r="AN50" i="37"/>
  <c r="CZ50" i="37" s="1"/>
  <c r="AM50" i="37"/>
  <c r="CY50" i="37" s="1"/>
  <c r="AL50" i="37"/>
  <c r="CX50" i="37" s="1"/>
  <c r="AK50" i="37"/>
  <c r="CW50" i="37" s="1"/>
  <c r="AJ50" i="37"/>
  <c r="CV50" i="37" s="1"/>
  <c r="AI50" i="37"/>
  <c r="CU50" i="37" s="1"/>
  <c r="AH50" i="37"/>
  <c r="CT50" i="37" s="1"/>
  <c r="AG50" i="37"/>
  <c r="CS50" i="37" s="1"/>
  <c r="AF50" i="37"/>
  <c r="CR50" i="37" s="1"/>
  <c r="AE50" i="37"/>
  <c r="CQ50" i="37" s="1"/>
  <c r="G50" i="37"/>
  <c r="AD50" i="37"/>
  <c r="CP50" i="37" s="1"/>
  <c r="E50" i="37"/>
  <c r="C50" i="37"/>
  <c r="BQ5" i="37"/>
  <c r="EC5" i="37" s="1"/>
  <c r="BP5" i="37"/>
  <c r="EB5" i="37" s="1"/>
  <c r="BO5" i="37"/>
  <c r="EA5" i="37" s="1"/>
  <c r="BN5" i="37"/>
  <c r="DZ5" i="37" s="1"/>
  <c r="BM5" i="37"/>
  <c r="DY5" i="37" s="1"/>
  <c r="BL5" i="37"/>
  <c r="DX5" i="37" s="1"/>
  <c r="BK5" i="37"/>
  <c r="DW5" i="37" s="1"/>
  <c r="BJ5" i="37"/>
  <c r="DV5" i="37" s="1"/>
  <c r="BI5" i="37"/>
  <c r="DU5" i="37" s="1"/>
  <c r="BH5" i="37"/>
  <c r="DT5" i="37" s="1"/>
  <c r="BG5" i="37"/>
  <c r="DS5" i="37" s="1"/>
  <c r="BF5" i="37"/>
  <c r="DR5" i="37" s="1"/>
  <c r="BE5" i="37"/>
  <c r="DQ5" i="37" s="1"/>
  <c r="BD5" i="37"/>
  <c r="DP5" i="37" s="1"/>
  <c r="BC5" i="37"/>
  <c r="DO5" i="37" s="1"/>
  <c r="BB5" i="37"/>
  <c r="DN5" i="37" s="1"/>
  <c r="BA5" i="37"/>
  <c r="DM5" i="37" s="1"/>
  <c r="AZ5" i="37"/>
  <c r="DL5" i="37" s="1"/>
  <c r="AY5" i="37"/>
  <c r="DK5" i="37" s="1"/>
  <c r="AX5" i="37"/>
  <c r="DJ5" i="37" s="1"/>
  <c r="AW5" i="37"/>
  <c r="DI5" i="37" s="1"/>
  <c r="AV5" i="37"/>
  <c r="DH5" i="37" s="1"/>
  <c r="AU5" i="37"/>
  <c r="DG5" i="37" s="1"/>
  <c r="AT5" i="37"/>
  <c r="DF5" i="37" s="1"/>
  <c r="AS5" i="37"/>
  <c r="DE5" i="37" s="1"/>
  <c r="AR5" i="37"/>
  <c r="DD5" i="37" s="1"/>
  <c r="AQ5" i="37"/>
  <c r="DC5" i="37" s="1"/>
  <c r="AP5" i="37"/>
  <c r="DB5" i="37" s="1"/>
  <c r="AO5" i="37"/>
  <c r="DA5" i="37" s="1"/>
  <c r="AN5" i="37"/>
  <c r="CZ5" i="37" s="1"/>
  <c r="AM5" i="37"/>
  <c r="CY5" i="37" s="1"/>
  <c r="AL5" i="37"/>
  <c r="CX5" i="37" s="1"/>
  <c r="AK5" i="37"/>
  <c r="CW5" i="37" s="1"/>
  <c r="AJ5" i="37"/>
  <c r="CV5" i="37" s="1"/>
  <c r="AI5" i="37"/>
  <c r="CU5" i="37" s="1"/>
  <c r="AH5" i="37"/>
  <c r="CT5" i="37" s="1"/>
  <c r="AG5" i="37"/>
  <c r="CS5" i="37" s="1"/>
  <c r="AF5" i="37"/>
  <c r="CR5" i="37" s="1"/>
  <c r="AE5" i="37"/>
  <c r="CQ5" i="37" s="1"/>
  <c r="G5" i="37"/>
  <c r="AD5" i="37"/>
  <c r="CP5" i="37" s="1"/>
  <c r="E5" i="37"/>
  <c r="C5" i="37"/>
  <c r="BQ46" i="37"/>
  <c r="EC46" i="37" s="1"/>
  <c r="BP46" i="37"/>
  <c r="EB46" i="37" s="1"/>
  <c r="BO46" i="37"/>
  <c r="EA46" i="37" s="1"/>
  <c r="BN46" i="37"/>
  <c r="DZ46" i="37" s="1"/>
  <c r="BM46" i="37"/>
  <c r="DY46" i="37" s="1"/>
  <c r="BL46" i="37"/>
  <c r="DX46" i="37" s="1"/>
  <c r="BK46" i="37"/>
  <c r="DW46" i="37" s="1"/>
  <c r="BJ46" i="37"/>
  <c r="DV46" i="37" s="1"/>
  <c r="BI46" i="37"/>
  <c r="DU46" i="37" s="1"/>
  <c r="BH46" i="37"/>
  <c r="DT46" i="37" s="1"/>
  <c r="BG46" i="37"/>
  <c r="DS46" i="37" s="1"/>
  <c r="BF46" i="37"/>
  <c r="DR46" i="37" s="1"/>
  <c r="BE46" i="37"/>
  <c r="DQ46" i="37" s="1"/>
  <c r="BD46" i="37"/>
  <c r="DP46" i="37" s="1"/>
  <c r="BC46" i="37"/>
  <c r="DO46" i="37" s="1"/>
  <c r="BB46" i="37"/>
  <c r="DN46" i="37" s="1"/>
  <c r="BA46" i="37"/>
  <c r="DM46" i="37" s="1"/>
  <c r="AZ46" i="37"/>
  <c r="DL46" i="37" s="1"/>
  <c r="AY46" i="37"/>
  <c r="DK46" i="37" s="1"/>
  <c r="AX46" i="37"/>
  <c r="DJ46" i="37" s="1"/>
  <c r="AW46" i="37"/>
  <c r="DI46" i="37" s="1"/>
  <c r="AV46" i="37"/>
  <c r="DH46" i="37" s="1"/>
  <c r="AU46" i="37"/>
  <c r="DG46" i="37" s="1"/>
  <c r="AT46" i="37"/>
  <c r="DF46" i="37" s="1"/>
  <c r="AS46" i="37"/>
  <c r="DE46" i="37" s="1"/>
  <c r="AR46" i="37"/>
  <c r="DD46" i="37" s="1"/>
  <c r="AQ46" i="37"/>
  <c r="DC46" i="37" s="1"/>
  <c r="AP46" i="37"/>
  <c r="DB46" i="37" s="1"/>
  <c r="AO46" i="37"/>
  <c r="DA46" i="37" s="1"/>
  <c r="AN46" i="37"/>
  <c r="CZ46" i="37" s="1"/>
  <c r="AM46" i="37"/>
  <c r="CY46" i="37" s="1"/>
  <c r="AL46" i="37"/>
  <c r="CX46" i="37" s="1"/>
  <c r="AK46" i="37"/>
  <c r="CW46" i="37" s="1"/>
  <c r="AJ46" i="37"/>
  <c r="CV46" i="37" s="1"/>
  <c r="AI46" i="37"/>
  <c r="CU46" i="37" s="1"/>
  <c r="AH46" i="37"/>
  <c r="CT46" i="37" s="1"/>
  <c r="AG46" i="37"/>
  <c r="CS46" i="37" s="1"/>
  <c r="AF46" i="37"/>
  <c r="CR46" i="37" s="1"/>
  <c r="AE46" i="37"/>
  <c r="CQ46" i="37" s="1"/>
  <c r="G46" i="37"/>
  <c r="AD46" i="37"/>
  <c r="CP46" i="37" s="1"/>
  <c r="E46" i="37"/>
  <c r="C46" i="37"/>
  <c r="BQ47" i="37"/>
  <c r="EC47" i="37" s="1"/>
  <c r="BP47" i="37"/>
  <c r="EB47" i="37" s="1"/>
  <c r="BO47" i="37"/>
  <c r="EA47" i="37" s="1"/>
  <c r="BN47" i="37"/>
  <c r="DZ47" i="37" s="1"/>
  <c r="BM47" i="37"/>
  <c r="DY47" i="37" s="1"/>
  <c r="BL47" i="37"/>
  <c r="DX47" i="37" s="1"/>
  <c r="BK47" i="37"/>
  <c r="DW47" i="37" s="1"/>
  <c r="BJ47" i="37"/>
  <c r="DV47" i="37" s="1"/>
  <c r="BI47" i="37"/>
  <c r="DU47" i="37" s="1"/>
  <c r="BH47" i="37"/>
  <c r="DT47" i="37" s="1"/>
  <c r="BG47" i="37"/>
  <c r="DS47" i="37" s="1"/>
  <c r="BF47" i="37"/>
  <c r="DR47" i="37" s="1"/>
  <c r="BE47" i="37"/>
  <c r="DQ47" i="37" s="1"/>
  <c r="BD47" i="37"/>
  <c r="DP47" i="37" s="1"/>
  <c r="BC47" i="37"/>
  <c r="DO47" i="37" s="1"/>
  <c r="BB47" i="37"/>
  <c r="DN47" i="37" s="1"/>
  <c r="BA47" i="37"/>
  <c r="DM47" i="37" s="1"/>
  <c r="AZ47" i="37"/>
  <c r="DL47" i="37" s="1"/>
  <c r="AY47" i="37"/>
  <c r="DK47" i="37" s="1"/>
  <c r="AX47" i="37"/>
  <c r="DJ47" i="37" s="1"/>
  <c r="AW47" i="37"/>
  <c r="DI47" i="37" s="1"/>
  <c r="AV47" i="37"/>
  <c r="DH47" i="37" s="1"/>
  <c r="AU47" i="37"/>
  <c r="DG47" i="37" s="1"/>
  <c r="AT47" i="37"/>
  <c r="DF47" i="37" s="1"/>
  <c r="AS47" i="37"/>
  <c r="DE47" i="37" s="1"/>
  <c r="AR47" i="37"/>
  <c r="DD47" i="37" s="1"/>
  <c r="AQ47" i="37"/>
  <c r="DC47" i="37" s="1"/>
  <c r="AP47" i="37"/>
  <c r="DB47" i="37" s="1"/>
  <c r="AO47" i="37"/>
  <c r="DA47" i="37" s="1"/>
  <c r="AN47" i="37"/>
  <c r="CZ47" i="37" s="1"/>
  <c r="AM47" i="37"/>
  <c r="CY47" i="37" s="1"/>
  <c r="AL47" i="37"/>
  <c r="CX47" i="37" s="1"/>
  <c r="AK47" i="37"/>
  <c r="CW47" i="37" s="1"/>
  <c r="AJ47" i="37"/>
  <c r="CV47" i="37" s="1"/>
  <c r="AI47" i="37"/>
  <c r="CU47" i="37" s="1"/>
  <c r="AH47" i="37"/>
  <c r="CT47" i="37" s="1"/>
  <c r="AG47" i="37"/>
  <c r="CS47" i="37" s="1"/>
  <c r="AF47" i="37"/>
  <c r="CR47" i="37" s="1"/>
  <c r="AE47" i="37"/>
  <c r="CQ47" i="37" s="1"/>
  <c r="G47" i="37"/>
  <c r="E47" i="37"/>
  <c r="C47" i="37"/>
  <c r="BQ45" i="37"/>
  <c r="EC45" i="37" s="1"/>
  <c r="BP45" i="37"/>
  <c r="EB45" i="37" s="1"/>
  <c r="BO45" i="37"/>
  <c r="EA45" i="37" s="1"/>
  <c r="BN45" i="37"/>
  <c r="DZ45" i="37" s="1"/>
  <c r="BM45" i="37"/>
  <c r="DY45" i="37" s="1"/>
  <c r="BL45" i="37"/>
  <c r="DX45" i="37" s="1"/>
  <c r="BK45" i="37"/>
  <c r="DW45" i="37" s="1"/>
  <c r="BJ45" i="37"/>
  <c r="DV45" i="37" s="1"/>
  <c r="BI45" i="37"/>
  <c r="DU45" i="37" s="1"/>
  <c r="BH45" i="37"/>
  <c r="DT45" i="37" s="1"/>
  <c r="BG45" i="37"/>
  <c r="DS45" i="37" s="1"/>
  <c r="BF45" i="37"/>
  <c r="DR45" i="37" s="1"/>
  <c r="BE45" i="37"/>
  <c r="DQ45" i="37" s="1"/>
  <c r="BD45" i="37"/>
  <c r="DP45" i="37" s="1"/>
  <c r="BC45" i="37"/>
  <c r="DO45" i="37" s="1"/>
  <c r="BB45" i="37"/>
  <c r="DN45" i="37" s="1"/>
  <c r="BA45" i="37"/>
  <c r="DM45" i="37" s="1"/>
  <c r="AZ45" i="37"/>
  <c r="DL45" i="37" s="1"/>
  <c r="AY45" i="37"/>
  <c r="DK45" i="37" s="1"/>
  <c r="AX45" i="37"/>
  <c r="DJ45" i="37" s="1"/>
  <c r="AW45" i="37"/>
  <c r="DI45" i="37" s="1"/>
  <c r="AV45" i="37"/>
  <c r="DH45" i="37" s="1"/>
  <c r="AU45" i="37"/>
  <c r="DG45" i="37" s="1"/>
  <c r="AT45" i="37"/>
  <c r="DF45" i="37" s="1"/>
  <c r="AS45" i="37"/>
  <c r="DE45" i="37" s="1"/>
  <c r="AR45" i="37"/>
  <c r="DD45" i="37" s="1"/>
  <c r="AQ45" i="37"/>
  <c r="DC45" i="37" s="1"/>
  <c r="AP45" i="37"/>
  <c r="DB45" i="37" s="1"/>
  <c r="AO45" i="37"/>
  <c r="DA45" i="37" s="1"/>
  <c r="AN45" i="37"/>
  <c r="CZ45" i="37" s="1"/>
  <c r="AM45" i="37"/>
  <c r="CY45" i="37" s="1"/>
  <c r="AL45" i="37"/>
  <c r="CX45" i="37" s="1"/>
  <c r="AK45" i="37"/>
  <c r="CW45" i="37" s="1"/>
  <c r="AJ45" i="37"/>
  <c r="CV45" i="37" s="1"/>
  <c r="AI45" i="37"/>
  <c r="CU45" i="37" s="1"/>
  <c r="AH45" i="37"/>
  <c r="CT45" i="37" s="1"/>
  <c r="AG45" i="37"/>
  <c r="CS45" i="37" s="1"/>
  <c r="AF45" i="37"/>
  <c r="CR45" i="37" s="1"/>
  <c r="AE45" i="37"/>
  <c r="CQ45" i="37" s="1"/>
  <c r="G45" i="37"/>
  <c r="AD45" i="37"/>
  <c r="CP45" i="37" s="1"/>
  <c r="E45" i="37"/>
  <c r="C45" i="37"/>
  <c r="BQ43" i="37"/>
  <c r="EC43" i="37" s="1"/>
  <c r="BP43" i="37"/>
  <c r="EB43" i="37" s="1"/>
  <c r="BO43" i="37"/>
  <c r="EA43" i="37" s="1"/>
  <c r="BN43" i="37"/>
  <c r="DZ43" i="37" s="1"/>
  <c r="BM43" i="37"/>
  <c r="DY43" i="37" s="1"/>
  <c r="BL43" i="37"/>
  <c r="DX43" i="37" s="1"/>
  <c r="BK43" i="37"/>
  <c r="DW43" i="37" s="1"/>
  <c r="BJ43" i="37"/>
  <c r="DV43" i="37" s="1"/>
  <c r="BI43" i="37"/>
  <c r="DU43" i="37" s="1"/>
  <c r="BH43" i="37"/>
  <c r="DT43" i="37" s="1"/>
  <c r="BG43" i="37"/>
  <c r="DS43" i="37" s="1"/>
  <c r="BF43" i="37"/>
  <c r="DR43" i="37" s="1"/>
  <c r="BE43" i="37"/>
  <c r="DQ43" i="37" s="1"/>
  <c r="BD43" i="37"/>
  <c r="DP43" i="37" s="1"/>
  <c r="BC43" i="37"/>
  <c r="DO43" i="37" s="1"/>
  <c r="BB43" i="37"/>
  <c r="DN43" i="37" s="1"/>
  <c r="BA43" i="37"/>
  <c r="DM43" i="37" s="1"/>
  <c r="AZ43" i="37"/>
  <c r="DL43" i="37" s="1"/>
  <c r="AY43" i="37"/>
  <c r="DK43" i="37" s="1"/>
  <c r="AX43" i="37"/>
  <c r="DJ43" i="37" s="1"/>
  <c r="AW43" i="37"/>
  <c r="DI43" i="37" s="1"/>
  <c r="AV43" i="37"/>
  <c r="DH43" i="37" s="1"/>
  <c r="AU43" i="37"/>
  <c r="DG43" i="37" s="1"/>
  <c r="AT43" i="37"/>
  <c r="DF43" i="37" s="1"/>
  <c r="AS43" i="37"/>
  <c r="DE43" i="37" s="1"/>
  <c r="AR43" i="37"/>
  <c r="DD43" i="37" s="1"/>
  <c r="AQ43" i="37"/>
  <c r="DC43" i="37" s="1"/>
  <c r="AP43" i="37"/>
  <c r="DB43" i="37" s="1"/>
  <c r="AO43" i="37"/>
  <c r="DA43" i="37" s="1"/>
  <c r="AN43" i="37"/>
  <c r="CZ43" i="37" s="1"/>
  <c r="AM43" i="37"/>
  <c r="CY43" i="37" s="1"/>
  <c r="AL43" i="37"/>
  <c r="CX43" i="37" s="1"/>
  <c r="AK43" i="37"/>
  <c r="CW43" i="37" s="1"/>
  <c r="AJ43" i="37"/>
  <c r="CV43" i="37" s="1"/>
  <c r="AI43" i="37"/>
  <c r="CU43" i="37" s="1"/>
  <c r="AH43" i="37"/>
  <c r="CT43" i="37" s="1"/>
  <c r="AG43" i="37"/>
  <c r="CS43" i="37" s="1"/>
  <c r="AF43" i="37"/>
  <c r="CR43" i="37" s="1"/>
  <c r="AE43" i="37"/>
  <c r="CQ43" i="37" s="1"/>
  <c r="G43" i="37"/>
  <c r="AD43" i="37"/>
  <c r="CP43" i="37" s="1"/>
  <c r="E43" i="37"/>
  <c r="C43" i="37"/>
  <c r="BQ49" i="37"/>
  <c r="EC49" i="37" s="1"/>
  <c r="BP49" i="37"/>
  <c r="EB49" i="37" s="1"/>
  <c r="BO49" i="37"/>
  <c r="EA49" i="37" s="1"/>
  <c r="BN49" i="37"/>
  <c r="DZ49" i="37" s="1"/>
  <c r="BM49" i="37"/>
  <c r="DY49" i="37" s="1"/>
  <c r="BL49" i="37"/>
  <c r="DX49" i="37" s="1"/>
  <c r="BK49" i="37"/>
  <c r="DW49" i="37" s="1"/>
  <c r="BJ49" i="37"/>
  <c r="DV49" i="37" s="1"/>
  <c r="BI49" i="37"/>
  <c r="DU49" i="37" s="1"/>
  <c r="BH49" i="37"/>
  <c r="DT49" i="37" s="1"/>
  <c r="BG49" i="37"/>
  <c r="DS49" i="37" s="1"/>
  <c r="BF49" i="37"/>
  <c r="DR49" i="37" s="1"/>
  <c r="BE49" i="37"/>
  <c r="DQ49" i="37" s="1"/>
  <c r="BD49" i="37"/>
  <c r="DP49" i="37" s="1"/>
  <c r="BC49" i="37"/>
  <c r="DO49" i="37" s="1"/>
  <c r="BB49" i="37"/>
  <c r="DN49" i="37" s="1"/>
  <c r="BA49" i="37"/>
  <c r="DM49" i="37" s="1"/>
  <c r="AZ49" i="37"/>
  <c r="DL49" i="37" s="1"/>
  <c r="AY49" i="37"/>
  <c r="DK49" i="37" s="1"/>
  <c r="AX49" i="37"/>
  <c r="DJ49" i="37" s="1"/>
  <c r="AW49" i="37"/>
  <c r="DI49" i="37" s="1"/>
  <c r="AV49" i="37"/>
  <c r="DH49" i="37" s="1"/>
  <c r="AU49" i="37"/>
  <c r="DG49" i="37" s="1"/>
  <c r="AT49" i="37"/>
  <c r="DF49" i="37" s="1"/>
  <c r="AS49" i="37"/>
  <c r="DE49" i="37" s="1"/>
  <c r="AR49" i="37"/>
  <c r="DD49" i="37" s="1"/>
  <c r="AQ49" i="37"/>
  <c r="DC49" i="37" s="1"/>
  <c r="AP49" i="37"/>
  <c r="DB49" i="37" s="1"/>
  <c r="AO49" i="37"/>
  <c r="DA49" i="37" s="1"/>
  <c r="AN49" i="37"/>
  <c r="CZ49" i="37" s="1"/>
  <c r="AM49" i="37"/>
  <c r="CY49" i="37" s="1"/>
  <c r="AL49" i="37"/>
  <c r="CX49" i="37" s="1"/>
  <c r="AK49" i="37"/>
  <c r="CW49" i="37" s="1"/>
  <c r="AJ49" i="37"/>
  <c r="CV49" i="37" s="1"/>
  <c r="AI49" i="37"/>
  <c r="CU49" i="37" s="1"/>
  <c r="AH49" i="37"/>
  <c r="CT49" i="37" s="1"/>
  <c r="AG49" i="37"/>
  <c r="CS49" i="37" s="1"/>
  <c r="AF49" i="37"/>
  <c r="CR49" i="37" s="1"/>
  <c r="AE49" i="37"/>
  <c r="CQ49" i="37" s="1"/>
  <c r="G49" i="37"/>
  <c r="AD49" i="37"/>
  <c r="CP49" i="37" s="1"/>
  <c r="E49" i="37"/>
  <c r="C49" i="37"/>
  <c r="BQ58" i="37"/>
  <c r="EC58" i="37" s="1"/>
  <c r="BP58" i="37"/>
  <c r="EB58" i="37" s="1"/>
  <c r="BO58" i="37"/>
  <c r="EA58" i="37" s="1"/>
  <c r="BN58" i="37"/>
  <c r="DZ58" i="37" s="1"/>
  <c r="BM58" i="37"/>
  <c r="DY58" i="37" s="1"/>
  <c r="BL58" i="37"/>
  <c r="DX58" i="37" s="1"/>
  <c r="BK58" i="37"/>
  <c r="DW58" i="37" s="1"/>
  <c r="BJ58" i="37"/>
  <c r="DV58" i="37" s="1"/>
  <c r="BI58" i="37"/>
  <c r="DU58" i="37" s="1"/>
  <c r="BH58" i="37"/>
  <c r="DT58" i="37" s="1"/>
  <c r="BG58" i="37"/>
  <c r="DS58" i="37" s="1"/>
  <c r="BF58" i="37"/>
  <c r="DR58" i="37" s="1"/>
  <c r="BE58" i="37"/>
  <c r="DQ58" i="37" s="1"/>
  <c r="BD58" i="37"/>
  <c r="DP58" i="37" s="1"/>
  <c r="BC58" i="37"/>
  <c r="DO58" i="37" s="1"/>
  <c r="BB58" i="37"/>
  <c r="DN58" i="37" s="1"/>
  <c r="BA58" i="37"/>
  <c r="DM58" i="37" s="1"/>
  <c r="AZ58" i="37"/>
  <c r="DL58" i="37" s="1"/>
  <c r="AY58" i="37"/>
  <c r="DK58" i="37" s="1"/>
  <c r="AX58" i="37"/>
  <c r="DJ58" i="37" s="1"/>
  <c r="AW58" i="37"/>
  <c r="DI58" i="37" s="1"/>
  <c r="AV58" i="37"/>
  <c r="DH58" i="37" s="1"/>
  <c r="AU58" i="37"/>
  <c r="DG58" i="37" s="1"/>
  <c r="AT58" i="37"/>
  <c r="DF58" i="37" s="1"/>
  <c r="AS58" i="37"/>
  <c r="DE58" i="37" s="1"/>
  <c r="AR58" i="37"/>
  <c r="DD58" i="37" s="1"/>
  <c r="AQ58" i="37"/>
  <c r="DC58" i="37" s="1"/>
  <c r="AP58" i="37"/>
  <c r="DB58" i="37" s="1"/>
  <c r="AO58" i="37"/>
  <c r="DA58" i="37" s="1"/>
  <c r="AN58" i="37"/>
  <c r="CZ58" i="37" s="1"/>
  <c r="AM58" i="37"/>
  <c r="CY58" i="37" s="1"/>
  <c r="AL58" i="37"/>
  <c r="CX58" i="37" s="1"/>
  <c r="AK58" i="37"/>
  <c r="CW58" i="37" s="1"/>
  <c r="AJ58" i="37"/>
  <c r="CV58" i="37" s="1"/>
  <c r="AI58" i="37"/>
  <c r="CU58" i="37" s="1"/>
  <c r="AH58" i="37"/>
  <c r="CT58" i="37" s="1"/>
  <c r="AG58" i="37"/>
  <c r="CS58" i="37" s="1"/>
  <c r="AF58" i="37"/>
  <c r="CR58" i="37" s="1"/>
  <c r="AE58" i="37"/>
  <c r="CQ58" i="37" s="1"/>
  <c r="G58" i="37"/>
  <c r="E58" i="37"/>
  <c r="C58" i="37"/>
  <c r="BQ60" i="37"/>
  <c r="EC60" i="37" s="1"/>
  <c r="BP60" i="37"/>
  <c r="EB60" i="37" s="1"/>
  <c r="BO60" i="37"/>
  <c r="EA60" i="37" s="1"/>
  <c r="BN60" i="37"/>
  <c r="DZ60" i="37" s="1"/>
  <c r="BM60" i="37"/>
  <c r="DY60" i="37" s="1"/>
  <c r="BL60" i="37"/>
  <c r="DX60" i="37" s="1"/>
  <c r="BK60" i="37"/>
  <c r="DW60" i="37" s="1"/>
  <c r="BJ60" i="37"/>
  <c r="DV60" i="37" s="1"/>
  <c r="BI60" i="37"/>
  <c r="DU60" i="37" s="1"/>
  <c r="BH60" i="37"/>
  <c r="DT60" i="37" s="1"/>
  <c r="BG60" i="37"/>
  <c r="DS60" i="37" s="1"/>
  <c r="BF60" i="37"/>
  <c r="DR60" i="37" s="1"/>
  <c r="BE60" i="37"/>
  <c r="DQ60" i="37" s="1"/>
  <c r="BD60" i="37"/>
  <c r="DP60" i="37" s="1"/>
  <c r="BC60" i="37"/>
  <c r="DO60" i="37" s="1"/>
  <c r="BB60" i="37"/>
  <c r="DN60" i="37" s="1"/>
  <c r="BA60" i="37"/>
  <c r="DM60" i="37" s="1"/>
  <c r="AZ60" i="37"/>
  <c r="DL60" i="37" s="1"/>
  <c r="AY60" i="37"/>
  <c r="DK60" i="37" s="1"/>
  <c r="AX60" i="37"/>
  <c r="DJ60" i="37" s="1"/>
  <c r="AW60" i="37"/>
  <c r="DI60" i="37" s="1"/>
  <c r="AV60" i="37"/>
  <c r="DH60" i="37" s="1"/>
  <c r="AU60" i="37"/>
  <c r="DG60" i="37" s="1"/>
  <c r="AT60" i="37"/>
  <c r="DF60" i="37" s="1"/>
  <c r="AS60" i="37"/>
  <c r="DE60" i="37" s="1"/>
  <c r="AR60" i="37"/>
  <c r="DD60" i="37" s="1"/>
  <c r="AQ60" i="37"/>
  <c r="DC60" i="37" s="1"/>
  <c r="AP60" i="37"/>
  <c r="DB60" i="37" s="1"/>
  <c r="AO60" i="37"/>
  <c r="DA60" i="37" s="1"/>
  <c r="AN60" i="37"/>
  <c r="CZ60" i="37" s="1"/>
  <c r="AM60" i="37"/>
  <c r="CY60" i="37" s="1"/>
  <c r="AL60" i="37"/>
  <c r="CX60" i="37" s="1"/>
  <c r="AK60" i="37"/>
  <c r="CW60" i="37" s="1"/>
  <c r="AJ60" i="37"/>
  <c r="CV60" i="37" s="1"/>
  <c r="AI60" i="37"/>
  <c r="CU60" i="37" s="1"/>
  <c r="AH60" i="37"/>
  <c r="CT60" i="37" s="1"/>
  <c r="AG60" i="37"/>
  <c r="CS60" i="37" s="1"/>
  <c r="AF60" i="37"/>
  <c r="CR60" i="37" s="1"/>
  <c r="AE60" i="37"/>
  <c r="CQ60" i="37" s="1"/>
  <c r="G60" i="37"/>
  <c r="AD60" i="37"/>
  <c r="CP60" i="37" s="1"/>
  <c r="E60" i="37"/>
  <c r="C60" i="37"/>
  <c r="BQ53" i="37"/>
  <c r="EC53" i="37" s="1"/>
  <c r="BP53" i="37"/>
  <c r="EB53" i="37" s="1"/>
  <c r="BO53" i="37"/>
  <c r="EA53" i="37" s="1"/>
  <c r="BN53" i="37"/>
  <c r="DZ53" i="37" s="1"/>
  <c r="BM53" i="37"/>
  <c r="DY53" i="37" s="1"/>
  <c r="BL53" i="37"/>
  <c r="DX53" i="37" s="1"/>
  <c r="BK53" i="37"/>
  <c r="DW53" i="37" s="1"/>
  <c r="BJ53" i="37"/>
  <c r="DV53" i="37" s="1"/>
  <c r="BI53" i="37"/>
  <c r="DU53" i="37" s="1"/>
  <c r="BH53" i="37"/>
  <c r="DT53" i="37" s="1"/>
  <c r="BG53" i="37"/>
  <c r="DS53" i="37" s="1"/>
  <c r="BF53" i="37"/>
  <c r="DR53" i="37" s="1"/>
  <c r="BE53" i="37"/>
  <c r="DQ53" i="37" s="1"/>
  <c r="BD53" i="37"/>
  <c r="DP53" i="37" s="1"/>
  <c r="BC53" i="37"/>
  <c r="DO53" i="37" s="1"/>
  <c r="BB53" i="37"/>
  <c r="DN53" i="37" s="1"/>
  <c r="BA53" i="37"/>
  <c r="DM53" i="37" s="1"/>
  <c r="AZ53" i="37"/>
  <c r="DL53" i="37" s="1"/>
  <c r="AY53" i="37"/>
  <c r="DK53" i="37" s="1"/>
  <c r="AX53" i="37"/>
  <c r="DJ53" i="37" s="1"/>
  <c r="AW53" i="37"/>
  <c r="DI53" i="37" s="1"/>
  <c r="AV53" i="37"/>
  <c r="DH53" i="37" s="1"/>
  <c r="AU53" i="37"/>
  <c r="DG53" i="37" s="1"/>
  <c r="AT53" i="37"/>
  <c r="DF53" i="37" s="1"/>
  <c r="AS53" i="37"/>
  <c r="DE53" i="37" s="1"/>
  <c r="AR53" i="37"/>
  <c r="DD53" i="37" s="1"/>
  <c r="AQ53" i="37"/>
  <c r="DC53" i="37" s="1"/>
  <c r="AP53" i="37"/>
  <c r="DB53" i="37" s="1"/>
  <c r="AO53" i="37"/>
  <c r="DA53" i="37" s="1"/>
  <c r="AN53" i="37"/>
  <c r="CZ53" i="37" s="1"/>
  <c r="AM53" i="37"/>
  <c r="CY53" i="37" s="1"/>
  <c r="AL53" i="37"/>
  <c r="CX53" i="37" s="1"/>
  <c r="AK53" i="37"/>
  <c r="CW53" i="37" s="1"/>
  <c r="AJ53" i="37"/>
  <c r="CV53" i="37" s="1"/>
  <c r="AI53" i="37"/>
  <c r="CU53" i="37" s="1"/>
  <c r="AH53" i="37"/>
  <c r="CT53" i="37" s="1"/>
  <c r="AG53" i="37"/>
  <c r="CS53" i="37" s="1"/>
  <c r="AF53" i="37"/>
  <c r="CR53" i="37" s="1"/>
  <c r="AE53" i="37"/>
  <c r="CQ53" i="37" s="1"/>
  <c r="G53" i="37"/>
  <c r="AD53" i="37"/>
  <c r="CP53" i="37" s="1"/>
  <c r="E53" i="37"/>
  <c r="C53" i="37"/>
  <c r="BQ63" i="37"/>
  <c r="EC63" i="37" s="1"/>
  <c r="BP63" i="37"/>
  <c r="EB63" i="37" s="1"/>
  <c r="BO63" i="37"/>
  <c r="EA63" i="37" s="1"/>
  <c r="BN63" i="37"/>
  <c r="DZ63" i="37" s="1"/>
  <c r="BM63" i="37"/>
  <c r="DY63" i="37" s="1"/>
  <c r="BL63" i="37"/>
  <c r="DX63" i="37" s="1"/>
  <c r="BK63" i="37"/>
  <c r="DW63" i="37" s="1"/>
  <c r="BJ63" i="37"/>
  <c r="DV63" i="37" s="1"/>
  <c r="BI63" i="37"/>
  <c r="DU63" i="37" s="1"/>
  <c r="BH63" i="37"/>
  <c r="DT63" i="37" s="1"/>
  <c r="BG63" i="37"/>
  <c r="DS63" i="37" s="1"/>
  <c r="BF63" i="37"/>
  <c r="DR63" i="37" s="1"/>
  <c r="BE63" i="37"/>
  <c r="DQ63" i="37" s="1"/>
  <c r="BD63" i="37"/>
  <c r="DP63" i="37" s="1"/>
  <c r="BC63" i="37"/>
  <c r="DO63" i="37" s="1"/>
  <c r="BB63" i="37"/>
  <c r="DN63" i="37" s="1"/>
  <c r="BA63" i="37"/>
  <c r="DM63" i="37" s="1"/>
  <c r="AZ63" i="37"/>
  <c r="DL63" i="37" s="1"/>
  <c r="AY63" i="37"/>
  <c r="DK63" i="37" s="1"/>
  <c r="AX63" i="37"/>
  <c r="DJ63" i="37" s="1"/>
  <c r="AW63" i="37"/>
  <c r="DI63" i="37" s="1"/>
  <c r="AV63" i="37"/>
  <c r="DH63" i="37" s="1"/>
  <c r="AU63" i="37"/>
  <c r="DG63" i="37" s="1"/>
  <c r="AT63" i="37"/>
  <c r="DF63" i="37" s="1"/>
  <c r="AS63" i="37"/>
  <c r="DE63" i="37" s="1"/>
  <c r="AR63" i="37"/>
  <c r="DD63" i="37" s="1"/>
  <c r="AQ63" i="37"/>
  <c r="DC63" i="37" s="1"/>
  <c r="AP63" i="37"/>
  <c r="DB63" i="37" s="1"/>
  <c r="AO63" i="37"/>
  <c r="DA63" i="37" s="1"/>
  <c r="AN63" i="37"/>
  <c r="CZ63" i="37" s="1"/>
  <c r="AM63" i="37"/>
  <c r="CY63" i="37" s="1"/>
  <c r="AL63" i="37"/>
  <c r="CX63" i="37" s="1"/>
  <c r="AK63" i="37"/>
  <c r="CW63" i="37" s="1"/>
  <c r="AJ63" i="37"/>
  <c r="CV63" i="37" s="1"/>
  <c r="AI63" i="37"/>
  <c r="CU63" i="37" s="1"/>
  <c r="AH63" i="37"/>
  <c r="CT63" i="37" s="1"/>
  <c r="AG63" i="37"/>
  <c r="CS63" i="37" s="1"/>
  <c r="AF63" i="37"/>
  <c r="CR63" i="37" s="1"/>
  <c r="AE63" i="37"/>
  <c r="CQ63" i="37" s="1"/>
  <c r="G63" i="37"/>
  <c r="AD63" i="37"/>
  <c r="CP63" i="37" s="1"/>
  <c r="E63" i="37"/>
  <c r="C63" i="37"/>
  <c r="BQ4" i="37"/>
  <c r="EC4" i="37" s="1"/>
  <c r="BP4" i="37"/>
  <c r="EB4" i="37" s="1"/>
  <c r="BO4" i="37"/>
  <c r="EA4" i="37" s="1"/>
  <c r="BN4" i="37"/>
  <c r="DZ4" i="37" s="1"/>
  <c r="BM4" i="37"/>
  <c r="DY4" i="37" s="1"/>
  <c r="BL4" i="37"/>
  <c r="DX4" i="37" s="1"/>
  <c r="BK4" i="37"/>
  <c r="DW4" i="37" s="1"/>
  <c r="BJ4" i="37"/>
  <c r="DV4" i="37" s="1"/>
  <c r="BI4" i="37"/>
  <c r="DU4" i="37" s="1"/>
  <c r="BH4" i="37"/>
  <c r="DT4" i="37" s="1"/>
  <c r="BG4" i="37"/>
  <c r="DS4" i="37" s="1"/>
  <c r="BF4" i="37"/>
  <c r="DR4" i="37" s="1"/>
  <c r="BE4" i="37"/>
  <c r="DQ4" i="37" s="1"/>
  <c r="BD4" i="37"/>
  <c r="DP4" i="37" s="1"/>
  <c r="BC4" i="37"/>
  <c r="DO4" i="37" s="1"/>
  <c r="BB4" i="37"/>
  <c r="DN4" i="37" s="1"/>
  <c r="BA4" i="37"/>
  <c r="DM4" i="37" s="1"/>
  <c r="AZ4" i="37"/>
  <c r="DL4" i="37" s="1"/>
  <c r="AY4" i="37"/>
  <c r="DK4" i="37" s="1"/>
  <c r="AX4" i="37"/>
  <c r="DJ4" i="37" s="1"/>
  <c r="AW4" i="37"/>
  <c r="DI4" i="37" s="1"/>
  <c r="AV4" i="37"/>
  <c r="DH4" i="37" s="1"/>
  <c r="AU4" i="37"/>
  <c r="DG4" i="37" s="1"/>
  <c r="AT4" i="37"/>
  <c r="DF4" i="37" s="1"/>
  <c r="AS4" i="37"/>
  <c r="DE4" i="37" s="1"/>
  <c r="AR4" i="37"/>
  <c r="DD4" i="37" s="1"/>
  <c r="AQ4" i="37"/>
  <c r="DC4" i="37" s="1"/>
  <c r="AP4" i="37"/>
  <c r="DB4" i="37" s="1"/>
  <c r="AO4" i="37"/>
  <c r="DA4" i="37" s="1"/>
  <c r="AN4" i="37"/>
  <c r="CZ4" i="37" s="1"/>
  <c r="AM4" i="37"/>
  <c r="CY4" i="37" s="1"/>
  <c r="AL4" i="37"/>
  <c r="CX4" i="37" s="1"/>
  <c r="AK4" i="37"/>
  <c r="CW4" i="37" s="1"/>
  <c r="AJ4" i="37"/>
  <c r="CV4" i="37" s="1"/>
  <c r="AI4" i="37"/>
  <c r="CU4" i="37" s="1"/>
  <c r="AH4" i="37"/>
  <c r="CT4" i="37" s="1"/>
  <c r="AG4" i="37"/>
  <c r="CS4" i="37" s="1"/>
  <c r="AF4" i="37"/>
  <c r="CR4" i="37" s="1"/>
  <c r="AE4" i="37"/>
  <c r="CQ4" i="37" s="1"/>
  <c r="G4" i="37"/>
  <c r="E4" i="37"/>
  <c r="C4" i="37"/>
  <c r="BQ59" i="37"/>
  <c r="EC59" i="37" s="1"/>
  <c r="BP59" i="37"/>
  <c r="EB59" i="37" s="1"/>
  <c r="BO59" i="37"/>
  <c r="EA59" i="37" s="1"/>
  <c r="BN59" i="37"/>
  <c r="DZ59" i="37" s="1"/>
  <c r="BM59" i="37"/>
  <c r="DY59" i="37" s="1"/>
  <c r="BL59" i="37"/>
  <c r="DX59" i="37" s="1"/>
  <c r="BK59" i="37"/>
  <c r="DW59" i="37" s="1"/>
  <c r="BJ59" i="37"/>
  <c r="DV59" i="37" s="1"/>
  <c r="BI59" i="37"/>
  <c r="DU59" i="37" s="1"/>
  <c r="BH59" i="37"/>
  <c r="DT59" i="37" s="1"/>
  <c r="BG59" i="37"/>
  <c r="DS59" i="37" s="1"/>
  <c r="BF59" i="37"/>
  <c r="DR59" i="37" s="1"/>
  <c r="BE59" i="37"/>
  <c r="DQ59" i="37" s="1"/>
  <c r="BD59" i="37"/>
  <c r="DP59" i="37" s="1"/>
  <c r="BC59" i="37"/>
  <c r="DO59" i="37" s="1"/>
  <c r="BB59" i="37"/>
  <c r="DN59" i="37" s="1"/>
  <c r="BA59" i="37"/>
  <c r="DM59" i="37" s="1"/>
  <c r="AZ59" i="37"/>
  <c r="DL59" i="37" s="1"/>
  <c r="AY59" i="37"/>
  <c r="DK59" i="37" s="1"/>
  <c r="AX59" i="37"/>
  <c r="DJ59" i="37" s="1"/>
  <c r="AW59" i="37"/>
  <c r="DI59" i="37" s="1"/>
  <c r="AV59" i="37"/>
  <c r="DH59" i="37" s="1"/>
  <c r="AU59" i="37"/>
  <c r="DG59" i="37" s="1"/>
  <c r="AT59" i="37"/>
  <c r="DF59" i="37" s="1"/>
  <c r="AS59" i="37"/>
  <c r="DE59" i="37" s="1"/>
  <c r="AR59" i="37"/>
  <c r="DD59" i="37" s="1"/>
  <c r="AQ59" i="37"/>
  <c r="DC59" i="37" s="1"/>
  <c r="AP59" i="37"/>
  <c r="DB59" i="37" s="1"/>
  <c r="AO59" i="37"/>
  <c r="DA59" i="37" s="1"/>
  <c r="AN59" i="37"/>
  <c r="CZ59" i="37" s="1"/>
  <c r="AM59" i="37"/>
  <c r="CY59" i="37" s="1"/>
  <c r="AL59" i="37"/>
  <c r="CX59" i="37" s="1"/>
  <c r="AK59" i="37"/>
  <c r="CW59" i="37" s="1"/>
  <c r="AJ59" i="37"/>
  <c r="CV59" i="37" s="1"/>
  <c r="AI59" i="37"/>
  <c r="CU59" i="37" s="1"/>
  <c r="AH59" i="37"/>
  <c r="CT59" i="37" s="1"/>
  <c r="AG59" i="37"/>
  <c r="CS59" i="37" s="1"/>
  <c r="AF59" i="37"/>
  <c r="CR59" i="37" s="1"/>
  <c r="AE59" i="37"/>
  <c r="CQ59" i="37" s="1"/>
  <c r="G59" i="37"/>
  <c r="AD59" i="37"/>
  <c r="CP59" i="37" s="1"/>
  <c r="E59" i="37"/>
  <c r="C59" i="37"/>
  <c r="BQ57" i="37"/>
  <c r="EC57" i="37" s="1"/>
  <c r="BP57" i="37"/>
  <c r="EB57" i="37" s="1"/>
  <c r="BO57" i="37"/>
  <c r="EA57" i="37" s="1"/>
  <c r="BN57" i="37"/>
  <c r="DZ57" i="37" s="1"/>
  <c r="BM57" i="37"/>
  <c r="DY57" i="37" s="1"/>
  <c r="BL57" i="37"/>
  <c r="DX57" i="37" s="1"/>
  <c r="BK57" i="37"/>
  <c r="DW57" i="37" s="1"/>
  <c r="BJ57" i="37"/>
  <c r="DV57" i="37" s="1"/>
  <c r="BI57" i="37"/>
  <c r="DU57" i="37" s="1"/>
  <c r="BH57" i="37"/>
  <c r="DT57" i="37" s="1"/>
  <c r="BG57" i="37"/>
  <c r="DS57" i="37" s="1"/>
  <c r="BF57" i="37"/>
  <c r="DR57" i="37" s="1"/>
  <c r="BE57" i="37"/>
  <c r="DQ57" i="37" s="1"/>
  <c r="BD57" i="37"/>
  <c r="DP57" i="37" s="1"/>
  <c r="BC57" i="37"/>
  <c r="DO57" i="37" s="1"/>
  <c r="BB57" i="37"/>
  <c r="DN57" i="37" s="1"/>
  <c r="BA57" i="37"/>
  <c r="DM57" i="37" s="1"/>
  <c r="AZ57" i="37"/>
  <c r="DL57" i="37" s="1"/>
  <c r="AY57" i="37"/>
  <c r="DK57" i="37" s="1"/>
  <c r="AX57" i="37"/>
  <c r="DJ57" i="37" s="1"/>
  <c r="AW57" i="37"/>
  <c r="DI57" i="37" s="1"/>
  <c r="AV57" i="37"/>
  <c r="DH57" i="37" s="1"/>
  <c r="AU57" i="37"/>
  <c r="DG57" i="37" s="1"/>
  <c r="AT57" i="37"/>
  <c r="DF57" i="37" s="1"/>
  <c r="AS57" i="37"/>
  <c r="DE57" i="37" s="1"/>
  <c r="AR57" i="37"/>
  <c r="DD57" i="37" s="1"/>
  <c r="AQ57" i="37"/>
  <c r="DC57" i="37" s="1"/>
  <c r="AP57" i="37"/>
  <c r="DB57" i="37" s="1"/>
  <c r="AO57" i="37"/>
  <c r="DA57" i="37" s="1"/>
  <c r="AN57" i="37"/>
  <c r="CZ57" i="37" s="1"/>
  <c r="AM57" i="37"/>
  <c r="CY57" i="37" s="1"/>
  <c r="AL57" i="37"/>
  <c r="CX57" i="37" s="1"/>
  <c r="AK57" i="37"/>
  <c r="CW57" i="37" s="1"/>
  <c r="AJ57" i="37"/>
  <c r="CV57" i="37" s="1"/>
  <c r="AI57" i="37"/>
  <c r="CU57" i="37" s="1"/>
  <c r="AH57" i="37"/>
  <c r="CT57" i="37" s="1"/>
  <c r="AG57" i="37"/>
  <c r="CS57" i="37" s="1"/>
  <c r="AF57" i="37"/>
  <c r="CR57" i="37" s="1"/>
  <c r="AE57" i="37"/>
  <c r="CQ57" i="37" s="1"/>
  <c r="G57" i="37"/>
  <c r="V57" i="37"/>
  <c r="CH57" i="37" s="1"/>
  <c r="E57" i="37"/>
  <c r="C57" i="37"/>
  <c r="BQ55" i="37"/>
  <c r="EC55" i="37" s="1"/>
  <c r="BP55" i="37"/>
  <c r="EB55" i="37" s="1"/>
  <c r="BO55" i="37"/>
  <c r="EA55" i="37" s="1"/>
  <c r="BN55" i="37"/>
  <c r="DZ55" i="37" s="1"/>
  <c r="BM55" i="37"/>
  <c r="DY55" i="37" s="1"/>
  <c r="BL55" i="37"/>
  <c r="DX55" i="37" s="1"/>
  <c r="BK55" i="37"/>
  <c r="DW55" i="37" s="1"/>
  <c r="BJ55" i="37"/>
  <c r="DV55" i="37" s="1"/>
  <c r="BI55" i="37"/>
  <c r="DU55" i="37" s="1"/>
  <c r="BH55" i="37"/>
  <c r="DT55" i="37" s="1"/>
  <c r="BG55" i="37"/>
  <c r="DS55" i="37" s="1"/>
  <c r="BF55" i="37"/>
  <c r="DR55" i="37" s="1"/>
  <c r="BE55" i="37"/>
  <c r="DQ55" i="37" s="1"/>
  <c r="BD55" i="37"/>
  <c r="DP55" i="37" s="1"/>
  <c r="BC55" i="37"/>
  <c r="DO55" i="37" s="1"/>
  <c r="BB55" i="37"/>
  <c r="DN55" i="37" s="1"/>
  <c r="BA55" i="37"/>
  <c r="DM55" i="37" s="1"/>
  <c r="AZ55" i="37"/>
  <c r="DL55" i="37" s="1"/>
  <c r="AY55" i="37"/>
  <c r="DK55" i="37" s="1"/>
  <c r="AX55" i="37"/>
  <c r="DJ55" i="37" s="1"/>
  <c r="AW55" i="37"/>
  <c r="DI55" i="37" s="1"/>
  <c r="AV55" i="37"/>
  <c r="DH55" i="37" s="1"/>
  <c r="AU55" i="37"/>
  <c r="DG55" i="37" s="1"/>
  <c r="AT55" i="37"/>
  <c r="DF55" i="37" s="1"/>
  <c r="AS55" i="37"/>
  <c r="DE55" i="37" s="1"/>
  <c r="AR55" i="37"/>
  <c r="DD55" i="37" s="1"/>
  <c r="AQ55" i="37"/>
  <c r="DC55" i="37" s="1"/>
  <c r="AP55" i="37"/>
  <c r="DB55" i="37" s="1"/>
  <c r="AO55" i="37"/>
  <c r="DA55" i="37" s="1"/>
  <c r="AN55" i="37"/>
  <c r="CZ55" i="37" s="1"/>
  <c r="AM55" i="37"/>
  <c r="CY55" i="37" s="1"/>
  <c r="AL55" i="37"/>
  <c r="CX55" i="37" s="1"/>
  <c r="AK55" i="37"/>
  <c r="CW55" i="37" s="1"/>
  <c r="AJ55" i="37"/>
  <c r="CV55" i="37" s="1"/>
  <c r="AI55" i="37"/>
  <c r="CU55" i="37" s="1"/>
  <c r="AH55" i="37"/>
  <c r="CT55" i="37" s="1"/>
  <c r="AG55" i="37"/>
  <c r="CS55" i="37" s="1"/>
  <c r="AF55" i="37"/>
  <c r="CR55" i="37" s="1"/>
  <c r="AE55" i="37"/>
  <c r="CQ55" i="37" s="1"/>
  <c r="G55" i="37"/>
  <c r="AD55" i="37"/>
  <c r="CP55" i="37" s="1"/>
  <c r="E55" i="37"/>
  <c r="C55" i="37"/>
  <c r="BQ54" i="37"/>
  <c r="EC54" i="37" s="1"/>
  <c r="BP54" i="37"/>
  <c r="EB54" i="37" s="1"/>
  <c r="BO54" i="37"/>
  <c r="EA54" i="37" s="1"/>
  <c r="BN54" i="37"/>
  <c r="DZ54" i="37" s="1"/>
  <c r="BM54" i="37"/>
  <c r="DY54" i="37" s="1"/>
  <c r="BL54" i="37"/>
  <c r="DX54" i="37" s="1"/>
  <c r="BK54" i="37"/>
  <c r="DW54" i="37" s="1"/>
  <c r="BJ54" i="37"/>
  <c r="DV54" i="37" s="1"/>
  <c r="BI54" i="37"/>
  <c r="DU54" i="37" s="1"/>
  <c r="BH54" i="37"/>
  <c r="DT54" i="37" s="1"/>
  <c r="BG54" i="37"/>
  <c r="DS54" i="37" s="1"/>
  <c r="BF54" i="37"/>
  <c r="DR54" i="37" s="1"/>
  <c r="BE54" i="37"/>
  <c r="DQ54" i="37" s="1"/>
  <c r="BD54" i="37"/>
  <c r="DP54" i="37" s="1"/>
  <c r="BC54" i="37"/>
  <c r="DO54" i="37" s="1"/>
  <c r="BB54" i="37"/>
  <c r="DN54" i="37" s="1"/>
  <c r="BA54" i="37"/>
  <c r="DM54" i="37" s="1"/>
  <c r="AZ54" i="37"/>
  <c r="DL54" i="37" s="1"/>
  <c r="AY54" i="37"/>
  <c r="DK54" i="37" s="1"/>
  <c r="AX54" i="37"/>
  <c r="DJ54" i="37" s="1"/>
  <c r="AW54" i="37"/>
  <c r="DI54" i="37" s="1"/>
  <c r="AV54" i="37"/>
  <c r="DH54" i="37" s="1"/>
  <c r="AU54" i="37"/>
  <c r="DG54" i="37" s="1"/>
  <c r="AT54" i="37"/>
  <c r="DF54" i="37" s="1"/>
  <c r="AS54" i="37"/>
  <c r="DE54" i="37" s="1"/>
  <c r="AR54" i="37"/>
  <c r="DD54" i="37" s="1"/>
  <c r="AQ54" i="37"/>
  <c r="DC54" i="37" s="1"/>
  <c r="AP54" i="37"/>
  <c r="DB54" i="37" s="1"/>
  <c r="AO54" i="37"/>
  <c r="DA54" i="37" s="1"/>
  <c r="AN54" i="37"/>
  <c r="CZ54" i="37" s="1"/>
  <c r="AM54" i="37"/>
  <c r="CY54" i="37" s="1"/>
  <c r="AL54" i="37"/>
  <c r="CX54" i="37" s="1"/>
  <c r="AK54" i="37"/>
  <c r="CW54" i="37" s="1"/>
  <c r="AJ54" i="37"/>
  <c r="CV54" i="37" s="1"/>
  <c r="AI54" i="37"/>
  <c r="CU54" i="37" s="1"/>
  <c r="AH54" i="37"/>
  <c r="CT54" i="37" s="1"/>
  <c r="AG54" i="37"/>
  <c r="CS54" i="37" s="1"/>
  <c r="AF54" i="37"/>
  <c r="CR54" i="37" s="1"/>
  <c r="AE54" i="37"/>
  <c r="CQ54" i="37" s="1"/>
  <c r="G54" i="37"/>
  <c r="E54" i="37"/>
  <c r="C54" i="37"/>
  <c r="BQ62" i="37"/>
  <c r="EC62" i="37" s="1"/>
  <c r="BP62" i="37"/>
  <c r="EB62" i="37" s="1"/>
  <c r="BO62" i="37"/>
  <c r="EA62" i="37" s="1"/>
  <c r="BN62" i="37"/>
  <c r="DZ62" i="37" s="1"/>
  <c r="BM62" i="37"/>
  <c r="DY62" i="37" s="1"/>
  <c r="BL62" i="37"/>
  <c r="DX62" i="37" s="1"/>
  <c r="BK62" i="37"/>
  <c r="DW62" i="37" s="1"/>
  <c r="BJ62" i="37"/>
  <c r="DV62" i="37" s="1"/>
  <c r="BI62" i="37"/>
  <c r="DU62" i="37" s="1"/>
  <c r="BH62" i="37"/>
  <c r="DT62" i="37" s="1"/>
  <c r="BG62" i="37"/>
  <c r="DS62" i="37" s="1"/>
  <c r="BF62" i="37"/>
  <c r="DR62" i="37" s="1"/>
  <c r="BE62" i="37"/>
  <c r="DQ62" i="37" s="1"/>
  <c r="BD62" i="37"/>
  <c r="DP62" i="37" s="1"/>
  <c r="BC62" i="37"/>
  <c r="DO62" i="37" s="1"/>
  <c r="BB62" i="37"/>
  <c r="DN62" i="37" s="1"/>
  <c r="BA62" i="37"/>
  <c r="DM62" i="37" s="1"/>
  <c r="AZ62" i="37"/>
  <c r="DL62" i="37" s="1"/>
  <c r="AY62" i="37"/>
  <c r="DK62" i="37" s="1"/>
  <c r="AX62" i="37"/>
  <c r="DJ62" i="37" s="1"/>
  <c r="AW62" i="37"/>
  <c r="DI62" i="37" s="1"/>
  <c r="AV62" i="37"/>
  <c r="DH62" i="37" s="1"/>
  <c r="AU62" i="37"/>
  <c r="DG62" i="37" s="1"/>
  <c r="AT62" i="37"/>
  <c r="DF62" i="37" s="1"/>
  <c r="AS62" i="37"/>
  <c r="DE62" i="37" s="1"/>
  <c r="AR62" i="37"/>
  <c r="DD62" i="37" s="1"/>
  <c r="AQ62" i="37"/>
  <c r="DC62" i="37" s="1"/>
  <c r="AP62" i="37"/>
  <c r="DB62" i="37" s="1"/>
  <c r="AO62" i="37"/>
  <c r="DA62" i="37" s="1"/>
  <c r="AN62" i="37"/>
  <c r="CZ62" i="37" s="1"/>
  <c r="AM62" i="37"/>
  <c r="CY62" i="37" s="1"/>
  <c r="AL62" i="37"/>
  <c r="CX62" i="37" s="1"/>
  <c r="AK62" i="37"/>
  <c r="CW62" i="37" s="1"/>
  <c r="AJ62" i="37"/>
  <c r="CV62" i="37" s="1"/>
  <c r="AI62" i="37"/>
  <c r="CU62" i="37" s="1"/>
  <c r="AH62" i="37"/>
  <c r="CT62" i="37" s="1"/>
  <c r="AG62" i="37"/>
  <c r="CS62" i="37" s="1"/>
  <c r="AF62" i="37"/>
  <c r="CR62" i="37" s="1"/>
  <c r="AE62" i="37"/>
  <c r="CQ62" i="37" s="1"/>
  <c r="G62" i="37"/>
  <c r="AD62" i="37"/>
  <c r="CP62" i="37" s="1"/>
  <c r="E62" i="37"/>
  <c r="C62" i="37"/>
  <c r="BQ61" i="37"/>
  <c r="EC61" i="37" s="1"/>
  <c r="BP61" i="37"/>
  <c r="EB61" i="37" s="1"/>
  <c r="BO61" i="37"/>
  <c r="EA61" i="37" s="1"/>
  <c r="BN61" i="37"/>
  <c r="DZ61" i="37" s="1"/>
  <c r="BM61" i="37"/>
  <c r="DY61" i="37" s="1"/>
  <c r="BL61" i="37"/>
  <c r="DX61" i="37" s="1"/>
  <c r="BK61" i="37"/>
  <c r="DW61" i="37" s="1"/>
  <c r="BJ61" i="37"/>
  <c r="DV61" i="37" s="1"/>
  <c r="BI61" i="37"/>
  <c r="DU61" i="37" s="1"/>
  <c r="BH61" i="37"/>
  <c r="DT61" i="37" s="1"/>
  <c r="BG61" i="37"/>
  <c r="DS61" i="37" s="1"/>
  <c r="BF61" i="37"/>
  <c r="DR61" i="37" s="1"/>
  <c r="BE61" i="37"/>
  <c r="DQ61" i="37" s="1"/>
  <c r="BD61" i="37"/>
  <c r="DP61" i="37" s="1"/>
  <c r="BC61" i="37"/>
  <c r="DO61" i="37" s="1"/>
  <c r="BB61" i="37"/>
  <c r="DN61" i="37" s="1"/>
  <c r="BA61" i="37"/>
  <c r="DM61" i="37" s="1"/>
  <c r="AZ61" i="37"/>
  <c r="DL61" i="37" s="1"/>
  <c r="AY61" i="37"/>
  <c r="DK61" i="37" s="1"/>
  <c r="AX61" i="37"/>
  <c r="DJ61" i="37" s="1"/>
  <c r="AW61" i="37"/>
  <c r="DI61" i="37" s="1"/>
  <c r="AV61" i="37"/>
  <c r="DH61" i="37" s="1"/>
  <c r="AU61" i="37"/>
  <c r="DG61" i="37" s="1"/>
  <c r="AT61" i="37"/>
  <c r="DF61" i="37" s="1"/>
  <c r="AS61" i="37"/>
  <c r="DE61" i="37" s="1"/>
  <c r="AR61" i="37"/>
  <c r="DD61" i="37" s="1"/>
  <c r="AQ61" i="37"/>
  <c r="DC61" i="37" s="1"/>
  <c r="AP61" i="37"/>
  <c r="DB61" i="37" s="1"/>
  <c r="AO61" i="37"/>
  <c r="DA61" i="37" s="1"/>
  <c r="AN61" i="37"/>
  <c r="CZ61" i="37" s="1"/>
  <c r="AM61" i="37"/>
  <c r="CY61" i="37" s="1"/>
  <c r="AL61" i="37"/>
  <c r="CX61" i="37" s="1"/>
  <c r="AK61" i="37"/>
  <c r="CW61" i="37" s="1"/>
  <c r="AJ61" i="37"/>
  <c r="CV61" i="37" s="1"/>
  <c r="AI61" i="37"/>
  <c r="CU61" i="37" s="1"/>
  <c r="AH61" i="37"/>
  <c r="CT61" i="37" s="1"/>
  <c r="AG61" i="37"/>
  <c r="CS61" i="37" s="1"/>
  <c r="AF61" i="37"/>
  <c r="CR61" i="37" s="1"/>
  <c r="AE61" i="37"/>
  <c r="CQ61" i="37" s="1"/>
  <c r="G61" i="37"/>
  <c r="AD61" i="37"/>
  <c r="CP61" i="37" s="1"/>
  <c r="E61" i="37"/>
  <c r="C61" i="37"/>
  <c r="BQ56" i="37"/>
  <c r="EC56" i="37" s="1"/>
  <c r="BP56" i="37"/>
  <c r="EB56" i="37" s="1"/>
  <c r="BO56" i="37"/>
  <c r="EA56" i="37" s="1"/>
  <c r="BN56" i="37"/>
  <c r="DZ56" i="37" s="1"/>
  <c r="BM56" i="37"/>
  <c r="DY56" i="37" s="1"/>
  <c r="BL56" i="37"/>
  <c r="DX56" i="37" s="1"/>
  <c r="BK56" i="37"/>
  <c r="DW56" i="37" s="1"/>
  <c r="BJ56" i="37"/>
  <c r="DV56" i="37" s="1"/>
  <c r="BI56" i="37"/>
  <c r="DU56" i="37" s="1"/>
  <c r="BH56" i="37"/>
  <c r="DT56" i="37" s="1"/>
  <c r="BG56" i="37"/>
  <c r="DS56" i="37" s="1"/>
  <c r="BF56" i="37"/>
  <c r="DR56" i="37" s="1"/>
  <c r="BE56" i="37"/>
  <c r="DQ56" i="37" s="1"/>
  <c r="BD56" i="37"/>
  <c r="DP56" i="37" s="1"/>
  <c r="BC56" i="37"/>
  <c r="DO56" i="37" s="1"/>
  <c r="BB56" i="37"/>
  <c r="DN56" i="37" s="1"/>
  <c r="BA56" i="37"/>
  <c r="DM56" i="37" s="1"/>
  <c r="AZ56" i="37"/>
  <c r="DL56" i="37" s="1"/>
  <c r="AY56" i="37"/>
  <c r="DK56" i="37" s="1"/>
  <c r="AX56" i="37"/>
  <c r="DJ56" i="37" s="1"/>
  <c r="AW56" i="37"/>
  <c r="DI56" i="37" s="1"/>
  <c r="AV56" i="37"/>
  <c r="DH56" i="37" s="1"/>
  <c r="AU56" i="37"/>
  <c r="DG56" i="37" s="1"/>
  <c r="AT56" i="37"/>
  <c r="DF56" i="37" s="1"/>
  <c r="AS56" i="37"/>
  <c r="DE56" i="37" s="1"/>
  <c r="AR56" i="37"/>
  <c r="DD56" i="37" s="1"/>
  <c r="AQ56" i="37"/>
  <c r="DC56" i="37" s="1"/>
  <c r="AP56" i="37"/>
  <c r="DB56" i="37" s="1"/>
  <c r="AO56" i="37"/>
  <c r="DA56" i="37" s="1"/>
  <c r="AN56" i="37"/>
  <c r="CZ56" i="37" s="1"/>
  <c r="AM56" i="37"/>
  <c r="CY56" i="37" s="1"/>
  <c r="AL56" i="37"/>
  <c r="CX56" i="37" s="1"/>
  <c r="AK56" i="37"/>
  <c r="CW56" i="37" s="1"/>
  <c r="AJ56" i="37"/>
  <c r="CV56" i="37" s="1"/>
  <c r="AI56" i="37"/>
  <c r="CU56" i="37" s="1"/>
  <c r="AH56" i="37"/>
  <c r="CT56" i="37" s="1"/>
  <c r="AG56" i="37"/>
  <c r="CS56" i="37" s="1"/>
  <c r="AF56" i="37"/>
  <c r="CR56" i="37" s="1"/>
  <c r="AE56" i="37"/>
  <c r="CQ56" i="37" s="1"/>
  <c r="G56" i="37"/>
  <c r="W56" i="37"/>
  <c r="CI56" i="37" s="1"/>
  <c r="E56" i="37"/>
  <c r="C56" i="37"/>
  <c r="BQ52" i="37"/>
  <c r="EC52" i="37" s="1"/>
  <c r="BP52" i="37"/>
  <c r="EB52" i="37" s="1"/>
  <c r="BO52" i="37"/>
  <c r="EA52" i="37" s="1"/>
  <c r="BN52" i="37"/>
  <c r="DZ52" i="37" s="1"/>
  <c r="BM52" i="37"/>
  <c r="DY52" i="37" s="1"/>
  <c r="BL52" i="37"/>
  <c r="DX52" i="37" s="1"/>
  <c r="BK52" i="37"/>
  <c r="DW52" i="37" s="1"/>
  <c r="BJ52" i="37"/>
  <c r="DV52" i="37" s="1"/>
  <c r="BI52" i="37"/>
  <c r="DU52" i="37" s="1"/>
  <c r="BH52" i="37"/>
  <c r="DT52" i="37" s="1"/>
  <c r="BG52" i="37"/>
  <c r="DS52" i="37" s="1"/>
  <c r="BF52" i="37"/>
  <c r="DR52" i="37" s="1"/>
  <c r="BE52" i="37"/>
  <c r="DQ52" i="37" s="1"/>
  <c r="BD52" i="37"/>
  <c r="DP52" i="37" s="1"/>
  <c r="BC52" i="37"/>
  <c r="DO52" i="37" s="1"/>
  <c r="BB52" i="37"/>
  <c r="DN52" i="37" s="1"/>
  <c r="BA52" i="37"/>
  <c r="DM52" i="37" s="1"/>
  <c r="AZ52" i="37"/>
  <c r="DL52" i="37" s="1"/>
  <c r="AY52" i="37"/>
  <c r="DK52" i="37" s="1"/>
  <c r="AX52" i="37"/>
  <c r="DJ52" i="37" s="1"/>
  <c r="AW52" i="37"/>
  <c r="DI52" i="37" s="1"/>
  <c r="AV52" i="37"/>
  <c r="DH52" i="37" s="1"/>
  <c r="AU52" i="37"/>
  <c r="DG52" i="37" s="1"/>
  <c r="AT52" i="37"/>
  <c r="DF52" i="37" s="1"/>
  <c r="AS52" i="37"/>
  <c r="DE52" i="37" s="1"/>
  <c r="AR52" i="37"/>
  <c r="DD52" i="37" s="1"/>
  <c r="AQ52" i="37"/>
  <c r="DC52" i="37" s="1"/>
  <c r="AP52" i="37"/>
  <c r="DB52" i="37" s="1"/>
  <c r="AO52" i="37"/>
  <c r="DA52" i="37" s="1"/>
  <c r="AN52" i="37"/>
  <c r="CZ52" i="37" s="1"/>
  <c r="AM52" i="37"/>
  <c r="CY52" i="37" s="1"/>
  <c r="AL52" i="37"/>
  <c r="CX52" i="37" s="1"/>
  <c r="AK52" i="37"/>
  <c r="CW52" i="37" s="1"/>
  <c r="AJ52" i="37"/>
  <c r="CV52" i="37" s="1"/>
  <c r="AI52" i="37"/>
  <c r="CU52" i="37" s="1"/>
  <c r="AH52" i="37"/>
  <c r="CT52" i="37" s="1"/>
  <c r="AG52" i="37"/>
  <c r="CS52" i="37" s="1"/>
  <c r="AF52" i="37"/>
  <c r="CR52" i="37" s="1"/>
  <c r="AE52" i="37"/>
  <c r="CQ52" i="37" s="1"/>
  <c r="G52" i="37"/>
  <c r="Z52" i="37"/>
  <c r="CL52" i="37" s="1"/>
  <c r="E52" i="37"/>
  <c r="C52" i="37"/>
  <c r="BQ16" i="37"/>
  <c r="EC16" i="37" s="1"/>
  <c r="BP16" i="37"/>
  <c r="EB16" i="37" s="1"/>
  <c r="BO16" i="37"/>
  <c r="EA16" i="37" s="1"/>
  <c r="BN16" i="37"/>
  <c r="DZ16" i="37" s="1"/>
  <c r="BM16" i="37"/>
  <c r="DY16" i="37" s="1"/>
  <c r="BL16" i="37"/>
  <c r="DX16" i="37" s="1"/>
  <c r="BK16" i="37"/>
  <c r="DW16" i="37" s="1"/>
  <c r="BJ16" i="37"/>
  <c r="DV16" i="37" s="1"/>
  <c r="BI16" i="37"/>
  <c r="DU16" i="37" s="1"/>
  <c r="BH16" i="37"/>
  <c r="DT16" i="37" s="1"/>
  <c r="BG16" i="37"/>
  <c r="DS16" i="37" s="1"/>
  <c r="BF16" i="37"/>
  <c r="DR16" i="37" s="1"/>
  <c r="BE16" i="37"/>
  <c r="DQ16" i="37" s="1"/>
  <c r="BD16" i="37"/>
  <c r="DP16" i="37" s="1"/>
  <c r="BC16" i="37"/>
  <c r="DO16" i="37" s="1"/>
  <c r="BB16" i="37"/>
  <c r="DN16" i="37" s="1"/>
  <c r="BA16" i="37"/>
  <c r="DM16" i="37" s="1"/>
  <c r="AZ16" i="37"/>
  <c r="DL16" i="37" s="1"/>
  <c r="AY16" i="37"/>
  <c r="DK16" i="37" s="1"/>
  <c r="AX16" i="37"/>
  <c r="DJ16" i="37" s="1"/>
  <c r="AW16" i="37"/>
  <c r="DI16" i="37" s="1"/>
  <c r="AV16" i="37"/>
  <c r="DH16" i="37" s="1"/>
  <c r="AU16" i="37"/>
  <c r="DG16" i="37" s="1"/>
  <c r="AT16" i="37"/>
  <c r="DF16" i="37" s="1"/>
  <c r="AS16" i="37"/>
  <c r="DE16" i="37" s="1"/>
  <c r="AR16" i="37"/>
  <c r="DD16" i="37" s="1"/>
  <c r="AQ16" i="37"/>
  <c r="DC16" i="37" s="1"/>
  <c r="AP16" i="37"/>
  <c r="DB16" i="37" s="1"/>
  <c r="AO16" i="37"/>
  <c r="DA16" i="37" s="1"/>
  <c r="AN16" i="37"/>
  <c r="CZ16" i="37" s="1"/>
  <c r="AM16" i="37"/>
  <c r="CY16" i="37" s="1"/>
  <c r="AL16" i="37"/>
  <c r="CX16" i="37" s="1"/>
  <c r="AK16" i="37"/>
  <c r="CW16" i="37" s="1"/>
  <c r="AJ16" i="37"/>
  <c r="CV16" i="37" s="1"/>
  <c r="AI16" i="37"/>
  <c r="CU16" i="37" s="1"/>
  <c r="AH16" i="37"/>
  <c r="CT16" i="37" s="1"/>
  <c r="AG16" i="37"/>
  <c r="CS16" i="37" s="1"/>
  <c r="AF16" i="37"/>
  <c r="CR16" i="37" s="1"/>
  <c r="AE16" i="37"/>
  <c r="CQ16" i="37" s="1"/>
  <c r="AD16" i="37"/>
  <c r="CP16" i="37" s="1"/>
  <c r="AC16" i="37"/>
  <c r="CO16" i="37" s="1"/>
  <c r="AB16" i="37"/>
  <c r="CN16" i="37" s="1"/>
  <c r="AA16" i="37"/>
  <c r="CM16" i="37" s="1"/>
  <c r="Z16" i="37"/>
  <c r="CL16" i="37" s="1"/>
  <c r="Y16" i="37"/>
  <c r="CK16" i="37" s="1"/>
  <c r="X16" i="37"/>
  <c r="CJ16" i="37" s="1"/>
  <c r="W16" i="37"/>
  <c r="CI16" i="37" s="1"/>
  <c r="V16" i="37"/>
  <c r="CH16" i="37" s="1"/>
  <c r="G16" i="37"/>
  <c r="E16" i="37"/>
  <c r="C16" i="37"/>
  <c r="BQ9" i="37"/>
  <c r="EC9" i="37" s="1"/>
  <c r="BP9" i="37"/>
  <c r="EB9" i="37" s="1"/>
  <c r="BO9" i="37"/>
  <c r="EA9" i="37" s="1"/>
  <c r="BN9" i="37"/>
  <c r="DZ9" i="37" s="1"/>
  <c r="BM9" i="37"/>
  <c r="DY9" i="37" s="1"/>
  <c r="BL9" i="37"/>
  <c r="DX9" i="37" s="1"/>
  <c r="BK9" i="37"/>
  <c r="DW9" i="37" s="1"/>
  <c r="BJ9" i="37"/>
  <c r="DV9" i="37" s="1"/>
  <c r="BI9" i="37"/>
  <c r="DU9" i="37" s="1"/>
  <c r="BH9" i="37"/>
  <c r="DT9" i="37" s="1"/>
  <c r="BG9" i="37"/>
  <c r="DS9" i="37" s="1"/>
  <c r="BF9" i="37"/>
  <c r="DR9" i="37" s="1"/>
  <c r="BE9" i="37"/>
  <c r="DQ9" i="37" s="1"/>
  <c r="BD9" i="37"/>
  <c r="DP9" i="37" s="1"/>
  <c r="BC9" i="37"/>
  <c r="DO9" i="37" s="1"/>
  <c r="BB9" i="37"/>
  <c r="DN9" i="37" s="1"/>
  <c r="BA9" i="37"/>
  <c r="DM9" i="37" s="1"/>
  <c r="AZ9" i="37"/>
  <c r="DL9" i="37" s="1"/>
  <c r="AY9" i="37"/>
  <c r="DK9" i="37" s="1"/>
  <c r="AX9" i="37"/>
  <c r="DJ9" i="37" s="1"/>
  <c r="AW9" i="37"/>
  <c r="DI9" i="37" s="1"/>
  <c r="AV9" i="37"/>
  <c r="DH9" i="37" s="1"/>
  <c r="AU9" i="37"/>
  <c r="DG9" i="37" s="1"/>
  <c r="AT9" i="37"/>
  <c r="DF9" i="37" s="1"/>
  <c r="AS9" i="37"/>
  <c r="DE9" i="37" s="1"/>
  <c r="AR9" i="37"/>
  <c r="DD9" i="37" s="1"/>
  <c r="AQ9" i="37"/>
  <c r="DC9" i="37" s="1"/>
  <c r="AP9" i="37"/>
  <c r="DB9" i="37" s="1"/>
  <c r="AO9" i="37"/>
  <c r="DA9" i="37" s="1"/>
  <c r="AN9" i="37"/>
  <c r="CZ9" i="37" s="1"/>
  <c r="AM9" i="37"/>
  <c r="CY9" i="37" s="1"/>
  <c r="AL9" i="37"/>
  <c r="CX9" i="37" s="1"/>
  <c r="AK9" i="37"/>
  <c r="CW9" i="37" s="1"/>
  <c r="AJ9" i="37"/>
  <c r="CV9" i="37" s="1"/>
  <c r="AI9" i="37"/>
  <c r="CU9" i="37" s="1"/>
  <c r="AH9" i="37"/>
  <c r="CT9" i="37" s="1"/>
  <c r="AG9" i="37"/>
  <c r="CS9" i="37" s="1"/>
  <c r="AF9" i="37"/>
  <c r="CR9" i="37" s="1"/>
  <c r="AE9" i="37"/>
  <c r="CQ9" i="37" s="1"/>
  <c r="AD9" i="37"/>
  <c r="CP9" i="37" s="1"/>
  <c r="AC9" i="37"/>
  <c r="CO9" i="37" s="1"/>
  <c r="AB9" i="37"/>
  <c r="CN9" i="37" s="1"/>
  <c r="AA9" i="37"/>
  <c r="CM9" i="37" s="1"/>
  <c r="Z9" i="37"/>
  <c r="CL9" i="37" s="1"/>
  <c r="Y9" i="37"/>
  <c r="CK9" i="37" s="1"/>
  <c r="X9" i="37"/>
  <c r="CJ9" i="37" s="1"/>
  <c r="W9" i="37"/>
  <c r="CI9" i="37" s="1"/>
  <c r="V9" i="37"/>
  <c r="CH9" i="37" s="1"/>
  <c r="G9" i="37"/>
  <c r="E9" i="37"/>
  <c r="C9" i="37"/>
  <c r="BQ15" i="37"/>
  <c r="EC15" i="37" s="1"/>
  <c r="BP15" i="37"/>
  <c r="EB15" i="37" s="1"/>
  <c r="BO15" i="37"/>
  <c r="EA15" i="37" s="1"/>
  <c r="BN15" i="37"/>
  <c r="DZ15" i="37" s="1"/>
  <c r="BM15" i="37"/>
  <c r="DY15" i="37" s="1"/>
  <c r="BL15" i="37"/>
  <c r="DX15" i="37" s="1"/>
  <c r="BK15" i="37"/>
  <c r="DW15" i="37" s="1"/>
  <c r="BJ15" i="37"/>
  <c r="DV15" i="37" s="1"/>
  <c r="BI15" i="37"/>
  <c r="DU15" i="37" s="1"/>
  <c r="BH15" i="37"/>
  <c r="DT15" i="37" s="1"/>
  <c r="BG15" i="37"/>
  <c r="DS15" i="37" s="1"/>
  <c r="BF15" i="37"/>
  <c r="DR15" i="37" s="1"/>
  <c r="BE15" i="37"/>
  <c r="DQ15" i="37" s="1"/>
  <c r="BD15" i="37"/>
  <c r="DP15" i="37" s="1"/>
  <c r="BC15" i="37"/>
  <c r="DO15" i="37" s="1"/>
  <c r="BB15" i="37"/>
  <c r="DN15" i="37" s="1"/>
  <c r="BA15" i="37"/>
  <c r="DM15" i="37" s="1"/>
  <c r="AZ15" i="37"/>
  <c r="DL15" i="37" s="1"/>
  <c r="AY15" i="37"/>
  <c r="DK15" i="37" s="1"/>
  <c r="AX15" i="37"/>
  <c r="DJ15" i="37" s="1"/>
  <c r="AW15" i="37"/>
  <c r="DI15" i="37" s="1"/>
  <c r="AV15" i="37"/>
  <c r="DH15" i="37" s="1"/>
  <c r="AU15" i="37"/>
  <c r="DG15" i="37" s="1"/>
  <c r="AT15" i="37"/>
  <c r="DF15" i="37" s="1"/>
  <c r="AS15" i="37"/>
  <c r="DE15" i="37" s="1"/>
  <c r="AR15" i="37"/>
  <c r="DD15" i="37" s="1"/>
  <c r="AQ15" i="37"/>
  <c r="DC15" i="37" s="1"/>
  <c r="AP15" i="37"/>
  <c r="DB15" i="37" s="1"/>
  <c r="AO15" i="37"/>
  <c r="DA15" i="37" s="1"/>
  <c r="AN15" i="37"/>
  <c r="CZ15" i="37" s="1"/>
  <c r="AM15" i="37"/>
  <c r="CY15" i="37" s="1"/>
  <c r="AL15" i="37"/>
  <c r="CX15" i="37" s="1"/>
  <c r="AK15" i="37"/>
  <c r="CW15" i="37" s="1"/>
  <c r="AJ15" i="37"/>
  <c r="CV15" i="37" s="1"/>
  <c r="AI15" i="37"/>
  <c r="CU15" i="37" s="1"/>
  <c r="AH15" i="37"/>
  <c r="CT15" i="37" s="1"/>
  <c r="AG15" i="37"/>
  <c r="CS15" i="37" s="1"/>
  <c r="AF15" i="37"/>
  <c r="CR15" i="37" s="1"/>
  <c r="AE15" i="37"/>
  <c r="CQ15" i="37" s="1"/>
  <c r="AD15" i="37"/>
  <c r="CP15" i="37" s="1"/>
  <c r="AC15" i="37"/>
  <c r="CO15" i="37" s="1"/>
  <c r="AB15" i="37"/>
  <c r="CN15" i="37" s="1"/>
  <c r="AA15" i="37"/>
  <c r="CM15" i="37" s="1"/>
  <c r="Z15" i="37"/>
  <c r="CL15" i="37" s="1"/>
  <c r="Y15" i="37"/>
  <c r="CK15" i="37" s="1"/>
  <c r="X15" i="37"/>
  <c r="CJ15" i="37" s="1"/>
  <c r="W15" i="37"/>
  <c r="CI15" i="37" s="1"/>
  <c r="V15" i="37"/>
  <c r="CH15" i="37" s="1"/>
  <c r="G15" i="37"/>
  <c r="E15" i="37"/>
  <c r="C15" i="37"/>
  <c r="BQ11" i="37"/>
  <c r="EC11" i="37" s="1"/>
  <c r="BP11" i="37"/>
  <c r="EB11" i="37" s="1"/>
  <c r="BO11" i="37"/>
  <c r="EA11" i="37" s="1"/>
  <c r="BN11" i="37"/>
  <c r="DZ11" i="37" s="1"/>
  <c r="BM11" i="37"/>
  <c r="DY11" i="37" s="1"/>
  <c r="BL11" i="37"/>
  <c r="DX11" i="37" s="1"/>
  <c r="BK11" i="37"/>
  <c r="DW11" i="37" s="1"/>
  <c r="BJ11" i="37"/>
  <c r="DV11" i="37" s="1"/>
  <c r="BI11" i="37"/>
  <c r="DU11" i="37" s="1"/>
  <c r="BH11" i="37"/>
  <c r="DT11" i="37" s="1"/>
  <c r="BG11" i="37"/>
  <c r="DS11" i="37" s="1"/>
  <c r="BF11" i="37"/>
  <c r="DR11" i="37" s="1"/>
  <c r="BE11" i="37"/>
  <c r="DQ11" i="37" s="1"/>
  <c r="BD11" i="37"/>
  <c r="DP11" i="37" s="1"/>
  <c r="BC11" i="37"/>
  <c r="DO11" i="37" s="1"/>
  <c r="BB11" i="37"/>
  <c r="DN11" i="37" s="1"/>
  <c r="BA11" i="37"/>
  <c r="DM11" i="37" s="1"/>
  <c r="AZ11" i="37"/>
  <c r="DL11" i="37" s="1"/>
  <c r="AY11" i="37"/>
  <c r="DK11" i="37" s="1"/>
  <c r="AX11" i="37"/>
  <c r="DJ11" i="37" s="1"/>
  <c r="AW11" i="37"/>
  <c r="DI11" i="37" s="1"/>
  <c r="AV11" i="37"/>
  <c r="DH11" i="37" s="1"/>
  <c r="AU11" i="37"/>
  <c r="DG11" i="37" s="1"/>
  <c r="AT11" i="37"/>
  <c r="DF11" i="37" s="1"/>
  <c r="AS11" i="37"/>
  <c r="DE11" i="37" s="1"/>
  <c r="AR11" i="37"/>
  <c r="DD11" i="37" s="1"/>
  <c r="AQ11" i="37"/>
  <c r="DC11" i="37" s="1"/>
  <c r="AP11" i="37"/>
  <c r="DB11" i="37" s="1"/>
  <c r="AO11" i="37"/>
  <c r="DA11" i="37" s="1"/>
  <c r="AN11" i="37"/>
  <c r="CZ11" i="37" s="1"/>
  <c r="AM11" i="37"/>
  <c r="CY11" i="37" s="1"/>
  <c r="AL11" i="37"/>
  <c r="CX11" i="37" s="1"/>
  <c r="AK11" i="37"/>
  <c r="CW11" i="37" s="1"/>
  <c r="AJ11" i="37"/>
  <c r="CV11" i="37" s="1"/>
  <c r="AI11" i="37"/>
  <c r="CU11" i="37" s="1"/>
  <c r="AH11" i="37"/>
  <c r="CT11" i="37" s="1"/>
  <c r="AG11" i="37"/>
  <c r="CS11" i="37" s="1"/>
  <c r="AF11" i="37"/>
  <c r="CR11" i="37" s="1"/>
  <c r="AE11" i="37"/>
  <c r="CQ11" i="37" s="1"/>
  <c r="AD11" i="37"/>
  <c r="CP11" i="37" s="1"/>
  <c r="AC11" i="37"/>
  <c r="CO11" i="37" s="1"/>
  <c r="AB11" i="37"/>
  <c r="CN11" i="37" s="1"/>
  <c r="AA11" i="37"/>
  <c r="CM11" i="37" s="1"/>
  <c r="Z11" i="37"/>
  <c r="CL11" i="37" s="1"/>
  <c r="Y11" i="37"/>
  <c r="CK11" i="37" s="1"/>
  <c r="X11" i="37"/>
  <c r="CJ11" i="37" s="1"/>
  <c r="W11" i="37"/>
  <c r="CI11" i="37" s="1"/>
  <c r="V11" i="37"/>
  <c r="CH11" i="37" s="1"/>
  <c r="G11" i="37"/>
  <c r="E11" i="37"/>
  <c r="C11" i="37"/>
  <c r="BQ12" i="37"/>
  <c r="EC12" i="37" s="1"/>
  <c r="BP12" i="37"/>
  <c r="EB12" i="37" s="1"/>
  <c r="BO12" i="37"/>
  <c r="EA12" i="37" s="1"/>
  <c r="BN12" i="37"/>
  <c r="DZ12" i="37" s="1"/>
  <c r="BM12" i="37"/>
  <c r="DY12" i="37" s="1"/>
  <c r="BL12" i="37"/>
  <c r="DX12" i="37" s="1"/>
  <c r="BK12" i="37"/>
  <c r="DW12" i="37" s="1"/>
  <c r="BJ12" i="37"/>
  <c r="DV12" i="37" s="1"/>
  <c r="BI12" i="37"/>
  <c r="DU12" i="37" s="1"/>
  <c r="BH12" i="37"/>
  <c r="DT12" i="37" s="1"/>
  <c r="BG12" i="37"/>
  <c r="DS12" i="37" s="1"/>
  <c r="BF12" i="37"/>
  <c r="DR12" i="37" s="1"/>
  <c r="BE12" i="37"/>
  <c r="DQ12" i="37" s="1"/>
  <c r="BD12" i="37"/>
  <c r="DP12" i="37" s="1"/>
  <c r="BC12" i="37"/>
  <c r="DO12" i="37" s="1"/>
  <c r="BB12" i="37"/>
  <c r="DN12" i="37" s="1"/>
  <c r="BA12" i="37"/>
  <c r="DM12" i="37" s="1"/>
  <c r="AZ12" i="37"/>
  <c r="DL12" i="37" s="1"/>
  <c r="AY12" i="37"/>
  <c r="DK12" i="37" s="1"/>
  <c r="AX12" i="37"/>
  <c r="DJ12" i="37" s="1"/>
  <c r="AW12" i="37"/>
  <c r="DI12" i="37" s="1"/>
  <c r="AV12" i="37"/>
  <c r="DH12" i="37" s="1"/>
  <c r="AU12" i="37"/>
  <c r="DG12" i="37" s="1"/>
  <c r="AT12" i="37"/>
  <c r="DF12" i="37" s="1"/>
  <c r="AS12" i="37"/>
  <c r="DE12" i="37" s="1"/>
  <c r="AR12" i="37"/>
  <c r="DD12" i="37" s="1"/>
  <c r="AQ12" i="37"/>
  <c r="DC12" i="37" s="1"/>
  <c r="AP12" i="37"/>
  <c r="DB12" i="37" s="1"/>
  <c r="AO12" i="37"/>
  <c r="DA12" i="37" s="1"/>
  <c r="AN12" i="37"/>
  <c r="CZ12" i="37" s="1"/>
  <c r="AM12" i="37"/>
  <c r="CY12" i="37" s="1"/>
  <c r="AL12" i="37"/>
  <c r="CX12" i="37" s="1"/>
  <c r="AK12" i="37"/>
  <c r="CW12" i="37" s="1"/>
  <c r="AJ12" i="37"/>
  <c r="CV12" i="37" s="1"/>
  <c r="AI12" i="37"/>
  <c r="CU12" i="37" s="1"/>
  <c r="AH12" i="37"/>
  <c r="CT12" i="37" s="1"/>
  <c r="AG12" i="37"/>
  <c r="CS12" i="37" s="1"/>
  <c r="AF12" i="37"/>
  <c r="CR12" i="37" s="1"/>
  <c r="AE12" i="37"/>
  <c r="CQ12" i="37" s="1"/>
  <c r="AD12" i="37"/>
  <c r="CP12" i="37" s="1"/>
  <c r="AC12" i="37"/>
  <c r="CO12" i="37" s="1"/>
  <c r="AB12" i="37"/>
  <c r="CN12" i="37" s="1"/>
  <c r="AA12" i="37"/>
  <c r="CM12" i="37" s="1"/>
  <c r="Z12" i="37"/>
  <c r="CL12" i="37" s="1"/>
  <c r="Y12" i="37"/>
  <c r="CK12" i="37" s="1"/>
  <c r="X12" i="37"/>
  <c r="CJ12" i="37" s="1"/>
  <c r="W12" i="37"/>
  <c r="CI12" i="37" s="1"/>
  <c r="V12" i="37"/>
  <c r="CH12" i="37" s="1"/>
  <c r="G12" i="37"/>
  <c r="E12" i="37"/>
  <c r="C12" i="37"/>
  <c r="BQ14" i="37"/>
  <c r="EC14" i="37" s="1"/>
  <c r="BP14" i="37"/>
  <c r="EB14" i="37" s="1"/>
  <c r="BO14" i="37"/>
  <c r="EA14" i="37" s="1"/>
  <c r="BN14" i="37"/>
  <c r="DZ14" i="37" s="1"/>
  <c r="BM14" i="37"/>
  <c r="DY14" i="37" s="1"/>
  <c r="BL14" i="37"/>
  <c r="DX14" i="37" s="1"/>
  <c r="BK14" i="37"/>
  <c r="DW14" i="37" s="1"/>
  <c r="BJ14" i="37"/>
  <c r="DV14" i="37" s="1"/>
  <c r="BI14" i="37"/>
  <c r="DU14" i="37" s="1"/>
  <c r="BH14" i="37"/>
  <c r="DT14" i="37" s="1"/>
  <c r="BG14" i="37"/>
  <c r="DS14" i="37" s="1"/>
  <c r="BF14" i="37"/>
  <c r="DR14" i="37" s="1"/>
  <c r="BE14" i="37"/>
  <c r="DQ14" i="37" s="1"/>
  <c r="BD14" i="37"/>
  <c r="DP14" i="37" s="1"/>
  <c r="BC14" i="37"/>
  <c r="DO14" i="37" s="1"/>
  <c r="BB14" i="37"/>
  <c r="DN14" i="37" s="1"/>
  <c r="BA14" i="37"/>
  <c r="DM14" i="37" s="1"/>
  <c r="AZ14" i="37"/>
  <c r="DL14" i="37" s="1"/>
  <c r="AY14" i="37"/>
  <c r="DK14" i="37" s="1"/>
  <c r="AX14" i="37"/>
  <c r="DJ14" i="37" s="1"/>
  <c r="AW14" i="37"/>
  <c r="DI14" i="37" s="1"/>
  <c r="AV14" i="37"/>
  <c r="DH14" i="37" s="1"/>
  <c r="AU14" i="37"/>
  <c r="DG14" i="37" s="1"/>
  <c r="AT14" i="37"/>
  <c r="DF14" i="37" s="1"/>
  <c r="AS14" i="37"/>
  <c r="DE14" i="37" s="1"/>
  <c r="AR14" i="37"/>
  <c r="DD14" i="37" s="1"/>
  <c r="AQ14" i="37"/>
  <c r="DC14" i="37" s="1"/>
  <c r="AP14" i="37"/>
  <c r="DB14" i="37" s="1"/>
  <c r="AO14" i="37"/>
  <c r="DA14" i="37" s="1"/>
  <c r="AN14" i="37"/>
  <c r="CZ14" i="37" s="1"/>
  <c r="AM14" i="37"/>
  <c r="CY14" i="37" s="1"/>
  <c r="AL14" i="37"/>
  <c r="CX14" i="37" s="1"/>
  <c r="AK14" i="37"/>
  <c r="CW14" i="37" s="1"/>
  <c r="AJ14" i="37"/>
  <c r="CV14" i="37" s="1"/>
  <c r="AI14" i="37"/>
  <c r="CU14" i="37" s="1"/>
  <c r="AH14" i="37"/>
  <c r="CT14" i="37" s="1"/>
  <c r="AG14" i="37"/>
  <c r="CS14" i="37" s="1"/>
  <c r="AF14" i="37"/>
  <c r="CR14" i="37" s="1"/>
  <c r="AE14" i="37"/>
  <c r="CQ14" i="37" s="1"/>
  <c r="AD14" i="37"/>
  <c r="CP14" i="37" s="1"/>
  <c r="AC14" i="37"/>
  <c r="CO14" i="37" s="1"/>
  <c r="AB14" i="37"/>
  <c r="CN14" i="37" s="1"/>
  <c r="AA14" i="37"/>
  <c r="CM14" i="37" s="1"/>
  <c r="Z14" i="37"/>
  <c r="CL14" i="37" s="1"/>
  <c r="Y14" i="37"/>
  <c r="CK14" i="37" s="1"/>
  <c r="X14" i="37"/>
  <c r="CJ14" i="37" s="1"/>
  <c r="W14" i="37"/>
  <c r="CI14" i="37" s="1"/>
  <c r="V14" i="37"/>
  <c r="CH14" i="37" s="1"/>
  <c r="G14" i="37"/>
  <c r="E14" i="37"/>
  <c r="C14" i="37"/>
  <c r="BQ29" i="37"/>
  <c r="EC29" i="37" s="1"/>
  <c r="BP29" i="37"/>
  <c r="EB29" i="37" s="1"/>
  <c r="BO29" i="37"/>
  <c r="EA29" i="37" s="1"/>
  <c r="BN29" i="37"/>
  <c r="DZ29" i="37" s="1"/>
  <c r="BM29" i="37"/>
  <c r="DY29" i="37" s="1"/>
  <c r="BL29" i="37"/>
  <c r="DX29" i="37" s="1"/>
  <c r="BK29" i="37"/>
  <c r="DW29" i="37" s="1"/>
  <c r="BJ29" i="37"/>
  <c r="DV29" i="37" s="1"/>
  <c r="BI29" i="37"/>
  <c r="DU29" i="37" s="1"/>
  <c r="BH29" i="37"/>
  <c r="DT29" i="37" s="1"/>
  <c r="BG29" i="37"/>
  <c r="DS29" i="37" s="1"/>
  <c r="BF29" i="37"/>
  <c r="DR29" i="37" s="1"/>
  <c r="BE29" i="37"/>
  <c r="DQ29" i="37" s="1"/>
  <c r="BD29" i="37"/>
  <c r="DP29" i="37" s="1"/>
  <c r="BC29" i="37"/>
  <c r="DO29" i="37" s="1"/>
  <c r="BB29" i="37"/>
  <c r="DN29" i="37" s="1"/>
  <c r="BA29" i="37"/>
  <c r="DM29" i="37" s="1"/>
  <c r="AZ29" i="37"/>
  <c r="DL29" i="37" s="1"/>
  <c r="AY29" i="37"/>
  <c r="DK29" i="37" s="1"/>
  <c r="AX29" i="37"/>
  <c r="DJ29" i="37" s="1"/>
  <c r="AW29" i="37"/>
  <c r="DI29" i="37" s="1"/>
  <c r="AV29" i="37"/>
  <c r="DH29" i="37" s="1"/>
  <c r="AU29" i="37"/>
  <c r="DG29" i="37" s="1"/>
  <c r="AT29" i="37"/>
  <c r="DF29" i="37" s="1"/>
  <c r="AS29" i="37"/>
  <c r="DE29" i="37" s="1"/>
  <c r="AR29" i="37"/>
  <c r="DD29" i="37" s="1"/>
  <c r="AQ29" i="37"/>
  <c r="DC29" i="37" s="1"/>
  <c r="AP29" i="37"/>
  <c r="DB29" i="37" s="1"/>
  <c r="AO29" i="37"/>
  <c r="DA29" i="37" s="1"/>
  <c r="AN29" i="37"/>
  <c r="CZ29" i="37" s="1"/>
  <c r="AM29" i="37"/>
  <c r="CY29" i="37" s="1"/>
  <c r="AL29" i="37"/>
  <c r="CX29" i="37" s="1"/>
  <c r="AK29" i="37"/>
  <c r="CW29" i="37" s="1"/>
  <c r="AJ29" i="37"/>
  <c r="CV29" i="37" s="1"/>
  <c r="AI29" i="37"/>
  <c r="CU29" i="37" s="1"/>
  <c r="AH29" i="37"/>
  <c r="CT29" i="37" s="1"/>
  <c r="AG29" i="37"/>
  <c r="CS29" i="37" s="1"/>
  <c r="AF29" i="37"/>
  <c r="CR29" i="37" s="1"/>
  <c r="AE29" i="37"/>
  <c r="CQ29" i="37" s="1"/>
  <c r="AD29" i="37"/>
  <c r="CP29" i="37" s="1"/>
  <c r="AC29" i="37"/>
  <c r="CO29" i="37" s="1"/>
  <c r="AB29" i="37"/>
  <c r="CN29" i="37" s="1"/>
  <c r="AA29" i="37"/>
  <c r="CM29" i="37" s="1"/>
  <c r="Z29" i="37"/>
  <c r="CL29" i="37" s="1"/>
  <c r="Y29" i="37"/>
  <c r="CK29" i="37" s="1"/>
  <c r="X29" i="37"/>
  <c r="CJ29" i="37" s="1"/>
  <c r="W29" i="37"/>
  <c r="CI29" i="37" s="1"/>
  <c r="V29" i="37"/>
  <c r="CH29" i="37" s="1"/>
  <c r="G29" i="37"/>
  <c r="E29" i="37"/>
  <c r="C29" i="37"/>
  <c r="BQ30" i="37"/>
  <c r="EC30" i="37" s="1"/>
  <c r="BP30" i="37"/>
  <c r="EB30" i="37" s="1"/>
  <c r="BO30" i="37"/>
  <c r="EA30" i="37" s="1"/>
  <c r="BN30" i="37"/>
  <c r="DZ30" i="37" s="1"/>
  <c r="BM30" i="37"/>
  <c r="DY30" i="37" s="1"/>
  <c r="BL30" i="37"/>
  <c r="DX30" i="37" s="1"/>
  <c r="BK30" i="37"/>
  <c r="DW30" i="37" s="1"/>
  <c r="BJ30" i="37"/>
  <c r="DV30" i="37" s="1"/>
  <c r="BI30" i="37"/>
  <c r="DU30" i="37" s="1"/>
  <c r="BH30" i="37"/>
  <c r="DT30" i="37" s="1"/>
  <c r="BG30" i="37"/>
  <c r="DS30" i="37" s="1"/>
  <c r="BF30" i="37"/>
  <c r="DR30" i="37" s="1"/>
  <c r="BE30" i="37"/>
  <c r="DQ30" i="37" s="1"/>
  <c r="BD30" i="37"/>
  <c r="DP30" i="37" s="1"/>
  <c r="BC30" i="37"/>
  <c r="DO30" i="37" s="1"/>
  <c r="BB30" i="37"/>
  <c r="DN30" i="37" s="1"/>
  <c r="BA30" i="37"/>
  <c r="DM30" i="37" s="1"/>
  <c r="AZ30" i="37"/>
  <c r="DL30" i="37" s="1"/>
  <c r="AY30" i="37"/>
  <c r="DK30" i="37" s="1"/>
  <c r="AX30" i="37"/>
  <c r="DJ30" i="37" s="1"/>
  <c r="AW30" i="37"/>
  <c r="DI30" i="37" s="1"/>
  <c r="AV30" i="37"/>
  <c r="DH30" i="37" s="1"/>
  <c r="AU30" i="37"/>
  <c r="DG30" i="37" s="1"/>
  <c r="AT30" i="37"/>
  <c r="DF30" i="37" s="1"/>
  <c r="AS30" i="37"/>
  <c r="DE30" i="37" s="1"/>
  <c r="AR30" i="37"/>
  <c r="DD30" i="37" s="1"/>
  <c r="AQ30" i="37"/>
  <c r="DC30" i="37" s="1"/>
  <c r="AP30" i="37"/>
  <c r="DB30" i="37" s="1"/>
  <c r="AO30" i="37"/>
  <c r="DA30" i="37" s="1"/>
  <c r="AN30" i="37"/>
  <c r="CZ30" i="37" s="1"/>
  <c r="AM30" i="37"/>
  <c r="CY30" i="37" s="1"/>
  <c r="AL30" i="37"/>
  <c r="CX30" i="37" s="1"/>
  <c r="AK30" i="37"/>
  <c r="CW30" i="37" s="1"/>
  <c r="AJ30" i="37"/>
  <c r="CV30" i="37" s="1"/>
  <c r="AI30" i="37"/>
  <c r="CU30" i="37" s="1"/>
  <c r="AH30" i="37"/>
  <c r="CT30" i="37" s="1"/>
  <c r="AG30" i="37"/>
  <c r="CS30" i="37" s="1"/>
  <c r="AF30" i="37"/>
  <c r="CR30" i="37" s="1"/>
  <c r="AE30" i="37"/>
  <c r="CQ30" i="37" s="1"/>
  <c r="AD30" i="37"/>
  <c r="CP30" i="37" s="1"/>
  <c r="AC30" i="37"/>
  <c r="CO30" i="37" s="1"/>
  <c r="AB30" i="37"/>
  <c r="CN30" i="37" s="1"/>
  <c r="AA30" i="37"/>
  <c r="CM30" i="37" s="1"/>
  <c r="Z30" i="37"/>
  <c r="CL30" i="37" s="1"/>
  <c r="Y30" i="37"/>
  <c r="CK30" i="37" s="1"/>
  <c r="X30" i="37"/>
  <c r="CJ30" i="37" s="1"/>
  <c r="W30" i="37"/>
  <c r="CI30" i="37" s="1"/>
  <c r="V30" i="37"/>
  <c r="CH30" i="37" s="1"/>
  <c r="G30" i="37"/>
  <c r="E30" i="37"/>
  <c r="C30" i="37"/>
  <c r="BQ20" i="37"/>
  <c r="EC20" i="37" s="1"/>
  <c r="BP20" i="37"/>
  <c r="EB20" i="37" s="1"/>
  <c r="BO20" i="37"/>
  <c r="EA20" i="37" s="1"/>
  <c r="BN20" i="37"/>
  <c r="DZ20" i="37" s="1"/>
  <c r="BM20" i="37"/>
  <c r="DY20" i="37" s="1"/>
  <c r="BL20" i="37"/>
  <c r="DX20" i="37" s="1"/>
  <c r="BK20" i="37"/>
  <c r="DW20" i="37" s="1"/>
  <c r="BJ20" i="37"/>
  <c r="DV20" i="37" s="1"/>
  <c r="BI20" i="37"/>
  <c r="DU20" i="37" s="1"/>
  <c r="BH20" i="37"/>
  <c r="DT20" i="37" s="1"/>
  <c r="BG20" i="37"/>
  <c r="DS20" i="37" s="1"/>
  <c r="BF20" i="37"/>
  <c r="DR20" i="37" s="1"/>
  <c r="BE20" i="37"/>
  <c r="DQ20" i="37" s="1"/>
  <c r="BD20" i="37"/>
  <c r="DP20" i="37" s="1"/>
  <c r="BC20" i="37"/>
  <c r="DO20" i="37" s="1"/>
  <c r="BB20" i="37"/>
  <c r="DN20" i="37" s="1"/>
  <c r="BA20" i="37"/>
  <c r="DM20" i="37" s="1"/>
  <c r="AZ20" i="37"/>
  <c r="DL20" i="37" s="1"/>
  <c r="AY20" i="37"/>
  <c r="DK20" i="37" s="1"/>
  <c r="AX20" i="37"/>
  <c r="DJ20" i="37" s="1"/>
  <c r="AW20" i="37"/>
  <c r="DI20" i="37" s="1"/>
  <c r="AV20" i="37"/>
  <c r="DH20" i="37" s="1"/>
  <c r="AU20" i="37"/>
  <c r="DG20" i="37" s="1"/>
  <c r="AT20" i="37"/>
  <c r="DF20" i="37" s="1"/>
  <c r="AS20" i="37"/>
  <c r="DE20" i="37" s="1"/>
  <c r="AR20" i="37"/>
  <c r="DD20" i="37" s="1"/>
  <c r="AQ20" i="37"/>
  <c r="DC20" i="37" s="1"/>
  <c r="AP20" i="37"/>
  <c r="DB20" i="37" s="1"/>
  <c r="AO20" i="37"/>
  <c r="DA20" i="37" s="1"/>
  <c r="AN20" i="37"/>
  <c r="CZ20" i="37" s="1"/>
  <c r="AM20" i="37"/>
  <c r="CY20" i="37" s="1"/>
  <c r="AL20" i="37"/>
  <c r="CX20" i="37" s="1"/>
  <c r="AK20" i="37"/>
  <c r="CW20" i="37" s="1"/>
  <c r="AJ20" i="37"/>
  <c r="CV20" i="37" s="1"/>
  <c r="AI20" i="37"/>
  <c r="CU20" i="37" s="1"/>
  <c r="AH20" i="37"/>
  <c r="CT20" i="37" s="1"/>
  <c r="AG20" i="37"/>
  <c r="CS20" i="37" s="1"/>
  <c r="AF20" i="37"/>
  <c r="CR20" i="37" s="1"/>
  <c r="AE20" i="37"/>
  <c r="CQ20" i="37" s="1"/>
  <c r="AD20" i="37"/>
  <c r="CP20" i="37" s="1"/>
  <c r="AC20" i="37"/>
  <c r="CO20" i="37" s="1"/>
  <c r="AB20" i="37"/>
  <c r="CN20" i="37" s="1"/>
  <c r="AA20" i="37"/>
  <c r="CM20" i="37" s="1"/>
  <c r="Z20" i="37"/>
  <c r="CL20" i="37" s="1"/>
  <c r="Y20" i="37"/>
  <c r="CK20" i="37" s="1"/>
  <c r="X20" i="37"/>
  <c r="CJ20" i="37" s="1"/>
  <c r="W20" i="37"/>
  <c r="CI20" i="37" s="1"/>
  <c r="V20" i="37"/>
  <c r="CH20" i="37" s="1"/>
  <c r="G20" i="37"/>
  <c r="E20" i="37"/>
  <c r="C20" i="37"/>
  <c r="BQ17" i="37"/>
  <c r="EC17" i="37" s="1"/>
  <c r="BP17" i="37"/>
  <c r="EB17" i="37" s="1"/>
  <c r="BO17" i="37"/>
  <c r="EA17" i="37" s="1"/>
  <c r="BN17" i="37"/>
  <c r="DZ17" i="37" s="1"/>
  <c r="BM17" i="37"/>
  <c r="DY17" i="37" s="1"/>
  <c r="BL17" i="37"/>
  <c r="DX17" i="37" s="1"/>
  <c r="BK17" i="37"/>
  <c r="DW17" i="37" s="1"/>
  <c r="BJ17" i="37"/>
  <c r="DV17" i="37" s="1"/>
  <c r="BI17" i="37"/>
  <c r="DU17" i="37" s="1"/>
  <c r="BH17" i="37"/>
  <c r="DT17" i="37" s="1"/>
  <c r="BG17" i="37"/>
  <c r="DS17" i="37" s="1"/>
  <c r="BF17" i="37"/>
  <c r="DR17" i="37" s="1"/>
  <c r="BE17" i="37"/>
  <c r="DQ17" i="37" s="1"/>
  <c r="BD17" i="37"/>
  <c r="DP17" i="37" s="1"/>
  <c r="BC17" i="37"/>
  <c r="DO17" i="37" s="1"/>
  <c r="BB17" i="37"/>
  <c r="DN17" i="37" s="1"/>
  <c r="BA17" i="37"/>
  <c r="DM17" i="37" s="1"/>
  <c r="AZ17" i="37"/>
  <c r="DL17" i="37" s="1"/>
  <c r="AY17" i="37"/>
  <c r="DK17" i="37" s="1"/>
  <c r="AX17" i="37"/>
  <c r="DJ17" i="37" s="1"/>
  <c r="AW17" i="37"/>
  <c r="DI17" i="37" s="1"/>
  <c r="AV17" i="37"/>
  <c r="DH17" i="37" s="1"/>
  <c r="AU17" i="37"/>
  <c r="DG17" i="37" s="1"/>
  <c r="AT17" i="37"/>
  <c r="DF17" i="37" s="1"/>
  <c r="AS17" i="37"/>
  <c r="DE17" i="37" s="1"/>
  <c r="AR17" i="37"/>
  <c r="DD17" i="37" s="1"/>
  <c r="AQ17" i="37"/>
  <c r="DC17" i="37" s="1"/>
  <c r="AP17" i="37"/>
  <c r="DB17" i="37" s="1"/>
  <c r="AO17" i="37"/>
  <c r="DA17" i="37" s="1"/>
  <c r="AN17" i="37"/>
  <c r="CZ17" i="37" s="1"/>
  <c r="AM17" i="37"/>
  <c r="CY17" i="37" s="1"/>
  <c r="AL17" i="37"/>
  <c r="CX17" i="37" s="1"/>
  <c r="AK17" i="37"/>
  <c r="CW17" i="37" s="1"/>
  <c r="AJ17" i="37"/>
  <c r="CV17" i="37" s="1"/>
  <c r="AI17" i="37"/>
  <c r="CU17" i="37" s="1"/>
  <c r="AH17" i="37"/>
  <c r="CT17" i="37" s="1"/>
  <c r="AG17" i="37"/>
  <c r="CS17" i="37" s="1"/>
  <c r="AF17" i="37"/>
  <c r="CR17" i="37" s="1"/>
  <c r="AE17" i="37"/>
  <c r="CQ17" i="37" s="1"/>
  <c r="AD17" i="37"/>
  <c r="CP17" i="37" s="1"/>
  <c r="AC17" i="37"/>
  <c r="CO17" i="37" s="1"/>
  <c r="AB17" i="37"/>
  <c r="CN17" i="37" s="1"/>
  <c r="AA17" i="37"/>
  <c r="CM17" i="37" s="1"/>
  <c r="Z17" i="37"/>
  <c r="CL17" i="37" s="1"/>
  <c r="Y17" i="37"/>
  <c r="CK17" i="37" s="1"/>
  <c r="X17" i="37"/>
  <c r="CJ17" i="37" s="1"/>
  <c r="W17" i="37"/>
  <c r="CI17" i="37" s="1"/>
  <c r="V17" i="37"/>
  <c r="CH17" i="37" s="1"/>
  <c r="G17" i="37"/>
  <c r="E17" i="37"/>
  <c r="C17" i="37"/>
  <c r="BQ28" i="37"/>
  <c r="EC28" i="37" s="1"/>
  <c r="BP28" i="37"/>
  <c r="EB28" i="37" s="1"/>
  <c r="BO28" i="37"/>
  <c r="EA28" i="37" s="1"/>
  <c r="BN28" i="37"/>
  <c r="DZ28" i="37" s="1"/>
  <c r="BM28" i="37"/>
  <c r="DY28" i="37" s="1"/>
  <c r="BL28" i="37"/>
  <c r="DX28" i="37" s="1"/>
  <c r="BK28" i="37"/>
  <c r="DW28" i="37" s="1"/>
  <c r="BJ28" i="37"/>
  <c r="DV28" i="37" s="1"/>
  <c r="BI28" i="37"/>
  <c r="DU28" i="37" s="1"/>
  <c r="BH28" i="37"/>
  <c r="DT28" i="37" s="1"/>
  <c r="BG28" i="37"/>
  <c r="DS28" i="37" s="1"/>
  <c r="BF28" i="37"/>
  <c r="DR28" i="37" s="1"/>
  <c r="BE28" i="37"/>
  <c r="DQ28" i="37" s="1"/>
  <c r="BD28" i="37"/>
  <c r="DP28" i="37" s="1"/>
  <c r="BC28" i="37"/>
  <c r="DO28" i="37" s="1"/>
  <c r="BB28" i="37"/>
  <c r="DN28" i="37" s="1"/>
  <c r="BA28" i="37"/>
  <c r="DM28" i="37" s="1"/>
  <c r="AZ28" i="37"/>
  <c r="DL28" i="37" s="1"/>
  <c r="AY28" i="37"/>
  <c r="DK28" i="37" s="1"/>
  <c r="AX28" i="37"/>
  <c r="DJ28" i="37" s="1"/>
  <c r="AW28" i="37"/>
  <c r="DI28" i="37" s="1"/>
  <c r="AV28" i="37"/>
  <c r="DH28" i="37" s="1"/>
  <c r="AU28" i="37"/>
  <c r="DG28" i="37" s="1"/>
  <c r="AT28" i="37"/>
  <c r="DF28" i="37" s="1"/>
  <c r="AS28" i="37"/>
  <c r="DE28" i="37" s="1"/>
  <c r="AR28" i="37"/>
  <c r="DD28" i="37" s="1"/>
  <c r="AQ28" i="37"/>
  <c r="DC28" i="37" s="1"/>
  <c r="AP28" i="37"/>
  <c r="DB28" i="37" s="1"/>
  <c r="AO28" i="37"/>
  <c r="DA28" i="37" s="1"/>
  <c r="AN28" i="37"/>
  <c r="CZ28" i="37" s="1"/>
  <c r="AM28" i="37"/>
  <c r="CY28" i="37" s="1"/>
  <c r="AL28" i="37"/>
  <c r="CX28" i="37" s="1"/>
  <c r="AK28" i="37"/>
  <c r="CW28" i="37" s="1"/>
  <c r="AJ28" i="37"/>
  <c r="CV28" i="37" s="1"/>
  <c r="AI28" i="37"/>
  <c r="CU28" i="37" s="1"/>
  <c r="AH28" i="37"/>
  <c r="CT28" i="37" s="1"/>
  <c r="AG28" i="37"/>
  <c r="CS28" i="37" s="1"/>
  <c r="AF28" i="37"/>
  <c r="CR28" i="37" s="1"/>
  <c r="AE28" i="37"/>
  <c r="CQ28" i="37" s="1"/>
  <c r="AD28" i="37"/>
  <c r="CP28" i="37" s="1"/>
  <c r="AC28" i="37"/>
  <c r="CO28" i="37" s="1"/>
  <c r="AB28" i="37"/>
  <c r="CN28" i="37" s="1"/>
  <c r="AA28" i="37"/>
  <c r="CM28" i="37" s="1"/>
  <c r="Z28" i="37"/>
  <c r="CL28" i="37" s="1"/>
  <c r="Y28" i="37"/>
  <c r="CK28" i="37" s="1"/>
  <c r="X28" i="37"/>
  <c r="CJ28" i="37" s="1"/>
  <c r="W28" i="37"/>
  <c r="CI28" i="37" s="1"/>
  <c r="V28" i="37"/>
  <c r="CH28" i="37" s="1"/>
  <c r="G28" i="37"/>
  <c r="E28" i="37"/>
  <c r="C28" i="37"/>
  <c r="BQ27" i="37"/>
  <c r="EC27" i="37" s="1"/>
  <c r="BP27" i="37"/>
  <c r="EB27" i="37" s="1"/>
  <c r="BO27" i="37"/>
  <c r="EA27" i="37" s="1"/>
  <c r="BN27" i="37"/>
  <c r="DZ27" i="37" s="1"/>
  <c r="BM27" i="37"/>
  <c r="DY27" i="37" s="1"/>
  <c r="BL27" i="37"/>
  <c r="DX27" i="37" s="1"/>
  <c r="BK27" i="37"/>
  <c r="DW27" i="37" s="1"/>
  <c r="BJ27" i="37"/>
  <c r="DV27" i="37" s="1"/>
  <c r="BI27" i="37"/>
  <c r="DU27" i="37" s="1"/>
  <c r="BH27" i="37"/>
  <c r="DT27" i="37" s="1"/>
  <c r="BG27" i="37"/>
  <c r="DS27" i="37" s="1"/>
  <c r="BF27" i="37"/>
  <c r="DR27" i="37" s="1"/>
  <c r="BE27" i="37"/>
  <c r="DQ27" i="37" s="1"/>
  <c r="BD27" i="37"/>
  <c r="DP27" i="37" s="1"/>
  <c r="BC27" i="37"/>
  <c r="DO27" i="37" s="1"/>
  <c r="BB27" i="37"/>
  <c r="DN27" i="37" s="1"/>
  <c r="BA27" i="37"/>
  <c r="DM27" i="37" s="1"/>
  <c r="AZ27" i="37"/>
  <c r="DL27" i="37" s="1"/>
  <c r="AY27" i="37"/>
  <c r="DK27" i="37" s="1"/>
  <c r="AX27" i="37"/>
  <c r="DJ27" i="37" s="1"/>
  <c r="AW27" i="37"/>
  <c r="DI27" i="37" s="1"/>
  <c r="AV27" i="37"/>
  <c r="DH27" i="37" s="1"/>
  <c r="AU27" i="37"/>
  <c r="DG27" i="37" s="1"/>
  <c r="AT27" i="37"/>
  <c r="DF27" i="37" s="1"/>
  <c r="AS27" i="37"/>
  <c r="DE27" i="37" s="1"/>
  <c r="AR27" i="37"/>
  <c r="DD27" i="37" s="1"/>
  <c r="AQ27" i="37"/>
  <c r="DC27" i="37" s="1"/>
  <c r="AP27" i="37"/>
  <c r="DB27" i="37" s="1"/>
  <c r="AO27" i="37"/>
  <c r="DA27" i="37" s="1"/>
  <c r="AN27" i="37"/>
  <c r="CZ27" i="37" s="1"/>
  <c r="AM27" i="37"/>
  <c r="CY27" i="37" s="1"/>
  <c r="AL27" i="37"/>
  <c r="CX27" i="37" s="1"/>
  <c r="AK27" i="37"/>
  <c r="CW27" i="37" s="1"/>
  <c r="AJ27" i="37"/>
  <c r="CV27" i="37" s="1"/>
  <c r="AI27" i="37"/>
  <c r="CU27" i="37" s="1"/>
  <c r="AH27" i="37"/>
  <c r="CT27" i="37" s="1"/>
  <c r="AG27" i="37"/>
  <c r="CS27" i="37" s="1"/>
  <c r="AF27" i="37"/>
  <c r="CR27" i="37" s="1"/>
  <c r="AE27" i="37"/>
  <c r="CQ27" i="37" s="1"/>
  <c r="AD27" i="37"/>
  <c r="CP27" i="37" s="1"/>
  <c r="AC27" i="37"/>
  <c r="CO27" i="37" s="1"/>
  <c r="AB27" i="37"/>
  <c r="CN27" i="37" s="1"/>
  <c r="AA27" i="37"/>
  <c r="CM27" i="37" s="1"/>
  <c r="Z27" i="37"/>
  <c r="CL27" i="37" s="1"/>
  <c r="Y27" i="37"/>
  <c r="CK27" i="37" s="1"/>
  <c r="X27" i="37"/>
  <c r="CJ27" i="37" s="1"/>
  <c r="W27" i="37"/>
  <c r="CI27" i="37" s="1"/>
  <c r="V27" i="37"/>
  <c r="CH27" i="37" s="1"/>
  <c r="G27" i="37"/>
  <c r="E27" i="37"/>
  <c r="C27" i="37"/>
  <c r="BQ26" i="37"/>
  <c r="EC26" i="37" s="1"/>
  <c r="BP26" i="37"/>
  <c r="EB26" i="37" s="1"/>
  <c r="BO26" i="37"/>
  <c r="EA26" i="37" s="1"/>
  <c r="BN26" i="37"/>
  <c r="DZ26" i="37" s="1"/>
  <c r="BM26" i="37"/>
  <c r="DY26" i="37" s="1"/>
  <c r="BL26" i="37"/>
  <c r="DX26" i="37" s="1"/>
  <c r="BK26" i="37"/>
  <c r="DW26" i="37" s="1"/>
  <c r="BJ26" i="37"/>
  <c r="DV26" i="37" s="1"/>
  <c r="BI26" i="37"/>
  <c r="DU26" i="37" s="1"/>
  <c r="BH26" i="37"/>
  <c r="DT26" i="37" s="1"/>
  <c r="BG26" i="37"/>
  <c r="DS26" i="37" s="1"/>
  <c r="BF26" i="37"/>
  <c r="DR26" i="37" s="1"/>
  <c r="BE26" i="37"/>
  <c r="DQ26" i="37" s="1"/>
  <c r="BD26" i="37"/>
  <c r="DP26" i="37" s="1"/>
  <c r="BC26" i="37"/>
  <c r="DO26" i="37" s="1"/>
  <c r="BB26" i="37"/>
  <c r="DN26" i="37" s="1"/>
  <c r="BA26" i="37"/>
  <c r="DM26" i="37" s="1"/>
  <c r="AZ26" i="37"/>
  <c r="DL26" i="37" s="1"/>
  <c r="AY26" i="37"/>
  <c r="DK26" i="37" s="1"/>
  <c r="AX26" i="37"/>
  <c r="DJ26" i="37" s="1"/>
  <c r="AW26" i="37"/>
  <c r="DI26" i="37" s="1"/>
  <c r="AV26" i="37"/>
  <c r="DH26" i="37" s="1"/>
  <c r="AU26" i="37"/>
  <c r="DG26" i="37" s="1"/>
  <c r="AT26" i="37"/>
  <c r="DF26" i="37" s="1"/>
  <c r="AS26" i="37"/>
  <c r="DE26" i="37" s="1"/>
  <c r="AR26" i="37"/>
  <c r="DD26" i="37" s="1"/>
  <c r="AQ26" i="37"/>
  <c r="DC26" i="37" s="1"/>
  <c r="AP26" i="37"/>
  <c r="DB26" i="37" s="1"/>
  <c r="AO26" i="37"/>
  <c r="DA26" i="37" s="1"/>
  <c r="AN26" i="37"/>
  <c r="CZ26" i="37" s="1"/>
  <c r="AM26" i="37"/>
  <c r="CY26" i="37" s="1"/>
  <c r="AL26" i="37"/>
  <c r="CX26" i="37" s="1"/>
  <c r="AK26" i="37"/>
  <c r="CW26" i="37" s="1"/>
  <c r="AJ26" i="37"/>
  <c r="CV26" i="37" s="1"/>
  <c r="AI26" i="37"/>
  <c r="CU26" i="37" s="1"/>
  <c r="AH26" i="37"/>
  <c r="CT26" i="37" s="1"/>
  <c r="AG26" i="37"/>
  <c r="CS26" i="37" s="1"/>
  <c r="AF26" i="37"/>
  <c r="CR26" i="37" s="1"/>
  <c r="AE26" i="37"/>
  <c r="CQ26" i="37" s="1"/>
  <c r="AD26" i="37"/>
  <c r="CP26" i="37" s="1"/>
  <c r="AC26" i="37"/>
  <c r="CO26" i="37" s="1"/>
  <c r="AB26" i="37"/>
  <c r="CN26" i="37" s="1"/>
  <c r="AA26" i="37"/>
  <c r="CM26" i="37" s="1"/>
  <c r="Z26" i="37"/>
  <c r="CL26" i="37" s="1"/>
  <c r="Y26" i="37"/>
  <c r="CK26" i="37" s="1"/>
  <c r="X26" i="37"/>
  <c r="CJ26" i="37" s="1"/>
  <c r="W26" i="37"/>
  <c r="CI26" i="37" s="1"/>
  <c r="V26" i="37"/>
  <c r="CH26" i="37" s="1"/>
  <c r="G26" i="37"/>
  <c r="E26" i="37"/>
  <c r="C26" i="37"/>
  <c r="BQ19" i="37"/>
  <c r="EC19" i="37" s="1"/>
  <c r="BP19" i="37"/>
  <c r="EB19" i="37" s="1"/>
  <c r="BO19" i="37"/>
  <c r="EA19" i="37" s="1"/>
  <c r="BN19" i="37"/>
  <c r="DZ19" i="37" s="1"/>
  <c r="BM19" i="37"/>
  <c r="DY19" i="37" s="1"/>
  <c r="BL19" i="37"/>
  <c r="DX19" i="37" s="1"/>
  <c r="BK19" i="37"/>
  <c r="DW19" i="37" s="1"/>
  <c r="BJ19" i="37"/>
  <c r="DV19" i="37" s="1"/>
  <c r="BI19" i="37"/>
  <c r="DU19" i="37" s="1"/>
  <c r="BH19" i="37"/>
  <c r="DT19" i="37" s="1"/>
  <c r="BG19" i="37"/>
  <c r="DS19" i="37" s="1"/>
  <c r="BF19" i="37"/>
  <c r="DR19" i="37" s="1"/>
  <c r="BE19" i="37"/>
  <c r="DQ19" i="37" s="1"/>
  <c r="BD19" i="37"/>
  <c r="DP19" i="37" s="1"/>
  <c r="BC19" i="37"/>
  <c r="DO19" i="37" s="1"/>
  <c r="BB19" i="37"/>
  <c r="DN19" i="37" s="1"/>
  <c r="BA19" i="37"/>
  <c r="DM19" i="37" s="1"/>
  <c r="AZ19" i="37"/>
  <c r="DL19" i="37" s="1"/>
  <c r="AY19" i="37"/>
  <c r="DK19" i="37" s="1"/>
  <c r="AX19" i="37"/>
  <c r="DJ19" i="37" s="1"/>
  <c r="AW19" i="37"/>
  <c r="DI19" i="37" s="1"/>
  <c r="AV19" i="37"/>
  <c r="DH19" i="37" s="1"/>
  <c r="AU19" i="37"/>
  <c r="DG19" i="37" s="1"/>
  <c r="AT19" i="37"/>
  <c r="DF19" i="37" s="1"/>
  <c r="AS19" i="37"/>
  <c r="DE19" i="37" s="1"/>
  <c r="AR19" i="37"/>
  <c r="DD19" i="37" s="1"/>
  <c r="AQ19" i="37"/>
  <c r="DC19" i="37" s="1"/>
  <c r="AP19" i="37"/>
  <c r="DB19" i="37" s="1"/>
  <c r="AO19" i="37"/>
  <c r="DA19" i="37" s="1"/>
  <c r="AN19" i="37"/>
  <c r="CZ19" i="37" s="1"/>
  <c r="AM19" i="37"/>
  <c r="CY19" i="37" s="1"/>
  <c r="AL19" i="37"/>
  <c r="CX19" i="37" s="1"/>
  <c r="AK19" i="37"/>
  <c r="CW19" i="37" s="1"/>
  <c r="AJ19" i="37"/>
  <c r="CV19" i="37" s="1"/>
  <c r="AI19" i="37"/>
  <c r="CU19" i="37" s="1"/>
  <c r="AH19" i="37"/>
  <c r="CT19" i="37" s="1"/>
  <c r="AG19" i="37"/>
  <c r="CS19" i="37" s="1"/>
  <c r="AF19" i="37"/>
  <c r="CR19" i="37" s="1"/>
  <c r="AE19" i="37"/>
  <c r="CQ19" i="37" s="1"/>
  <c r="AD19" i="37"/>
  <c r="CP19" i="37" s="1"/>
  <c r="AC19" i="37"/>
  <c r="CO19" i="37" s="1"/>
  <c r="AB19" i="37"/>
  <c r="CN19" i="37" s="1"/>
  <c r="AA19" i="37"/>
  <c r="CM19" i="37" s="1"/>
  <c r="Z19" i="37"/>
  <c r="CL19" i="37" s="1"/>
  <c r="Y19" i="37"/>
  <c r="CK19" i="37" s="1"/>
  <c r="X19" i="37"/>
  <c r="CJ19" i="37" s="1"/>
  <c r="W19" i="37"/>
  <c r="CI19" i="37" s="1"/>
  <c r="V19" i="37"/>
  <c r="CH19" i="37" s="1"/>
  <c r="G19" i="37"/>
  <c r="E19" i="37"/>
  <c r="C19" i="37"/>
  <c r="BQ25" i="37"/>
  <c r="EC25" i="37" s="1"/>
  <c r="BP25" i="37"/>
  <c r="EB25" i="37" s="1"/>
  <c r="BO25" i="37"/>
  <c r="EA25" i="37" s="1"/>
  <c r="BN25" i="37"/>
  <c r="DZ25" i="37" s="1"/>
  <c r="BM25" i="37"/>
  <c r="DY25" i="37" s="1"/>
  <c r="BL25" i="37"/>
  <c r="DX25" i="37" s="1"/>
  <c r="BK25" i="37"/>
  <c r="DW25" i="37" s="1"/>
  <c r="BJ25" i="37"/>
  <c r="DV25" i="37" s="1"/>
  <c r="BI25" i="37"/>
  <c r="DU25" i="37" s="1"/>
  <c r="BH25" i="37"/>
  <c r="DT25" i="37" s="1"/>
  <c r="BG25" i="37"/>
  <c r="DS25" i="37" s="1"/>
  <c r="BF25" i="37"/>
  <c r="DR25" i="37" s="1"/>
  <c r="BE25" i="37"/>
  <c r="DQ25" i="37" s="1"/>
  <c r="BD25" i="37"/>
  <c r="DP25" i="37" s="1"/>
  <c r="BC25" i="37"/>
  <c r="DO25" i="37" s="1"/>
  <c r="BB25" i="37"/>
  <c r="DN25" i="37" s="1"/>
  <c r="BA25" i="37"/>
  <c r="DM25" i="37" s="1"/>
  <c r="AZ25" i="37"/>
  <c r="DL25" i="37" s="1"/>
  <c r="AY25" i="37"/>
  <c r="DK25" i="37" s="1"/>
  <c r="AX25" i="37"/>
  <c r="DJ25" i="37" s="1"/>
  <c r="AW25" i="37"/>
  <c r="DI25" i="37" s="1"/>
  <c r="AV25" i="37"/>
  <c r="DH25" i="37" s="1"/>
  <c r="AU25" i="37"/>
  <c r="DG25" i="37" s="1"/>
  <c r="AT25" i="37"/>
  <c r="DF25" i="37" s="1"/>
  <c r="AS25" i="37"/>
  <c r="DE25" i="37" s="1"/>
  <c r="AR25" i="37"/>
  <c r="DD25" i="37" s="1"/>
  <c r="AQ25" i="37"/>
  <c r="DC25" i="37" s="1"/>
  <c r="AP25" i="37"/>
  <c r="DB25" i="37" s="1"/>
  <c r="AO25" i="37"/>
  <c r="DA25" i="37" s="1"/>
  <c r="AN25" i="37"/>
  <c r="CZ25" i="37" s="1"/>
  <c r="AM25" i="37"/>
  <c r="CY25" i="37" s="1"/>
  <c r="AL25" i="37"/>
  <c r="CX25" i="37" s="1"/>
  <c r="AK25" i="37"/>
  <c r="CW25" i="37" s="1"/>
  <c r="AJ25" i="37"/>
  <c r="CV25" i="37" s="1"/>
  <c r="AI25" i="37"/>
  <c r="CU25" i="37" s="1"/>
  <c r="AH25" i="37"/>
  <c r="CT25" i="37" s="1"/>
  <c r="AG25" i="37"/>
  <c r="CS25" i="37" s="1"/>
  <c r="AF25" i="37"/>
  <c r="CR25" i="37" s="1"/>
  <c r="AE25" i="37"/>
  <c r="CQ25" i="37" s="1"/>
  <c r="AD25" i="37"/>
  <c r="CP25" i="37" s="1"/>
  <c r="AC25" i="37"/>
  <c r="CO25" i="37" s="1"/>
  <c r="AB25" i="37"/>
  <c r="CN25" i="37" s="1"/>
  <c r="AA25" i="37"/>
  <c r="CM25" i="37" s="1"/>
  <c r="Z25" i="37"/>
  <c r="CL25" i="37" s="1"/>
  <c r="Y25" i="37"/>
  <c r="CK25" i="37" s="1"/>
  <c r="X25" i="37"/>
  <c r="CJ25" i="37" s="1"/>
  <c r="W25" i="37"/>
  <c r="CI25" i="37" s="1"/>
  <c r="V25" i="37"/>
  <c r="CH25" i="37" s="1"/>
  <c r="G25" i="37"/>
  <c r="E25" i="37"/>
  <c r="C25" i="37"/>
  <c r="BQ24" i="37"/>
  <c r="EC24" i="37" s="1"/>
  <c r="BP24" i="37"/>
  <c r="EB24" i="37" s="1"/>
  <c r="BO24" i="37"/>
  <c r="EA24" i="37" s="1"/>
  <c r="BN24" i="37"/>
  <c r="DZ24" i="37" s="1"/>
  <c r="BM24" i="37"/>
  <c r="DY24" i="37" s="1"/>
  <c r="BL24" i="37"/>
  <c r="DX24" i="37" s="1"/>
  <c r="BK24" i="37"/>
  <c r="DW24" i="37" s="1"/>
  <c r="BJ24" i="37"/>
  <c r="DV24" i="37" s="1"/>
  <c r="BI24" i="37"/>
  <c r="DU24" i="37" s="1"/>
  <c r="BH24" i="37"/>
  <c r="DT24" i="37" s="1"/>
  <c r="BG24" i="37"/>
  <c r="DS24" i="37" s="1"/>
  <c r="BF24" i="37"/>
  <c r="DR24" i="37" s="1"/>
  <c r="BE24" i="37"/>
  <c r="DQ24" i="37" s="1"/>
  <c r="BD24" i="37"/>
  <c r="DP24" i="37" s="1"/>
  <c r="BC24" i="37"/>
  <c r="DO24" i="37" s="1"/>
  <c r="BB24" i="37"/>
  <c r="DN24" i="37" s="1"/>
  <c r="BA24" i="37"/>
  <c r="DM24" i="37" s="1"/>
  <c r="AZ24" i="37"/>
  <c r="DL24" i="37" s="1"/>
  <c r="AY24" i="37"/>
  <c r="DK24" i="37" s="1"/>
  <c r="AX24" i="37"/>
  <c r="DJ24" i="37" s="1"/>
  <c r="AW24" i="37"/>
  <c r="DI24" i="37" s="1"/>
  <c r="AV24" i="37"/>
  <c r="DH24" i="37" s="1"/>
  <c r="AU24" i="37"/>
  <c r="DG24" i="37" s="1"/>
  <c r="AT24" i="37"/>
  <c r="DF24" i="37" s="1"/>
  <c r="AS24" i="37"/>
  <c r="DE24" i="37" s="1"/>
  <c r="AR24" i="37"/>
  <c r="DD24" i="37" s="1"/>
  <c r="AQ24" i="37"/>
  <c r="DC24" i="37" s="1"/>
  <c r="AP24" i="37"/>
  <c r="DB24" i="37" s="1"/>
  <c r="AO24" i="37"/>
  <c r="DA24" i="37" s="1"/>
  <c r="AN24" i="37"/>
  <c r="CZ24" i="37" s="1"/>
  <c r="AM24" i="37"/>
  <c r="CY24" i="37" s="1"/>
  <c r="AL24" i="37"/>
  <c r="CX24" i="37" s="1"/>
  <c r="AK24" i="37"/>
  <c r="CW24" i="37" s="1"/>
  <c r="AJ24" i="37"/>
  <c r="CV24" i="37" s="1"/>
  <c r="AI24" i="37"/>
  <c r="CU24" i="37" s="1"/>
  <c r="AH24" i="37"/>
  <c r="CT24" i="37" s="1"/>
  <c r="AG24" i="37"/>
  <c r="CS24" i="37" s="1"/>
  <c r="AF24" i="37"/>
  <c r="CR24" i="37" s="1"/>
  <c r="AE24" i="37"/>
  <c r="CQ24" i="37" s="1"/>
  <c r="AD24" i="37"/>
  <c r="CP24" i="37" s="1"/>
  <c r="AC24" i="37"/>
  <c r="CO24" i="37" s="1"/>
  <c r="AB24" i="37"/>
  <c r="CN24" i="37" s="1"/>
  <c r="AA24" i="37"/>
  <c r="CM24" i="37" s="1"/>
  <c r="Z24" i="37"/>
  <c r="CL24" i="37" s="1"/>
  <c r="Y24" i="37"/>
  <c r="CK24" i="37" s="1"/>
  <c r="X24" i="37"/>
  <c r="CJ24" i="37" s="1"/>
  <c r="W24" i="37"/>
  <c r="CI24" i="37" s="1"/>
  <c r="V24" i="37"/>
  <c r="CH24" i="37" s="1"/>
  <c r="G24" i="37"/>
  <c r="E24" i="37"/>
  <c r="C24" i="37"/>
  <c r="BQ18" i="37"/>
  <c r="EC18" i="37" s="1"/>
  <c r="BP18" i="37"/>
  <c r="EB18" i="37" s="1"/>
  <c r="BO18" i="37"/>
  <c r="EA18" i="37" s="1"/>
  <c r="BN18" i="37"/>
  <c r="DZ18" i="37" s="1"/>
  <c r="BM18" i="37"/>
  <c r="DY18" i="37" s="1"/>
  <c r="BL18" i="37"/>
  <c r="DX18" i="37" s="1"/>
  <c r="BK18" i="37"/>
  <c r="DW18" i="37" s="1"/>
  <c r="BJ18" i="37"/>
  <c r="DV18" i="37" s="1"/>
  <c r="BI18" i="37"/>
  <c r="DU18" i="37" s="1"/>
  <c r="BH18" i="37"/>
  <c r="DT18" i="37" s="1"/>
  <c r="BG18" i="37"/>
  <c r="DS18" i="37" s="1"/>
  <c r="BF18" i="37"/>
  <c r="DR18" i="37" s="1"/>
  <c r="BE18" i="37"/>
  <c r="DQ18" i="37" s="1"/>
  <c r="BD18" i="37"/>
  <c r="DP18" i="37" s="1"/>
  <c r="BC18" i="37"/>
  <c r="DO18" i="37" s="1"/>
  <c r="BB18" i="37"/>
  <c r="DN18" i="37" s="1"/>
  <c r="BA18" i="37"/>
  <c r="DM18" i="37" s="1"/>
  <c r="AZ18" i="37"/>
  <c r="DL18" i="37" s="1"/>
  <c r="AY18" i="37"/>
  <c r="DK18" i="37" s="1"/>
  <c r="AX18" i="37"/>
  <c r="DJ18" i="37" s="1"/>
  <c r="AW18" i="37"/>
  <c r="DI18" i="37" s="1"/>
  <c r="AV18" i="37"/>
  <c r="DH18" i="37" s="1"/>
  <c r="AU18" i="37"/>
  <c r="DG18" i="37" s="1"/>
  <c r="AT18" i="37"/>
  <c r="DF18" i="37" s="1"/>
  <c r="AS18" i="37"/>
  <c r="DE18" i="37" s="1"/>
  <c r="AR18" i="37"/>
  <c r="DD18" i="37" s="1"/>
  <c r="AQ18" i="37"/>
  <c r="DC18" i="37" s="1"/>
  <c r="AP18" i="37"/>
  <c r="DB18" i="37" s="1"/>
  <c r="AO18" i="37"/>
  <c r="DA18" i="37" s="1"/>
  <c r="AN18" i="37"/>
  <c r="CZ18" i="37" s="1"/>
  <c r="AM18" i="37"/>
  <c r="CY18" i="37" s="1"/>
  <c r="AL18" i="37"/>
  <c r="CX18" i="37" s="1"/>
  <c r="AK18" i="37"/>
  <c r="CW18" i="37" s="1"/>
  <c r="AJ18" i="37"/>
  <c r="CV18" i="37" s="1"/>
  <c r="AI18" i="37"/>
  <c r="CU18" i="37" s="1"/>
  <c r="AH18" i="37"/>
  <c r="CT18" i="37" s="1"/>
  <c r="AG18" i="37"/>
  <c r="CS18" i="37" s="1"/>
  <c r="AF18" i="37"/>
  <c r="CR18" i="37" s="1"/>
  <c r="AE18" i="37"/>
  <c r="CQ18" i="37" s="1"/>
  <c r="AD18" i="37"/>
  <c r="CP18" i="37" s="1"/>
  <c r="AC18" i="37"/>
  <c r="CO18" i="37" s="1"/>
  <c r="AB18" i="37"/>
  <c r="CN18" i="37" s="1"/>
  <c r="AA18" i="37"/>
  <c r="CM18" i="37" s="1"/>
  <c r="Z18" i="37"/>
  <c r="CL18" i="37" s="1"/>
  <c r="Y18" i="37"/>
  <c r="CK18" i="37" s="1"/>
  <c r="X18" i="37"/>
  <c r="CJ18" i="37" s="1"/>
  <c r="W18" i="37"/>
  <c r="CI18" i="37" s="1"/>
  <c r="V18" i="37"/>
  <c r="CH18" i="37" s="1"/>
  <c r="G18" i="37"/>
  <c r="E18" i="37"/>
  <c r="C18" i="37"/>
  <c r="BQ23" i="37"/>
  <c r="EC23" i="37" s="1"/>
  <c r="BP23" i="37"/>
  <c r="EB23" i="37" s="1"/>
  <c r="BO23" i="37"/>
  <c r="EA23" i="37" s="1"/>
  <c r="BN23" i="37"/>
  <c r="DZ23" i="37" s="1"/>
  <c r="BM23" i="37"/>
  <c r="DY23" i="37" s="1"/>
  <c r="BL23" i="37"/>
  <c r="DX23" i="37" s="1"/>
  <c r="BK23" i="37"/>
  <c r="DW23" i="37" s="1"/>
  <c r="BJ23" i="37"/>
  <c r="DV23" i="37" s="1"/>
  <c r="BI23" i="37"/>
  <c r="DU23" i="37" s="1"/>
  <c r="BH23" i="37"/>
  <c r="DT23" i="37" s="1"/>
  <c r="BG23" i="37"/>
  <c r="DS23" i="37" s="1"/>
  <c r="BF23" i="37"/>
  <c r="DR23" i="37" s="1"/>
  <c r="BE23" i="37"/>
  <c r="DQ23" i="37" s="1"/>
  <c r="BD23" i="37"/>
  <c r="DP23" i="37" s="1"/>
  <c r="BC23" i="37"/>
  <c r="DO23" i="37" s="1"/>
  <c r="BB23" i="37"/>
  <c r="DN23" i="37" s="1"/>
  <c r="BA23" i="37"/>
  <c r="DM23" i="37" s="1"/>
  <c r="AZ23" i="37"/>
  <c r="DL23" i="37" s="1"/>
  <c r="AY23" i="37"/>
  <c r="DK23" i="37" s="1"/>
  <c r="AX23" i="37"/>
  <c r="DJ23" i="37" s="1"/>
  <c r="AW23" i="37"/>
  <c r="DI23" i="37" s="1"/>
  <c r="AV23" i="37"/>
  <c r="DH23" i="37" s="1"/>
  <c r="AU23" i="37"/>
  <c r="DG23" i="37" s="1"/>
  <c r="AT23" i="37"/>
  <c r="DF23" i="37" s="1"/>
  <c r="AS23" i="37"/>
  <c r="DE23" i="37" s="1"/>
  <c r="AR23" i="37"/>
  <c r="DD23" i="37" s="1"/>
  <c r="AQ23" i="37"/>
  <c r="DC23" i="37" s="1"/>
  <c r="AP23" i="37"/>
  <c r="DB23" i="37" s="1"/>
  <c r="AO23" i="37"/>
  <c r="DA23" i="37" s="1"/>
  <c r="AN23" i="37"/>
  <c r="CZ23" i="37" s="1"/>
  <c r="AM23" i="37"/>
  <c r="CY23" i="37" s="1"/>
  <c r="AL23" i="37"/>
  <c r="CX23" i="37" s="1"/>
  <c r="AK23" i="37"/>
  <c r="CW23" i="37" s="1"/>
  <c r="AJ23" i="37"/>
  <c r="CV23" i="37" s="1"/>
  <c r="AI23" i="37"/>
  <c r="CU23" i="37" s="1"/>
  <c r="AH23" i="37"/>
  <c r="CT23" i="37" s="1"/>
  <c r="AG23" i="37"/>
  <c r="CS23" i="37" s="1"/>
  <c r="AF23" i="37"/>
  <c r="CR23" i="37" s="1"/>
  <c r="AE23" i="37"/>
  <c r="CQ23" i="37" s="1"/>
  <c r="AD23" i="37"/>
  <c r="CP23" i="37" s="1"/>
  <c r="AC23" i="37"/>
  <c r="CO23" i="37" s="1"/>
  <c r="AB23" i="37"/>
  <c r="CN23" i="37" s="1"/>
  <c r="AA23" i="37"/>
  <c r="CM23" i="37" s="1"/>
  <c r="Z23" i="37"/>
  <c r="CL23" i="37" s="1"/>
  <c r="Y23" i="37"/>
  <c r="CK23" i="37" s="1"/>
  <c r="X23" i="37"/>
  <c r="CJ23" i="37" s="1"/>
  <c r="W23" i="37"/>
  <c r="CI23" i="37" s="1"/>
  <c r="V23" i="37"/>
  <c r="CH23" i="37" s="1"/>
  <c r="G23" i="37"/>
  <c r="E23" i="37"/>
  <c r="C23" i="37"/>
  <c r="BQ22" i="37"/>
  <c r="EC22" i="37" s="1"/>
  <c r="BP22" i="37"/>
  <c r="EB22" i="37" s="1"/>
  <c r="BO22" i="37"/>
  <c r="EA22" i="37" s="1"/>
  <c r="BN22" i="37"/>
  <c r="DZ22" i="37" s="1"/>
  <c r="BM22" i="37"/>
  <c r="DY22" i="37" s="1"/>
  <c r="BL22" i="37"/>
  <c r="DX22" i="37" s="1"/>
  <c r="BK22" i="37"/>
  <c r="DW22" i="37" s="1"/>
  <c r="BJ22" i="37"/>
  <c r="DV22" i="37" s="1"/>
  <c r="BI22" i="37"/>
  <c r="DU22" i="37" s="1"/>
  <c r="BH22" i="37"/>
  <c r="DT22" i="37" s="1"/>
  <c r="BG22" i="37"/>
  <c r="DS22" i="37" s="1"/>
  <c r="BF22" i="37"/>
  <c r="DR22" i="37" s="1"/>
  <c r="BE22" i="37"/>
  <c r="DQ22" i="37" s="1"/>
  <c r="BD22" i="37"/>
  <c r="DP22" i="37" s="1"/>
  <c r="BC22" i="37"/>
  <c r="DO22" i="37" s="1"/>
  <c r="BB22" i="37"/>
  <c r="DN22" i="37" s="1"/>
  <c r="BA22" i="37"/>
  <c r="DM22" i="37" s="1"/>
  <c r="AZ22" i="37"/>
  <c r="DL22" i="37" s="1"/>
  <c r="AY22" i="37"/>
  <c r="DK22" i="37" s="1"/>
  <c r="AX22" i="37"/>
  <c r="DJ22" i="37" s="1"/>
  <c r="AW22" i="37"/>
  <c r="DI22" i="37" s="1"/>
  <c r="AV22" i="37"/>
  <c r="DH22" i="37" s="1"/>
  <c r="AU22" i="37"/>
  <c r="DG22" i="37" s="1"/>
  <c r="AT22" i="37"/>
  <c r="DF22" i="37" s="1"/>
  <c r="AS22" i="37"/>
  <c r="DE22" i="37" s="1"/>
  <c r="AR22" i="37"/>
  <c r="DD22" i="37" s="1"/>
  <c r="AQ22" i="37"/>
  <c r="DC22" i="37" s="1"/>
  <c r="AP22" i="37"/>
  <c r="DB22" i="37" s="1"/>
  <c r="AO22" i="37"/>
  <c r="DA22" i="37" s="1"/>
  <c r="AN22" i="37"/>
  <c r="CZ22" i="37" s="1"/>
  <c r="AM22" i="37"/>
  <c r="CY22" i="37" s="1"/>
  <c r="AL22" i="37"/>
  <c r="CX22" i="37" s="1"/>
  <c r="AK22" i="37"/>
  <c r="CW22" i="37" s="1"/>
  <c r="AJ22" i="37"/>
  <c r="CV22" i="37" s="1"/>
  <c r="AI22" i="37"/>
  <c r="CU22" i="37" s="1"/>
  <c r="AH22" i="37"/>
  <c r="CT22" i="37" s="1"/>
  <c r="AG22" i="37"/>
  <c r="CS22" i="37" s="1"/>
  <c r="AF22" i="37"/>
  <c r="CR22" i="37" s="1"/>
  <c r="AE22" i="37"/>
  <c r="CQ22" i="37" s="1"/>
  <c r="AD22" i="37"/>
  <c r="CP22" i="37" s="1"/>
  <c r="AC22" i="37"/>
  <c r="CO22" i="37" s="1"/>
  <c r="AB22" i="37"/>
  <c r="CN22" i="37" s="1"/>
  <c r="AA22" i="37"/>
  <c r="CM22" i="37" s="1"/>
  <c r="Z22" i="37"/>
  <c r="CL22" i="37" s="1"/>
  <c r="Y22" i="37"/>
  <c r="CK22" i="37" s="1"/>
  <c r="X22" i="37"/>
  <c r="CJ22" i="37" s="1"/>
  <c r="W22" i="37"/>
  <c r="CI22" i="37" s="1"/>
  <c r="V22" i="37"/>
  <c r="CH22" i="37" s="1"/>
  <c r="G22" i="37"/>
  <c r="E22" i="37"/>
  <c r="C22" i="37"/>
  <c r="BQ21" i="37"/>
  <c r="EC21" i="37" s="1"/>
  <c r="BP21" i="37"/>
  <c r="EB21" i="37" s="1"/>
  <c r="BO21" i="37"/>
  <c r="EA21" i="37" s="1"/>
  <c r="BN21" i="37"/>
  <c r="DZ21" i="37" s="1"/>
  <c r="BM21" i="37"/>
  <c r="DY21" i="37" s="1"/>
  <c r="BL21" i="37"/>
  <c r="DX21" i="37" s="1"/>
  <c r="BK21" i="37"/>
  <c r="DW21" i="37" s="1"/>
  <c r="BJ21" i="37"/>
  <c r="DV21" i="37" s="1"/>
  <c r="BI21" i="37"/>
  <c r="DU21" i="37" s="1"/>
  <c r="BH21" i="37"/>
  <c r="DT21" i="37" s="1"/>
  <c r="BG21" i="37"/>
  <c r="DS21" i="37" s="1"/>
  <c r="BF21" i="37"/>
  <c r="DR21" i="37" s="1"/>
  <c r="BE21" i="37"/>
  <c r="DQ21" i="37" s="1"/>
  <c r="BD21" i="37"/>
  <c r="DP21" i="37" s="1"/>
  <c r="BC21" i="37"/>
  <c r="DO21" i="37" s="1"/>
  <c r="BB21" i="37"/>
  <c r="DN21" i="37" s="1"/>
  <c r="BA21" i="37"/>
  <c r="DM21" i="37" s="1"/>
  <c r="AZ21" i="37"/>
  <c r="DL21" i="37" s="1"/>
  <c r="AY21" i="37"/>
  <c r="DK21" i="37" s="1"/>
  <c r="AX21" i="37"/>
  <c r="DJ21" i="37" s="1"/>
  <c r="AW21" i="37"/>
  <c r="DI21" i="37" s="1"/>
  <c r="AV21" i="37"/>
  <c r="DH21" i="37" s="1"/>
  <c r="AU21" i="37"/>
  <c r="DG21" i="37" s="1"/>
  <c r="AT21" i="37"/>
  <c r="DF21" i="37" s="1"/>
  <c r="AS21" i="37"/>
  <c r="DE21" i="37" s="1"/>
  <c r="AR21" i="37"/>
  <c r="DD21" i="37" s="1"/>
  <c r="AQ21" i="37"/>
  <c r="DC21" i="37" s="1"/>
  <c r="AP21" i="37"/>
  <c r="DB21" i="37" s="1"/>
  <c r="AO21" i="37"/>
  <c r="DA21" i="37" s="1"/>
  <c r="AN21" i="37"/>
  <c r="CZ21" i="37" s="1"/>
  <c r="AM21" i="37"/>
  <c r="CY21" i="37" s="1"/>
  <c r="AL21" i="37"/>
  <c r="CX21" i="37" s="1"/>
  <c r="AK21" i="37"/>
  <c r="CW21" i="37" s="1"/>
  <c r="AJ21" i="37"/>
  <c r="CV21" i="37" s="1"/>
  <c r="AI21" i="37"/>
  <c r="CU21" i="37" s="1"/>
  <c r="AH21" i="37"/>
  <c r="CT21" i="37" s="1"/>
  <c r="AG21" i="37"/>
  <c r="CS21" i="37" s="1"/>
  <c r="AF21" i="37"/>
  <c r="CR21" i="37" s="1"/>
  <c r="AE21" i="37"/>
  <c r="CQ21" i="37" s="1"/>
  <c r="AD21" i="37"/>
  <c r="CP21" i="37" s="1"/>
  <c r="AC21" i="37"/>
  <c r="CO21" i="37" s="1"/>
  <c r="AB21" i="37"/>
  <c r="CN21" i="37" s="1"/>
  <c r="AA21" i="37"/>
  <c r="CM21" i="37" s="1"/>
  <c r="Z21" i="37"/>
  <c r="CL21" i="37" s="1"/>
  <c r="Y21" i="37"/>
  <c r="CK21" i="37" s="1"/>
  <c r="X21" i="37"/>
  <c r="CJ21" i="37" s="1"/>
  <c r="W21" i="37"/>
  <c r="CI21" i="37" s="1"/>
  <c r="V21" i="37"/>
  <c r="CH21" i="37" s="1"/>
  <c r="G21" i="37"/>
  <c r="E21" i="37"/>
  <c r="C21" i="37"/>
  <c r="BQ10" i="37"/>
  <c r="EC10" i="37" s="1"/>
  <c r="BP10" i="37"/>
  <c r="EB10" i="37" s="1"/>
  <c r="BO10" i="37"/>
  <c r="EA10" i="37" s="1"/>
  <c r="BN10" i="37"/>
  <c r="DZ10" i="37" s="1"/>
  <c r="BM10" i="37"/>
  <c r="DY10" i="37" s="1"/>
  <c r="BL10" i="37"/>
  <c r="DX10" i="37" s="1"/>
  <c r="BK10" i="37"/>
  <c r="DW10" i="37" s="1"/>
  <c r="BJ10" i="37"/>
  <c r="DV10" i="37" s="1"/>
  <c r="BI10" i="37"/>
  <c r="DU10" i="37" s="1"/>
  <c r="BH10" i="37"/>
  <c r="DT10" i="37" s="1"/>
  <c r="BG10" i="37"/>
  <c r="DS10" i="37" s="1"/>
  <c r="BF10" i="37"/>
  <c r="DR10" i="37" s="1"/>
  <c r="BE10" i="37"/>
  <c r="DQ10" i="37" s="1"/>
  <c r="BD10" i="37"/>
  <c r="DP10" i="37" s="1"/>
  <c r="BC10" i="37"/>
  <c r="DO10" i="37" s="1"/>
  <c r="BB10" i="37"/>
  <c r="DN10" i="37" s="1"/>
  <c r="BA10" i="37"/>
  <c r="DM10" i="37" s="1"/>
  <c r="AZ10" i="37"/>
  <c r="DL10" i="37" s="1"/>
  <c r="AY10" i="37"/>
  <c r="DK10" i="37" s="1"/>
  <c r="AX10" i="37"/>
  <c r="DJ10" i="37" s="1"/>
  <c r="AW10" i="37"/>
  <c r="DI10" i="37" s="1"/>
  <c r="AV10" i="37"/>
  <c r="DH10" i="37" s="1"/>
  <c r="AU10" i="37"/>
  <c r="DG10" i="37" s="1"/>
  <c r="AT10" i="37"/>
  <c r="DF10" i="37" s="1"/>
  <c r="AS10" i="37"/>
  <c r="DE10" i="37" s="1"/>
  <c r="AR10" i="37"/>
  <c r="DD10" i="37" s="1"/>
  <c r="AQ10" i="37"/>
  <c r="DC10" i="37" s="1"/>
  <c r="AP10" i="37"/>
  <c r="DB10" i="37" s="1"/>
  <c r="AO10" i="37"/>
  <c r="DA10" i="37" s="1"/>
  <c r="AN10" i="37"/>
  <c r="CZ10" i="37" s="1"/>
  <c r="AM10" i="37"/>
  <c r="CY10" i="37" s="1"/>
  <c r="AL10" i="37"/>
  <c r="CX10" i="37" s="1"/>
  <c r="AK10" i="37"/>
  <c r="CW10" i="37" s="1"/>
  <c r="AJ10" i="37"/>
  <c r="CV10" i="37" s="1"/>
  <c r="AI10" i="37"/>
  <c r="CU10" i="37" s="1"/>
  <c r="AH10" i="37"/>
  <c r="CT10" i="37" s="1"/>
  <c r="AG10" i="37"/>
  <c r="CS10" i="37" s="1"/>
  <c r="AF10" i="37"/>
  <c r="CR10" i="37" s="1"/>
  <c r="AE10" i="37"/>
  <c r="CQ10" i="37" s="1"/>
  <c r="AD10" i="37"/>
  <c r="CP10" i="37" s="1"/>
  <c r="AC10" i="37"/>
  <c r="CO10" i="37" s="1"/>
  <c r="AB10" i="37"/>
  <c r="CN10" i="37" s="1"/>
  <c r="AA10" i="37"/>
  <c r="CM10" i="37" s="1"/>
  <c r="Z10" i="37"/>
  <c r="CL10" i="37" s="1"/>
  <c r="Y10" i="37"/>
  <c r="CK10" i="37" s="1"/>
  <c r="X10" i="37"/>
  <c r="CJ10" i="37" s="1"/>
  <c r="W10" i="37"/>
  <c r="CI10" i="37" s="1"/>
  <c r="V10" i="37"/>
  <c r="CH10" i="37" s="1"/>
  <c r="G10" i="37"/>
  <c r="E10" i="37"/>
  <c r="C10" i="37"/>
  <c r="BQ13" i="37"/>
  <c r="EC13" i="37" s="1"/>
  <c r="BP13" i="37"/>
  <c r="EB13" i="37" s="1"/>
  <c r="BO13" i="37"/>
  <c r="EA13" i="37" s="1"/>
  <c r="BN13" i="37"/>
  <c r="DZ13" i="37" s="1"/>
  <c r="BM13" i="37"/>
  <c r="DY13" i="37" s="1"/>
  <c r="BL13" i="37"/>
  <c r="DX13" i="37" s="1"/>
  <c r="BK13" i="37"/>
  <c r="DW13" i="37" s="1"/>
  <c r="BJ13" i="37"/>
  <c r="DV13" i="37" s="1"/>
  <c r="BI13" i="37"/>
  <c r="DU13" i="37" s="1"/>
  <c r="BH13" i="37"/>
  <c r="DT13" i="37" s="1"/>
  <c r="BG13" i="37"/>
  <c r="DS13" i="37" s="1"/>
  <c r="BF13" i="37"/>
  <c r="DR13" i="37" s="1"/>
  <c r="BE13" i="37"/>
  <c r="DQ13" i="37" s="1"/>
  <c r="BD13" i="37"/>
  <c r="DP13" i="37" s="1"/>
  <c r="BC13" i="37"/>
  <c r="DO13" i="37" s="1"/>
  <c r="BB13" i="37"/>
  <c r="DN13" i="37" s="1"/>
  <c r="BA13" i="37"/>
  <c r="DM13" i="37" s="1"/>
  <c r="AZ13" i="37"/>
  <c r="DL13" i="37" s="1"/>
  <c r="AY13" i="37"/>
  <c r="DK13" i="37" s="1"/>
  <c r="AX13" i="37"/>
  <c r="DJ13" i="37" s="1"/>
  <c r="AW13" i="37"/>
  <c r="DI13" i="37" s="1"/>
  <c r="AV13" i="37"/>
  <c r="DH13" i="37" s="1"/>
  <c r="AU13" i="37"/>
  <c r="DG13" i="37" s="1"/>
  <c r="AT13" i="37"/>
  <c r="DF13" i="37" s="1"/>
  <c r="AS13" i="37"/>
  <c r="DE13" i="37" s="1"/>
  <c r="AR13" i="37"/>
  <c r="DD13" i="37" s="1"/>
  <c r="AQ13" i="37"/>
  <c r="DC13" i="37" s="1"/>
  <c r="AP13" i="37"/>
  <c r="DB13" i="37" s="1"/>
  <c r="AO13" i="37"/>
  <c r="DA13" i="37" s="1"/>
  <c r="AN13" i="37"/>
  <c r="CZ13" i="37" s="1"/>
  <c r="AM13" i="37"/>
  <c r="CY13" i="37" s="1"/>
  <c r="AL13" i="37"/>
  <c r="CX13" i="37" s="1"/>
  <c r="AK13" i="37"/>
  <c r="CW13" i="37" s="1"/>
  <c r="AJ13" i="37"/>
  <c r="CV13" i="37" s="1"/>
  <c r="AI13" i="37"/>
  <c r="CU13" i="37" s="1"/>
  <c r="AH13" i="37"/>
  <c r="CT13" i="37" s="1"/>
  <c r="AG13" i="37"/>
  <c r="CS13" i="37" s="1"/>
  <c r="AF13" i="37"/>
  <c r="CR13" i="37" s="1"/>
  <c r="AE13" i="37"/>
  <c r="CQ13" i="37" s="1"/>
  <c r="AD13" i="37"/>
  <c r="CP13" i="37" s="1"/>
  <c r="AC13" i="37"/>
  <c r="CO13" i="37" s="1"/>
  <c r="AB13" i="37"/>
  <c r="CN13" i="37" s="1"/>
  <c r="AA13" i="37"/>
  <c r="CM13" i="37" s="1"/>
  <c r="Z13" i="37"/>
  <c r="CL13" i="37" s="1"/>
  <c r="Y13" i="37"/>
  <c r="CK13" i="37" s="1"/>
  <c r="X13" i="37"/>
  <c r="CJ13" i="37" s="1"/>
  <c r="W13" i="37"/>
  <c r="CI13" i="37" s="1"/>
  <c r="V13" i="37"/>
  <c r="CH13" i="37" s="1"/>
  <c r="G13" i="37"/>
  <c r="E13" i="37"/>
  <c r="C13" i="37"/>
  <c r="BQ37" i="37"/>
  <c r="EC37" i="37" s="1"/>
  <c r="BP37" i="37"/>
  <c r="EB37" i="37" s="1"/>
  <c r="BO37" i="37"/>
  <c r="EA37" i="37" s="1"/>
  <c r="BN37" i="37"/>
  <c r="DZ37" i="37" s="1"/>
  <c r="BM37" i="37"/>
  <c r="DY37" i="37" s="1"/>
  <c r="BL37" i="37"/>
  <c r="DX37" i="37" s="1"/>
  <c r="BK37" i="37"/>
  <c r="DW37" i="37" s="1"/>
  <c r="BJ37" i="37"/>
  <c r="DV37" i="37" s="1"/>
  <c r="BI37" i="37"/>
  <c r="DU37" i="37" s="1"/>
  <c r="BH37" i="37"/>
  <c r="DT37" i="37" s="1"/>
  <c r="BG37" i="37"/>
  <c r="DS37" i="37" s="1"/>
  <c r="BF37" i="37"/>
  <c r="DR37" i="37" s="1"/>
  <c r="BE37" i="37"/>
  <c r="DQ37" i="37" s="1"/>
  <c r="BD37" i="37"/>
  <c r="DP37" i="37" s="1"/>
  <c r="BC37" i="37"/>
  <c r="DO37" i="37" s="1"/>
  <c r="BB37" i="37"/>
  <c r="DN37" i="37" s="1"/>
  <c r="BA37" i="37"/>
  <c r="DM37" i="37" s="1"/>
  <c r="AZ37" i="37"/>
  <c r="DL37" i="37" s="1"/>
  <c r="AY37" i="37"/>
  <c r="DK37" i="37" s="1"/>
  <c r="AX37" i="37"/>
  <c r="DJ37" i="37" s="1"/>
  <c r="AW37" i="37"/>
  <c r="DI37" i="37" s="1"/>
  <c r="AV37" i="37"/>
  <c r="DH37" i="37" s="1"/>
  <c r="AU37" i="37"/>
  <c r="DG37" i="37" s="1"/>
  <c r="AT37" i="37"/>
  <c r="DF37" i="37" s="1"/>
  <c r="AS37" i="37"/>
  <c r="DE37" i="37" s="1"/>
  <c r="AR37" i="37"/>
  <c r="DD37" i="37" s="1"/>
  <c r="AQ37" i="37"/>
  <c r="DC37" i="37" s="1"/>
  <c r="AP37" i="37"/>
  <c r="DB37" i="37" s="1"/>
  <c r="AO37" i="37"/>
  <c r="DA37" i="37" s="1"/>
  <c r="AN37" i="37"/>
  <c r="CZ37" i="37" s="1"/>
  <c r="AM37" i="37"/>
  <c r="CY37" i="37" s="1"/>
  <c r="AL37" i="37"/>
  <c r="CX37" i="37" s="1"/>
  <c r="AK37" i="37"/>
  <c r="CW37" i="37" s="1"/>
  <c r="AJ37" i="37"/>
  <c r="CV37" i="37" s="1"/>
  <c r="AI37" i="37"/>
  <c r="CU37" i="37" s="1"/>
  <c r="AH37" i="37"/>
  <c r="CT37" i="37" s="1"/>
  <c r="AG37" i="37"/>
  <c r="CS37" i="37" s="1"/>
  <c r="AF37" i="37"/>
  <c r="CR37" i="37" s="1"/>
  <c r="AE37" i="37"/>
  <c r="CQ37" i="37" s="1"/>
  <c r="G37" i="37"/>
  <c r="AC37" i="37"/>
  <c r="CO37" i="37" s="1"/>
  <c r="E37" i="37"/>
  <c r="C37" i="37"/>
  <c r="BQ32" i="37"/>
  <c r="EC32" i="37" s="1"/>
  <c r="BP32" i="37"/>
  <c r="EB32" i="37" s="1"/>
  <c r="BO32" i="37"/>
  <c r="EA32" i="37" s="1"/>
  <c r="BN32" i="37"/>
  <c r="DZ32" i="37" s="1"/>
  <c r="BM32" i="37"/>
  <c r="DY32" i="37" s="1"/>
  <c r="BL32" i="37"/>
  <c r="DX32" i="37" s="1"/>
  <c r="BK32" i="37"/>
  <c r="DW32" i="37" s="1"/>
  <c r="BJ32" i="37"/>
  <c r="DV32" i="37" s="1"/>
  <c r="BI32" i="37"/>
  <c r="DU32" i="37" s="1"/>
  <c r="BH32" i="37"/>
  <c r="DT32" i="37" s="1"/>
  <c r="BG32" i="37"/>
  <c r="DS32" i="37" s="1"/>
  <c r="BF32" i="37"/>
  <c r="DR32" i="37" s="1"/>
  <c r="BE32" i="37"/>
  <c r="DQ32" i="37" s="1"/>
  <c r="BD32" i="37"/>
  <c r="DP32" i="37" s="1"/>
  <c r="BC32" i="37"/>
  <c r="DO32" i="37" s="1"/>
  <c r="BB32" i="37"/>
  <c r="DN32" i="37" s="1"/>
  <c r="BA32" i="37"/>
  <c r="DM32" i="37" s="1"/>
  <c r="AZ32" i="37"/>
  <c r="DL32" i="37" s="1"/>
  <c r="AY32" i="37"/>
  <c r="DK32" i="37" s="1"/>
  <c r="AX32" i="37"/>
  <c r="DJ32" i="37" s="1"/>
  <c r="AW32" i="37"/>
  <c r="DI32" i="37" s="1"/>
  <c r="AV32" i="37"/>
  <c r="DH32" i="37" s="1"/>
  <c r="AU32" i="37"/>
  <c r="DG32" i="37" s="1"/>
  <c r="AT32" i="37"/>
  <c r="DF32" i="37" s="1"/>
  <c r="AS32" i="37"/>
  <c r="DE32" i="37" s="1"/>
  <c r="AR32" i="37"/>
  <c r="DD32" i="37" s="1"/>
  <c r="AQ32" i="37"/>
  <c r="DC32" i="37" s="1"/>
  <c r="AP32" i="37"/>
  <c r="DB32" i="37" s="1"/>
  <c r="AO32" i="37"/>
  <c r="DA32" i="37" s="1"/>
  <c r="AN32" i="37"/>
  <c r="CZ32" i="37" s="1"/>
  <c r="AM32" i="37"/>
  <c r="CY32" i="37" s="1"/>
  <c r="AL32" i="37"/>
  <c r="CX32" i="37" s="1"/>
  <c r="AK32" i="37"/>
  <c r="CW32" i="37" s="1"/>
  <c r="AJ32" i="37"/>
  <c r="CV32" i="37" s="1"/>
  <c r="AI32" i="37"/>
  <c r="CU32" i="37" s="1"/>
  <c r="AH32" i="37"/>
  <c r="CT32" i="37" s="1"/>
  <c r="AG32" i="37"/>
  <c r="CS32" i="37" s="1"/>
  <c r="AF32" i="37"/>
  <c r="CR32" i="37" s="1"/>
  <c r="AE32" i="37"/>
  <c r="CQ32" i="37" s="1"/>
  <c r="G32" i="37"/>
  <c r="AC32" i="37"/>
  <c r="CO32" i="37" s="1"/>
  <c r="E32" i="37"/>
  <c r="C32" i="37"/>
  <c r="BQ8" i="37"/>
  <c r="EC8" i="37" s="1"/>
  <c r="BP8" i="37"/>
  <c r="EB8" i="37" s="1"/>
  <c r="BO8" i="37"/>
  <c r="EA8" i="37" s="1"/>
  <c r="BN8" i="37"/>
  <c r="DZ8" i="37" s="1"/>
  <c r="BM8" i="37"/>
  <c r="DY8" i="37" s="1"/>
  <c r="BL8" i="37"/>
  <c r="DX8" i="37" s="1"/>
  <c r="BK8" i="37"/>
  <c r="DW8" i="37" s="1"/>
  <c r="BJ8" i="37"/>
  <c r="DV8" i="37" s="1"/>
  <c r="BI8" i="37"/>
  <c r="DU8" i="37" s="1"/>
  <c r="BH8" i="37"/>
  <c r="DT8" i="37" s="1"/>
  <c r="BG8" i="37"/>
  <c r="DS8" i="37" s="1"/>
  <c r="BF8" i="37"/>
  <c r="DR8" i="37" s="1"/>
  <c r="BE8" i="37"/>
  <c r="DQ8" i="37" s="1"/>
  <c r="BD8" i="37"/>
  <c r="DP8" i="37" s="1"/>
  <c r="BC8" i="37"/>
  <c r="DO8" i="37" s="1"/>
  <c r="BB8" i="37"/>
  <c r="DN8" i="37" s="1"/>
  <c r="BA8" i="37"/>
  <c r="DM8" i="37" s="1"/>
  <c r="AZ8" i="37"/>
  <c r="DL8" i="37" s="1"/>
  <c r="AY8" i="37"/>
  <c r="DK8" i="37" s="1"/>
  <c r="AX8" i="37"/>
  <c r="DJ8" i="37" s="1"/>
  <c r="AW8" i="37"/>
  <c r="DI8" i="37" s="1"/>
  <c r="AV8" i="37"/>
  <c r="DH8" i="37" s="1"/>
  <c r="AU8" i="37"/>
  <c r="DG8" i="37" s="1"/>
  <c r="AT8" i="37"/>
  <c r="DF8" i="37" s="1"/>
  <c r="AS8" i="37"/>
  <c r="DE8" i="37" s="1"/>
  <c r="AR8" i="37"/>
  <c r="DD8" i="37" s="1"/>
  <c r="AQ8" i="37"/>
  <c r="DC8" i="37" s="1"/>
  <c r="AP8" i="37"/>
  <c r="DB8" i="37" s="1"/>
  <c r="AO8" i="37"/>
  <c r="DA8" i="37" s="1"/>
  <c r="AN8" i="37"/>
  <c r="CZ8" i="37" s="1"/>
  <c r="AM8" i="37"/>
  <c r="CY8" i="37" s="1"/>
  <c r="AL8" i="37"/>
  <c r="CX8" i="37" s="1"/>
  <c r="AK8" i="37"/>
  <c r="CW8" i="37" s="1"/>
  <c r="AJ8" i="37"/>
  <c r="CV8" i="37" s="1"/>
  <c r="AI8" i="37"/>
  <c r="CU8" i="37" s="1"/>
  <c r="AH8" i="37"/>
  <c r="CT8" i="37" s="1"/>
  <c r="AG8" i="37"/>
  <c r="CS8" i="37" s="1"/>
  <c r="AF8" i="37"/>
  <c r="CR8" i="37" s="1"/>
  <c r="AE8" i="37"/>
  <c r="CQ8" i="37" s="1"/>
  <c r="G8" i="37"/>
  <c r="E8" i="37"/>
  <c r="C8" i="37"/>
  <c r="BQ33" i="37"/>
  <c r="EC33" i="37" s="1"/>
  <c r="BP33" i="37"/>
  <c r="EB33" i="37" s="1"/>
  <c r="BO33" i="37"/>
  <c r="EA33" i="37" s="1"/>
  <c r="BN33" i="37"/>
  <c r="DZ33" i="37" s="1"/>
  <c r="BM33" i="37"/>
  <c r="DY33" i="37" s="1"/>
  <c r="BL33" i="37"/>
  <c r="DX33" i="37" s="1"/>
  <c r="BK33" i="37"/>
  <c r="DW33" i="37" s="1"/>
  <c r="BJ33" i="37"/>
  <c r="DV33" i="37" s="1"/>
  <c r="BI33" i="37"/>
  <c r="DU33" i="37" s="1"/>
  <c r="BH33" i="37"/>
  <c r="DT33" i="37" s="1"/>
  <c r="BG33" i="37"/>
  <c r="DS33" i="37" s="1"/>
  <c r="BF33" i="37"/>
  <c r="DR33" i="37" s="1"/>
  <c r="BE33" i="37"/>
  <c r="DQ33" i="37" s="1"/>
  <c r="BD33" i="37"/>
  <c r="DP33" i="37" s="1"/>
  <c r="BC33" i="37"/>
  <c r="DO33" i="37" s="1"/>
  <c r="BB33" i="37"/>
  <c r="DN33" i="37" s="1"/>
  <c r="BA33" i="37"/>
  <c r="DM33" i="37" s="1"/>
  <c r="AZ33" i="37"/>
  <c r="DL33" i="37" s="1"/>
  <c r="AY33" i="37"/>
  <c r="DK33" i="37" s="1"/>
  <c r="AX33" i="37"/>
  <c r="DJ33" i="37" s="1"/>
  <c r="AW33" i="37"/>
  <c r="DI33" i="37" s="1"/>
  <c r="AV33" i="37"/>
  <c r="DH33" i="37" s="1"/>
  <c r="AU33" i="37"/>
  <c r="DG33" i="37" s="1"/>
  <c r="AT33" i="37"/>
  <c r="DF33" i="37" s="1"/>
  <c r="AS33" i="37"/>
  <c r="DE33" i="37" s="1"/>
  <c r="AR33" i="37"/>
  <c r="DD33" i="37" s="1"/>
  <c r="AQ33" i="37"/>
  <c r="DC33" i="37" s="1"/>
  <c r="AP33" i="37"/>
  <c r="DB33" i="37" s="1"/>
  <c r="AO33" i="37"/>
  <c r="DA33" i="37" s="1"/>
  <c r="AN33" i="37"/>
  <c r="CZ33" i="37" s="1"/>
  <c r="AM33" i="37"/>
  <c r="CY33" i="37" s="1"/>
  <c r="AL33" i="37"/>
  <c r="CX33" i="37" s="1"/>
  <c r="AK33" i="37"/>
  <c r="CW33" i="37" s="1"/>
  <c r="AJ33" i="37"/>
  <c r="CV33" i="37" s="1"/>
  <c r="AI33" i="37"/>
  <c r="CU33" i="37" s="1"/>
  <c r="AH33" i="37"/>
  <c r="CT33" i="37" s="1"/>
  <c r="AG33" i="37"/>
  <c r="CS33" i="37" s="1"/>
  <c r="AF33" i="37"/>
  <c r="CR33" i="37" s="1"/>
  <c r="AE33" i="37"/>
  <c r="CQ33" i="37" s="1"/>
  <c r="G33" i="37"/>
  <c r="AC33" i="37"/>
  <c r="CO33" i="37" s="1"/>
  <c r="E33" i="37"/>
  <c r="C33" i="37"/>
  <c r="BQ34" i="37"/>
  <c r="EC34" i="37" s="1"/>
  <c r="BP34" i="37"/>
  <c r="EB34" i="37" s="1"/>
  <c r="BO34" i="37"/>
  <c r="EA34" i="37" s="1"/>
  <c r="BN34" i="37"/>
  <c r="DZ34" i="37" s="1"/>
  <c r="BM34" i="37"/>
  <c r="DY34" i="37" s="1"/>
  <c r="BL34" i="37"/>
  <c r="DX34" i="37" s="1"/>
  <c r="BK34" i="37"/>
  <c r="DW34" i="37" s="1"/>
  <c r="BJ34" i="37"/>
  <c r="DV34" i="37" s="1"/>
  <c r="BI34" i="37"/>
  <c r="DU34" i="37" s="1"/>
  <c r="BH34" i="37"/>
  <c r="DT34" i="37" s="1"/>
  <c r="BG34" i="37"/>
  <c r="DS34" i="37" s="1"/>
  <c r="BF34" i="37"/>
  <c r="DR34" i="37" s="1"/>
  <c r="BE34" i="37"/>
  <c r="DQ34" i="37" s="1"/>
  <c r="BD34" i="37"/>
  <c r="DP34" i="37" s="1"/>
  <c r="BC34" i="37"/>
  <c r="DO34" i="37" s="1"/>
  <c r="BB34" i="37"/>
  <c r="DN34" i="37" s="1"/>
  <c r="BA34" i="37"/>
  <c r="DM34" i="37" s="1"/>
  <c r="AZ34" i="37"/>
  <c r="DL34" i="37" s="1"/>
  <c r="AY34" i="37"/>
  <c r="DK34" i="37" s="1"/>
  <c r="AX34" i="37"/>
  <c r="DJ34" i="37" s="1"/>
  <c r="AW34" i="37"/>
  <c r="DI34" i="37" s="1"/>
  <c r="AV34" i="37"/>
  <c r="DH34" i="37" s="1"/>
  <c r="AU34" i="37"/>
  <c r="DG34" i="37" s="1"/>
  <c r="AT34" i="37"/>
  <c r="DF34" i="37" s="1"/>
  <c r="AS34" i="37"/>
  <c r="DE34" i="37" s="1"/>
  <c r="AR34" i="37"/>
  <c r="DD34" i="37" s="1"/>
  <c r="AQ34" i="37"/>
  <c r="DC34" i="37" s="1"/>
  <c r="AP34" i="37"/>
  <c r="DB34" i="37" s="1"/>
  <c r="AO34" i="37"/>
  <c r="DA34" i="37" s="1"/>
  <c r="AN34" i="37"/>
  <c r="CZ34" i="37" s="1"/>
  <c r="AM34" i="37"/>
  <c r="CY34" i="37" s="1"/>
  <c r="AL34" i="37"/>
  <c r="CX34" i="37" s="1"/>
  <c r="AK34" i="37"/>
  <c r="CW34" i="37" s="1"/>
  <c r="AJ34" i="37"/>
  <c r="CV34" i="37" s="1"/>
  <c r="AI34" i="37"/>
  <c r="CU34" i="37" s="1"/>
  <c r="AH34" i="37"/>
  <c r="CT34" i="37" s="1"/>
  <c r="AG34" i="37"/>
  <c r="CS34" i="37" s="1"/>
  <c r="AF34" i="37"/>
  <c r="CR34" i="37" s="1"/>
  <c r="AE34" i="37"/>
  <c r="CQ34" i="37" s="1"/>
  <c r="G34" i="37"/>
  <c r="AC34" i="37"/>
  <c r="CO34" i="37" s="1"/>
  <c r="E34" i="37"/>
  <c r="C34" i="37"/>
  <c r="BQ36" i="37"/>
  <c r="EC36" i="37" s="1"/>
  <c r="BP36" i="37"/>
  <c r="EB36" i="37" s="1"/>
  <c r="BO36" i="37"/>
  <c r="EA36" i="37" s="1"/>
  <c r="BN36" i="37"/>
  <c r="DZ36" i="37" s="1"/>
  <c r="BM36" i="37"/>
  <c r="DY36" i="37" s="1"/>
  <c r="BL36" i="37"/>
  <c r="DX36" i="37" s="1"/>
  <c r="BK36" i="37"/>
  <c r="DW36" i="37" s="1"/>
  <c r="BJ36" i="37"/>
  <c r="DV36" i="37" s="1"/>
  <c r="BI36" i="37"/>
  <c r="DU36" i="37" s="1"/>
  <c r="BH36" i="37"/>
  <c r="DT36" i="37" s="1"/>
  <c r="BG36" i="37"/>
  <c r="DS36" i="37" s="1"/>
  <c r="BF36" i="37"/>
  <c r="DR36" i="37" s="1"/>
  <c r="BE36" i="37"/>
  <c r="DQ36" i="37" s="1"/>
  <c r="BD36" i="37"/>
  <c r="DP36" i="37" s="1"/>
  <c r="BC36" i="37"/>
  <c r="DO36" i="37" s="1"/>
  <c r="BB36" i="37"/>
  <c r="DN36" i="37" s="1"/>
  <c r="BA36" i="37"/>
  <c r="DM36" i="37" s="1"/>
  <c r="AZ36" i="37"/>
  <c r="DL36" i="37" s="1"/>
  <c r="AY36" i="37"/>
  <c r="DK36" i="37" s="1"/>
  <c r="AX36" i="37"/>
  <c r="DJ36" i="37" s="1"/>
  <c r="AW36" i="37"/>
  <c r="DI36" i="37" s="1"/>
  <c r="AV36" i="37"/>
  <c r="DH36" i="37" s="1"/>
  <c r="AU36" i="37"/>
  <c r="DG36" i="37" s="1"/>
  <c r="AT36" i="37"/>
  <c r="DF36" i="37" s="1"/>
  <c r="AS36" i="37"/>
  <c r="DE36" i="37" s="1"/>
  <c r="AR36" i="37"/>
  <c r="DD36" i="37" s="1"/>
  <c r="AQ36" i="37"/>
  <c r="DC36" i="37" s="1"/>
  <c r="AP36" i="37"/>
  <c r="DB36" i="37" s="1"/>
  <c r="AO36" i="37"/>
  <c r="DA36" i="37" s="1"/>
  <c r="AN36" i="37"/>
  <c r="CZ36" i="37" s="1"/>
  <c r="AM36" i="37"/>
  <c r="CY36" i="37" s="1"/>
  <c r="AL36" i="37"/>
  <c r="CX36" i="37" s="1"/>
  <c r="AK36" i="37"/>
  <c r="CW36" i="37" s="1"/>
  <c r="AJ36" i="37"/>
  <c r="CV36" i="37" s="1"/>
  <c r="AI36" i="37"/>
  <c r="CU36" i="37" s="1"/>
  <c r="AH36" i="37"/>
  <c r="CT36" i="37" s="1"/>
  <c r="AG36" i="37"/>
  <c r="CS36" i="37" s="1"/>
  <c r="AF36" i="37"/>
  <c r="CR36" i="37" s="1"/>
  <c r="AE36" i="37"/>
  <c r="CQ36" i="37" s="1"/>
  <c r="G36" i="37"/>
  <c r="V36" i="37"/>
  <c r="CH36" i="37" s="1"/>
  <c r="E36" i="37"/>
  <c r="C36" i="37"/>
  <c r="BQ39" i="37"/>
  <c r="EC39" i="37" s="1"/>
  <c r="BP39" i="37"/>
  <c r="EB39" i="37" s="1"/>
  <c r="BO39" i="37"/>
  <c r="EA39" i="37" s="1"/>
  <c r="BN39" i="37"/>
  <c r="DZ39" i="37" s="1"/>
  <c r="BM39" i="37"/>
  <c r="DY39" i="37" s="1"/>
  <c r="BL39" i="37"/>
  <c r="DX39" i="37" s="1"/>
  <c r="BK39" i="37"/>
  <c r="DW39" i="37" s="1"/>
  <c r="BJ39" i="37"/>
  <c r="DV39" i="37" s="1"/>
  <c r="BI39" i="37"/>
  <c r="DU39" i="37" s="1"/>
  <c r="BH39" i="37"/>
  <c r="DT39" i="37" s="1"/>
  <c r="BG39" i="37"/>
  <c r="DS39" i="37" s="1"/>
  <c r="BF39" i="37"/>
  <c r="DR39" i="37" s="1"/>
  <c r="BE39" i="37"/>
  <c r="DQ39" i="37" s="1"/>
  <c r="BD39" i="37"/>
  <c r="DP39" i="37" s="1"/>
  <c r="BC39" i="37"/>
  <c r="DO39" i="37" s="1"/>
  <c r="BB39" i="37"/>
  <c r="DN39" i="37" s="1"/>
  <c r="BA39" i="37"/>
  <c r="DM39" i="37" s="1"/>
  <c r="AZ39" i="37"/>
  <c r="DL39" i="37" s="1"/>
  <c r="AY39" i="37"/>
  <c r="DK39" i="37" s="1"/>
  <c r="AX39" i="37"/>
  <c r="DJ39" i="37" s="1"/>
  <c r="AW39" i="37"/>
  <c r="DI39" i="37" s="1"/>
  <c r="AV39" i="37"/>
  <c r="DH39" i="37" s="1"/>
  <c r="AU39" i="37"/>
  <c r="DG39" i="37" s="1"/>
  <c r="AT39" i="37"/>
  <c r="DF39" i="37" s="1"/>
  <c r="AS39" i="37"/>
  <c r="DE39" i="37" s="1"/>
  <c r="AR39" i="37"/>
  <c r="DD39" i="37" s="1"/>
  <c r="AQ39" i="37"/>
  <c r="DC39" i="37" s="1"/>
  <c r="AP39" i="37"/>
  <c r="DB39" i="37" s="1"/>
  <c r="AO39" i="37"/>
  <c r="DA39" i="37" s="1"/>
  <c r="AN39" i="37"/>
  <c r="CZ39" i="37" s="1"/>
  <c r="AM39" i="37"/>
  <c r="CY39" i="37" s="1"/>
  <c r="AL39" i="37"/>
  <c r="CX39" i="37" s="1"/>
  <c r="AK39" i="37"/>
  <c r="CW39" i="37" s="1"/>
  <c r="AJ39" i="37"/>
  <c r="CV39" i="37" s="1"/>
  <c r="AI39" i="37"/>
  <c r="CU39" i="37" s="1"/>
  <c r="AH39" i="37"/>
  <c r="CT39" i="37" s="1"/>
  <c r="AG39" i="37"/>
  <c r="CS39" i="37" s="1"/>
  <c r="AF39" i="37"/>
  <c r="CR39" i="37" s="1"/>
  <c r="AE39" i="37"/>
  <c r="CQ39" i="37" s="1"/>
  <c r="G39" i="37"/>
  <c r="E39" i="37"/>
  <c r="C39" i="37"/>
  <c r="BQ6" i="37"/>
  <c r="EC6" i="37" s="1"/>
  <c r="BP6" i="37"/>
  <c r="EB6" i="37" s="1"/>
  <c r="BO6" i="37"/>
  <c r="EA6" i="37" s="1"/>
  <c r="BN6" i="37"/>
  <c r="DZ6" i="37" s="1"/>
  <c r="BM6" i="37"/>
  <c r="DY6" i="37" s="1"/>
  <c r="BL6" i="37"/>
  <c r="DX6" i="37" s="1"/>
  <c r="BK6" i="37"/>
  <c r="DW6" i="37" s="1"/>
  <c r="BJ6" i="37"/>
  <c r="DV6" i="37" s="1"/>
  <c r="BI6" i="37"/>
  <c r="DU6" i="37" s="1"/>
  <c r="BH6" i="37"/>
  <c r="DT6" i="37" s="1"/>
  <c r="BG6" i="37"/>
  <c r="DS6" i="37" s="1"/>
  <c r="BF6" i="37"/>
  <c r="DR6" i="37" s="1"/>
  <c r="BE6" i="37"/>
  <c r="DQ6" i="37" s="1"/>
  <c r="BD6" i="37"/>
  <c r="DP6" i="37" s="1"/>
  <c r="BC6" i="37"/>
  <c r="DO6" i="37" s="1"/>
  <c r="BB6" i="37"/>
  <c r="DN6" i="37" s="1"/>
  <c r="BA6" i="37"/>
  <c r="DM6" i="37" s="1"/>
  <c r="AZ6" i="37"/>
  <c r="DL6" i="37" s="1"/>
  <c r="AY6" i="37"/>
  <c r="DK6" i="37" s="1"/>
  <c r="AX6" i="37"/>
  <c r="DJ6" i="37" s="1"/>
  <c r="AW6" i="37"/>
  <c r="DI6" i="37" s="1"/>
  <c r="AV6" i="37"/>
  <c r="DH6" i="37" s="1"/>
  <c r="AU6" i="37"/>
  <c r="DG6" i="37" s="1"/>
  <c r="AT6" i="37"/>
  <c r="DF6" i="37" s="1"/>
  <c r="AS6" i="37"/>
  <c r="DE6" i="37" s="1"/>
  <c r="AR6" i="37"/>
  <c r="DD6" i="37" s="1"/>
  <c r="AQ6" i="37"/>
  <c r="DC6" i="37" s="1"/>
  <c r="AP6" i="37"/>
  <c r="DB6" i="37" s="1"/>
  <c r="AO6" i="37"/>
  <c r="DA6" i="37" s="1"/>
  <c r="AN6" i="37"/>
  <c r="CZ6" i="37" s="1"/>
  <c r="AM6" i="37"/>
  <c r="CY6" i="37" s="1"/>
  <c r="AL6" i="37"/>
  <c r="CX6" i="37" s="1"/>
  <c r="AK6" i="37"/>
  <c r="CW6" i="37" s="1"/>
  <c r="AJ6" i="37"/>
  <c r="CV6" i="37" s="1"/>
  <c r="AI6" i="37"/>
  <c r="CU6" i="37" s="1"/>
  <c r="AH6" i="37"/>
  <c r="CT6" i="37" s="1"/>
  <c r="AG6" i="37"/>
  <c r="CS6" i="37" s="1"/>
  <c r="AF6" i="37"/>
  <c r="CR6" i="37" s="1"/>
  <c r="AE6" i="37"/>
  <c r="CQ6" i="37" s="1"/>
  <c r="G6" i="37"/>
  <c r="AA6" i="37"/>
  <c r="CM6" i="37" s="1"/>
  <c r="E6" i="37"/>
  <c r="C6" i="37"/>
  <c r="I4" i="32"/>
  <c r="V18" i="32"/>
  <c r="V19" i="32"/>
  <c r="V20" i="32"/>
  <c r="V21" i="32"/>
  <c r="V22" i="32"/>
  <c r="V23" i="32"/>
  <c r="V24" i="32"/>
  <c r="V25" i="32"/>
  <c r="V26" i="32"/>
  <c r="V27" i="32"/>
  <c r="V28" i="32"/>
  <c r="V29" i="32"/>
  <c r="V30" i="32"/>
  <c r="V31" i="32"/>
  <c r="V32" i="32"/>
  <c r="V33" i="32"/>
  <c r="V34" i="32"/>
  <c r="V35" i="32"/>
  <c r="V36" i="32"/>
  <c r="V37" i="32"/>
  <c r="V38" i="32"/>
  <c r="V39" i="32"/>
  <c r="V40" i="32"/>
  <c r="V41" i="32"/>
  <c r="V42" i="32"/>
  <c r="V43" i="32"/>
  <c r="V44" i="32"/>
  <c r="V45" i="32"/>
  <c r="V46" i="32"/>
  <c r="V47" i="32"/>
  <c r="V48" i="32"/>
  <c r="V49" i="32"/>
  <c r="V50" i="32"/>
  <c r="V51" i="32"/>
  <c r="V52" i="32"/>
  <c r="V53" i="32"/>
  <c r="V54" i="32"/>
  <c r="V55" i="32"/>
  <c r="V56" i="32"/>
  <c r="V57" i="32"/>
  <c r="V58" i="32"/>
  <c r="V59" i="32"/>
  <c r="V60" i="32"/>
  <c r="V61" i="32"/>
  <c r="V62" i="32"/>
  <c r="V63" i="32"/>
  <c r="V64" i="32"/>
  <c r="V65" i="32"/>
  <c r="V66" i="32"/>
  <c r="V67" i="32"/>
  <c r="V68" i="32"/>
  <c r="V69" i="32"/>
  <c r="V70" i="32"/>
  <c r="V71" i="32"/>
  <c r="V72" i="32"/>
  <c r="V73" i="32"/>
  <c r="V74" i="32"/>
  <c r="V75" i="32"/>
  <c r="V76" i="32"/>
  <c r="V77" i="32"/>
  <c r="V78" i="32"/>
  <c r="V79" i="32"/>
  <c r="V80" i="32"/>
  <c r="V81" i="32"/>
  <c r="V82" i="32"/>
  <c r="V83" i="32"/>
  <c r="V84" i="32"/>
  <c r="V85" i="32"/>
  <c r="V86" i="32"/>
  <c r="V87" i="32"/>
  <c r="V88" i="32"/>
  <c r="V89" i="32"/>
  <c r="V90" i="32"/>
  <c r="V91" i="32"/>
  <c r="V92" i="32"/>
  <c r="V93" i="32"/>
  <c r="V94" i="32"/>
  <c r="V95" i="32"/>
  <c r="V96" i="32"/>
  <c r="V97" i="32"/>
  <c r="V98" i="32"/>
  <c r="V99" i="32"/>
  <c r="V100" i="32"/>
  <c r="V101" i="32"/>
  <c r="V102" i="32"/>
  <c r="V103" i="32"/>
  <c r="V104" i="32"/>
  <c r="V105" i="32"/>
  <c r="V17" i="32"/>
  <c r="AM39" i="34"/>
  <c r="CY39" i="34" s="1"/>
  <c r="AM102" i="34" s="1"/>
  <c r="AM35" i="34"/>
  <c r="CY35" i="34" s="1"/>
  <c r="AM98" i="34" s="1"/>
  <c r="AM33" i="34"/>
  <c r="CY33" i="34" s="1"/>
  <c r="AM96" i="34" s="1"/>
  <c r="AM32" i="34"/>
  <c r="CY32" i="34" s="1"/>
  <c r="AM95" i="34" s="1"/>
  <c r="AM41" i="34"/>
  <c r="CY41" i="34" s="1"/>
  <c r="AM104" i="34" s="1"/>
  <c r="AM31" i="34"/>
  <c r="CY31" i="34" s="1"/>
  <c r="AM94" i="34" s="1"/>
  <c r="AM36" i="34"/>
  <c r="CY36" i="34" s="1"/>
  <c r="AM99" i="34" s="1"/>
  <c r="AM49" i="34"/>
  <c r="CY49" i="34" s="1"/>
  <c r="AM112" i="34" s="1"/>
  <c r="AM44" i="34"/>
  <c r="CY44" i="34" s="1"/>
  <c r="AM107" i="34" s="1"/>
  <c r="AM53" i="34"/>
  <c r="CY53" i="34" s="1"/>
  <c r="AM116" i="34" s="1"/>
  <c r="AM54" i="34"/>
  <c r="CY54" i="34" s="1"/>
  <c r="AM117" i="34" s="1"/>
  <c r="AM55" i="34"/>
  <c r="CY55" i="34" s="1"/>
  <c r="AM118" i="34" s="1"/>
  <c r="AM46" i="34"/>
  <c r="CY46" i="34" s="1"/>
  <c r="AM109" i="34" s="1"/>
  <c r="AM56" i="34"/>
  <c r="CY56" i="34" s="1"/>
  <c r="AM119" i="34" s="1"/>
  <c r="AM57" i="34"/>
  <c r="CY57" i="34" s="1"/>
  <c r="AM120" i="34" s="1"/>
  <c r="AM48" i="34"/>
  <c r="CY48" i="34" s="1"/>
  <c r="AM111" i="34" s="1"/>
  <c r="AM58" i="34"/>
  <c r="CY58" i="34" s="1"/>
  <c r="AM121" i="34" s="1"/>
  <c r="AM59" i="34"/>
  <c r="CY59" i="34" s="1"/>
  <c r="AM122" i="34" s="1"/>
  <c r="AM60" i="34"/>
  <c r="CY60" i="34" s="1"/>
  <c r="AM123" i="34" s="1"/>
  <c r="AM42" i="34"/>
  <c r="CY42" i="34" s="1"/>
  <c r="AM105" i="34" s="1"/>
  <c r="AM52" i="34"/>
  <c r="CY52" i="34" s="1"/>
  <c r="AM115" i="34" s="1"/>
  <c r="AM62" i="34"/>
  <c r="CY62" i="34" s="1"/>
  <c r="AM125" i="34" s="1"/>
  <c r="AM61" i="34"/>
  <c r="CY61" i="34" s="1"/>
  <c r="AM124" i="34" s="1"/>
  <c r="AM50" i="34"/>
  <c r="CY50" i="34" s="1"/>
  <c r="AM113" i="34" s="1"/>
  <c r="AM47" i="34"/>
  <c r="CY47" i="34" s="1"/>
  <c r="AM110" i="34" s="1"/>
  <c r="AM45" i="34"/>
  <c r="CY45" i="34" s="1"/>
  <c r="AM108" i="34" s="1"/>
  <c r="AM51" i="34"/>
  <c r="CY51" i="34" s="1"/>
  <c r="AM114" i="34" s="1"/>
  <c r="AM43" i="34"/>
  <c r="CY43" i="34" s="1"/>
  <c r="AM106" i="34" s="1"/>
  <c r="AM63" i="34"/>
  <c r="CY63" i="34" s="1"/>
  <c r="AM126" i="34" s="1"/>
  <c r="AL39" i="34"/>
  <c r="CX39" i="34" s="1"/>
  <c r="AL102" i="34" s="1"/>
  <c r="AL35" i="34"/>
  <c r="CX35" i="34" s="1"/>
  <c r="AL98" i="34" s="1"/>
  <c r="AL33" i="34"/>
  <c r="CX33" i="34" s="1"/>
  <c r="AL96" i="34" s="1"/>
  <c r="AL32" i="34"/>
  <c r="CX32" i="34" s="1"/>
  <c r="AL95" i="34" s="1"/>
  <c r="AL41" i="34"/>
  <c r="CX41" i="34" s="1"/>
  <c r="AL104" i="34" s="1"/>
  <c r="AL31" i="34"/>
  <c r="CX31" i="34" s="1"/>
  <c r="AL94" i="34" s="1"/>
  <c r="AL36" i="34"/>
  <c r="CX36" i="34" s="1"/>
  <c r="AL99" i="34" s="1"/>
  <c r="AL49" i="34"/>
  <c r="CX49" i="34" s="1"/>
  <c r="AL112" i="34" s="1"/>
  <c r="AL44" i="34"/>
  <c r="CX44" i="34" s="1"/>
  <c r="AL107" i="34" s="1"/>
  <c r="AL53" i="34"/>
  <c r="CX53" i="34" s="1"/>
  <c r="AL116" i="34" s="1"/>
  <c r="AL54" i="34"/>
  <c r="CX54" i="34" s="1"/>
  <c r="AL117" i="34" s="1"/>
  <c r="AL55" i="34"/>
  <c r="CX55" i="34" s="1"/>
  <c r="AL118" i="34" s="1"/>
  <c r="AL46" i="34"/>
  <c r="CX46" i="34" s="1"/>
  <c r="AL109" i="34" s="1"/>
  <c r="AL56" i="34"/>
  <c r="CX56" i="34" s="1"/>
  <c r="AL119" i="34" s="1"/>
  <c r="AL57" i="34"/>
  <c r="CX57" i="34" s="1"/>
  <c r="AL120" i="34" s="1"/>
  <c r="AL48" i="34"/>
  <c r="CX48" i="34" s="1"/>
  <c r="AL111" i="34" s="1"/>
  <c r="AL58" i="34"/>
  <c r="CX58" i="34" s="1"/>
  <c r="AL121" i="34" s="1"/>
  <c r="AL59" i="34"/>
  <c r="CX59" i="34" s="1"/>
  <c r="AL122" i="34" s="1"/>
  <c r="AL60" i="34"/>
  <c r="CX60" i="34" s="1"/>
  <c r="AL123" i="34" s="1"/>
  <c r="AL42" i="34"/>
  <c r="CX42" i="34" s="1"/>
  <c r="AL105" i="34" s="1"/>
  <c r="AL52" i="34"/>
  <c r="CX52" i="34" s="1"/>
  <c r="AL115" i="34" s="1"/>
  <c r="AL62" i="34"/>
  <c r="CX62" i="34" s="1"/>
  <c r="AL125" i="34" s="1"/>
  <c r="AL61" i="34"/>
  <c r="CX61" i="34" s="1"/>
  <c r="AL124" i="34" s="1"/>
  <c r="AL50" i="34"/>
  <c r="CX50" i="34" s="1"/>
  <c r="AL113" i="34" s="1"/>
  <c r="AL47" i="34"/>
  <c r="CX47" i="34" s="1"/>
  <c r="AL110" i="34" s="1"/>
  <c r="AL45" i="34"/>
  <c r="CX45" i="34" s="1"/>
  <c r="AL108" i="34" s="1"/>
  <c r="AL51" i="34"/>
  <c r="CX51" i="34" s="1"/>
  <c r="AL114" i="34" s="1"/>
  <c r="AL43" i="34"/>
  <c r="CX43" i="34" s="1"/>
  <c r="AL106" i="34" s="1"/>
  <c r="AL63" i="34"/>
  <c r="CX63" i="34" s="1"/>
  <c r="AL126" i="34" s="1"/>
  <c r="AK39" i="34"/>
  <c r="CW39" i="34" s="1"/>
  <c r="AK102" i="34" s="1"/>
  <c r="AK35" i="34"/>
  <c r="CW35" i="34" s="1"/>
  <c r="AK98" i="34" s="1"/>
  <c r="AK33" i="34"/>
  <c r="CW33" i="34" s="1"/>
  <c r="AK96" i="34" s="1"/>
  <c r="AK32" i="34"/>
  <c r="CW32" i="34" s="1"/>
  <c r="AK95" i="34" s="1"/>
  <c r="AK41" i="34"/>
  <c r="CW41" i="34" s="1"/>
  <c r="AK104" i="34" s="1"/>
  <c r="AK31" i="34"/>
  <c r="CW31" i="34" s="1"/>
  <c r="AK94" i="34" s="1"/>
  <c r="AK36" i="34"/>
  <c r="CW36" i="34" s="1"/>
  <c r="AK99" i="34" s="1"/>
  <c r="AK49" i="34"/>
  <c r="CW49" i="34" s="1"/>
  <c r="AK112" i="34" s="1"/>
  <c r="AK44" i="34"/>
  <c r="CW44" i="34" s="1"/>
  <c r="AK107" i="34" s="1"/>
  <c r="AK53" i="34"/>
  <c r="CW53" i="34" s="1"/>
  <c r="AK116" i="34" s="1"/>
  <c r="AK54" i="34"/>
  <c r="CW54" i="34" s="1"/>
  <c r="AK117" i="34" s="1"/>
  <c r="AK55" i="34"/>
  <c r="CW55" i="34" s="1"/>
  <c r="AK118" i="34" s="1"/>
  <c r="AK46" i="34"/>
  <c r="CW46" i="34" s="1"/>
  <c r="AK109" i="34" s="1"/>
  <c r="AK56" i="34"/>
  <c r="CW56" i="34" s="1"/>
  <c r="AK119" i="34" s="1"/>
  <c r="AK57" i="34"/>
  <c r="CW57" i="34" s="1"/>
  <c r="AK120" i="34" s="1"/>
  <c r="AK48" i="34"/>
  <c r="CW48" i="34" s="1"/>
  <c r="AK111" i="34" s="1"/>
  <c r="AK58" i="34"/>
  <c r="CW58" i="34" s="1"/>
  <c r="AK121" i="34" s="1"/>
  <c r="AK59" i="34"/>
  <c r="CW59" i="34" s="1"/>
  <c r="AK122" i="34" s="1"/>
  <c r="AK60" i="34"/>
  <c r="CW60" i="34" s="1"/>
  <c r="AK123" i="34" s="1"/>
  <c r="AK42" i="34"/>
  <c r="CW42" i="34" s="1"/>
  <c r="AK105" i="34" s="1"/>
  <c r="AK52" i="34"/>
  <c r="CW52" i="34" s="1"/>
  <c r="AK115" i="34" s="1"/>
  <c r="AK62" i="34"/>
  <c r="CW62" i="34" s="1"/>
  <c r="AK125" i="34" s="1"/>
  <c r="AK61" i="34"/>
  <c r="CW61" i="34" s="1"/>
  <c r="AK124" i="34" s="1"/>
  <c r="AK50" i="34"/>
  <c r="CW50" i="34" s="1"/>
  <c r="AK113" i="34" s="1"/>
  <c r="AK47" i="34"/>
  <c r="CW47" i="34" s="1"/>
  <c r="AK110" i="34" s="1"/>
  <c r="AK45" i="34"/>
  <c r="CW45" i="34" s="1"/>
  <c r="AK108" i="34" s="1"/>
  <c r="AK51" i="34"/>
  <c r="CW51" i="34" s="1"/>
  <c r="AK114" i="34" s="1"/>
  <c r="AK43" i="34"/>
  <c r="CW43" i="34" s="1"/>
  <c r="AK106" i="34" s="1"/>
  <c r="AK63" i="34"/>
  <c r="CW63" i="34" s="1"/>
  <c r="AK126" i="34" s="1"/>
  <c r="AJ39" i="34"/>
  <c r="CV39" i="34" s="1"/>
  <c r="AJ102" i="34" s="1"/>
  <c r="AJ35" i="34"/>
  <c r="CV35" i="34" s="1"/>
  <c r="AJ98" i="34" s="1"/>
  <c r="AJ33" i="34"/>
  <c r="CV33" i="34" s="1"/>
  <c r="AJ96" i="34" s="1"/>
  <c r="AJ32" i="34"/>
  <c r="CV32" i="34" s="1"/>
  <c r="AJ95" i="34" s="1"/>
  <c r="AJ41" i="34"/>
  <c r="CV41" i="34" s="1"/>
  <c r="AJ104" i="34" s="1"/>
  <c r="AJ31" i="34"/>
  <c r="CV31" i="34" s="1"/>
  <c r="AJ94" i="34" s="1"/>
  <c r="AJ36" i="34"/>
  <c r="CV36" i="34" s="1"/>
  <c r="AJ99" i="34" s="1"/>
  <c r="AJ49" i="34"/>
  <c r="CV49" i="34" s="1"/>
  <c r="AJ112" i="34" s="1"/>
  <c r="AJ44" i="34"/>
  <c r="CV44" i="34" s="1"/>
  <c r="AJ107" i="34" s="1"/>
  <c r="AJ53" i="34"/>
  <c r="CV53" i="34" s="1"/>
  <c r="AJ116" i="34" s="1"/>
  <c r="AJ54" i="34"/>
  <c r="CV54" i="34" s="1"/>
  <c r="AJ117" i="34" s="1"/>
  <c r="AJ55" i="34"/>
  <c r="CV55" i="34" s="1"/>
  <c r="AJ118" i="34" s="1"/>
  <c r="AJ46" i="34"/>
  <c r="CV46" i="34" s="1"/>
  <c r="AJ109" i="34" s="1"/>
  <c r="AJ56" i="34"/>
  <c r="CV56" i="34" s="1"/>
  <c r="AJ119" i="34" s="1"/>
  <c r="AJ57" i="34"/>
  <c r="CV57" i="34" s="1"/>
  <c r="AJ120" i="34" s="1"/>
  <c r="AJ48" i="34"/>
  <c r="CV48" i="34" s="1"/>
  <c r="AJ111" i="34" s="1"/>
  <c r="AJ58" i="34"/>
  <c r="CV58" i="34" s="1"/>
  <c r="AJ121" i="34" s="1"/>
  <c r="AJ59" i="34"/>
  <c r="CV59" i="34" s="1"/>
  <c r="AJ122" i="34" s="1"/>
  <c r="AJ60" i="34"/>
  <c r="CV60" i="34" s="1"/>
  <c r="AJ123" i="34" s="1"/>
  <c r="AJ42" i="34"/>
  <c r="CV42" i="34" s="1"/>
  <c r="AJ105" i="34" s="1"/>
  <c r="AJ52" i="34"/>
  <c r="CV52" i="34" s="1"/>
  <c r="AJ115" i="34" s="1"/>
  <c r="AJ62" i="34"/>
  <c r="CV62" i="34" s="1"/>
  <c r="AJ125" i="34" s="1"/>
  <c r="AJ61" i="34"/>
  <c r="CV61" i="34" s="1"/>
  <c r="AJ124" i="34" s="1"/>
  <c r="AJ50" i="34"/>
  <c r="CV50" i="34" s="1"/>
  <c r="AJ113" i="34" s="1"/>
  <c r="AJ47" i="34"/>
  <c r="CV47" i="34" s="1"/>
  <c r="AJ110" i="34" s="1"/>
  <c r="AJ45" i="34"/>
  <c r="CV45" i="34" s="1"/>
  <c r="AJ108" i="34" s="1"/>
  <c r="AJ51" i="34"/>
  <c r="CV51" i="34" s="1"/>
  <c r="AJ114" i="34" s="1"/>
  <c r="AJ43" i="34"/>
  <c r="CV43" i="34" s="1"/>
  <c r="AJ106" i="34" s="1"/>
  <c r="AJ63" i="34"/>
  <c r="CV63" i="34" s="1"/>
  <c r="AJ126" i="34" s="1"/>
  <c r="AI39" i="34"/>
  <c r="CU39" i="34" s="1"/>
  <c r="AI102" i="34" s="1"/>
  <c r="AI35" i="34"/>
  <c r="CU35" i="34" s="1"/>
  <c r="AI98" i="34" s="1"/>
  <c r="AI33" i="34"/>
  <c r="CU33" i="34" s="1"/>
  <c r="AI96" i="34" s="1"/>
  <c r="AI32" i="34"/>
  <c r="CU32" i="34" s="1"/>
  <c r="AI95" i="34" s="1"/>
  <c r="AI41" i="34"/>
  <c r="CU41" i="34" s="1"/>
  <c r="AI104" i="34" s="1"/>
  <c r="AI31" i="34"/>
  <c r="CU31" i="34" s="1"/>
  <c r="AI94" i="34" s="1"/>
  <c r="AI36" i="34"/>
  <c r="CU36" i="34" s="1"/>
  <c r="AI99" i="34" s="1"/>
  <c r="AI49" i="34"/>
  <c r="CU49" i="34" s="1"/>
  <c r="AI112" i="34" s="1"/>
  <c r="AI44" i="34"/>
  <c r="CU44" i="34" s="1"/>
  <c r="AI107" i="34" s="1"/>
  <c r="AI53" i="34"/>
  <c r="CU53" i="34" s="1"/>
  <c r="AI116" i="34" s="1"/>
  <c r="AI54" i="34"/>
  <c r="CU54" i="34" s="1"/>
  <c r="AI117" i="34" s="1"/>
  <c r="AI55" i="34"/>
  <c r="CU55" i="34" s="1"/>
  <c r="AI118" i="34" s="1"/>
  <c r="AI46" i="34"/>
  <c r="CU46" i="34" s="1"/>
  <c r="AI109" i="34" s="1"/>
  <c r="AI56" i="34"/>
  <c r="CU56" i="34" s="1"/>
  <c r="AI119" i="34" s="1"/>
  <c r="AI57" i="34"/>
  <c r="CU57" i="34" s="1"/>
  <c r="AI120" i="34" s="1"/>
  <c r="AI48" i="34"/>
  <c r="CU48" i="34" s="1"/>
  <c r="AI111" i="34" s="1"/>
  <c r="AI58" i="34"/>
  <c r="CU58" i="34" s="1"/>
  <c r="AI121" i="34" s="1"/>
  <c r="AI59" i="34"/>
  <c r="CU59" i="34" s="1"/>
  <c r="AI122" i="34" s="1"/>
  <c r="AI60" i="34"/>
  <c r="CU60" i="34" s="1"/>
  <c r="AI123" i="34" s="1"/>
  <c r="AI42" i="34"/>
  <c r="CU42" i="34" s="1"/>
  <c r="AI105" i="34" s="1"/>
  <c r="AI52" i="34"/>
  <c r="CU52" i="34" s="1"/>
  <c r="AI115" i="34" s="1"/>
  <c r="AI62" i="34"/>
  <c r="CU62" i="34" s="1"/>
  <c r="AI125" i="34" s="1"/>
  <c r="AI61" i="34"/>
  <c r="CU61" i="34" s="1"/>
  <c r="AI124" i="34" s="1"/>
  <c r="AI50" i="34"/>
  <c r="CU50" i="34" s="1"/>
  <c r="AI113" i="34" s="1"/>
  <c r="AI47" i="34"/>
  <c r="CU47" i="34" s="1"/>
  <c r="AI110" i="34" s="1"/>
  <c r="AI45" i="34"/>
  <c r="CU45" i="34" s="1"/>
  <c r="AI108" i="34" s="1"/>
  <c r="AI51" i="34"/>
  <c r="CU51" i="34" s="1"/>
  <c r="AI114" i="34" s="1"/>
  <c r="AI43" i="34"/>
  <c r="CU43" i="34" s="1"/>
  <c r="AI106" i="34" s="1"/>
  <c r="AI63" i="34"/>
  <c r="CU63" i="34" s="1"/>
  <c r="AI126" i="34" s="1"/>
  <c r="AH39" i="34"/>
  <c r="CT39" i="34" s="1"/>
  <c r="AH102" i="34" s="1"/>
  <c r="AH35" i="34"/>
  <c r="CT35" i="34" s="1"/>
  <c r="AH98" i="34" s="1"/>
  <c r="AH33" i="34"/>
  <c r="CT33" i="34" s="1"/>
  <c r="AH96" i="34" s="1"/>
  <c r="AH32" i="34"/>
  <c r="CT32" i="34" s="1"/>
  <c r="AH95" i="34" s="1"/>
  <c r="AH41" i="34"/>
  <c r="CT41" i="34" s="1"/>
  <c r="AH104" i="34" s="1"/>
  <c r="AH31" i="34"/>
  <c r="CT31" i="34" s="1"/>
  <c r="AH94" i="34" s="1"/>
  <c r="AH36" i="34"/>
  <c r="CT36" i="34" s="1"/>
  <c r="AH99" i="34" s="1"/>
  <c r="AH49" i="34"/>
  <c r="CT49" i="34" s="1"/>
  <c r="AH112" i="34" s="1"/>
  <c r="AH44" i="34"/>
  <c r="CT44" i="34" s="1"/>
  <c r="AH107" i="34" s="1"/>
  <c r="AH53" i="34"/>
  <c r="CT53" i="34" s="1"/>
  <c r="AH116" i="34" s="1"/>
  <c r="AH54" i="34"/>
  <c r="CT54" i="34" s="1"/>
  <c r="AH117" i="34" s="1"/>
  <c r="AH55" i="34"/>
  <c r="CT55" i="34" s="1"/>
  <c r="AH118" i="34" s="1"/>
  <c r="AH46" i="34"/>
  <c r="CT46" i="34" s="1"/>
  <c r="AH109" i="34" s="1"/>
  <c r="AH56" i="34"/>
  <c r="CT56" i="34" s="1"/>
  <c r="AH119" i="34" s="1"/>
  <c r="AH57" i="34"/>
  <c r="CT57" i="34" s="1"/>
  <c r="AH120" i="34" s="1"/>
  <c r="AH48" i="34"/>
  <c r="CT48" i="34" s="1"/>
  <c r="AH111" i="34" s="1"/>
  <c r="AH58" i="34"/>
  <c r="CT58" i="34" s="1"/>
  <c r="AH121" i="34" s="1"/>
  <c r="AH59" i="34"/>
  <c r="CT59" i="34" s="1"/>
  <c r="AH122" i="34" s="1"/>
  <c r="AH60" i="34"/>
  <c r="CT60" i="34" s="1"/>
  <c r="AH123" i="34" s="1"/>
  <c r="AH42" i="34"/>
  <c r="CT42" i="34" s="1"/>
  <c r="AH105" i="34" s="1"/>
  <c r="AH52" i="34"/>
  <c r="CT52" i="34" s="1"/>
  <c r="AH115" i="34" s="1"/>
  <c r="AH62" i="34"/>
  <c r="CT62" i="34" s="1"/>
  <c r="AH125" i="34" s="1"/>
  <c r="AH61" i="34"/>
  <c r="CT61" i="34" s="1"/>
  <c r="AH124" i="34" s="1"/>
  <c r="AH50" i="34"/>
  <c r="CT50" i="34" s="1"/>
  <c r="AH113" i="34" s="1"/>
  <c r="AH47" i="34"/>
  <c r="CT47" i="34" s="1"/>
  <c r="AH110" i="34" s="1"/>
  <c r="AH45" i="34"/>
  <c r="CT45" i="34" s="1"/>
  <c r="AH108" i="34" s="1"/>
  <c r="AH51" i="34"/>
  <c r="CT51" i="34" s="1"/>
  <c r="AH114" i="34" s="1"/>
  <c r="AH43" i="34"/>
  <c r="CT43" i="34" s="1"/>
  <c r="AH106" i="34" s="1"/>
  <c r="AH63" i="34"/>
  <c r="CT63" i="34" s="1"/>
  <c r="AH126" i="34" s="1"/>
  <c r="AG39" i="34"/>
  <c r="CS39" i="34" s="1"/>
  <c r="AG102" i="34" s="1"/>
  <c r="AG35" i="34"/>
  <c r="CS35" i="34" s="1"/>
  <c r="AG98" i="34" s="1"/>
  <c r="AG33" i="34"/>
  <c r="CS33" i="34" s="1"/>
  <c r="AG96" i="34" s="1"/>
  <c r="AG32" i="34"/>
  <c r="CS32" i="34" s="1"/>
  <c r="AG95" i="34" s="1"/>
  <c r="AG41" i="34"/>
  <c r="CS41" i="34" s="1"/>
  <c r="AG104" i="34" s="1"/>
  <c r="AG31" i="34"/>
  <c r="CS31" i="34" s="1"/>
  <c r="AG94" i="34" s="1"/>
  <c r="AG36" i="34"/>
  <c r="CS36" i="34" s="1"/>
  <c r="AG99" i="34" s="1"/>
  <c r="AG49" i="34"/>
  <c r="CS49" i="34" s="1"/>
  <c r="AG112" i="34" s="1"/>
  <c r="AG44" i="34"/>
  <c r="CS44" i="34" s="1"/>
  <c r="AG107" i="34" s="1"/>
  <c r="AG53" i="34"/>
  <c r="CS53" i="34" s="1"/>
  <c r="AG116" i="34" s="1"/>
  <c r="AG54" i="34"/>
  <c r="CS54" i="34" s="1"/>
  <c r="AG117" i="34" s="1"/>
  <c r="AG55" i="34"/>
  <c r="CS55" i="34" s="1"/>
  <c r="AG118" i="34" s="1"/>
  <c r="AG46" i="34"/>
  <c r="CS46" i="34" s="1"/>
  <c r="AG109" i="34" s="1"/>
  <c r="AG56" i="34"/>
  <c r="CS56" i="34" s="1"/>
  <c r="AG119" i="34" s="1"/>
  <c r="AG57" i="34"/>
  <c r="CS57" i="34" s="1"/>
  <c r="AG120" i="34" s="1"/>
  <c r="AG48" i="34"/>
  <c r="CS48" i="34" s="1"/>
  <c r="AG111" i="34" s="1"/>
  <c r="AG58" i="34"/>
  <c r="CS58" i="34" s="1"/>
  <c r="AG121" i="34" s="1"/>
  <c r="AG59" i="34"/>
  <c r="CS59" i="34" s="1"/>
  <c r="AG122" i="34" s="1"/>
  <c r="AG60" i="34"/>
  <c r="CS60" i="34" s="1"/>
  <c r="AG123" i="34" s="1"/>
  <c r="AG42" i="34"/>
  <c r="CS42" i="34" s="1"/>
  <c r="AG105" i="34" s="1"/>
  <c r="AG52" i="34"/>
  <c r="CS52" i="34" s="1"/>
  <c r="AG115" i="34" s="1"/>
  <c r="AG62" i="34"/>
  <c r="CS62" i="34" s="1"/>
  <c r="AG125" i="34" s="1"/>
  <c r="AG61" i="34"/>
  <c r="CS61" i="34" s="1"/>
  <c r="AG124" i="34" s="1"/>
  <c r="AG50" i="34"/>
  <c r="CS50" i="34" s="1"/>
  <c r="AG113" i="34" s="1"/>
  <c r="AG47" i="34"/>
  <c r="CS47" i="34" s="1"/>
  <c r="AG110" i="34" s="1"/>
  <c r="AG45" i="34"/>
  <c r="CS45" i="34" s="1"/>
  <c r="AG108" i="34" s="1"/>
  <c r="AG51" i="34"/>
  <c r="CS51" i="34" s="1"/>
  <c r="AG114" i="34" s="1"/>
  <c r="AG43" i="34"/>
  <c r="CS43" i="34" s="1"/>
  <c r="AG106" i="34" s="1"/>
  <c r="AG63" i="34"/>
  <c r="CS63" i="34" s="1"/>
  <c r="AG126" i="34" s="1"/>
  <c r="AF39" i="34"/>
  <c r="CR39" i="34" s="1"/>
  <c r="AF102" i="34" s="1"/>
  <c r="AF35" i="34"/>
  <c r="CR35" i="34" s="1"/>
  <c r="AF98" i="34" s="1"/>
  <c r="AF33" i="34"/>
  <c r="CR33" i="34" s="1"/>
  <c r="AF96" i="34" s="1"/>
  <c r="AF32" i="34"/>
  <c r="CR32" i="34" s="1"/>
  <c r="AF95" i="34" s="1"/>
  <c r="AF41" i="34"/>
  <c r="CR41" i="34" s="1"/>
  <c r="AF104" i="34" s="1"/>
  <c r="AF31" i="34"/>
  <c r="CR31" i="34" s="1"/>
  <c r="AF94" i="34" s="1"/>
  <c r="AF36" i="34"/>
  <c r="CR36" i="34" s="1"/>
  <c r="AF99" i="34" s="1"/>
  <c r="AF49" i="34"/>
  <c r="CR49" i="34" s="1"/>
  <c r="AF112" i="34" s="1"/>
  <c r="AF44" i="34"/>
  <c r="CR44" i="34" s="1"/>
  <c r="AF107" i="34" s="1"/>
  <c r="AF53" i="34"/>
  <c r="CR53" i="34" s="1"/>
  <c r="AF116" i="34" s="1"/>
  <c r="AF54" i="34"/>
  <c r="CR54" i="34" s="1"/>
  <c r="AF117" i="34" s="1"/>
  <c r="AF55" i="34"/>
  <c r="CR55" i="34" s="1"/>
  <c r="AF118" i="34" s="1"/>
  <c r="AF46" i="34"/>
  <c r="CR46" i="34" s="1"/>
  <c r="AF109" i="34" s="1"/>
  <c r="AF56" i="34"/>
  <c r="CR56" i="34" s="1"/>
  <c r="AF119" i="34" s="1"/>
  <c r="AF57" i="34"/>
  <c r="CR57" i="34" s="1"/>
  <c r="AF120" i="34" s="1"/>
  <c r="AF48" i="34"/>
  <c r="CR48" i="34" s="1"/>
  <c r="AF111" i="34" s="1"/>
  <c r="AF58" i="34"/>
  <c r="CR58" i="34" s="1"/>
  <c r="AF121" i="34" s="1"/>
  <c r="AF59" i="34"/>
  <c r="CR59" i="34" s="1"/>
  <c r="AF122" i="34" s="1"/>
  <c r="AF60" i="34"/>
  <c r="CR60" i="34" s="1"/>
  <c r="AF123" i="34" s="1"/>
  <c r="AF42" i="34"/>
  <c r="CR42" i="34" s="1"/>
  <c r="AF105" i="34" s="1"/>
  <c r="AF52" i="34"/>
  <c r="CR52" i="34" s="1"/>
  <c r="AF115" i="34" s="1"/>
  <c r="AF62" i="34"/>
  <c r="CR62" i="34" s="1"/>
  <c r="AF125" i="34" s="1"/>
  <c r="AF61" i="34"/>
  <c r="CR61" i="34" s="1"/>
  <c r="AF124" i="34" s="1"/>
  <c r="AF50" i="34"/>
  <c r="CR50" i="34" s="1"/>
  <c r="AF113" i="34" s="1"/>
  <c r="AF47" i="34"/>
  <c r="CR47" i="34" s="1"/>
  <c r="AF110" i="34" s="1"/>
  <c r="AF45" i="34"/>
  <c r="CR45" i="34" s="1"/>
  <c r="AF108" i="34" s="1"/>
  <c r="AF51" i="34"/>
  <c r="CR51" i="34" s="1"/>
  <c r="AF114" i="34" s="1"/>
  <c r="AF43" i="34"/>
  <c r="CR43" i="34" s="1"/>
  <c r="AF106" i="34" s="1"/>
  <c r="AF63" i="34"/>
  <c r="CR63" i="34" s="1"/>
  <c r="AF126" i="34" s="1"/>
  <c r="AE39" i="34"/>
  <c r="CQ39" i="34" s="1"/>
  <c r="AE102" i="34" s="1"/>
  <c r="AE35" i="34"/>
  <c r="CQ35" i="34" s="1"/>
  <c r="AE98" i="34" s="1"/>
  <c r="AE33" i="34"/>
  <c r="CQ33" i="34" s="1"/>
  <c r="AE96" i="34" s="1"/>
  <c r="AE32" i="34"/>
  <c r="CQ32" i="34" s="1"/>
  <c r="AE95" i="34" s="1"/>
  <c r="AE41" i="34"/>
  <c r="CQ41" i="34" s="1"/>
  <c r="AE104" i="34" s="1"/>
  <c r="AE31" i="34"/>
  <c r="CQ31" i="34" s="1"/>
  <c r="AE94" i="34" s="1"/>
  <c r="AE36" i="34"/>
  <c r="CQ36" i="34" s="1"/>
  <c r="AE99" i="34" s="1"/>
  <c r="AE49" i="34"/>
  <c r="CQ49" i="34" s="1"/>
  <c r="AE112" i="34" s="1"/>
  <c r="AE44" i="34"/>
  <c r="CQ44" i="34" s="1"/>
  <c r="AE107" i="34" s="1"/>
  <c r="AE53" i="34"/>
  <c r="CQ53" i="34" s="1"/>
  <c r="AE116" i="34" s="1"/>
  <c r="AE54" i="34"/>
  <c r="CQ54" i="34" s="1"/>
  <c r="AE117" i="34" s="1"/>
  <c r="AE55" i="34"/>
  <c r="CQ55" i="34" s="1"/>
  <c r="AE118" i="34" s="1"/>
  <c r="AE46" i="34"/>
  <c r="CQ46" i="34" s="1"/>
  <c r="AE109" i="34" s="1"/>
  <c r="AE56" i="34"/>
  <c r="CQ56" i="34" s="1"/>
  <c r="AE119" i="34" s="1"/>
  <c r="AE57" i="34"/>
  <c r="CQ57" i="34" s="1"/>
  <c r="AE120" i="34" s="1"/>
  <c r="AE48" i="34"/>
  <c r="CQ48" i="34" s="1"/>
  <c r="AE111" i="34" s="1"/>
  <c r="AE58" i="34"/>
  <c r="CQ58" i="34" s="1"/>
  <c r="AE121" i="34" s="1"/>
  <c r="AE59" i="34"/>
  <c r="CQ59" i="34" s="1"/>
  <c r="AE122" i="34" s="1"/>
  <c r="AE60" i="34"/>
  <c r="CQ60" i="34" s="1"/>
  <c r="AE123" i="34" s="1"/>
  <c r="AE42" i="34"/>
  <c r="CQ42" i="34" s="1"/>
  <c r="AE105" i="34" s="1"/>
  <c r="AE52" i="34"/>
  <c r="CQ52" i="34" s="1"/>
  <c r="AE115" i="34" s="1"/>
  <c r="AE62" i="34"/>
  <c r="CQ62" i="34" s="1"/>
  <c r="AE125" i="34" s="1"/>
  <c r="AE61" i="34"/>
  <c r="CQ61" i="34" s="1"/>
  <c r="AE124" i="34" s="1"/>
  <c r="AE50" i="34"/>
  <c r="CQ50" i="34" s="1"/>
  <c r="AE113" i="34" s="1"/>
  <c r="AE47" i="34"/>
  <c r="CQ47" i="34" s="1"/>
  <c r="AE110" i="34" s="1"/>
  <c r="AE45" i="34"/>
  <c r="CQ45" i="34" s="1"/>
  <c r="AE108" i="34" s="1"/>
  <c r="AE51" i="34"/>
  <c r="CQ51" i="34" s="1"/>
  <c r="AE114" i="34" s="1"/>
  <c r="AE43" i="34"/>
  <c r="CQ43" i="34" s="1"/>
  <c r="AE106" i="34" s="1"/>
  <c r="AE63" i="34"/>
  <c r="CQ63" i="34" s="1"/>
  <c r="AE126" i="34" s="1"/>
  <c r="AD49" i="34"/>
  <c r="CP49" i="34" s="1"/>
  <c r="AD112" i="34" s="1"/>
  <c r="AD44" i="34"/>
  <c r="CP44" i="34" s="1"/>
  <c r="AD107" i="34" s="1"/>
  <c r="AD53" i="34"/>
  <c r="CP53" i="34" s="1"/>
  <c r="AD116" i="34" s="1"/>
  <c r="AD54" i="34"/>
  <c r="CP54" i="34" s="1"/>
  <c r="AD117" i="34" s="1"/>
  <c r="AD55" i="34"/>
  <c r="CP55" i="34" s="1"/>
  <c r="AD118" i="34" s="1"/>
  <c r="AD46" i="34"/>
  <c r="CP46" i="34" s="1"/>
  <c r="AD109" i="34" s="1"/>
  <c r="AD56" i="34"/>
  <c r="CP56" i="34" s="1"/>
  <c r="AD119" i="34" s="1"/>
  <c r="AD57" i="34"/>
  <c r="CP57" i="34" s="1"/>
  <c r="AD120" i="34" s="1"/>
  <c r="AD48" i="34"/>
  <c r="CP48" i="34" s="1"/>
  <c r="AD111" i="34" s="1"/>
  <c r="AD58" i="34"/>
  <c r="CP58" i="34" s="1"/>
  <c r="AD121" i="34" s="1"/>
  <c r="AD59" i="34"/>
  <c r="CP59" i="34" s="1"/>
  <c r="AD122" i="34" s="1"/>
  <c r="AD60" i="34"/>
  <c r="CP60" i="34" s="1"/>
  <c r="AD123" i="34" s="1"/>
  <c r="AD42" i="34"/>
  <c r="CP42" i="34" s="1"/>
  <c r="AD105" i="34" s="1"/>
  <c r="AD52" i="34"/>
  <c r="CP52" i="34" s="1"/>
  <c r="AD115" i="34" s="1"/>
  <c r="AD62" i="34"/>
  <c r="CP62" i="34" s="1"/>
  <c r="AD125" i="34" s="1"/>
  <c r="AD61" i="34"/>
  <c r="CP61" i="34" s="1"/>
  <c r="AD124" i="34" s="1"/>
  <c r="AD50" i="34"/>
  <c r="CP50" i="34" s="1"/>
  <c r="AD113" i="34" s="1"/>
  <c r="AD47" i="34"/>
  <c r="CP47" i="34" s="1"/>
  <c r="AD110" i="34" s="1"/>
  <c r="AD45" i="34"/>
  <c r="CP45" i="34" s="1"/>
  <c r="AD108" i="34" s="1"/>
  <c r="AD51" i="34"/>
  <c r="CP51" i="34" s="1"/>
  <c r="AD114" i="34" s="1"/>
  <c r="AD43" i="34"/>
  <c r="CP43" i="34" s="1"/>
  <c r="AD106" i="34" s="1"/>
  <c r="AD63" i="34"/>
  <c r="CP63" i="34" s="1"/>
  <c r="AD126" i="34" s="1"/>
  <c r="AC49" i="34"/>
  <c r="CO49" i="34" s="1"/>
  <c r="AC112" i="34" s="1"/>
  <c r="AC44" i="34"/>
  <c r="CO44" i="34" s="1"/>
  <c r="AC107" i="34" s="1"/>
  <c r="AC53" i="34"/>
  <c r="CO53" i="34" s="1"/>
  <c r="AC116" i="34" s="1"/>
  <c r="AC54" i="34"/>
  <c r="CO54" i="34" s="1"/>
  <c r="AC117" i="34" s="1"/>
  <c r="AC55" i="34"/>
  <c r="CO55" i="34" s="1"/>
  <c r="AC118" i="34" s="1"/>
  <c r="AC46" i="34"/>
  <c r="CO46" i="34" s="1"/>
  <c r="AC109" i="34" s="1"/>
  <c r="AC56" i="34"/>
  <c r="CO56" i="34" s="1"/>
  <c r="AC119" i="34" s="1"/>
  <c r="AC57" i="34"/>
  <c r="CO57" i="34" s="1"/>
  <c r="AC120" i="34" s="1"/>
  <c r="AC48" i="34"/>
  <c r="CO48" i="34" s="1"/>
  <c r="AC111" i="34" s="1"/>
  <c r="AC58" i="34"/>
  <c r="CO58" i="34" s="1"/>
  <c r="AC121" i="34" s="1"/>
  <c r="AC59" i="34"/>
  <c r="CO59" i="34" s="1"/>
  <c r="AC122" i="34" s="1"/>
  <c r="AC60" i="34"/>
  <c r="CO60" i="34" s="1"/>
  <c r="AC123" i="34" s="1"/>
  <c r="AC42" i="34"/>
  <c r="CO42" i="34" s="1"/>
  <c r="AC105" i="34" s="1"/>
  <c r="AC52" i="34"/>
  <c r="CO52" i="34" s="1"/>
  <c r="AC115" i="34" s="1"/>
  <c r="AC62" i="34"/>
  <c r="CO62" i="34" s="1"/>
  <c r="AC125" i="34" s="1"/>
  <c r="AC61" i="34"/>
  <c r="CO61" i="34" s="1"/>
  <c r="AC124" i="34" s="1"/>
  <c r="AC50" i="34"/>
  <c r="CO50" i="34" s="1"/>
  <c r="AC113" i="34" s="1"/>
  <c r="AC47" i="34"/>
  <c r="CO47" i="34" s="1"/>
  <c r="AC110" i="34" s="1"/>
  <c r="AC45" i="34"/>
  <c r="CO45" i="34" s="1"/>
  <c r="AC108" i="34" s="1"/>
  <c r="AC51" i="34"/>
  <c r="CO51" i="34" s="1"/>
  <c r="AC114" i="34" s="1"/>
  <c r="AC43" i="34"/>
  <c r="CO43" i="34" s="1"/>
  <c r="AC106" i="34" s="1"/>
  <c r="AC63" i="34"/>
  <c r="CO63" i="34" s="1"/>
  <c r="AC126" i="34" s="1"/>
  <c r="AB49" i="34"/>
  <c r="CN49" i="34" s="1"/>
  <c r="AB112" i="34" s="1"/>
  <c r="AB44" i="34"/>
  <c r="CN44" i="34" s="1"/>
  <c r="AB107" i="34" s="1"/>
  <c r="AB53" i="34"/>
  <c r="CN53" i="34" s="1"/>
  <c r="AB116" i="34" s="1"/>
  <c r="AB54" i="34"/>
  <c r="CN54" i="34" s="1"/>
  <c r="AB117" i="34" s="1"/>
  <c r="AB55" i="34"/>
  <c r="CN55" i="34" s="1"/>
  <c r="AB118" i="34" s="1"/>
  <c r="AB46" i="34"/>
  <c r="CN46" i="34" s="1"/>
  <c r="AB109" i="34" s="1"/>
  <c r="AB56" i="34"/>
  <c r="CN56" i="34" s="1"/>
  <c r="AB119" i="34" s="1"/>
  <c r="AB57" i="34"/>
  <c r="CN57" i="34" s="1"/>
  <c r="AB120" i="34" s="1"/>
  <c r="AB48" i="34"/>
  <c r="CN48" i="34" s="1"/>
  <c r="AB111" i="34" s="1"/>
  <c r="AB58" i="34"/>
  <c r="CN58" i="34" s="1"/>
  <c r="AB121" i="34" s="1"/>
  <c r="AB59" i="34"/>
  <c r="CN59" i="34" s="1"/>
  <c r="AB122" i="34" s="1"/>
  <c r="AB60" i="34"/>
  <c r="CN60" i="34" s="1"/>
  <c r="AB123" i="34" s="1"/>
  <c r="AB42" i="34"/>
  <c r="CN42" i="34" s="1"/>
  <c r="AB105" i="34" s="1"/>
  <c r="AB52" i="34"/>
  <c r="CN52" i="34" s="1"/>
  <c r="AB115" i="34" s="1"/>
  <c r="AB62" i="34"/>
  <c r="CN62" i="34" s="1"/>
  <c r="AB125" i="34" s="1"/>
  <c r="AB61" i="34"/>
  <c r="CN61" i="34" s="1"/>
  <c r="AB124" i="34" s="1"/>
  <c r="AB50" i="34"/>
  <c r="CN50" i="34" s="1"/>
  <c r="AB113" i="34" s="1"/>
  <c r="AB47" i="34"/>
  <c r="CN47" i="34" s="1"/>
  <c r="AB110" i="34" s="1"/>
  <c r="AB45" i="34"/>
  <c r="CN45" i="34" s="1"/>
  <c r="AB108" i="34" s="1"/>
  <c r="AB51" i="34"/>
  <c r="CN51" i="34" s="1"/>
  <c r="AB114" i="34" s="1"/>
  <c r="AB43" i="34"/>
  <c r="CN43" i="34" s="1"/>
  <c r="AB106" i="34" s="1"/>
  <c r="AB63" i="34"/>
  <c r="CN63" i="34" s="1"/>
  <c r="AB126" i="34" s="1"/>
  <c r="AA49" i="34"/>
  <c r="CM49" i="34" s="1"/>
  <c r="AA112" i="34" s="1"/>
  <c r="AA44" i="34"/>
  <c r="CM44" i="34" s="1"/>
  <c r="AA107" i="34" s="1"/>
  <c r="AA53" i="34"/>
  <c r="CM53" i="34" s="1"/>
  <c r="AA116" i="34" s="1"/>
  <c r="AA54" i="34"/>
  <c r="CM54" i="34" s="1"/>
  <c r="AA117" i="34" s="1"/>
  <c r="AA55" i="34"/>
  <c r="CM55" i="34" s="1"/>
  <c r="AA118" i="34" s="1"/>
  <c r="AA46" i="34"/>
  <c r="CM46" i="34" s="1"/>
  <c r="AA109" i="34" s="1"/>
  <c r="AA56" i="34"/>
  <c r="CM56" i="34" s="1"/>
  <c r="AA119" i="34" s="1"/>
  <c r="AA57" i="34"/>
  <c r="CM57" i="34" s="1"/>
  <c r="AA120" i="34" s="1"/>
  <c r="AA48" i="34"/>
  <c r="CM48" i="34" s="1"/>
  <c r="AA111" i="34" s="1"/>
  <c r="AA58" i="34"/>
  <c r="CM58" i="34" s="1"/>
  <c r="AA121" i="34" s="1"/>
  <c r="AA59" i="34"/>
  <c r="CM59" i="34" s="1"/>
  <c r="AA122" i="34" s="1"/>
  <c r="AA60" i="34"/>
  <c r="CM60" i="34" s="1"/>
  <c r="AA123" i="34" s="1"/>
  <c r="AA42" i="34"/>
  <c r="CM42" i="34" s="1"/>
  <c r="AA105" i="34" s="1"/>
  <c r="AA52" i="34"/>
  <c r="CM52" i="34" s="1"/>
  <c r="AA115" i="34" s="1"/>
  <c r="AA62" i="34"/>
  <c r="CM62" i="34" s="1"/>
  <c r="AA125" i="34" s="1"/>
  <c r="AA61" i="34"/>
  <c r="CM61" i="34" s="1"/>
  <c r="AA124" i="34" s="1"/>
  <c r="AA50" i="34"/>
  <c r="CM50" i="34" s="1"/>
  <c r="AA113" i="34" s="1"/>
  <c r="AA47" i="34"/>
  <c r="CM47" i="34" s="1"/>
  <c r="AA110" i="34" s="1"/>
  <c r="AA45" i="34"/>
  <c r="CM45" i="34" s="1"/>
  <c r="AA108" i="34" s="1"/>
  <c r="AA51" i="34"/>
  <c r="CM51" i="34" s="1"/>
  <c r="AA114" i="34" s="1"/>
  <c r="AA43" i="34"/>
  <c r="CM43" i="34" s="1"/>
  <c r="AA106" i="34" s="1"/>
  <c r="AA63" i="34"/>
  <c r="CM63" i="34" s="1"/>
  <c r="AA126" i="34" s="1"/>
  <c r="Z49" i="34"/>
  <c r="CL49" i="34" s="1"/>
  <c r="Z112" i="34" s="1"/>
  <c r="Z44" i="34"/>
  <c r="CL44" i="34" s="1"/>
  <c r="Z107" i="34" s="1"/>
  <c r="Z53" i="34"/>
  <c r="CL53" i="34" s="1"/>
  <c r="Z116" i="34" s="1"/>
  <c r="Z54" i="34"/>
  <c r="CL54" i="34" s="1"/>
  <c r="Z117" i="34" s="1"/>
  <c r="Z55" i="34"/>
  <c r="CL55" i="34" s="1"/>
  <c r="Z118" i="34" s="1"/>
  <c r="Z46" i="34"/>
  <c r="CL46" i="34" s="1"/>
  <c r="Z109" i="34" s="1"/>
  <c r="Z56" i="34"/>
  <c r="CL56" i="34" s="1"/>
  <c r="Z119" i="34" s="1"/>
  <c r="Z57" i="34"/>
  <c r="CL57" i="34" s="1"/>
  <c r="Z120" i="34" s="1"/>
  <c r="Z48" i="34"/>
  <c r="CL48" i="34" s="1"/>
  <c r="Z111" i="34" s="1"/>
  <c r="Z58" i="34"/>
  <c r="CL58" i="34" s="1"/>
  <c r="Z121" i="34" s="1"/>
  <c r="Z59" i="34"/>
  <c r="CL59" i="34" s="1"/>
  <c r="Z122" i="34" s="1"/>
  <c r="Z60" i="34"/>
  <c r="CL60" i="34" s="1"/>
  <c r="Z123" i="34" s="1"/>
  <c r="Z42" i="34"/>
  <c r="CL42" i="34" s="1"/>
  <c r="Z105" i="34" s="1"/>
  <c r="Z52" i="34"/>
  <c r="CL52" i="34" s="1"/>
  <c r="Z115" i="34" s="1"/>
  <c r="Z62" i="34"/>
  <c r="CL62" i="34" s="1"/>
  <c r="Z125" i="34" s="1"/>
  <c r="Z61" i="34"/>
  <c r="CL61" i="34" s="1"/>
  <c r="Z124" i="34" s="1"/>
  <c r="Z50" i="34"/>
  <c r="CL50" i="34" s="1"/>
  <c r="Z113" i="34" s="1"/>
  <c r="Z47" i="34"/>
  <c r="CL47" i="34" s="1"/>
  <c r="Z110" i="34" s="1"/>
  <c r="Z45" i="34"/>
  <c r="CL45" i="34" s="1"/>
  <c r="Z108" i="34" s="1"/>
  <c r="Z51" i="34"/>
  <c r="CL51" i="34" s="1"/>
  <c r="Z114" i="34" s="1"/>
  <c r="Z43" i="34"/>
  <c r="CL43" i="34" s="1"/>
  <c r="Z106" i="34" s="1"/>
  <c r="Z63" i="34"/>
  <c r="CL63" i="34" s="1"/>
  <c r="Z126" i="34" s="1"/>
  <c r="Y49" i="34"/>
  <c r="CK49" i="34" s="1"/>
  <c r="Y112" i="34" s="1"/>
  <c r="Y44" i="34"/>
  <c r="CK44" i="34" s="1"/>
  <c r="Y107" i="34" s="1"/>
  <c r="Y53" i="34"/>
  <c r="CK53" i="34" s="1"/>
  <c r="Y116" i="34" s="1"/>
  <c r="Y54" i="34"/>
  <c r="CK54" i="34" s="1"/>
  <c r="Y117" i="34" s="1"/>
  <c r="Y55" i="34"/>
  <c r="CK55" i="34" s="1"/>
  <c r="Y118" i="34" s="1"/>
  <c r="Y46" i="34"/>
  <c r="CK46" i="34" s="1"/>
  <c r="Y109" i="34" s="1"/>
  <c r="Y56" i="34"/>
  <c r="CK56" i="34" s="1"/>
  <c r="Y119" i="34" s="1"/>
  <c r="Y57" i="34"/>
  <c r="CK57" i="34" s="1"/>
  <c r="Y120" i="34" s="1"/>
  <c r="Y48" i="34"/>
  <c r="CK48" i="34" s="1"/>
  <c r="Y111" i="34" s="1"/>
  <c r="Y58" i="34"/>
  <c r="CK58" i="34" s="1"/>
  <c r="Y121" i="34" s="1"/>
  <c r="Y59" i="34"/>
  <c r="CK59" i="34" s="1"/>
  <c r="Y122" i="34" s="1"/>
  <c r="Y60" i="34"/>
  <c r="CK60" i="34" s="1"/>
  <c r="Y123" i="34" s="1"/>
  <c r="Y42" i="34"/>
  <c r="CK42" i="34" s="1"/>
  <c r="Y105" i="34" s="1"/>
  <c r="Y52" i="34"/>
  <c r="CK52" i="34" s="1"/>
  <c r="Y115" i="34" s="1"/>
  <c r="Y62" i="34"/>
  <c r="CK62" i="34" s="1"/>
  <c r="Y125" i="34" s="1"/>
  <c r="Y61" i="34"/>
  <c r="CK61" i="34" s="1"/>
  <c r="Y124" i="34" s="1"/>
  <c r="Y50" i="34"/>
  <c r="CK50" i="34" s="1"/>
  <c r="Y113" i="34" s="1"/>
  <c r="Y47" i="34"/>
  <c r="CK47" i="34" s="1"/>
  <c r="Y110" i="34" s="1"/>
  <c r="Y45" i="34"/>
  <c r="CK45" i="34" s="1"/>
  <c r="Y108" i="34" s="1"/>
  <c r="Y51" i="34"/>
  <c r="CK51" i="34" s="1"/>
  <c r="Y114" i="34" s="1"/>
  <c r="Y43" i="34"/>
  <c r="CK43" i="34" s="1"/>
  <c r="Y106" i="34" s="1"/>
  <c r="Y63" i="34"/>
  <c r="CK63" i="34" s="1"/>
  <c r="Y126" i="34" s="1"/>
  <c r="X49" i="34"/>
  <c r="CJ49" i="34" s="1"/>
  <c r="X112" i="34" s="1"/>
  <c r="X44" i="34"/>
  <c r="CJ44" i="34" s="1"/>
  <c r="X107" i="34" s="1"/>
  <c r="X53" i="34"/>
  <c r="CJ53" i="34" s="1"/>
  <c r="X116" i="34" s="1"/>
  <c r="X54" i="34"/>
  <c r="CJ54" i="34" s="1"/>
  <c r="X117" i="34" s="1"/>
  <c r="X55" i="34"/>
  <c r="CJ55" i="34" s="1"/>
  <c r="X118" i="34" s="1"/>
  <c r="X46" i="34"/>
  <c r="CJ46" i="34" s="1"/>
  <c r="X109" i="34" s="1"/>
  <c r="X56" i="34"/>
  <c r="CJ56" i="34" s="1"/>
  <c r="X119" i="34" s="1"/>
  <c r="X57" i="34"/>
  <c r="CJ57" i="34" s="1"/>
  <c r="X120" i="34" s="1"/>
  <c r="X48" i="34"/>
  <c r="CJ48" i="34" s="1"/>
  <c r="X111" i="34" s="1"/>
  <c r="X58" i="34"/>
  <c r="CJ58" i="34" s="1"/>
  <c r="X121" i="34" s="1"/>
  <c r="X59" i="34"/>
  <c r="CJ59" i="34" s="1"/>
  <c r="X122" i="34" s="1"/>
  <c r="X60" i="34"/>
  <c r="CJ60" i="34" s="1"/>
  <c r="X123" i="34" s="1"/>
  <c r="X42" i="34"/>
  <c r="CJ42" i="34" s="1"/>
  <c r="X105" i="34" s="1"/>
  <c r="X52" i="34"/>
  <c r="CJ52" i="34" s="1"/>
  <c r="X115" i="34" s="1"/>
  <c r="X62" i="34"/>
  <c r="CJ62" i="34" s="1"/>
  <c r="X125" i="34" s="1"/>
  <c r="X61" i="34"/>
  <c r="CJ61" i="34" s="1"/>
  <c r="X124" i="34" s="1"/>
  <c r="X50" i="34"/>
  <c r="CJ50" i="34" s="1"/>
  <c r="X113" i="34" s="1"/>
  <c r="X47" i="34"/>
  <c r="CJ47" i="34" s="1"/>
  <c r="X110" i="34" s="1"/>
  <c r="X45" i="34"/>
  <c r="CJ45" i="34" s="1"/>
  <c r="X108" i="34" s="1"/>
  <c r="X51" i="34"/>
  <c r="CJ51" i="34" s="1"/>
  <c r="X114" i="34" s="1"/>
  <c r="X43" i="34"/>
  <c r="CJ43" i="34" s="1"/>
  <c r="X106" i="34" s="1"/>
  <c r="X63" i="34"/>
  <c r="CJ63" i="34" s="1"/>
  <c r="X126" i="34" s="1"/>
  <c r="W49" i="34"/>
  <c r="CI49" i="34" s="1"/>
  <c r="W112" i="34" s="1"/>
  <c r="W44" i="34"/>
  <c r="CI44" i="34" s="1"/>
  <c r="W107" i="34" s="1"/>
  <c r="W53" i="34"/>
  <c r="CI53" i="34" s="1"/>
  <c r="W116" i="34" s="1"/>
  <c r="W54" i="34"/>
  <c r="CI54" i="34" s="1"/>
  <c r="W117" i="34" s="1"/>
  <c r="W55" i="34"/>
  <c r="CI55" i="34" s="1"/>
  <c r="W118" i="34" s="1"/>
  <c r="W46" i="34"/>
  <c r="CI46" i="34" s="1"/>
  <c r="W109" i="34" s="1"/>
  <c r="W56" i="34"/>
  <c r="CI56" i="34" s="1"/>
  <c r="W119" i="34" s="1"/>
  <c r="W57" i="34"/>
  <c r="CI57" i="34" s="1"/>
  <c r="W120" i="34" s="1"/>
  <c r="W48" i="34"/>
  <c r="CI48" i="34" s="1"/>
  <c r="W111" i="34" s="1"/>
  <c r="W58" i="34"/>
  <c r="CI58" i="34" s="1"/>
  <c r="W121" i="34" s="1"/>
  <c r="W59" i="34"/>
  <c r="CI59" i="34" s="1"/>
  <c r="W122" i="34" s="1"/>
  <c r="W60" i="34"/>
  <c r="CI60" i="34" s="1"/>
  <c r="W123" i="34" s="1"/>
  <c r="W42" i="34"/>
  <c r="CI42" i="34" s="1"/>
  <c r="W105" i="34" s="1"/>
  <c r="W52" i="34"/>
  <c r="CI52" i="34" s="1"/>
  <c r="W115" i="34" s="1"/>
  <c r="W62" i="34"/>
  <c r="CI62" i="34" s="1"/>
  <c r="W125" i="34" s="1"/>
  <c r="W61" i="34"/>
  <c r="CI61" i="34" s="1"/>
  <c r="W124" i="34" s="1"/>
  <c r="W50" i="34"/>
  <c r="CI50" i="34" s="1"/>
  <c r="W113" i="34" s="1"/>
  <c r="W47" i="34"/>
  <c r="CI47" i="34" s="1"/>
  <c r="W110" i="34" s="1"/>
  <c r="W45" i="34"/>
  <c r="CI45" i="34" s="1"/>
  <c r="W108" i="34" s="1"/>
  <c r="W51" i="34"/>
  <c r="CI51" i="34" s="1"/>
  <c r="W114" i="34" s="1"/>
  <c r="W43" i="34"/>
  <c r="CI43" i="34" s="1"/>
  <c r="W106" i="34" s="1"/>
  <c r="W63" i="34"/>
  <c r="CI63" i="34" s="1"/>
  <c r="W126" i="34" s="1"/>
  <c r="V49" i="34"/>
  <c r="CH49" i="34" s="1"/>
  <c r="V112" i="34" s="1"/>
  <c r="V44" i="34"/>
  <c r="CH44" i="34" s="1"/>
  <c r="V107" i="34" s="1"/>
  <c r="V53" i="34"/>
  <c r="CH53" i="34" s="1"/>
  <c r="V116" i="34" s="1"/>
  <c r="V54" i="34"/>
  <c r="CH54" i="34" s="1"/>
  <c r="V117" i="34" s="1"/>
  <c r="V55" i="34"/>
  <c r="CH55" i="34" s="1"/>
  <c r="V118" i="34" s="1"/>
  <c r="V46" i="34"/>
  <c r="CH46" i="34" s="1"/>
  <c r="V109" i="34" s="1"/>
  <c r="V56" i="34"/>
  <c r="CH56" i="34" s="1"/>
  <c r="V119" i="34" s="1"/>
  <c r="V57" i="34"/>
  <c r="CH57" i="34" s="1"/>
  <c r="V120" i="34" s="1"/>
  <c r="V48" i="34"/>
  <c r="CH48" i="34" s="1"/>
  <c r="V111" i="34" s="1"/>
  <c r="V58" i="34"/>
  <c r="CH58" i="34" s="1"/>
  <c r="V121" i="34" s="1"/>
  <c r="V59" i="34"/>
  <c r="CH59" i="34" s="1"/>
  <c r="V122" i="34" s="1"/>
  <c r="V60" i="34"/>
  <c r="CH60" i="34" s="1"/>
  <c r="V123" i="34" s="1"/>
  <c r="V42" i="34"/>
  <c r="CH42" i="34" s="1"/>
  <c r="V105" i="34" s="1"/>
  <c r="V52" i="34"/>
  <c r="CH52" i="34" s="1"/>
  <c r="V115" i="34" s="1"/>
  <c r="V62" i="34"/>
  <c r="CH62" i="34" s="1"/>
  <c r="V125" i="34" s="1"/>
  <c r="V61" i="34"/>
  <c r="CH61" i="34" s="1"/>
  <c r="V124" i="34" s="1"/>
  <c r="V50" i="34"/>
  <c r="CH50" i="34" s="1"/>
  <c r="V113" i="34" s="1"/>
  <c r="V47" i="34"/>
  <c r="CH47" i="34" s="1"/>
  <c r="V110" i="34" s="1"/>
  <c r="V45" i="34"/>
  <c r="CH45" i="34" s="1"/>
  <c r="V108" i="34" s="1"/>
  <c r="V51" i="34"/>
  <c r="CH51" i="34" s="1"/>
  <c r="V114" i="34" s="1"/>
  <c r="V43" i="34"/>
  <c r="CH43" i="34" s="1"/>
  <c r="V106" i="34" s="1"/>
  <c r="V63" i="34"/>
  <c r="CH63" i="34" s="1"/>
  <c r="V126" i="34" s="1"/>
  <c r="AM38" i="34"/>
  <c r="CY38" i="34" s="1"/>
  <c r="AM101" i="34" s="1"/>
  <c r="AL38" i="34"/>
  <c r="CX38" i="34" s="1"/>
  <c r="AL101" i="34" s="1"/>
  <c r="AK38" i="34"/>
  <c r="CW38" i="34" s="1"/>
  <c r="AK101" i="34" s="1"/>
  <c r="AJ38" i="34"/>
  <c r="CV38" i="34" s="1"/>
  <c r="AJ101" i="34" s="1"/>
  <c r="AI38" i="34"/>
  <c r="CU38" i="34" s="1"/>
  <c r="AI101" i="34" s="1"/>
  <c r="AH38" i="34"/>
  <c r="CT38" i="34" s="1"/>
  <c r="AH101" i="34" s="1"/>
  <c r="AG38" i="34"/>
  <c r="CS38" i="34" s="1"/>
  <c r="AG101" i="34" s="1"/>
  <c r="AF38" i="34"/>
  <c r="CR38" i="34" s="1"/>
  <c r="AF101" i="34" s="1"/>
  <c r="AE38" i="34"/>
  <c r="CQ38" i="34" s="1"/>
  <c r="AE101" i="34" s="1"/>
  <c r="AD7" i="37"/>
  <c r="CP7" i="37" s="1"/>
  <c r="AD57" i="37"/>
  <c r="CP57" i="37" s="1"/>
  <c r="V6" i="37"/>
  <c r="CH6" i="37" s="1"/>
  <c r="Y34" i="37"/>
  <c r="CK34" i="37" s="1"/>
  <c r="Y37" i="37"/>
  <c r="CK37" i="37" s="1"/>
  <c r="V53" i="37"/>
  <c r="CH53" i="37" s="1"/>
  <c r="V43" i="37"/>
  <c r="CH43" i="37" s="1"/>
  <c r="V5" i="37"/>
  <c r="CH5" i="37" s="1"/>
  <c r="V51" i="37"/>
  <c r="CH51" i="37" s="1"/>
  <c r="Y33" i="37"/>
  <c r="CK33" i="37" s="1"/>
  <c r="Y32" i="37"/>
  <c r="CK32" i="37" s="1"/>
  <c r="W52" i="37"/>
  <c r="CI52" i="37" s="1"/>
  <c r="EG53" i="37"/>
  <c r="Z61" i="37"/>
  <c r="CL61" i="37" s="1"/>
  <c r="V62" i="37"/>
  <c r="CH62" i="37" s="1"/>
  <c r="V59" i="37"/>
  <c r="CH59" i="37" s="1"/>
  <c r="V60" i="37"/>
  <c r="CH60" i="37" s="1"/>
  <c r="V45" i="37"/>
  <c r="CH45" i="37" s="1"/>
  <c r="V50" i="37"/>
  <c r="CH50" i="37" s="1"/>
  <c r="V42" i="37"/>
  <c r="CH42" i="37" s="1"/>
  <c r="V31" i="37"/>
  <c r="CH31" i="37" s="1"/>
  <c r="AB54" i="37"/>
  <c r="CN54" i="37" s="1"/>
  <c r="AB4" i="37"/>
  <c r="CN4" i="37" s="1"/>
  <c r="AB47" i="37"/>
  <c r="CN47" i="37" s="1"/>
  <c r="AB44" i="37"/>
  <c r="CN44" i="37" s="1"/>
  <c r="AB41" i="37"/>
  <c r="CN41" i="37" s="1"/>
  <c r="AB35" i="37"/>
  <c r="CN35" i="37" s="1"/>
  <c r="AB58" i="37"/>
  <c r="CN58" i="37" s="1"/>
  <c r="AB32" i="37"/>
  <c r="CN32" i="37" s="1"/>
  <c r="AB31" i="37"/>
  <c r="CN31" i="37" s="1"/>
  <c r="AB8" i="37"/>
  <c r="CN8" i="37" s="1"/>
  <c r="AB56" i="37"/>
  <c r="CN56" i="37" s="1"/>
  <c r="AB61" i="37"/>
  <c r="CN61" i="37" s="1"/>
  <c r="AB55" i="37"/>
  <c r="CN55" i="37" s="1"/>
  <c r="AB49" i="37"/>
  <c r="CN49" i="37" s="1"/>
  <c r="AB40" i="37"/>
  <c r="CN40" i="37" s="1"/>
  <c r="AB6" i="37"/>
  <c r="CN6" i="37" s="1"/>
  <c r="AC36" i="37"/>
  <c r="CO36" i="37" s="1"/>
  <c r="AC35" i="37"/>
  <c r="CO35" i="37" s="1"/>
  <c r="AB34" i="37"/>
  <c r="CN34" i="37" s="1"/>
  <c r="Y8" i="37"/>
  <c r="CK8" i="37" s="1"/>
  <c r="AB37" i="37"/>
  <c r="CN37" i="37" s="1"/>
  <c r="AA56" i="37"/>
  <c r="CM56" i="37" s="1"/>
  <c r="V54" i="37"/>
  <c r="CH54" i="37" s="1"/>
  <c r="AB57" i="37"/>
  <c r="CN57" i="37" s="1"/>
  <c r="V4" i="37"/>
  <c r="CH4" i="37" s="1"/>
  <c r="AB53" i="37"/>
  <c r="CN53" i="37" s="1"/>
  <c r="V58" i="37"/>
  <c r="CH58" i="37" s="1"/>
  <c r="AB43" i="37"/>
  <c r="CN43" i="37" s="1"/>
  <c r="V47" i="37"/>
  <c r="CH47" i="37" s="1"/>
  <c r="AB5" i="37"/>
  <c r="CN5" i="37" s="1"/>
  <c r="V44" i="37"/>
  <c r="CH44" i="37" s="1"/>
  <c r="AB51" i="37"/>
  <c r="CN51" i="37" s="1"/>
  <c r="V41" i="37"/>
  <c r="CH41" i="37" s="1"/>
  <c r="AB7" i="37"/>
  <c r="CN7" i="37" s="1"/>
  <c r="Z56" i="37"/>
  <c r="CL56" i="37" s="1"/>
  <c r="AB63" i="37"/>
  <c r="CN63" i="37" s="1"/>
  <c r="AB46" i="37"/>
  <c r="CN46" i="37" s="1"/>
  <c r="AB48" i="37"/>
  <c r="CN48" i="37" s="1"/>
  <c r="AB39" i="37"/>
  <c r="CN39" i="37" s="1"/>
  <c r="AB33" i="37"/>
  <c r="CN33" i="37" s="1"/>
  <c r="AB95" i="37" s="1"/>
  <c r="AC8" i="37"/>
  <c r="CO8" i="37" s="1"/>
  <c r="AB52" i="37"/>
  <c r="CN52" i="37" s="1"/>
  <c r="AC52" i="37"/>
  <c r="CO52" i="37" s="1"/>
  <c r="V56" i="37"/>
  <c r="CH56" i="37" s="1"/>
  <c r="AC56" i="37"/>
  <c r="CO56" i="37" s="1"/>
  <c r="W61" i="37"/>
  <c r="CI61" i="37" s="1"/>
  <c r="AB62" i="37"/>
  <c r="CN62" i="37" s="1"/>
  <c r="AD54" i="37"/>
  <c r="CP54" i="37" s="1"/>
  <c r="V55" i="37"/>
  <c r="CH55" i="37" s="1"/>
  <c r="AB59" i="37"/>
  <c r="CN59" i="37" s="1"/>
  <c r="AD4" i="37"/>
  <c r="CP4" i="37" s="1"/>
  <c r="V63" i="37"/>
  <c r="CH63" i="37" s="1"/>
  <c r="AB60" i="37"/>
  <c r="CN60" i="37" s="1"/>
  <c r="AD58" i="37"/>
  <c r="CP58" i="37" s="1"/>
  <c r="V49" i="37"/>
  <c r="CH49" i="37" s="1"/>
  <c r="AB45" i="37"/>
  <c r="CN45" i="37" s="1"/>
  <c r="AB107" i="37" s="1"/>
  <c r="AD47" i="37"/>
  <c r="CP47" i="37" s="1"/>
  <c r="V46" i="37"/>
  <c r="CH46" i="37" s="1"/>
  <c r="AB50" i="37"/>
  <c r="CN50" i="37" s="1"/>
  <c r="AD44" i="37"/>
  <c r="CP44" i="37" s="1"/>
  <c r="V48" i="37"/>
  <c r="CH48" i="37" s="1"/>
  <c r="V110" i="37" s="1"/>
  <c r="AB42" i="37"/>
  <c r="CN42" i="37" s="1"/>
  <c r="AD41" i="37"/>
  <c r="CP41" i="37" s="1"/>
  <c r="V40" i="37"/>
  <c r="CH40" i="37" s="1"/>
  <c r="AB38" i="37"/>
  <c r="CN38" i="37" s="1"/>
  <c r="AB100" i="37" s="1"/>
  <c r="Y39" i="37"/>
  <c r="CK39" i="37" s="1"/>
  <c r="Z6" i="37"/>
  <c r="CL6" i="37" s="1"/>
  <c r="W39" i="37"/>
  <c r="CI39" i="37" s="1"/>
  <c r="AC39" i="37"/>
  <c r="CO39" i="37" s="1"/>
  <c r="AD36" i="37"/>
  <c r="CP36" i="37" s="1"/>
  <c r="V34" i="37"/>
  <c r="CH34" i="37" s="1"/>
  <c r="AD34" i="37"/>
  <c r="CP34" i="37" s="1"/>
  <c r="V33" i="37"/>
  <c r="CH33" i="37" s="1"/>
  <c r="AD33" i="37"/>
  <c r="CP33" i="37" s="1"/>
  <c r="V8" i="37"/>
  <c r="CH8" i="37" s="1"/>
  <c r="AD8" i="37"/>
  <c r="CP8" i="37" s="1"/>
  <c r="V32" i="37"/>
  <c r="CH32" i="37" s="1"/>
  <c r="AD32" i="37"/>
  <c r="CP32" i="37" s="1"/>
  <c r="AD31" i="37"/>
  <c r="CP31" i="37" s="1"/>
  <c r="V37" i="37"/>
  <c r="CH37" i="37" s="1"/>
  <c r="AD37" i="37"/>
  <c r="CP37" i="37" s="1"/>
  <c r="V52" i="37"/>
  <c r="CH52" i="37" s="1"/>
  <c r="AA52" i="37"/>
  <c r="CM52" i="37" s="1"/>
  <c r="Y56" i="37"/>
  <c r="CK56" i="37" s="1"/>
  <c r="AD56" i="37"/>
  <c r="CP56" i="37" s="1"/>
  <c r="V61" i="37"/>
  <c r="CH61" i="37" s="1"/>
  <c r="AC61" i="37"/>
  <c r="CO61" i="37" s="1"/>
  <c r="AC62" i="37"/>
  <c r="CO62" i="37" s="1"/>
  <c r="AC54" i="37"/>
  <c r="CO54" i="37" s="1"/>
  <c r="AC55" i="37"/>
  <c r="CO55" i="37" s="1"/>
  <c r="AC57" i="37"/>
  <c r="CO57" i="37" s="1"/>
  <c r="AC59" i="37"/>
  <c r="CO59" i="37" s="1"/>
  <c r="AC4" i="37"/>
  <c r="CO4" i="37" s="1"/>
  <c r="AC63" i="37"/>
  <c r="CO63" i="37" s="1"/>
  <c r="AC53" i="37"/>
  <c r="CO53" i="37" s="1"/>
  <c r="AC60" i="37"/>
  <c r="CO60" i="37" s="1"/>
  <c r="AC58" i="37"/>
  <c r="CO58" i="37" s="1"/>
  <c r="AC49" i="37"/>
  <c r="CO49" i="37" s="1"/>
  <c r="AC43" i="37"/>
  <c r="CO43" i="37" s="1"/>
  <c r="AC45" i="37"/>
  <c r="CO45" i="37" s="1"/>
  <c r="AC47" i="37"/>
  <c r="CO47" i="37" s="1"/>
  <c r="AC46" i="37"/>
  <c r="CO46" i="37" s="1"/>
  <c r="AC5" i="37"/>
  <c r="CO5" i="37" s="1"/>
  <c r="AC50" i="37"/>
  <c r="CO50" i="37" s="1"/>
  <c r="AC44" i="37"/>
  <c r="CO44" i="37" s="1"/>
  <c r="AC48" i="37"/>
  <c r="CO48" i="37" s="1"/>
  <c r="AC51" i="37"/>
  <c r="CO51" i="37" s="1"/>
  <c r="AC42" i="37"/>
  <c r="CO42" i="37" s="1"/>
  <c r="AC41" i="37"/>
  <c r="CO41" i="37" s="1"/>
  <c r="AC40" i="37"/>
  <c r="CO40" i="37" s="1"/>
  <c r="AC7" i="37"/>
  <c r="CO7" i="37" s="1"/>
  <c r="Y38" i="37"/>
  <c r="CK38" i="37" s="1"/>
  <c r="W6" i="37"/>
  <c r="CI6" i="37" s="1"/>
  <c r="AC6" i="37"/>
  <c r="CO6" i="37" s="1"/>
  <c r="Z39" i="37"/>
  <c r="CL39" i="37" s="1"/>
  <c r="Y36" i="37"/>
  <c r="CK36" i="37" s="1"/>
  <c r="Z34" i="37"/>
  <c r="CL34" i="37" s="1"/>
  <c r="Z33" i="37"/>
  <c r="CL33" i="37" s="1"/>
  <c r="Z8" i="37"/>
  <c r="CL8" i="37" s="1"/>
  <c r="Z32" i="37"/>
  <c r="CL32" i="37" s="1"/>
  <c r="Z31" i="37"/>
  <c r="CL31" i="37" s="1"/>
  <c r="Z37" i="37"/>
  <c r="CL37" i="37" s="1"/>
  <c r="Y52" i="37"/>
  <c r="CK52" i="37" s="1"/>
  <c r="AD52" i="37"/>
  <c r="CP52" i="37" s="1"/>
  <c r="Y61" i="37"/>
  <c r="CK61" i="37" s="1"/>
  <c r="Y62" i="37"/>
  <c r="CK62" i="37" s="1"/>
  <c r="Y54" i="37"/>
  <c r="CK54" i="37" s="1"/>
  <c r="Y55" i="37"/>
  <c r="CK55" i="37" s="1"/>
  <c r="Y57" i="37"/>
  <c r="CK57" i="37" s="1"/>
  <c r="Y59" i="37"/>
  <c r="CK59" i="37" s="1"/>
  <c r="Y4" i="37"/>
  <c r="CK4" i="37" s="1"/>
  <c r="Y63" i="37"/>
  <c r="CK63" i="37" s="1"/>
  <c r="Y53" i="37"/>
  <c r="CK53" i="37" s="1"/>
  <c r="Y60" i="37"/>
  <c r="CK60" i="37" s="1"/>
  <c r="Y58" i="37"/>
  <c r="CK58" i="37" s="1"/>
  <c r="Y49" i="37"/>
  <c r="CK49" i="37" s="1"/>
  <c r="Y43" i="37"/>
  <c r="CK43" i="37" s="1"/>
  <c r="Y45" i="37"/>
  <c r="CK45" i="37" s="1"/>
  <c r="Y47" i="37"/>
  <c r="CK47" i="37" s="1"/>
  <c r="Y46" i="37"/>
  <c r="CK46" i="37" s="1"/>
  <c r="Y5" i="37"/>
  <c r="CK5" i="37" s="1"/>
  <c r="Y50" i="37"/>
  <c r="CK50" i="37" s="1"/>
  <c r="Y44" i="37"/>
  <c r="CK44" i="37" s="1"/>
  <c r="Y48" i="37"/>
  <c r="CK48" i="37" s="1"/>
  <c r="Y51" i="37"/>
  <c r="CK51" i="37" s="1"/>
  <c r="Y42" i="37"/>
  <c r="CK42" i="37" s="1"/>
  <c r="Y41" i="37"/>
  <c r="CK41" i="37" s="1"/>
  <c r="Y40" i="37"/>
  <c r="CK40" i="37" s="1"/>
  <c r="Y7" i="37"/>
  <c r="CK7" i="37" s="1"/>
  <c r="AD39" i="37"/>
  <c r="CP39" i="37" s="1"/>
  <c r="Y6" i="37"/>
  <c r="CK6" i="37" s="1"/>
  <c r="AD6" i="37"/>
  <c r="CP6" i="37" s="1"/>
  <c r="V39" i="37"/>
  <c r="CH39" i="37" s="1"/>
  <c r="AA39" i="37"/>
  <c r="CM39" i="37" s="1"/>
  <c r="Z62" i="37"/>
  <c r="CL62" i="37" s="1"/>
  <c r="Z54" i="37"/>
  <c r="CL54" i="37" s="1"/>
  <c r="Z55" i="37"/>
  <c r="CL55" i="37" s="1"/>
  <c r="Z57" i="37"/>
  <c r="CL57" i="37" s="1"/>
  <c r="Z60" i="37"/>
  <c r="CL60" i="37" s="1"/>
  <c r="Z59" i="37"/>
  <c r="CL59" i="37" s="1"/>
  <c r="Z4" i="37"/>
  <c r="CL4" i="37" s="1"/>
  <c r="Z63" i="37"/>
  <c r="CL63" i="37" s="1"/>
  <c r="Z53" i="37"/>
  <c r="CL53" i="37" s="1"/>
  <c r="Z58" i="37"/>
  <c r="CL58" i="37" s="1"/>
  <c r="Z49" i="37"/>
  <c r="CL49" i="37" s="1"/>
  <c r="Z43" i="37"/>
  <c r="CL43" i="37" s="1"/>
  <c r="Z45" i="37"/>
  <c r="CL45" i="37" s="1"/>
  <c r="Z47" i="37"/>
  <c r="CL47" i="37" s="1"/>
  <c r="Z46" i="37"/>
  <c r="CL46" i="37" s="1"/>
  <c r="Z5" i="37"/>
  <c r="CL5" i="37" s="1"/>
  <c r="Z50" i="37"/>
  <c r="CL50" i="37" s="1"/>
  <c r="Z44" i="37"/>
  <c r="CL44" i="37" s="1"/>
  <c r="Z48" i="37"/>
  <c r="CL48" i="37" s="1"/>
  <c r="Z51" i="37"/>
  <c r="CL51" i="37" s="1"/>
  <c r="Z42" i="37"/>
  <c r="CL42" i="37" s="1"/>
  <c r="Z41" i="37"/>
  <c r="CL41" i="37" s="1"/>
  <c r="Z40" i="37"/>
  <c r="CL40" i="37" s="1"/>
  <c r="Z7" i="37"/>
  <c r="CL7" i="37" s="1"/>
  <c r="AC31" i="37"/>
  <c r="CO31" i="37" s="1"/>
  <c r="Y35" i="37"/>
  <c r="CK35" i="37" s="1"/>
  <c r="X6" i="37"/>
  <c r="CJ6" i="37" s="1"/>
  <c r="X39" i="37"/>
  <c r="CJ39" i="37" s="1"/>
  <c r="AB36" i="37"/>
  <c r="CN36" i="37" s="1"/>
  <c r="X36" i="37"/>
  <c r="CJ36" i="37" s="1"/>
  <c r="AA36" i="37"/>
  <c r="CM36" i="37" s="1"/>
  <c r="W36" i="37"/>
  <c r="CI36" i="37" s="1"/>
  <c r="Z36" i="37"/>
  <c r="CL36" i="37" s="1"/>
  <c r="V35" i="37"/>
  <c r="CH35" i="37" s="1"/>
  <c r="Z35" i="37"/>
  <c r="CL35" i="37" s="1"/>
  <c r="Z97" i="37" s="1"/>
  <c r="AD35" i="37"/>
  <c r="CP35" i="37" s="1"/>
  <c r="V38" i="37"/>
  <c r="CH38" i="37" s="1"/>
  <c r="Z38" i="37"/>
  <c r="CL38" i="37" s="1"/>
  <c r="AD38" i="37"/>
  <c r="CP38" i="37" s="1"/>
  <c r="AD100" i="37" s="1"/>
  <c r="W34" i="37"/>
  <c r="CI34" i="37" s="1"/>
  <c r="AA34" i="37"/>
  <c r="CM34" i="37" s="1"/>
  <c r="W33" i="37"/>
  <c r="CI33" i="37" s="1"/>
  <c r="AA33" i="37"/>
  <c r="CM33" i="37" s="1"/>
  <c r="W8" i="37"/>
  <c r="CI8" i="37" s="1"/>
  <c r="AA8" i="37"/>
  <c r="CM8" i="37" s="1"/>
  <c r="W32" i="37"/>
  <c r="CI32" i="37" s="1"/>
  <c r="W31" i="37"/>
  <c r="CI31" i="37" s="1"/>
  <c r="AA32" i="37"/>
  <c r="CM32" i="37" s="1"/>
  <c r="AA31" i="37"/>
  <c r="CM31" i="37" s="1"/>
  <c r="W37" i="37"/>
  <c r="CI37" i="37" s="1"/>
  <c r="AA37" i="37"/>
  <c r="CM37" i="37" s="1"/>
  <c r="AA99" i="37" s="1"/>
  <c r="AA61" i="37"/>
  <c r="CM61" i="37" s="1"/>
  <c r="W62" i="37"/>
  <c r="CI62" i="37" s="1"/>
  <c r="AA62" i="37"/>
  <c r="CM62" i="37" s="1"/>
  <c r="W54" i="37"/>
  <c r="CI54" i="37" s="1"/>
  <c r="AA54" i="37"/>
  <c r="CM54" i="37" s="1"/>
  <c r="W55" i="37"/>
  <c r="CI55" i="37" s="1"/>
  <c r="AA55" i="37"/>
  <c r="CM55" i="37" s="1"/>
  <c r="W57" i="37"/>
  <c r="CI57" i="37" s="1"/>
  <c r="AA57" i="37"/>
  <c r="CM57" i="37" s="1"/>
  <c r="W59" i="37"/>
  <c r="CI59" i="37" s="1"/>
  <c r="AA59" i="37"/>
  <c r="CM59" i="37" s="1"/>
  <c r="W4" i="37"/>
  <c r="CI4" i="37" s="1"/>
  <c r="AA4" i="37"/>
  <c r="CM4" i="37" s="1"/>
  <c r="W63" i="37"/>
  <c r="CI63" i="37" s="1"/>
  <c r="AA63" i="37"/>
  <c r="CM63" i="37" s="1"/>
  <c r="W53" i="37"/>
  <c r="CI53" i="37" s="1"/>
  <c r="AA53" i="37"/>
  <c r="CM53" i="37" s="1"/>
  <c r="W60" i="37"/>
  <c r="CI60" i="37" s="1"/>
  <c r="AA60" i="37"/>
  <c r="CM60" i="37" s="1"/>
  <c r="W58" i="37"/>
  <c r="CI58" i="37" s="1"/>
  <c r="AA58" i="37"/>
  <c r="CM58" i="37" s="1"/>
  <c r="W49" i="37"/>
  <c r="CI49" i="37" s="1"/>
  <c r="AA49" i="37"/>
  <c r="CM49" i="37" s="1"/>
  <c r="W43" i="37"/>
  <c r="CI43" i="37" s="1"/>
  <c r="AA43" i="37"/>
  <c r="CM43" i="37" s="1"/>
  <c r="W45" i="37"/>
  <c r="CI45" i="37" s="1"/>
  <c r="AA45" i="37"/>
  <c r="CM45" i="37" s="1"/>
  <c r="W47" i="37"/>
  <c r="CI47" i="37" s="1"/>
  <c r="AA47" i="37"/>
  <c r="CM47" i="37" s="1"/>
  <c r="W46" i="37"/>
  <c r="CI46" i="37" s="1"/>
  <c r="W108" i="37" s="1"/>
  <c r="AA46" i="37"/>
  <c r="CM46" i="37" s="1"/>
  <c r="AA108" i="37" s="1"/>
  <c r="W5" i="37"/>
  <c r="CI5" i="37" s="1"/>
  <c r="W67" i="37" s="1"/>
  <c r="AA5" i="37"/>
  <c r="CM5" i="37" s="1"/>
  <c r="AA67" i="37" s="1"/>
  <c r="W50" i="37"/>
  <c r="CI50" i="37" s="1"/>
  <c r="W112" i="37" s="1"/>
  <c r="AA50" i="37"/>
  <c r="CM50" i="37" s="1"/>
  <c r="AA112" i="37" s="1"/>
  <c r="W44" i="37"/>
  <c r="CI44" i="37" s="1"/>
  <c r="W106" i="37" s="1"/>
  <c r="AA44" i="37"/>
  <c r="CM44" i="37" s="1"/>
  <c r="AA106" i="37" s="1"/>
  <c r="W48" i="37"/>
  <c r="CI48" i="37" s="1"/>
  <c r="AA48" i="37"/>
  <c r="CM48" i="37" s="1"/>
  <c r="W51" i="37"/>
  <c r="CI51" i="37" s="1"/>
  <c r="AA51" i="37"/>
  <c r="CM51" i="37" s="1"/>
  <c r="W42" i="37"/>
  <c r="CI42" i="37" s="1"/>
  <c r="AA42" i="37"/>
  <c r="CM42" i="37" s="1"/>
  <c r="W41" i="37"/>
  <c r="CI41" i="37" s="1"/>
  <c r="AA41" i="37"/>
  <c r="CM41" i="37" s="1"/>
  <c r="W40" i="37"/>
  <c r="CI40" i="37" s="1"/>
  <c r="AA40" i="37"/>
  <c r="CM40" i="37" s="1"/>
  <c r="W7" i="37"/>
  <c r="CI7" i="37" s="1"/>
  <c r="W69" i="37" s="1"/>
  <c r="AA7" i="37"/>
  <c r="CM7" i="37" s="1"/>
  <c r="W35" i="37"/>
  <c r="CI35" i="37" s="1"/>
  <c r="AA35" i="37"/>
  <c r="CM35" i="37" s="1"/>
  <c r="W38" i="37"/>
  <c r="CI38" i="37" s="1"/>
  <c r="AA38" i="37"/>
  <c r="CM38" i="37" s="1"/>
  <c r="X34" i="37"/>
  <c r="CJ34" i="37" s="1"/>
  <c r="X33" i="37"/>
  <c r="CJ33" i="37" s="1"/>
  <c r="X8" i="37"/>
  <c r="CJ8" i="37" s="1"/>
  <c r="X32" i="37"/>
  <c r="CJ32" i="37" s="1"/>
  <c r="X31" i="37"/>
  <c r="CJ31" i="37" s="1"/>
  <c r="X37" i="37"/>
  <c r="CJ37" i="37" s="1"/>
  <c r="X99" i="37" s="1"/>
  <c r="X52" i="37"/>
  <c r="CJ52" i="37" s="1"/>
  <c r="X56" i="37"/>
  <c r="CJ56" i="37" s="1"/>
  <c r="X61" i="37"/>
  <c r="CJ61" i="37" s="1"/>
  <c r="X62" i="37"/>
  <c r="CJ62" i="37" s="1"/>
  <c r="X54" i="37"/>
  <c r="CJ54" i="37" s="1"/>
  <c r="X55" i="37"/>
  <c r="CJ55" i="37" s="1"/>
  <c r="X57" i="37"/>
  <c r="CJ57" i="37" s="1"/>
  <c r="X59" i="37"/>
  <c r="CJ59" i="37" s="1"/>
  <c r="X4" i="37"/>
  <c r="CJ4" i="37" s="1"/>
  <c r="X63" i="37"/>
  <c r="CJ63" i="37" s="1"/>
  <c r="X53" i="37"/>
  <c r="CJ53" i="37" s="1"/>
  <c r="X60" i="37"/>
  <c r="CJ60" i="37" s="1"/>
  <c r="X58" i="37"/>
  <c r="CJ58" i="37" s="1"/>
  <c r="X49" i="37"/>
  <c r="CJ49" i="37" s="1"/>
  <c r="X43" i="37"/>
  <c r="CJ43" i="37" s="1"/>
  <c r="X45" i="37"/>
  <c r="CJ45" i="37" s="1"/>
  <c r="X47" i="37"/>
  <c r="CJ47" i="37" s="1"/>
  <c r="X46" i="37"/>
  <c r="CJ46" i="37" s="1"/>
  <c r="X5" i="37"/>
  <c r="CJ5" i="37" s="1"/>
  <c r="X50" i="37"/>
  <c r="CJ50" i="37" s="1"/>
  <c r="X44" i="37"/>
  <c r="CJ44" i="37" s="1"/>
  <c r="X48" i="37"/>
  <c r="CJ48" i="37" s="1"/>
  <c r="X51" i="37"/>
  <c r="CJ51" i="37" s="1"/>
  <c r="X42" i="37"/>
  <c r="CJ42" i="37" s="1"/>
  <c r="X41" i="37"/>
  <c r="CJ41" i="37" s="1"/>
  <c r="X40" i="37"/>
  <c r="CJ40" i="37" s="1"/>
  <c r="X102" i="37" s="1"/>
  <c r="X7" i="37"/>
  <c r="CJ7" i="37" s="1"/>
  <c r="X35" i="37"/>
  <c r="CJ35" i="37" s="1"/>
  <c r="X38" i="37"/>
  <c r="CJ38" i="37" s="1"/>
  <c r="D39" i="37"/>
  <c r="U59" i="37"/>
  <c r="CG59" i="37" s="1"/>
  <c r="S47" i="37"/>
  <c r="CE47" i="37" s="1"/>
  <c r="L42" i="37"/>
  <c r="BX42" i="37" s="1"/>
  <c r="K21" i="37"/>
  <c r="BW21" i="37" s="1"/>
  <c r="K31" i="37"/>
  <c r="BW31" i="37" s="1"/>
  <c r="U40" i="37"/>
  <c r="CG40" i="37" s="1"/>
  <c r="R47" i="37"/>
  <c r="CD47" i="37" s="1"/>
  <c r="P40" i="37"/>
  <c r="CB40" i="37" s="1"/>
  <c r="R40" i="37"/>
  <c r="CD40" i="37" s="1"/>
  <c r="J47" i="37"/>
  <c r="BV47" i="37" s="1"/>
  <c r="T47" i="37"/>
  <c r="CF47" i="37" s="1"/>
  <c r="L47" i="37"/>
  <c r="BX47" i="37" s="1"/>
  <c r="K42" i="37"/>
  <c r="BW42" i="37" s="1"/>
  <c r="P59" i="37"/>
  <c r="CB59" i="37" s="1"/>
  <c r="S40" i="37"/>
  <c r="CE40" i="37" s="1"/>
  <c r="Q40" i="37"/>
  <c r="CC40" i="37" s="1"/>
  <c r="S59" i="37"/>
  <c r="CE59" i="37" s="1"/>
  <c r="Q59" i="37"/>
  <c r="CC59" i="37" s="1"/>
  <c r="U47" i="37"/>
  <c r="CG47" i="37" s="1"/>
  <c r="T59" i="37"/>
  <c r="CF59" i="37" s="1"/>
  <c r="R59" i="37"/>
  <c r="CD59" i="37" s="1"/>
  <c r="T40" i="37"/>
  <c r="CF40" i="37" s="1"/>
  <c r="P47" i="37"/>
  <c r="CB47" i="37" s="1"/>
  <c r="Q47" i="37"/>
  <c r="CC47" i="37" s="1"/>
  <c r="J42" i="37"/>
  <c r="BV42" i="37" s="1"/>
  <c r="U43" i="37"/>
  <c r="CG43" i="37" s="1"/>
  <c r="T43" i="37"/>
  <c r="CF43" i="37" s="1"/>
  <c r="S43" i="37"/>
  <c r="CE43" i="37" s="1"/>
  <c r="R43" i="37"/>
  <c r="CD43" i="37" s="1"/>
  <c r="U29" i="37"/>
  <c r="CG29" i="37" s="1"/>
  <c r="S29" i="37"/>
  <c r="CE29" i="37" s="1"/>
  <c r="T29" i="37"/>
  <c r="CF29" i="37" s="1"/>
  <c r="R29" i="37"/>
  <c r="CD29" i="37" s="1"/>
  <c r="T38" i="37"/>
  <c r="CF38" i="37" s="1"/>
  <c r="S38" i="37"/>
  <c r="CE38" i="37" s="1"/>
  <c r="R38" i="37"/>
  <c r="CD38" i="37" s="1"/>
  <c r="U38" i="37"/>
  <c r="CG38" i="37" s="1"/>
  <c r="U58" i="37"/>
  <c r="CG58" i="37" s="1"/>
  <c r="T58" i="37"/>
  <c r="CF58" i="37" s="1"/>
  <c r="S58" i="37"/>
  <c r="CE58" i="37" s="1"/>
  <c r="R58" i="37"/>
  <c r="CD58" i="37" s="1"/>
  <c r="U6" i="37"/>
  <c r="CG6" i="37" s="1"/>
  <c r="S6" i="37"/>
  <c r="CE6" i="37" s="1"/>
  <c r="T6" i="37"/>
  <c r="CF6" i="37" s="1"/>
  <c r="R6" i="37"/>
  <c r="CD6" i="37" s="1"/>
  <c r="U51" i="37"/>
  <c r="CG51" i="37" s="1"/>
  <c r="T51" i="37"/>
  <c r="CF51" i="37" s="1"/>
  <c r="S51" i="37"/>
  <c r="CE51" i="37" s="1"/>
  <c r="R51" i="37"/>
  <c r="CD51" i="37" s="1"/>
  <c r="U57" i="37"/>
  <c r="CG57" i="37" s="1"/>
  <c r="T57" i="37"/>
  <c r="CF57" i="37" s="1"/>
  <c r="S57" i="37"/>
  <c r="CE57" i="37" s="1"/>
  <c r="R57" i="37"/>
  <c r="CD57" i="37" s="1"/>
  <c r="U56" i="37"/>
  <c r="CG56" i="37" s="1"/>
  <c r="S56" i="37"/>
  <c r="CE56" i="37" s="1"/>
  <c r="T56" i="37"/>
  <c r="CF56" i="37" s="1"/>
  <c r="R56" i="37"/>
  <c r="CD56" i="37" s="1"/>
  <c r="U10" i="37"/>
  <c r="CG10" i="37" s="1"/>
  <c r="T10" i="37"/>
  <c r="CF10" i="37" s="1"/>
  <c r="S10" i="37"/>
  <c r="CE10" i="37" s="1"/>
  <c r="R10" i="37"/>
  <c r="CD10" i="37" s="1"/>
  <c r="U36" i="37"/>
  <c r="CG36" i="37" s="1"/>
  <c r="T36" i="37"/>
  <c r="CF36" i="37" s="1"/>
  <c r="R36" i="37"/>
  <c r="CD36" i="37" s="1"/>
  <c r="S36" i="37"/>
  <c r="CE36" i="37" s="1"/>
  <c r="U53" i="37"/>
  <c r="CG53" i="37" s="1"/>
  <c r="T53" i="37"/>
  <c r="CF53" i="37" s="1"/>
  <c r="S53" i="37"/>
  <c r="CE53" i="37" s="1"/>
  <c r="R53" i="37"/>
  <c r="CD53" i="37" s="1"/>
  <c r="T35" i="37"/>
  <c r="CF35" i="37" s="1"/>
  <c r="S35" i="37"/>
  <c r="CE35" i="37" s="1"/>
  <c r="R35" i="37"/>
  <c r="CD35" i="37" s="1"/>
  <c r="U35" i="37"/>
  <c r="CG35" i="37" s="1"/>
  <c r="U18" i="37"/>
  <c r="CG18" i="37" s="1"/>
  <c r="T18" i="37"/>
  <c r="CF18" i="37" s="1"/>
  <c r="S18" i="37"/>
  <c r="CE18" i="37" s="1"/>
  <c r="R18" i="37"/>
  <c r="CD18" i="37" s="1"/>
  <c r="U33" i="37"/>
  <c r="CG33" i="37" s="1"/>
  <c r="T33" i="37"/>
  <c r="CF33" i="37" s="1"/>
  <c r="S33" i="37"/>
  <c r="CE33" i="37" s="1"/>
  <c r="R33" i="37"/>
  <c r="CD33" i="37" s="1"/>
  <c r="M21" i="37"/>
  <c r="BY21" i="37" s="1"/>
  <c r="U21" i="37"/>
  <c r="CG21" i="37" s="1"/>
  <c r="T21" i="37"/>
  <c r="CF21" i="37" s="1"/>
  <c r="R21" i="37"/>
  <c r="CD21" i="37" s="1"/>
  <c r="S21" i="37"/>
  <c r="CE21" i="37" s="1"/>
  <c r="U48" i="37"/>
  <c r="CG48" i="37" s="1"/>
  <c r="U110" i="37" s="1"/>
  <c r="T48" i="37"/>
  <c r="CF48" i="37" s="1"/>
  <c r="S48" i="37"/>
  <c r="CE48" i="37" s="1"/>
  <c r="R48" i="37"/>
  <c r="CD48" i="37" s="1"/>
  <c r="U15" i="37"/>
  <c r="CG15" i="37" s="1"/>
  <c r="S15" i="37"/>
  <c r="CE15" i="37" s="1"/>
  <c r="T15" i="37"/>
  <c r="CF15" i="37" s="1"/>
  <c r="R15" i="37"/>
  <c r="CD15" i="37" s="1"/>
  <c r="U13" i="37"/>
  <c r="CG13" i="37" s="1"/>
  <c r="T13" i="37"/>
  <c r="CF13" i="37" s="1"/>
  <c r="R13" i="37"/>
  <c r="CD13" i="37" s="1"/>
  <c r="S13" i="37"/>
  <c r="CE13" i="37" s="1"/>
  <c r="U11" i="37"/>
  <c r="CG11" i="37" s="1"/>
  <c r="S11" i="37"/>
  <c r="CE11" i="37" s="1"/>
  <c r="S73" i="37" s="1"/>
  <c r="T11" i="37"/>
  <c r="CF11" i="37" s="1"/>
  <c r="R11" i="37"/>
  <c r="CD11" i="37" s="1"/>
  <c r="U52" i="37"/>
  <c r="CG52" i="37" s="1"/>
  <c r="T52" i="37"/>
  <c r="CF52" i="37" s="1"/>
  <c r="S52" i="37"/>
  <c r="CE52" i="37" s="1"/>
  <c r="R52" i="37"/>
  <c r="CD52" i="37" s="1"/>
  <c r="U14" i="37"/>
  <c r="CG14" i="37" s="1"/>
  <c r="U76" i="37" s="1"/>
  <c r="S14" i="37"/>
  <c r="CE14" i="37" s="1"/>
  <c r="T14" i="37"/>
  <c r="CF14" i="37" s="1"/>
  <c r="R14" i="37"/>
  <c r="CD14" i="37" s="1"/>
  <c r="U22" i="37"/>
  <c r="CG22" i="37" s="1"/>
  <c r="U84" i="37" s="1"/>
  <c r="T22" i="37"/>
  <c r="CF22" i="37" s="1"/>
  <c r="T84" i="37" s="1"/>
  <c r="R22" i="37"/>
  <c r="CD22" i="37" s="1"/>
  <c r="R84" i="37" s="1"/>
  <c r="S22" i="37"/>
  <c r="CE22" i="37" s="1"/>
  <c r="S84" i="37" s="1"/>
  <c r="U17" i="37"/>
  <c r="CG17" i="37" s="1"/>
  <c r="S17" i="37"/>
  <c r="CE17" i="37" s="1"/>
  <c r="T17" i="37"/>
  <c r="CF17" i="37" s="1"/>
  <c r="R17" i="37"/>
  <c r="CD17" i="37" s="1"/>
  <c r="U50" i="37"/>
  <c r="CG50" i="37" s="1"/>
  <c r="T50" i="37"/>
  <c r="CF50" i="37" s="1"/>
  <c r="S50" i="37"/>
  <c r="CE50" i="37" s="1"/>
  <c r="R50" i="37"/>
  <c r="CD50" i="37" s="1"/>
  <c r="U28" i="37"/>
  <c r="CG28" i="37" s="1"/>
  <c r="S28" i="37"/>
  <c r="CE28" i="37" s="1"/>
  <c r="T28" i="37"/>
  <c r="CF28" i="37" s="1"/>
  <c r="R28" i="37"/>
  <c r="CD28" i="37" s="1"/>
  <c r="U19" i="37"/>
  <c r="CG19" i="37" s="1"/>
  <c r="T19" i="37"/>
  <c r="CF19" i="37" s="1"/>
  <c r="R19" i="37"/>
  <c r="CD19" i="37" s="1"/>
  <c r="R81" i="37" s="1"/>
  <c r="S19" i="37"/>
  <c r="CE19" i="37" s="1"/>
  <c r="U55" i="37"/>
  <c r="CG55" i="37" s="1"/>
  <c r="T55" i="37"/>
  <c r="CF55" i="37" s="1"/>
  <c r="S55" i="37"/>
  <c r="CE55" i="37" s="1"/>
  <c r="R55" i="37"/>
  <c r="CD55" i="37" s="1"/>
  <c r="U39" i="37"/>
  <c r="CG39" i="37" s="1"/>
  <c r="T39" i="37"/>
  <c r="CF39" i="37" s="1"/>
  <c r="S39" i="37"/>
  <c r="CE39" i="37" s="1"/>
  <c r="R39" i="37"/>
  <c r="CD39" i="37" s="1"/>
  <c r="U49" i="37"/>
  <c r="CG49" i="37" s="1"/>
  <c r="U111" i="37" s="1"/>
  <c r="T49" i="37"/>
  <c r="CF49" i="37" s="1"/>
  <c r="T111" i="37" s="1"/>
  <c r="S49" i="37"/>
  <c r="CE49" i="37" s="1"/>
  <c r="S111" i="37" s="1"/>
  <c r="R49" i="37"/>
  <c r="CD49" i="37" s="1"/>
  <c r="R111" i="37" s="1"/>
  <c r="U54" i="37"/>
  <c r="CG54" i="37" s="1"/>
  <c r="T54" i="37"/>
  <c r="CF54" i="37" s="1"/>
  <c r="S54" i="37"/>
  <c r="CE54" i="37" s="1"/>
  <c r="R54" i="37"/>
  <c r="CD54" i="37" s="1"/>
  <c r="U27" i="37"/>
  <c r="CG27" i="37" s="1"/>
  <c r="T27" i="37"/>
  <c r="CF27" i="37" s="1"/>
  <c r="S27" i="37"/>
  <c r="CE27" i="37" s="1"/>
  <c r="R27" i="37"/>
  <c r="CD27" i="37" s="1"/>
  <c r="U8" i="37"/>
  <c r="CG8" i="37" s="1"/>
  <c r="T8" i="37"/>
  <c r="CF8" i="37" s="1"/>
  <c r="S8" i="37"/>
  <c r="CE8" i="37" s="1"/>
  <c r="R8" i="37"/>
  <c r="CD8" i="37" s="1"/>
  <c r="U62" i="37"/>
  <c r="CG62" i="37" s="1"/>
  <c r="T62" i="37"/>
  <c r="CF62" i="37" s="1"/>
  <c r="R62" i="37"/>
  <c r="CD62" i="37" s="1"/>
  <c r="S62" i="37"/>
  <c r="CE62" i="37" s="1"/>
  <c r="U26" i="37"/>
  <c r="CG26" i="37" s="1"/>
  <c r="S26" i="37"/>
  <c r="CE26" i="37" s="1"/>
  <c r="T26" i="37"/>
  <c r="CF26" i="37" s="1"/>
  <c r="R26" i="37"/>
  <c r="CD26" i="37" s="1"/>
  <c r="U30" i="37"/>
  <c r="CG30" i="37" s="1"/>
  <c r="T30" i="37"/>
  <c r="CF30" i="37" s="1"/>
  <c r="T92" i="37" s="1"/>
  <c r="S30" i="37"/>
  <c r="CE30" i="37" s="1"/>
  <c r="R30" i="37"/>
  <c r="CD30" i="37" s="1"/>
  <c r="U4" i="37"/>
  <c r="CG4" i="37" s="1"/>
  <c r="T4" i="37"/>
  <c r="CF4" i="37" s="1"/>
  <c r="S4" i="37"/>
  <c r="CE4" i="37" s="1"/>
  <c r="R4" i="37"/>
  <c r="CD4" i="37" s="1"/>
  <c r="U60" i="37"/>
  <c r="CG60" i="37" s="1"/>
  <c r="T60" i="37"/>
  <c r="CF60" i="37" s="1"/>
  <c r="S60" i="37"/>
  <c r="CE60" i="37" s="1"/>
  <c r="R60" i="37"/>
  <c r="CD60" i="37" s="1"/>
  <c r="U16" i="37"/>
  <c r="CG16" i="37" s="1"/>
  <c r="U78" i="37" s="1"/>
  <c r="T16" i="37"/>
  <c r="CF16" i="37" s="1"/>
  <c r="S16" i="37"/>
  <c r="CE16" i="37" s="1"/>
  <c r="R16" i="37"/>
  <c r="CD16" i="37" s="1"/>
  <c r="R78" i="37" s="1"/>
  <c r="M31" i="37"/>
  <c r="BY31" i="37" s="1"/>
  <c r="T7" i="37"/>
  <c r="CF7" i="37" s="1"/>
  <c r="T69" i="37" s="1"/>
  <c r="S7" i="37"/>
  <c r="CE7" i="37" s="1"/>
  <c r="R7" i="37"/>
  <c r="CD7" i="37" s="1"/>
  <c r="U7" i="37"/>
  <c r="CG7" i="37" s="1"/>
  <c r="U24" i="37"/>
  <c r="CG24" i="37" s="1"/>
  <c r="T24" i="37"/>
  <c r="CF24" i="37" s="1"/>
  <c r="S24" i="37"/>
  <c r="CE24" i="37" s="1"/>
  <c r="R24" i="37"/>
  <c r="CD24" i="37" s="1"/>
  <c r="T31" i="37"/>
  <c r="CF31" i="37" s="1"/>
  <c r="T93" i="37" s="1"/>
  <c r="S31" i="37"/>
  <c r="CE31" i="37" s="1"/>
  <c r="S93" i="37" s="1"/>
  <c r="R31" i="37"/>
  <c r="CD31" i="37" s="1"/>
  <c r="R93" i="37" s="1"/>
  <c r="U31" i="37"/>
  <c r="CG31" i="37" s="1"/>
  <c r="U93" i="37" s="1"/>
  <c r="U20" i="37"/>
  <c r="CG20" i="37" s="1"/>
  <c r="T20" i="37"/>
  <c r="CF20" i="37" s="1"/>
  <c r="S20" i="37"/>
  <c r="CE20" i="37" s="1"/>
  <c r="S82" i="37" s="1"/>
  <c r="R20" i="37"/>
  <c r="CD20" i="37" s="1"/>
  <c r="U12" i="37"/>
  <c r="CG12" i="37" s="1"/>
  <c r="T12" i="37"/>
  <c r="CF12" i="37" s="1"/>
  <c r="T74" i="37" s="1"/>
  <c r="R12" i="37"/>
  <c r="CD12" i="37" s="1"/>
  <c r="R74" i="37" s="1"/>
  <c r="S12" i="37"/>
  <c r="CE12" i="37" s="1"/>
  <c r="U46" i="37"/>
  <c r="CG46" i="37" s="1"/>
  <c r="T46" i="37"/>
  <c r="CF46" i="37" s="1"/>
  <c r="S46" i="37"/>
  <c r="CE46" i="37" s="1"/>
  <c r="R46" i="37"/>
  <c r="CD46" i="37" s="1"/>
  <c r="U45" i="37"/>
  <c r="CG45" i="37" s="1"/>
  <c r="T45" i="37"/>
  <c r="CF45" i="37" s="1"/>
  <c r="S45" i="37"/>
  <c r="CE45" i="37" s="1"/>
  <c r="R45" i="37"/>
  <c r="CD45" i="37" s="1"/>
  <c r="U9" i="37"/>
  <c r="CG9" i="37" s="1"/>
  <c r="T9" i="37"/>
  <c r="CF9" i="37" s="1"/>
  <c r="S9" i="37"/>
  <c r="CE9" i="37" s="1"/>
  <c r="R9" i="37"/>
  <c r="CD9" i="37" s="1"/>
  <c r="U41" i="37"/>
  <c r="CG41" i="37" s="1"/>
  <c r="T41" i="37"/>
  <c r="CF41" i="37" s="1"/>
  <c r="S41" i="37"/>
  <c r="CE41" i="37" s="1"/>
  <c r="R41" i="37"/>
  <c r="CD41" i="37" s="1"/>
  <c r="U32" i="37"/>
  <c r="CG32" i="37" s="1"/>
  <c r="T32" i="37"/>
  <c r="CF32" i="37" s="1"/>
  <c r="S32" i="37"/>
  <c r="CE32" i="37" s="1"/>
  <c r="R32" i="37"/>
  <c r="CD32" i="37" s="1"/>
  <c r="K5" i="37"/>
  <c r="BW5" i="37" s="1"/>
  <c r="U5" i="37"/>
  <c r="CG5" i="37" s="1"/>
  <c r="T5" i="37"/>
  <c r="CF5" i="37" s="1"/>
  <c r="S5" i="37"/>
  <c r="CE5" i="37" s="1"/>
  <c r="R5" i="37"/>
  <c r="CD5" i="37" s="1"/>
  <c r="U44" i="37"/>
  <c r="CG44" i="37" s="1"/>
  <c r="T44" i="37"/>
  <c r="CF44" i="37" s="1"/>
  <c r="S44" i="37"/>
  <c r="CE44" i="37" s="1"/>
  <c r="R44" i="37"/>
  <c r="CD44" i="37" s="1"/>
  <c r="U37" i="37"/>
  <c r="CG37" i="37" s="1"/>
  <c r="T37" i="37"/>
  <c r="CF37" i="37" s="1"/>
  <c r="S37" i="37"/>
  <c r="CE37" i="37" s="1"/>
  <c r="R37" i="37"/>
  <c r="CD37" i="37" s="1"/>
  <c r="R99" i="37" s="1"/>
  <c r="U63" i="37"/>
  <c r="CG63" i="37" s="1"/>
  <c r="T63" i="37"/>
  <c r="CF63" i="37" s="1"/>
  <c r="S63" i="37"/>
  <c r="CE63" i="37" s="1"/>
  <c r="R63" i="37"/>
  <c r="CD63" i="37" s="1"/>
  <c r="U34" i="37"/>
  <c r="CG34" i="37" s="1"/>
  <c r="T34" i="37"/>
  <c r="CF34" i="37" s="1"/>
  <c r="R34" i="37"/>
  <c r="CD34" i="37" s="1"/>
  <c r="S34" i="37"/>
  <c r="CE34" i="37" s="1"/>
  <c r="S96" i="37" s="1"/>
  <c r="U61" i="37"/>
  <c r="CG61" i="37" s="1"/>
  <c r="T61" i="37"/>
  <c r="CF61" i="37" s="1"/>
  <c r="R61" i="37"/>
  <c r="CD61" i="37" s="1"/>
  <c r="S61" i="37"/>
  <c r="CE61" i="37" s="1"/>
  <c r="O42" i="37"/>
  <c r="CA42" i="37" s="1"/>
  <c r="U42" i="37"/>
  <c r="CG42" i="37" s="1"/>
  <c r="T42" i="37"/>
  <c r="CF42" i="37" s="1"/>
  <c r="S42" i="37"/>
  <c r="CE42" i="37" s="1"/>
  <c r="R42" i="37"/>
  <c r="CD42" i="37" s="1"/>
  <c r="U23" i="37"/>
  <c r="CG23" i="37" s="1"/>
  <c r="S23" i="37"/>
  <c r="CE23" i="37" s="1"/>
  <c r="T23" i="37"/>
  <c r="CF23" i="37" s="1"/>
  <c r="T85" i="37" s="1"/>
  <c r="R23" i="37"/>
  <c r="CD23" i="37" s="1"/>
  <c r="R85" i="37" s="1"/>
  <c r="L25" i="37"/>
  <c r="BX25" i="37" s="1"/>
  <c r="U25" i="37"/>
  <c r="CG25" i="37" s="1"/>
  <c r="T25" i="37"/>
  <c r="CF25" i="37" s="1"/>
  <c r="R25" i="37"/>
  <c r="CD25" i="37" s="1"/>
  <c r="S25" i="37"/>
  <c r="CE25" i="37" s="1"/>
  <c r="S87" i="37" s="1"/>
  <c r="J21" i="37"/>
  <c r="BV21" i="37" s="1"/>
  <c r="N5" i="37"/>
  <c r="BZ5" i="37" s="1"/>
  <c r="N42" i="37"/>
  <c r="BZ42" i="37" s="1"/>
  <c r="J33" i="37"/>
  <c r="BV33" i="37" s="1"/>
  <c r="P7" i="37"/>
  <c r="CB7" i="37" s="1"/>
  <c r="Q7" i="37"/>
  <c r="CC7" i="37" s="1"/>
  <c r="P29" i="37"/>
  <c r="CB29" i="37" s="1"/>
  <c r="Q29" i="37"/>
  <c r="CC29" i="37" s="1"/>
  <c r="P38" i="37"/>
  <c r="CB38" i="37" s="1"/>
  <c r="Q38" i="37"/>
  <c r="CC38" i="37" s="1"/>
  <c r="Q51" i="37"/>
  <c r="CC51" i="37" s="1"/>
  <c r="P51" i="37"/>
  <c r="CB51" i="37" s="1"/>
  <c r="P56" i="37"/>
  <c r="CB56" i="37" s="1"/>
  <c r="Q56" i="37"/>
  <c r="CC56" i="37" s="1"/>
  <c r="P36" i="37"/>
  <c r="CB36" i="37" s="1"/>
  <c r="Q36" i="37"/>
  <c r="CC36" i="37" s="1"/>
  <c r="Q35" i="37"/>
  <c r="CC35" i="37" s="1"/>
  <c r="P35" i="37"/>
  <c r="CB35" i="37" s="1"/>
  <c r="O21" i="37"/>
  <c r="CA21" i="37" s="1"/>
  <c r="Q13" i="37"/>
  <c r="CC13" i="37" s="1"/>
  <c r="P13" i="37"/>
  <c r="CB13" i="37" s="1"/>
  <c r="P52" i="37"/>
  <c r="CB52" i="37" s="1"/>
  <c r="Q52" i="37"/>
  <c r="CC52" i="37" s="1"/>
  <c r="P37" i="37"/>
  <c r="CB37" i="37" s="1"/>
  <c r="Q37" i="37"/>
  <c r="CC37" i="37" s="1"/>
  <c r="Q60" i="37"/>
  <c r="CC60" i="37" s="1"/>
  <c r="P60" i="37"/>
  <c r="CB60" i="37" s="1"/>
  <c r="Q16" i="37"/>
  <c r="CC16" i="37" s="1"/>
  <c r="P16" i="37"/>
  <c r="CB16" i="37" s="1"/>
  <c r="Q31" i="37"/>
  <c r="CC31" i="37" s="1"/>
  <c r="P31" i="37"/>
  <c r="CB31" i="37" s="1"/>
  <c r="M42" i="37"/>
  <c r="BY42" i="37" s="1"/>
  <c r="P48" i="37"/>
  <c r="CB48" i="37" s="1"/>
  <c r="P110" i="37" s="1"/>
  <c r="Q48" i="37"/>
  <c r="CC48" i="37" s="1"/>
  <c r="Q110" i="37" s="1"/>
  <c r="Q27" i="37"/>
  <c r="CC27" i="37" s="1"/>
  <c r="P27" i="37"/>
  <c r="CB27" i="37" s="1"/>
  <c r="Q19" i="37"/>
  <c r="CC19" i="37" s="1"/>
  <c r="P19" i="37"/>
  <c r="CB19" i="37" s="1"/>
  <c r="P41" i="37"/>
  <c r="CB41" i="37" s="1"/>
  <c r="Q41" i="37"/>
  <c r="CC41" i="37" s="1"/>
  <c r="P5" i="37"/>
  <c r="CB5" i="37" s="1"/>
  <c r="Q5" i="37"/>
  <c r="CC5" i="37" s="1"/>
  <c r="Q44" i="37"/>
  <c r="CC44" i="37" s="1"/>
  <c r="P44" i="37"/>
  <c r="CB44" i="37" s="1"/>
  <c r="Q58" i="37"/>
  <c r="CC58" i="37" s="1"/>
  <c r="P58" i="37"/>
  <c r="CB58" i="37" s="1"/>
  <c r="Q10" i="37"/>
  <c r="CC10" i="37" s="1"/>
  <c r="P10" i="37"/>
  <c r="CB10" i="37" s="1"/>
  <c r="J27" i="37"/>
  <c r="BV27" i="37" s="1"/>
  <c r="Q23" i="37"/>
  <c r="CC23" i="37" s="1"/>
  <c r="P23" i="37"/>
  <c r="CB23" i="37" s="1"/>
  <c r="L21" i="37"/>
  <c r="BX21" i="37" s="1"/>
  <c r="Q39" i="37"/>
  <c r="CC39" i="37" s="1"/>
  <c r="P39" i="37"/>
  <c r="CB39" i="37" s="1"/>
  <c r="Q14" i="37"/>
  <c r="CC14" i="37" s="1"/>
  <c r="P14" i="37"/>
  <c r="CB14" i="37" s="1"/>
  <c r="P22" i="37"/>
  <c r="CB22" i="37" s="1"/>
  <c r="Q22" i="37"/>
  <c r="CC22" i="37" s="1"/>
  <c r="N31" i="37"/>
  <c r="BZ31" i="37" s="1"/>
  <c r="O31" i="37"/>
  <c r="CA31" i="37" s="1"/>
  <c r="L5" i="37"/>
  <c r="BX5" i="37" s="1"/>
  <c r="Q12" i="37"/>
  <c r="CC12" i="37" s="1"/>
  <c r="P12" i="37"/>
  <c r="CB12" i="37" s="1"/>
  <c r="P43" i="37"/>
  <c r="CB43" i="37" s="1"/>
  <c r="Q43" i="37"/>
  <c r="CC43" i="37" s="1"/>
  <c r="Q45" i="37"/>
  <c r="CC45" i="37" s="1"/>
  <c r="P45" i="37"/>
  <c r="CB45" i="37" s="1"/>
  <c r="Q62" i="37"/>
  <c r="CC62" i="37" s="1"/>
  <c r="P62" i="37"/>
  <c r="CB62" i="37" s="1"/>
  <c r="Q33" i="37"/>
  <c r="CC33" i="37" s="1"/>
  <c r="P33" i="37"/>
  <c r="CB33" i="37" s="1"/>
  <c r="K47" i="37"/>
  <c r="BW47" i="37" s="1"/>
  <c r="P55" i="37"/>
  <c r="CB55" i="37" s="1"/>
  <c r="Q55" i="37"/>
  <c r="CC55" i="37" s="1"/>
  <c r="Q6" i="37"/>
  <c r="CC6" i="37" s="1"/>
  <c r="P6" i="37"/>
  <c r="CB6" i="37" s="1"/>
  <c r="P53" i="37"/>
  <c r="CB53" i="37" s="1"/>
  <c r="Q53" i="37"/>
  <c r="CC53" i="37" s="1"/>
  <c r="P34" i="37"/>
  <c r="CB34" i="37" s="1"/>
  <c r="P96" i="37" s="1"/>
  <c r="Q34" i="37"/>
  <c r="CC34" i="37" s="1"/>
  <c r="Q11" i="37"/>
  <c r="CC11" i="37" s="1"/>
  <c r="P11" i="37"/>
  <c r="CB11" i="37" s="1"/>
  <c r="P46" i="37"/>
  <c r="CB46" i="37" s="1"/>
  <c r="P108" i="37" s="1"/>
  <c r="Q46" i="37"/>
  <c r="CC46" i="37" s="1"/>
  <c r="P49" i="37"/>
  <c r="CB49" i="37" s="1"/>
  <c r="P111" i="37" s="1"/>
  <c r="Q49" i="37"/>
  <c r="CC49" i="37" s="1"/>
  <c r="Q111" i="37" s="1"/>
  <c r="P54" i="37"/>
  <c r="CB54" i="37" s="1"/>
  <c r="Q54" i="37"/>
  <c r="CC54" i="37" s="1"/>
  <c r="Q8" i="37"/>
  <c r="CC8" i="37" s="1"/>
  <c r="P8" i="37"/>
  <c r="CB8" i="37" s="1"/>
  <c r="Q26" i="37"/>
  <c r="CC26" i="37" s="1"/>
  <c r="P26" i="37"/>
  <c r="CB26" i="37" s="1"/>
  <c r="P63" i="37"/>
  <c r="CB63" i="37" s="1"/>
  <c r="Q63" i="37"/>
  <c r="CC63" i="37" s="1"/>
  <c r="Q18" i="37"/>
  <c r="CC18" i="37" s="1"/>
  <c r="P18" i="37"/>
  <c r="CB18" i="37" s="1"/>
  <c r="Q4" i="37"/>
  <c r="CC4" i="37" s="1"/>
  <c r="P4" i="37"/>
  <c r="CB4" i="37" s="1"/>
  <c r="J43" i="37"/>
  <c r="BV43" i="37" s="1"/>
  <c r="J105" i="37" s="1"/>
  <c r="Q61" i="37"/>
  <c r="CC61" i="37" s="1"/>
  <c r="P61" i="37"/>
  <c r="CB61" i="37" s="1"/>
  <c r="P28" i="37"/>
  <c r="CB28" i="37" s="1"/>
  <c r="Q28" i="37"/>
  <c r="CC28" i="37" s="1"/>
  <c r="Q90" i="37" s="1"/>
  <c r="Q20" i="37"/>
  <c r="CC20" i="37" s="1"/>
  <c r="P20" i="37"/>
  <c r="CB20" i="37" s="1"/>
  <c r="O5" i="37"/>
  <c r="CA5" i="37" s="1"/>
  <c r="M5" i="37"/>
  <c r="BY5" i="37" s="1"/>
  <c r="P25" i="37"/>
  <c r="CB25" i="37" s="1"/>
  <c r="Q25" i="37"/>
  <c r="CC25" i="37" s="1"/>
  <c r="L31" i="37"/>
  <c r="BX31" i="37" s="1"/>
  <c r="P21" i="37"/>
  <c r="CB21" i="37" s="1"/>
  <c r="Q21" i="37"/>
  <c r="CC21" i="37" s="1"/>
  <c r="Q83" i="37" s="1"/>
  <c r="Q57" i="37"/>
  <c r="CC57" i="37" s="1"/>
  <c r="P57" i="37"/>
  <c r="CB57" i="37" s="1"/>
  <c r="Q17" i="37"/>
  <c r="CC17" i="37" s="1"/>
  <c r="P17" i="37"/>
  <c r="CB17" i="37" s="1"/>
  <c r="P15" i="37"/>
  <c r="CB15" i="37" s="1"/>
  <c r="Q15" i="37"/>
  <c r="CC15" i="37" s="1"/>
  <c r="Q9" i="37"/>
  <c r="CC9" i="37" s="1"/>
  <c r="P9" i="37"/>
  <c r="CB9" i="37" s="1"/>
  <c r="Q32" i="37"/>
  <c r="CC32" i="37" s="1"/>
  <c r="P32" i="37"/>
  <c r="CB32" i="37" s="1"/>
  <c r="P30" i="37"/>
  <c r="CB30" i="37" s="1"/>
  <c r="P92" i="37" s="1"/>
  <c r="Q30" i="37"/>
  <c r="CC30" i="37" s="1"/>
  <c r="Q92" i="37" s="1"/>
  <c r="Q50" i="37"/>
  <c r="CC50" i="37" s="1"/>
  <c r="P50" i="37"/>
  <c r="CB50" i="37" s="1"/>
  <c r="J5" i="37"/>
  <c r="BV5" i="37" s="1"/>
  <c r="K43" i="37"/>
  <c r="BW43" i="37" s="1"/>
  <c r="J31" i="37"/>
  <c r="BV31" i="37" s="1"/>
  <c r="P24" i="37"/>
  <c r="CB24" i="37" s="1"/>
  <c r="Q24" i="37"/>
  <c r="CC24" i="37" s="1"/>
  <c r="Q42" i="37"/>
  <c r="CC42" i="37" s="1"/>
  <c r="Q104" i="37" s="1"/>
  <c r="P42" i="37"/>
  <c r="CB42" i="37" s="1"/>
  <c r="N21" i="37"/>
  <c r="BZ21" i="37" s="1"/>
  <c r="K27" i="37"/>
  <c r="BW27" i="37" s="1"/>
  <c r="L33" i="37"/>
  <c r="BX33" i="37" s="1"/>
  <c r="K33" i="37"/>
  <c r="BW33" i="37" s="1"/>
  <c r="O13" i="37"/>
  <c r="CA13" i="37" s="1"/>
  <c r="N13" i="37"/>
  <c r="BZ13" i="37" s="1"/>
  <c r="M13" i="37"/>
  <c r="BY13" i="37" s="1"/>
  <c r="M44" i="37"/>
  <c r="BY44" i="37" s="1"/>
  <c r="O44" i="37"/>
  <c r="CA44" i="37" s="1"/>
  <c r="N44" i="37"/>
  <c r="BZ44" i="37" s="1"/>
  <c r="N18" i="37"/>
  <c r="BZ18" i="37" s="1"/>
  <c r="M18" i="37"/>
  <c r="BY18" i="37" s="1"/>
  <c r="O18" i="37"/>
  <c r="CA18" i="37" s="1"/>
  <c r="N15" i="37"/>
  <c r="BZ15" i="37" s="1"/>
  <c r="O15" i="37"/>
  <c r="CA15" i="37" s="1"/>
  <c r="M15" i="37"/>
  <c r="BY15" i="37" s="1"/>
  <c r="O7" i="37"/>
  <c r="CA7" i="37" s="1"/>
  <c r="N7" i="37"/>
  <c r="BZ7" i="37" s="1"/>
  <c r="M7" i="37"/>
  <c r="BY7" i="37" s="1"/>
  <c r="N50" i="37"/>
  <c r="BZ50" i="37" s="1"/>
  <c r="M50" i="37"/>
  <c r="BY50" i="37" s="1"/>
  <c r="O50" i="37"/>
  <c r="CA50" i="37" s="1"/>
  <c r="M34" i="37"/>
  <c r="BY34" i="37" s="1"/>
  <c r="O34" i="37"/>
  <c r="CA34" i="37" s="1"/>
  <c r="N34" i="37"/>
  <c r="BZ34" i="37" s="1"/>
  <c r="N26" i="37"/>
  <c r="BZ26" i="37" s="1"/>
  <c r="M26" i="37"/>
  <c r="BY26" i="37" s="1"/>
  <c r="O26" i="37"/>
  <c r="CA26" i="37" s="1"/>
  <c r="O19" i="37"/>
  <c r="CA19" i="37" s="1"/>
  <c r="O81" i="37" s="1"/>
  <c r="M19" i="37"/>
  <c r="BY19" i="37" s="1"/>
  <c r="N19" i="37"/>
  <c r="BZ19" i="37" s="1"/>
  <c r="N81" i="37" s="1"/>
  <c r="O23" i="37"/>
  <c r="CA23" i="37" s="1"/>
  <c r="N23" i="37"/>
  <c r="BZ23" i="37" s="1"/>
  <c r="M23" i="37"/>
  <c r="BY23" i="37" s="1"/>
  <c r="M37" i="37"/>
  <c r="BY37" i="37" s="1"/>
  <c r="O37" i="37"/>
  <c r="CA37" i="37" s="1"/>
  <c r="N37" i="37"/>
  <c r="BZ37" i="37" s="1"/>
  <c r="O28" i="37"/>
  <c r="CA28" i="37" s="1"/>
  <c r="N28" i="37"/>
  <c r="BZ28" i="37" s="1"/>
  <c r="M28" i="37"/>
  <c r="BY28" i="37" s="1"/>
  <c r="K25" i="37"/>
  <c r="BW25" i="37" s="1"/>
  <c r="O25" i="37"/>
  <c r="CA25" i="37" s="1"/>
  <c r="N25" i="37"/>
  <c r="BZ25" i="37" s="1"/>
  <c r="M25" i="37"/>
  <c r="BY25" i="37" s="1"/>
  <c r="N33" i="37"/>
  <c r="BZ33" i="37" s="1"/>
  <c r="O33" i="37"/>
  <c r="CA33" i="37" s="1"/>
  <c r="M33" i="37"/>
  <c r="BY33" i="37" s="1"/>
  <c r="O49" i="37"/>
  <c r="CA49" i="37" s="1"/>
  <c r="N49" i="37"/>
  <c r="BZ49" i="37" s="1"/>
  <c r="M49" i="37"/>
  <c r="BY49" i="37" s="1"/>
  <c r="O38" i="37"/>
  <c r="CA38" i="37" s="1"/>
  <c r="N38" i="37"/>
  <c r="BZ38" i="37" s="1"/>
  <c r="M38" i="37"/>
  <c r="BY38" i="37" s="1"/>
  <c r="O51" i="37"/>
  <c r="CA51" i="37" s="1"/>
  <c r="O113" i="37" s="1"/>
  <c r="N51" i="37"/>
  <c r="BZ51" i="37" s="1"/>
  <c r="M51" i="37"/>
  <c r="BY51" i="37" s="1"/>
  <c r="O46" i="37"/>
  <c r="CA46" i="37" s="1"/>
  <c r="N46" i="37"/>
  <c r="BZ46" i="37" s="1"/>
  <c r="M46" i="37"/>
  <c r="BY46" i="37" s="1"/>
  <c r="O40" i="37"/>
  <c r="CA40" i="37" s="1"/>
  <c r="N40" i="37"/>
  <c r="BZ40" i="37" s="1"/>
  <c r="M40" i="37"/>
  <c r="BY40" i="37" s="1"/>
  <c r="M35" i="37"/>
  <c r="BY35" i="37" s="1"/>
  <c r="M97" i="37" s="1"/>
  <c r="O35" i="37"/>
  <c r="CA35" i="37" s="1"/>
  <c r="O97" i="37" s="1"/>
  <c r="N35" i="37"/>
  <c r="BZ35" i="37" s="1"/>
  <c r="N20" i="37"/>
  <c r="BZ20" i="37" s="1"/>
  <c r="M20" i="37"/>
  <c r="BY20" i="37" s="1"/>
  <c r="O20" i="37"/>
  <c r="CA20" i="37" s="1"/>
  <c r="N45" i="37"/>
  <c r="BZ45" i="37" s="1"/>
  <c r="M45" i="37"/>
  <c r="BY45" i="37" s="1"/>
  <c r="O45" i="37"/>
  <c r="CA45" i="37" s="1"/>
  <c r="M24" i="37"/>
  <c r="BY24" i="37" s="1"/>
  <c r="O24" i="37"/>
  <c r="CA24" i="37" s="1"/>
  <c r="N24" i="37"/>
  <c r="BZ24" i="37" s="1"/>
  <c r="O8" i="37"/>
  <c r="CA8" i="37" s="1"/>
  <c r="M8" i="37"/>
  <c r="BY8" i="37" s="1"/>
  <c r="N8" i="37"/>
  <c r="BZ8" i="37" s="1"/>
  <c r="N32" i="37"/>
  <c r="BZ32" i="37" s="1"/>
  <c r="N94" i="37" s="1"/>
  <c r="M32" i="37"/>
  <c r="BY32" i="37" s="1"/>
  <c r="O32" i="37"/>
  <c r="CA32" i="37" s="1"/>
  <c r="N16" i="37"/>
  <c r="BZ16" i="37" s="1"/>
  <c r="M16" i="37"/>
  <c r="BY16" i="37" s="1"/>
  <c r="O16" i="37"/>
  <c r="CA16" i="37" s="1"/>
  <c r="O78" i="37" s="1"/>
  <c r="M11" i="37"/>
  <c r="BY11" i="37" s="1"/>
  <c r="O11" i="37"/>
  <c r="CA11" i="37" s="1"/>
  <c r="N11" i="37"/>
  <c r="BZ11" i="37" s="1"/>
  <c r="N12" i="37"/>
  <c r="BZ12" i="37" s="1"/>
  <c r="M12" i="37"/>
  <c r="BY12" i="37" s="1"/>
  <c r="M74" i="37" s="1"/>
  <c r="O12" i="37"/>
  <c r="CA12" i="37" s="1"/>
  <c r="O74" i="37" s="1"/>
  <c r="O9" i="37"/>
  <c r="CA9" i="37" s="1"/>
  <c r="N9" i="37"/>
  <c r="BZ9" i="37" s="1"/>
  <c r="M9" i="37"/>
  <c r="BY9" i="37" s="1"/>
  <c r="M71" i="37" s="1"/>
  <c r="M30" i="37"/>
  <c r="BY30" i="37" s="1"/>
  <c r="N30" i="37"/>
  <c r="BZ30" i="37" s="1"/>
  <c r="O30" i="37"/>
  <c r="CA30" i="37" s="1"/>
  <c r="N48" i="37"/>
  <c r="BZ48" i="37" s="1"/>
  <c r="O48" i="37"/>
  <c r="CA48" i="37" s="1"/>
  <c r="M48" i="37"/>
  <c r="BY48" i="37" s="1"/>
  <c r="M41" i="37"/>
  <c r="BY41" i="37" s="1"/>
  <c r="O41" i="37"/>
  <c r="CA41" i="37" s="1"/>
  <c r="O103" i="37" s="1"/>
  <c r="N41" i="37"/>
  <c r="BZ41" i="37" s="1"/>
  <c r="N103" i="37" s="1"/>
  <c r="O29" i="37"/>
  <c r="CA29" i="37" s="1"/>
  <c r="O91" i="37" s="1"/>
  <c r="M29" i="37"/>
  <c r="BY29" i="37" s="1"/>
  <c r="N29" i="37"/>
  <c r="BZ29" i="37" s="1"/>
  <c r="O10" i="37"/>
  <c r="CA10" i="37" s="1"/>
  <c r="N10" i="37"/>
  <c r="BZ10" i="37" s="1"/>
  <c r="M10" i="37"/>
  <c r="BY10" i="37" s="1"/>
  <c r="L43" i="37"/>
  <c r="BX43" i="37" s="1"/>
  <c r="L105" i="37" s="1"/>
  <c r="O43" i="37"/>
  <c r="CA43" i="37" s="1"/>
  <c r="M43" i="37"/>
  <c r="BY43" i="37" s="1"/>
  <c r="N43" i="37"/>
  <c r="BZ43" i="37" s="1"/>
  <c r="O14" i="37"/>
  <c r="CA14" i="37" s="1"/>
  <c r="N14" i="37"/>
  <c r="BZ14" i="37" s="1"/>
  <c r="M14" i="37"/>
  <c r="BY14" i="37" s="1"/>
  <c r="M22" i="37"/>
  <c r="BY22" i="37" s="1"/>
  <c r="M84" i="37" s="1"/>
  <c r="O22" i="37"/>
  <c r="CA22" i="37" s="1"/>
  <c r="N22" i="37"/>
  <c r="BZ22" i="37" s="1"/>
  <c r="N84" i="37" s="1"/>
  <c r="O39" i="37"/>
  <c r="CA39" i="37" s="1"/>
  <c r="M39" i="37"/>
  <c r="BY39" i="37" s="1"/>
  <c r="N39" i="37"/>
  <c r="BZ39" i="37" s="1"/>
  <c r="N101" i="37" s="1"/>
  <c r="O17" i="37"/>
  <c r="CA17" i="37" s="1"/>
  <c r="N17" i="37"/>
  <c r="BZ17" i="37" s="1"/>
  <c r="M17" i="37"/>
  <c r="BY17" i="37" s="1"/>
  <c r="O6" i="37"/>
  <c r="CA6" i="37" s="1"/>
  <c r="N6" i="37"/>
  <c r="BZ6" i="37" s="1"/>
  <c r="N68" i="37" s="1"/>
  <c r="M6" i="37"/>
  <c r="BY6" i="37" s="1"/>
  <c r="M68" i="37" s="1"/>
  <c r="N36" i="37"/>
  <c r="BZ36" i="37" s="1"/>
  <c r="M36" i="37"/>
  <c r="BY36" i="37" s="1"/>
  <c r="O36" i="37"/>
  <c r="CA36" i="37" s="1"/>
  <c r="L27" i="37"/>
  <c r="BX27" i="37" s="1"/>
  <c r="M27" i="37"/>
  <c r="BY27" i="37" s="1"/>
  <c r="M89" i="37" s="1"/>
  <c r="O27" i="37"/>
  <c r="CA27" i="37" s="1"/>
  <c r="O89" i="37" s="1"/>
  <c r="N27" i="37"/>
  <c r="BZ27" i="37" s="1"/>
  <c r="M47" i="37"/>
  <c r="BY47" i="37" s="1"/>
  <c r="O47" i="37"/>
  <c r="CA47" i="37" s="1"/>
  <c r="N47" i="37"/>
  <c r="BZ47" i="37" s="1"/>
  <c r="J25" i="37"/>
  <c r="BV25" i="37" s="1"/>
  <c r="L28" i="37"/>
  <c r="BX28" i="37" s="1"/>
  <c r="L90" i="37" s="1"/>
  <c r="K28" i="37"/>
  <c r="BW28" i="37" s="1"/>
  <c r="J28" i="37"/>
  <c r="BV28" i="37" s="1"/>
  <c r="J90" i="37" s="1"/>
  <c r="K11" i="37"/>
  <c r="BW11" i="37" s="1"/>
  <c r="L11" i="37"/>
  <c r="BX11" i="37" s="1"/>
  <c r="J11" i="37"/>
  <c r="BV11" i="37" s="1"/>
  <c r="K39" i="37"/>
  <c r="BW39" i="37" s="1"/>
  <c r="J39" i="37"/>
  <c r="BV39" i="37" s="1"/>
  <c r="L39" i="37"/>
  <c r="BX39" i="37" s="1"/>
  <c r="L38" i="37"/>
  <c r="BX38" i="37" s="1"/>
  <c r="K38" i="37"/>
  <c r="BW38" i="37" s="1"/>
  <c r="J38" i="37"/>
  <c r="BV38" i="37" s="1"/>
  <c r="L44" i="37"/>
  <c r="BX44" i="37" s="1"/>
  <c r="K44" i="37"/>
  <c r="BW44" i="37" s="1"/>
  <c r="K106" i="37" s="1"/>
  <c r="J44" i="37"/>
  <c r="BV44" i="37" s="1"/>
  <c r="K15" i="37"/>
  <c r="BW15" i="37" s="1"/>
  <c r="L15" i="37"/>
  <c r="BX15" i="37" s="1"/>
  <c r="J15" i="37"/>
  <c r="BV15" i="37" s="1"/>
  <c r="K50" i="37"/>
  <c r="BW50" i="37" s="1"/>
  <c r="J50" i="37"/>
  <c r="BV50" i="37" s="1"/>
  <c r="L50" i="37"/>
  <c r="BX50" i="37" s="1"/>
  <c r="J18" i="37"/>
  <c r="BV18" i="37" s="1"/>
  <c r="L18" i="37"/>
  <c r="BX18" i="37" s="1"/>
  <c r="K18" i="37"/>
  <c r="BW18" i="37" s="1"/>
  <c r="K26" i="37"/>
  <c r="BW26" i="37" s="1"/>
  <c r="L26" i="37"/>
  <c r="BX26" i="37" s="1"/>
  <c r="L88" i="37" s="1"/>
  <c r="J26" i="37"/>
  <c r="BV26" i="37" s="1"/>
  <c r="J24" i="37"/>
  <c r="BV24" i="37" s="1"/>
  <c r="L24" i="37"/>
  <c r="BX24" i="37" s="1"/>
  <c r="K24" i="37"/>
  <c r="BW24" i="37" s="1"/>
  <c r="J8" i="37"/>
  <c r="BV8" i="37" s="1"/>
  <c r="L8" i="37"/>
  <c r="BX8" i="37" s="1"/>
  <c r="K8" i="37"/>
  <c r="BW8" i="37" s="1"/>
  <c r="J32" i="37"/>
  <c r="BV32" i="37" s="1"/>
  <c r="L32" i="37"/>
  <c r="BX32" i="37" s="1"/>
  <c r="K32" i="37"/>
  <c r="BW32" i="37" s="1"/>
  <c r="K29" i="37"/>
  <c r="BW29" i="37" s="1"/>
  <c r="J29" i="37"/>
  <c r="BV29" i="37" s="1"/>
  <c r="L29" i="37"/>
  <c r="BX29" i="37" s="1"/>
  <c r="L10" i="37"/>
  <c r="BX10" i="37" s="1"/>
  <c r="K10" i="37"/>
  <c r="BW10" i="37" s="1"/>
  <c r="J10" i="37"/>
  <c r="BV10" i="37" s="1"/>
  <c r="K12" i="37"/>
  <c r="BW12" i="37" s="1"/>
  <c r="J12" i="37"/>
  <c r="BV12" i="37" s="1"/>
  <c r="L12" i="37"/>
  <c r="BX12" i="37" s="1"/>
  <c r="L74" i="37" s="1"/>
  <c r="J13" i="37"/>
  <c r="BV13" i="37" s="1"/>
  <c r="L13" i="37"/>
  <c r="BX13" i="37" s="1"/>
  <c r="K13" i="37"/>
  <c r="BW13" i="37" s="1"/>
  <c r="L35" i="37"/>
  <c r="BX35" i="37" s="1"/>
  <c r="K35" i="37"/>
  <c r="BW35" i="37" s="1"/>
  <c r="J35" i="37"/>
  <c r="BV35" i="37" s="1"/>
  <c r="J34" i="37"/>
  <c r="BV34" i="37" s="1"/>
  <c r="L34" i="37"/>
  <c r="BX34" i="37" s="1"/>
  <c r="K34" i="37"/>
  <c r="BW34" i="37" s="1"/>
  <c r="L51" i="37"/>
  <c r="BX51" i="37" s="1"/>
  <c r="K51" i="37"/>
  <c r="BW51" i="37" s="1"/>
  <c r="J51" i="37"/>
  <c r="BV51" i="37" s="1"/>
  <c r="K30" i="37"/>
  <c r="BW30" i="37" s="1"/>
  <c r="J30" i="37"/>
  <c r="BV30" i="37" s="1"/>
  <c r="L30" i="37"/>
  <c r="BX30" i="37" s="1"/>
  <c r="L48" i="37"/>
  <c r="BX48" i="37" s="1"/>
  <c r="K48" i="37"/>
  <c r="BW48" i="37" s="1"/>
  <c r="K110" i="37" s="1"/>
  <c r="J48" i="37"/>
  <c r="BV48" i="37" s="1"/>
  <c r="L7" i="37"/>
  <c r="BX7" i="37" s="1"/>
  <c r="K7" i="37"/>
  <c r="BW7" i="37" s="1"/>
  <c r="J7" i="37"/>
  <c r="BV7" i="37" s="1"/>
  <c r="K45" i="37"/>
  <c r="BW45" i="37" s="1"/>
  <c r="J45" i="37"/>
  <c r="BV45" i="37" s="1"/>
  <c r="L45" i="37"/>
  <c r="BX45" i="37" s="1"/>
  <c r="L107" i="37" s="1"/>
  <c r="K46" i="37"/>
  <c r="BW46" i="37" s="1"/>
  <c r="J46" i="37"/>
  <c r="BV46" i="37" s="1"/>
  <c r="L46" i="37"/>
  <c r="BX46" i="37" s="1"/>
  <c r="L40" i="37"/>
  <c r="BX40" i="37" s="1"/>
  <c r="K40" i="37"/>
  <c r="BW40" i="37" s="1"/>
  <c r="J40" i="37"/>
  <c r="BV40" i="37" s="1"/>
  <c r="K49" i="37"/>
  <c r="BW49" i="37" s="1"/>
  <c r="J49" i="37"/>
  <c r="BV49" i="37" s="1"/>
  <c r="L49" i="37"/>
  <c r="BX49" i="37" s="1"/>
  <c r="L16" i="37"/>
  <c r="BX16" i="37" s="1"/>
  <c r="K16" i="37"/>
  <c r="BW16" i="37" s="1"/>
  <c r="J16" i="37"/>
  <c r="BV16" i="37" s="1"/>
  <c r="K14" i="37"/>
  <c r="BW14" i="37" s="1"/>
  <c r="J14" i="37"/>
  <c r="BV14" i="37" s="1"/>
  <c r="L14" i="37"/>
  <c r="BX14" i="37" s="1"/>
  <c r="K17" i="37"/>
  <c r="BW17" i="37" s="1"/>
  <c r="J17" i="37"/>
  <c r="BV17" i="37" s="1"/>
  <c r="L17" i="37"/>
  <c r="BX17" i="37" s="1"/>
  <c r="L79" i="37" s="1"/>
  <c r="K20" i="37"/>
  <c r="BW20" i="37" s="1"/>
  <c r="J20" i="37"/>
  <c r="BV20" i="37" s="1"/>
  <c r="L20" i="37"/>
  <c r="BX20" i="37" s="1"/>
  <c r="L9" i="37"/>
  <c r="BX9" i="37" s="1"/>
  <c r="K9" i="37"/>
  <c r="BW9" i="37" s="1"/>
  <c r="J9" i="37"/>
  <c r="BV9" i="37" s="1"/>
  <c r="L22" i="37"/>
  <c r="BX22" i="37" s="1"/>
  <c r="L84" i="37" s="1"/>
  <c r="K22" i="37"/>
  <c r="BW22" i="37" s="1"/>
  <c r="J22" i="37"/>
  <c r="BV22" i="37" s="1"/>
  <c r="L41" i="37"/>
  <c r="BX41" i="37" s="1"/>
  <c r="L103" i="37" s="1"/>
  <c r="K41" i="37"/>
  <c r="BW41" i="37" s="1"/>
  <c r="K103" i="37" s="1"/>
  <c r="J41" i="37"/>
  <c r="BV41" i="37" s="1"/>
  <c r="J103" i="37" s="1"/>
  <c r="K6" i="37"/>
  <c r="BW6" i="37" s="1"/>
  <c r="K68" i="37" s="1"/>
  <c r="J6" i="37"/>
  <c r="BV6" i="37" s="1"/>
  <c r="J68" i="37" s="1"/>
  <c r="L6" i="37"/>
  <c r="BX6" i="37" s="1"/>
  <c r="J36" i="37"/>
  <c r="BV36" i="37" s="1"/>
  <c r="J98" i="37" s="1"/>
  <c r="L36" i="37"/>
  <c r="BX36" i="37" s="1"/>
  <c r="K36" i="37"/>
  <c r="BW36" i="37" s="1"/>
  <c r="K19" i="37"/>
  <c r="BW19" i="37" s="1"/>
  <c r="L19" i="37"/>
  <c r="BX19" i="37" s="1"/>
  <c r="L81" i="37" s="1"/>
  <c r="J19" i="37"/>
  <c r="BV19" i="37" s="1"/>
  <c r="K23" i="37"/>
  <c r="BW23" i="37" s="1"/>
  <c r="J23" i="37"/>
  <c r="BV23" i="37" s="1"/>
  <c r="L23" i="37"/>
  <c r="BX23" i="37" s="1"/>
  <c r="J37" i="37"/>
  <c r="BV37" i="37" s="1"/>
  <c r="L37" i="37"/>
  <c r="BX37" i="37" s="1"/>
  <c r="K37" i="37"/>
  <c r="BW37" i="37" s="1"/>
  <c r="R6" i="32"/>
  <c r="S10" i="32"/>
  <c r="T10" i="32"/>
  <c r="U10" i="32"/>
  <c r="U9" i="32"/>
  <c r="R9" i="32"/>
  <c r="S9" i="32"/>
  <c r="T9" i="32"/>
  <c r="U8" i="32"/>
  <c r="T8" i="32"/>
  <c r="S8" i="32"/>
  <c r="R5" i="32"/>
  <c r="R7" i="32"/>
  <c r="U7" i="32"/>
  <c r="T7" i="32"/>
  <c r="S7" i="32"/>
  <c r="U6" i="32"/>
  <c r="T6" i="32"/>
  <c r="S6" i="32"/>
  <c r="U5" i="32"/>
  <c r="T5" i="32"/>
  <c r="S5" i="32"/>
  <c r="R3" i="32"/>
  <c r="R4" i="32"/>
  <c r="Q141" i="33"/>
  <c r="P141" i="33"/>
  <c r="O141" i="33"/>
  <c r="N141" i="33"/>
  <c r="M141" i="33"/>
  <c r="L141" i="33"/>
  <c r="K141" i="33"/>
  <c r="J141" i="33"/>
  <c r="I141" i="33"/>
  <c r="H141" i="33"/>
  <c r="G141" i="33"/>
  <c r="F141" i="33"/>
  <c r="E141" i="33"/>
  <c r="D141" i="33"/>
  <c r="C141" i="33"/>
  <c r="Q96" i="33"/>
  <c r="P96" i="33"/>
  <c r="O96" i="33"/>
  <c r="N96" i="33"/>
  <c r="M96" i="33"/>
  <c r="L96" i="33"/>
  <c r="K96" i="33"/>
  <c r="J96" i="33"/>
  <c r="I96" i="33"/>
  <c r="H96" i="33"/>
  <c r="G96" i="33"/>
  <c r="F96" i="33"/>
  <c r="E96" i="33"/>
  <c r="D96" i="33"/>
  <c r="C96" i="33"/>
  <c r="Q51" i="33"/>
  <c r="P51" i="33"/>
  <c r="O51" i="33"/>
  <c r="N51" i="33"/>
  <c r="M51" i="33"/>
  <c r="L51" i="33"/>
  <c r="K51" i="33"/>
  <c r="J51" i="33"/>
  <c r="I51" i="33"/>
  <c r="H51" i="33"/>
  <c r="G51" i="33"/>
  <c r="F51" i="33"/>
  <c r="E51" i="33"/>
  <c r="D51" i="33"/>
  <c r="C51" i="33"/>
  <c r="Q142" i="33"/>
  <c r="P142" i="33"/>
  <c r="O142" i="33"/>
  <c r="N142" i="33"/>
  <c r="M142" i="33"/>
  <c r="L142" i="33"/>
  <c r="K142" i="33"/>
  <c r="J142" i="33"/>
  <c r="I142" i="33"/>
  <c r="H142" i="33"/>
  <c r="G142" i="33"/>
  <c r="F142" i="33"/>
  <c r="E142" i="33"/>
  <c r="D142" i="33"/>
  <c r="C142" i="33"/>
  <c r="Q97" i="33"/>
  <c r="P97" i="33"/>
  <c r="O97" i="33"/>
  <c r="N97" i="33"/>
  <c r="M97" i="33"/>
  <c r="L97" i="33"/>
  <c r="K97" i="33"/>
  <c r="J97" i="33"/>
  <c r="I97" i="33"/>
  <c r="H97" i="33"/>
  <c r="G97" i="33"/>
  <c r="F97" i="33"/>
  <c r="E97" i="33"/>
  <c r="D97" i="33"/>
  <c r="C97" i="33"/>
  <c r="Q52" i="33"/>
  <c r="P52" i="33"/>
  <c r="O52" i="33"/>
  <c r="N52" i="33"/>
  <c r="M52" i="33"/>
  <c r="L52" i="33"/>
  <c r="K52" i="33"/>
  <c r="J52" i="33"/>
  <c r="I52" i="33"/>
  <c r="H52" i="33"/>
  <c r="G52" i="33"/>
  <c r="F52" i="33"/>
  <c r="E52" i="33"/>
  <c r="D52" i="33"/>
  <c r="C52" i="33"/>
  <c r="G63" i="34"/>
  <c r="F63" i="34"/>
  <c r="GV63" i="34" s="1"/>
  <c r="GW63" i="34" s="1"/>
  <c r="E63" i="34"/>
  <c r="C63" i="34"/>
  <c r="U6" i="33"/>
  <c r="AZ3" i="37"/>
  <c r="AJ3" i="37"/>
  <c r="BQ3" i="37"/>
  <c r="BA3" i="37"/>
  <c r="L3" i="37"/>
  <c r="H31" i="37"/>
  <c r="H36" i="37"/>
  <c r="H33" i="37"/>
  <c r="H8" i="37"/>
  <c r="H24" i="37"/>
  <c r="H45" i="37"/>
  <c r="H18" i="37"/>
  <c r="H10" i="37"/>
  <c r="H40" i="37"/>
  <c r="H39" i="37"/>
  <c r="H22" i="37"/>
  <c r="H32" i="37"/>
  <c r="H37" i="37"/>
  <c r="H13" i="37"/>
  <c r="H21" i="37"/>
  <c r="H7" i="37"/>
  <c r="H49" i="37"/>
  <c r="H47" i="37"/>
  <c r="H6" i="37"/>
  <c r="H34" i="37"/>
  <c r="H25" i="37"/>
  <c r="H19" i="37"/>
  <c r="H48" i="37"/>
  <c r="H46" i="37"/>
  <c r="H41" i="37"/>
  <c r="H44" i="37"/>
  <c r="H43" i="37"/>
  <c r="H50" i="37"/>
  <c r="H23" i="37"/>
  <c r="H42" i="37"/>
  <c r="H51" i="37"/>
  <c r="H5" i="37"/>
  <c r="H38" i="37"/>
  <c r="H35" i="37"/>
  <c r="BF63" i="34"/>
  <c r="DR63" i="34" s="1"/>
  <c r="BF126" i="34" s="1"/>
  <c r="BJ63" i="34"/>
  <c r="DV63" i="34" s="1"/>
  <c r="BJ126" i="34" s="1"/>
  <c r="BN63" i="34"/>
  <c r="DZ63" i="34" s="1"/>
  <c r="BN126" i="34" s="1"/>
  <c r="BC63" i="34"/>
  <c r="DO63" i="34" s="1"/>
  <c r="BC126" i="34" s="1"/>
  <c r="BG63" i="34"/>
  <c r="DS63" i="34" s="1"/>
  <c r="BG126" i="34" s="1"/>
  <c r="BK63" i="34"/>
  <c r="DW63" i="34" s="1"/>
  <c r="BK126" i="34" s="1"/>
  <c r="BO63" i="34"/>
  <c r="EA63" i="34" s="1"/>
  <c r="BO126" i="34" s="1"/>
  <c r="BD63" i="34"/>
  <c r="DP63" i="34" s="1"/>
  <c r="BD126" i="34" s="1"/>
  <c r="BH63" i="34"/>
  <c r="DT63" i="34" s="1"/>
  <c r="BH126" i="34" s="1"/>
  <c r="BL63" i="34"/>
  <c r="DX63" i="34" s="1"/>
  <c r="BL126" i="34" s="1"/>
  <c r="BP63" i="34"/>
  <c r="EB63" i="34" s="1"/>
  <c r="BP126" i="34" s="1"/>
  <c r="BQ63" i="34"/>
  <c r="EC63" i="34" s="1"/>
  <c r="BQ126" i="34" s="1"/>
  <c r="BE63" i="34"/>
  <c r="DQ63" i="34" s="1"/>
  <c r="BE126" i="34" s="1"/>
  <c r="BM63" i="34"/>
  <c r="DY63" i="34" s="1"/>
  <c r="BM126" i="34" s="1"/>
  <c r="BI63" i="34"/>
  <c r="DU63" i="34" s="1"/>
  <c r="BI126" i="34" s="1"/>
  <c r="AO63" i="34"/>
  <c r="DA63" i="34" s="1"/>
  <c r="AO126" i="34" s="1"/>
  <c r="AS63" i="34"/>
  <c r="DE63" i="34" s="1"/>
  <c r="AS126" i="34" s="1"/>
  <c r="AW63" i="34"/>
  <c r="DI63" i="34" s="1"/>
  <c r="AW126" i="34" s="1"/>
  <c r="AP63" i="34"/>
  <c r="DB63" i="34" s="1"/>
  <c r="AP126" i="34" s="1"/>
  <c r="AT63" i="34"/>
  <c r="DF63" i="34" s="1"/>
  <c r="AT126" i="34" s="1"/>
  <c r="AX63" i="34"/>
  <c r="DJ63" i="34" s="1"/>
  <c r="AX126" i="34" s="1"/>
  <c r="BB63" i="34"/>
  <c r="DN63" i="34" s="1"/>
  <c r="BB126" i="34" s="1"/>
  <c r="AQ63" i="34"/>
  <c r="DC63" i="34" s="1"/>
  <c r="AQ126" i="34" s="1"/>
  <c r="AU63" i="34"/>
  <c r="DG63" i="34" s="1"/>
  <c r="AU126" i="34" s="1"/>
  <c r="AY63" i="34"/>
  <c r="DK63" i="34" s="1"/>
  <c r="AY126" i="34" s="1"/>
  <c r="AN63" i="34"/>
  <c r="CZ63" i="34" s="1"/>
  <c r="AN126" i="34" s="1"/>
  <c r="AZ63" i="34"/>
  <c r="DL63" i="34" s="1"/>
  <c r="AZ126" i="34" s="1"/>
  <c r="BA63" i="34"/>
  <c r="DM63" i="34" s="1"/>
  <c r="BA126" i="34" s="1"/>
  <c r="AV63" i="34"/>
  <c r="DH63" i="34" s="1"/>
  <c r="AV126" i="34" s="1"/>
  <c r="AR63" i="34"/>
  <c r="DD63" i="34" s="1"/>
  <c r="AR126" i="34" s="1"/>
  <c r="BL3" i="34"/>
  <c r="AP3" i="34"/>
  <c r="BM3" i="34"/>
  <c r="Z3" i="34"/>
  <c r="J3" i="34"/>
  <c r="J65" i="34"/>
  <c r="J66" i="34"/>
  <c r="J127" i="34"/>
  <c r="Q7" i="33"/>
  <c r="P7" i="33"/>
  <c r="O7" i="33"/>
  <c r="N7" i="33"/>
  <c r="M7" i="33"/>
  <c r="L7" i="33"/>
  <c r="K7" i="33"/>
  <c r="J7" i="33"/>
  <c r="I7" i="33"/>
  <c r="H7" i="33"/>
  <c r="G7" i="33"/>
  <c r="F7" i="33"/>
  <c r="E7" i="33"/>
  <c r="D7" i="33"/>
  <c r="Q6" i="33"/>
  <c r="P6" i="33"/>
  <c r="N6" i="33"/>
  <c r="M6" i="33"/>
  <c r="L6" i="33"/>
  <c r="K6" i="33"/>
  <c r="J6" i="33"/>
  <c r="G6" i="33"/>
  <c r="F6" i="33"/>
  <c r="E6" i="33"/>
  <c r="D6" i="33"/>
  <c r="I6" i="33"/>
  <c r="O6" i="33"/>
  <c r="C6" i="33"/>
  <c r="CM68" i="33"/>
  <c r="CM69" i="33"/>
  <c r="B1" i="33"/>
  <c r="P16" i="32"/>
  <c r="CL66" i="33"/>
  <c r="CM66" i="33"/>
  <c r="CL67" i="33"/>
  <c r="CM67" i="33"/>
  <c r="CL68" i="33"/>
  <c r="CL69" i="33"/>
  <c r="CL70" i="33"/>
  <c r="CL71" i="33"/>
  <c r="CL72" i="33"/>
  <c r="CL73" i="33"/>
  <c r="CL74" i="33"/>
  <c r="CL61" i="33"/>
  <c r="CM61" i="33"/>
  <c r="CL62" i="33"/>
  <c r="CM62" i="33"/>
  <c r="CL63" i="33"/>
  <c r="CM63" i="33"/>
  <c r="CL64" i="33"/>
  <c r="CM64" i="33"/>
  <c r="CL65" i="33"/>
  <c r="CM65" i="33"/>
  <c r="CL46" i="33"/>
  <c r="CM46" i="33"/>
  <c r="CL47" i="33"/>
  <c r="CM47" i="33"/>
  <c r="CL48" i="33"/>
  <c r="CM48" i="33"/>
  <c r="CL49" i="33"/>
  <c r="CM49" i="33"/>
  <c r="CL50" i="33"/>
  <c r="CM50" i="33"/>
  <c r="CL51" i="33"/>
  <c r="CM51" i="33"/>
  <c r="CL52" i="33"/>
  <c r="CM52" i="33"/>
  <c r="CL53" i="33"/>
  <c r="CM53" i="33"/>
  <c r="CL54" i="33"/>
  <c r="CM54" i="33"/>
  <c r="CL55" i="33"/>
  <c r="CM55" i="33"/>
  <c r="CL56" i="33"/>
  <c r="CM56" i="33"/>
  <c r="CL57" i="33"/>
  <c r="CM57" i="33"/>
  <c r="CL58" i="33"/>
  <c r="CM58" i="33"/>
  <c r="CL59" i="33"/>
  <c r="CM59" i="33"/>
  <c r="CL60" i="33"/>
  <c r="CM60" i="33"/>
  <c r="CL43" i="33"/>
  <c r="CM43" i="33"/>
  <c r="CL44" i="33"/>
  <c r="CM44" i="33"/>
  <c r="CL45" i="33"/>
  <c r="CM45" i="33"/>
  <c r="CL42" i="33"/>
  <c r="CM42" i="33"/>
  <c r="DM15" i="33"/>
  <c r="DK15" i="33" s="1"/>
  <c r="DM41" i="33"/>
  <c r="DK41" i="33" s="1"/>
  <c r="DM62" i="33"/>
  <c r="DK62" i="33" s="1"/>
  <c r="DL10" i="33"/>
  <c r="DL11" i="33"/>
  <c r="DL12" i="33"/>
  <c r="DL13" i="33"/>
  <c r="DL14" i="33"/>
  <c r="DL15" i="33"/>
  <c r="DL16" i="33"/>
  <c r="DL17" i="33"/>
  <c r="DL18" i="33"/>
  <c r="DL19" i="33"/>
  <c r="DL20" i="33"/>
  <c r="DL21" i="33"/>
  <c r="DL22" i="33"/>
  <c r="DL23" i="33"/>
  <c r="DL24" i="33"/>
  <c r="DL25" i="33"/>
  <c r="DL26" i="33"/>
  <c r="DL27" i="33"/>
  <c r="DL28" i="33"/>
  <c r="DL29" i="33"/>
  <c r="DL30" i="33"/>
  <c r="DL31" i="33"/>
  <c r="DL32" i="33"/>
  <c r="DL33" i="33"/>
  <c r="DL34" i="33"/>
  <c r="DL35" i="33"/>
  <c r="DL36" i="33"/>
  <c r="DL37" i="33"/>
  <c r="DR37" i="33" s="1"/>
  <c r="DL38" i="33"/>
  <c r="DR38" i="33" s="1"/>
  <c r="DL39" i="33"/>
  <c r="DR39" i="33" s="1"/>
  <c r="DL40" i="33"/>
  <c r="DL41" i="33"/>
  <c r="DL42" i="33"/>
  <c r="DL43" i="33"/>
  <c r="DL44" i="33"/>
  <c r="DL45" i="33"/>
  <c r="DL46" i="33"/>
  <c r="DL47" i="33"/>
  <c r="DL48" i="33"/>
  <c r="DL49" i="33"/>
  <c r="DL50" i="33"/>
  <c r="DL51" i="33"/>
  <c r="DL52" i="33"/>
  <c r="DL53" i="33"/>
  <c r="DL54" i="33"/>
  <c r="DL55" i="33"/>
  <c r="DL56" i="33"/>
  <c r="DL57" i="33"/>
  <c r="DL58" i="33"/>
  <c r="DL59" i="33"/>
  <c r="DL60" i="33"/>
  <c r="DL61" i="33"/>
  <c r="DL62" i="33"/>
  <c r="DL63" i="33"/>
  <c r="DL64" i="33"/>
  <c r="DL65" i="33"/>
  <c r="DL66" i="33"/>
  <c r="DL67" i="33"/>
  <c r="DL68" i="33"/>
  <c r="DL9" i="33"/>
  <c r="I45" i="37"/>
  <c r="I39" i="37"/>
  <c r="I34" i="37"/>
  <c r="I21" i="37"/>
  <c r="I19" i="37"/>
  <c r="I33" i="37"/>
  <c r="I24" i="37"/>
  <c r="I43" i="37"/>
  <c r="I35" i="37"/>
  <c r="I40" i="37"/>
  <c r="I49" i="37"/>
  <c r="I22" i="37"/>
  <c r="I18" i="37"/>
  <c r="I10" i="37"/>
  <c r="I38" i="37"/>
  <c r="I13" i="37"/>
  <c r="I5" i="37"/>
  <c r="I46" i="37"/>
  <c r="I37" i="37"/>
  <c r="I44" i="37"/>
  <c r="I7" i="37"/>
  <c r="I31" i="37"/>
  <c r="I41" i="37"/>
  <c r="I6" i="37"/>
  <c r="I36" i="37"/>
  <c r="I32" i="37"/>
  <c r="I23" i="37"/>
  <c r="I25" i="37"/>
  <c r="I47" i="37"/>
  <c r="I48" i="37"/>
  <c r="I42" i="37"/>
  <c r="I50" i="37"/>
  <c r="I8" i="37"/>
  <c r="I51" i="37"/>
  <c r="P2" i="32"/>
  <c r="AZ143" i="33"/>
  <c r="BA143" i="33"/>
  <c r="BB143" i="33"/>
  <c r="BC143" i="33"/>
  <c r="BD143" i="33"/>
  <c r="BE143" i="33"/>
  <c r="BF143" i="33"/>
  <c r="BG143" i="33"/>
  <c r="BH143" i="33"/>
  <c r="BI143" i="33"/>
  <c r="BJ143" i="33"/>
  <c r="BK143" i="33"/>
  <c r="BL143" i="33"/>
  <c r="BM143" i="33"/>
  <c r="AZ144" i="33"/>
  <c r="BA144" i="33"/>
  <c r="BB144" i="33"/>
  <c r="BC144" i="33"/>
  <c r="BD144" i="33"/>
  <c r="BE144" i="33"/>
  <c r="BF144" i="33"/>
  <c r="BG144" i="33"/>
  <c r="BH144" i="33"/>
  <c r="BI144" i="33"/>
  <c r="BJ144" i="33"/>
  <c r="BK144" i="33"/>
  <c r="BL144" i="33"/>
  <c r="BM144" i="33"/>
  <c r="AZ145" i="33"/>
  <c r="BA145" i="33"/>
  <c r="BB145" i="33"/>
  <c r="BC145" i="33"/>
  <c r="BD145" i="33"/>
  <c r="BE145" i="33"/>
  <c r="BF145" i="33"/>
  <c r="BG145" i="33"/>
  <c r="BH145" i="33"/>
  <c r="BI145" i="33"/>
  <c r="BJ145" i="33"/>
  <c r="BK145" i="33"/>
  <c r="BL145" i="33"/>
  <c r="BM145" i="33"/>
  <c r="AZ146" i="33"/>
  <c r="BA146" i="33"/>
  <c r="BB146" i="33"/>
  <c r="BC146" i="33"/>
  <c r="BD146" i="33"/>
  <c r="BE146" i="33"/>
  <c r="BF146" i="33"/>
  <c r="BG146" i="33"/>
  <c r="BH146" i="33"/>
  <c r="BI146" i="33"/>
  <c r="BJ146" i="33"/>
  <c r="BK146" i="33"/>
  <c r="BL146" i="33"/>
  <c r="BM146" i="33"/>
  <c r="AZ147" i="33"/>
  <c r="BA147" i="33"/>
  <c r="BB147" i="33"/>
  <c r="BC147" i="33"/>
  <c r="BD147" i="33"/>
  <c r="BE147" i="33"/>
  <c r="BF147" i="33"/>
  <c r="BG147" i="33"/>
  <c r="BH147" i="33"/>
  <c r="BI147" i="33"/>
  <c r="BJ147" i="33"/>
  <c r="BK147" i="33"/>
  <c r="BL147" i="33"/>
  <c r="BM147" i="33"/>
  <c r="AZ148" i="33"/>
  <c r="BA148" i="33"/>
  <c r="BB148" i="33"/>
  <c r="BC148" i="33"/>
  <c r="BD148" i="33"/>
  <c r="BE148" i="33"/>
  <c r="BF148" i="33"/>
  <c r="BG148" i="33"/>
  <c r="BH148" i="33"/>
  <c r="BI148" i="33"/>
  <c r="BJ148" i="33"/>
  <c r="BK148" i="33"/>
  <c r="BL148" i="33"/>
  <c r="BM148" i="33"/>
  <c r="AZ149" i="33"/>
  <c r="BA149" i="33"/>
  <c r="BB149" i="33"/>
  <c r="BC149" i="33"/>
  <c r="BD149" i="33"/>
  <c r="BE149" i="33"/>
  <c r="BF149" i="33"/>
  <c r="BG149" i="33"/>
  <c r="BH149" i="33"/>
  <c r="BI149" i="33"/>
  <c r="BJ149" i="33"/>
  <c r="BK149" i="33"/>
  <c r="BL149" i="33"/>
  <c r="BM149" i="33"/>
  <c r="AZ150" i="33"/>
  <c r="BA150" i="33"/>
  <c r="BB150" i="33"/>
  <c r="BC150" i="33"/>
  <c r="BD150" i="33"/>
  <c r="BE150" i="33"/>
  <c r="BF150" i="33"/>
  <c r="BG150" i="33"/>
  <c r="BH150" i="33"/>
  <c r="BI150" i="33"/>
  <c r="BJ150" i="33"/>
  <c r="BK150" i="33"/>
  <c r="BL150" i="33"/>
  <c r="BM150" i="33"/>
  <c r="AZ151" i="33"/>
  <c r="BA151" i="33"/>
  <c r="BB151" i="33"/>
  <c r="BC151" i="33"/>
  <c r="BD151" i="33"/>
  <c r="BE151" i="33"/>
  <c r="BF151" i="33"/>
  <c r="BG151" i="33"/>
  <c r="BH151" i="33"/>
  <c r="BI151" i="33"/>
  <c r="BJ151" i="33"/>
  <c r="BK151" i="33"/>
  <c r="BL151" i="33"/>
  <c r="BM151" i="33"/>
  <c r="AZ152" i="33"/>
  <c r="BA152" i="33"/>
  <c r="BB152" i="33"/>
  <c r="BC152" i="33"/>
  <c r="BD152" i="33"/>
  <c r="BE152" i="33"/>
  <c r="BF152" i="33"/>
  <c r="BG152" i="33"/>
  <c r="BH152" i="33"/>
  <c r="BI152" i="33"/>
  <c r="BJ152" i="33"/>
  <c r="BK152" i="33"/>
  <c r="BL152" i="33"/>
  <c r="BM152" i="33"/>
  <c r="AZ153" i="33"/>
  <c r="BA153" i="33"/>
  <c r="BB153" i="33"/>
  <c r="BC153" i="33"/>
  <c r="BD153" i="33"/>
  <c r="BE153" i="33"/>
  <c r="BF153" i="33"/>
  <c r="BG153" i="33"/>
  <c r="BH153" i="33"/>
  <c r="BI153" i="33"/>
  <c r="BJ153" i="33"/>
  <c r="BK153" i="33"/>
  <c r="BL153" i="33"/>
  <c r="BM153" i="33"/>
  <c r="AZ154" i="33"/>
  <c r="BA154" i="33"/>
  <c r="BB154" i="33"/>
  <c r="BC154" i="33"/>
  <c r="BD154" i="33"/>
  <c r="BE154" i="33"/>
  <c r="BF154" i="33"/>
  <c r="BG154" i="33"/>
  <c r="BH154" i="33"/>
  <c r="BI154" i="33"/>
  <c r="BJ154" i="33"/>
  <c r="BK154" i="33"/>
  <c r="BL154" i="33"/>
  <c r="BM154" i="33"/>
  <c r="AZ155" i="33"/>
  <c r="BA155" i="33"/>
  <c r="BB155" i="33"/>
  <c r="BC155" i="33"/>
  <c r="BD155" i="33"/>
  <c r="BE155" i="33"/>
  <c r="BF155" i="33"/>
  <c r="BG155" i="33"/>
  <c r="BH155" i="33"/>
  <c r="BI155" i="33"/>
  <c r="BJ155" i="33"/>
  <c r="BK155" i="33"/>
  <c r="BL155" i="33"/>
  <c r="BM155" i="33"/>
  <c r="AZ156" i="33"/>
  <c r="BA156" i="33"/>
  <c r="BB156" i="33"/>
  <c r="BC156" i="33"/>
  <c r="BD156" i="33"/>
  <c r="BE156" i="33"/>
  <c r="BF156" i="33"/>
  <c r="BG156" i="33"/>
  <c r="BH156" i="33"/>
  <c r="BI156" i="33"/>
  <c r="BJ156" i="33"/>
  <c r="BK156" i="33"/>
  <c r="BL156" i="33"/>
  <c r="BM156" i="33"/>
  <c r="AZ157" i="33"/>
  <c r="BA157" i="33"/>
  <c r="BB157" i="33"/>
  <c r="BC157" i="33"/>
  <c r="BD157" i="33"/>
  <c r="BE157" i="33"/>
  <c r="BF157" i="33"/>
  <c r="BG157" i="33"/>
  <c r="BH157" i="33"/>
  <c r="BI157" i="33"/>
  <c r="BJ157" i="33"/>
  <c r="BK157" i="33"/>
  <c r="BL157" i="33"/>
  <c r="BM157" i="33"/>
  <c r="AZ158" i="33"/>
  <c r="BA158" i="33"/>
  <c r="BB158" i="33"/>
  <c r="BC158" i="33"/>
  <c r="BD158" i="33"/>
  <c r="BE158" i="33"/>
  <c r="BF158" i="33"/>
  <c r="BG158" i="33"/>
  <c r="BH158" i="33"/>
  <c r="BI158" i="33"/>
  <c r="BJ158" i="33"/>
  <c r="BK158" i="33"/>
  <c r="BL158" i="33"/>
  <c r="BM158" i="33"/>
  <c r="AZ159" i="33"/>
  <c r="BA159" i="33"/>
  <c r="BB159" i="33"/>
  <c r="BC159" i="33"/>
  <c r="BD159" i="33"/>
  <c r="BE159" i="33"/>
  <c r="BF159" i="33"/>
  <c r="BG159" i="33"/>
  <c r="BH159" i="33"/>
  <c r="BI159" i="33"/>
  <c r="BJ159" i="33"/>
  <c r="BK159" i="33"/>
  <c r="BL159" i="33"/>
  <c r="BM159" i="33"/>
  <c r="AZ160" i="33"/>
  <c r="BA160" i="33"/>
  <c r="BB160" i="33"/>
  <c r="BC160" i="33"/>
  <c r="BD160" i="33"/>
  <c r="BE160" i="33"/>
  <c r="BF160" i="33"/>
  <c r="BG160" i="33"/>
  <c r="BH160" i="33"/>
  <c r="BI160" i="33"/>
  <c r="BJ160" i="33"/>
  <c r="BK160" i="33"/>
  <c r="BL160" i="33"/>
  <c r="BM160" i="33"/>
  <c r="AZ161" i="33"/>
  <c r="BA161" i="33"/>
  <c r="BB161" i="33"/>
  <c r="BC161" i="33"/>
  <c r="BD161" i="33"/>
  <c r="BE161" i="33"/>
  <c r="BF161" i="33"/>
  <c r="BG161" i="33"/>
  <c r="BH161" i="33"/>
  <c r="BI161" i="33"/>
  <c r="BJ161" i="33"/>
  <c r="BK161" i="33"/>
  <c r="BL161" i="33"/>
  <c r="BM161" i="33"/>
  <c r="AZ162" i="33"/>
  <c r="BA162" i="33"/>
  <c r="BB162" i="33"/>
  <c r="BC162" i="33"/>
  <c r="BD162" i="33"/>
  <c r="BE162" i="33"/>
  <c r="BF162" i="33"/>
  <c r="BG162" i="33"/>
  <c r="BH162" i="33"/>
  <c r="BI162" i="33"/>
  <c r="BJ162" i="33"/>
  <c r="BK162" i="33"/>
  <c r="BL162" i="33"/>
  <c r="BM162" i="33"/>
  <c r="AZ163" i="33"/>
  <c r="BA163" i="33"/>
  <c r="BB163" i="33"/>
  <c r="BC163" i="33"/>
  <c r="BD163" i="33"/>
  <c r="BE163" i="33"/>
  <c r="BF163" i="33"/>
  <c r="BG163" i="33"/>
  <c r="BH163" i="33"/>
  <c r="BI163" i="33"/>
  <c r="BJ163" i="33"/>
  <c r="BK163" i="33"/>
  <c r="BL163" i="33"/>
  <c r="BM163" i="33"/>
  <c r="AZ164" i="33"/>
  <c r="BA164" i="33"/>
  <c r="BB164" i="33"/>
  <c r="BC164" i="33"/>
  <c r="BD164" i="33"/>
  <c r="BE164" i="33"/>
  <c r="BF164" i="33"/>
  <c r="BG164" i="33"/>
  <c r="BH164" i="33"/>
  <c r="BI164" i="33"/>
  <c r="BJ164" i="33"/>
  <c r="BK164" i="33"/>
  <c r="BL164" i="33"/>
  <c r="BM164" i="33"/>
  <c r="AZ165" i="33"/>
  <c r="BA165" i="33"/>
  <c r="BB165" i="33"/>
  <c r="BC165" i="33"/>
  <c r="BD165" i="33"/>
  <c r="BE165" i="33"/>
  <c r="BF165" i="33"/>
  <c r="BG165" i="33"/>
  <c r="BH165" i="33"/>
  <c r="BI165" i="33"/>
  <c r="BJ165" i="33"/>
  <c r="BK165" i="33"/>
  <c r="BL165" i="33"/>
  <c r="BM165" i="33"/>
  <c r="AZ166" i="33"/>
  <c r="BA166" i="33"/>
  <c r="BB166" i="33"/>
  <c r="BC166" i="33"/>
  <c r="BD166" i="33"/>
  <c r="BE166" i="33"/>
  <c r="BF166" i="33"/>
  <c r="BG166" i="33"/>
  <c r="BH166" i="33"/>
  <c r="BI166" i="33"/>
  <c r="BJ166" i="33"/>
  <c r="BK166" i="33"/>
  <c r="BL166" i="33"/>
  <c r="BM166" i="33"/>
  <c r="AZ167" i="33"/>
  <c r="BA167" i="33"/>
  <c r="BB167" i="33"/>
  <c r="BC167" i="33"/>
  <c r="BD167" i="33"/>
  <c r="BE167" i="33"/>
  <c r="BF167" i="33"/>
  <c r="BG167" i="33"/>
  <c r="BH167" i="33"/>
  <c r="BI167" i="33"/>
  <c r="BJ167" i="33"/>
  <c r="BK167" i="33"/>
  <c r="BL167" i="33"/>
  <c r="BM167" i="33"/>
  <c r="AZ168" i="33"/>
  <c r="BA168" i="33"/>
  <c r="BB168" i="33"/>
  <c r="BC168" i="33"/>
  <c r="BD168" i="33"/>
  <c r="BE168" i="33"/>
  <c r="BF168" i="33"/>
  <c r="BG168" i="33"/>
  <c r="BH168" i="33"/>
  <c r="BI168" i="33"/>
  <c r="BJ168" i="33"/>
  <c r="BK168" i="33"/>
  <c r="BL168" i="33"/>
  <c r="BM168" i="33"/>
  <c r="AZ169" i="33"/>
  <c r="BA169" i="33"/>
  <c r="BB169" i="33"/>
  <c r="BC169" i="33"/>
  <c r="BD169" i="33"/>
  <c r="BE169" i="33"/>
  <c r="BF169" i="33"/>
  <c r="BG169" i="33"/>
  <c r="BH169" i="33"/>
  <c r="BI169" i="33"/>
  <c r="BJ169" i="33"/>
  <c r="BK169" i="33"/>
  <c r="BL169" i="33"/>
  <c r="BM169" i="33"/>
  <c r="AZ170" i="33"/>
  <c r="BA170" i="33"/>
  <c r="BB170" i="33"/>
  <c r="BC170" i="33"/>
  <c r="BD170" i="33"/>
  <c r="BE170" i="33"/>
  <c r="BF170" i="33"/>
  <c r="BG170" i="33"/>
  <c r="BH170" i="33"/>
  <c r="BI170" i="33"/>
  <c r="BJ170" i="33"/>
  <c r="BK170" i="33"/>
  <c r="BL170" i="33"/>
  <c r="BM170" i="33"/>
  <c r="AZ171" i="33"/>
  <c r="BA171" i="33"/>
  <c r="BB171" i="33"/>
  <c r="BC171" i="33"/>
  <c r="BD171" i="33"/>
  <c r="BE171" i="33"/>
  <c r="BF171" i="33"/>
  <c r="BG171" i="33"/>
  <c r="BH171" i="33"/>
  <c r="BI171" i="33"/>
  <c r="BJ171" i="33"/>
  <c r="BK171" i="33"/>
  <c r="BL171" i="33"/>
  <c r="BM171" i="33"/>
  <c r="AZ172" i="33"/>
  <c r="BA172" i="33"/>
  <c r="BB172" i="33"/>
  <c r="BC172" i="33"/>
  <c r="BD172" i="33"/>
  <c r="BE172" i="33"/>
  <c r="BF172" i="33"/>
  <c r="BG172" i="33"/>
  <c r="BH172" i="33"/>
  <c r="BI172" i="33"/>
  <c r="BJ172" i="33"/>
  <c r="BK172" i="33"/>
  <c r="BL172" i="33"/>
  <c r="BM172" i="33"/>
  <c r="AZ173" i="33"/>
  <c r="BA173" i="33"/>
  <c r="BB173" i="33"/>
  <c r="BC173" i="33"/>
  <c r="BD173" i="33"/>
  <c r="BE173" i="33"/>
  <c r="BF173" i="33"/>
  <c r="BG173" i="33"/>
  <c r="BH173" i="33"/>
  <c r="BI173" i="33"/>
  <c r="BJ173" i="33"/>
  <c r="BK173" i="33"/>
  <c r="BL173" i="33"/>
  <c r="BM173" i="33"/>
  <c r="AZ174" i="33"/>
  <c r="BA174" i="33"/>
  <c r="BB174" i="33"/>
  <c r="BC174" i="33"/>
  <c r="BD174" i="33"/>
  <c r="BE174" i="33"/>
  <c r="BF174" i="33"/>
  <c r="BG174" i="33"/>
  <c r="BH174" i="33"/>
  <c r="BI174" i="33"/>
  <c r="BJ174" i="33"/>
  <c r="BK174" i="33"/>
  <c r="BL174" i="33"/>
  <c r="BM174" i="33"/>
  <c r="AZ175" i="33"/>
  <c r="BA175" i="33"/>
  <c r="BB175" i="33"/>
  <c r="BC175" i="33"/>
  <c r="BD175" i="33"/>
  <c r="BE175" i="33"/>
  <c r="BF175" i="33"/>
  <c r="BG175" i="33"/>
  <c r="BH175" i="33"/>
  <c r="BI175" i="33"/>
  <c r="BJ175" i="33"/>
  <c r="BK175" i="33"/>
  <c r="BL175" i="33"/>
  <c r="BM175" i="33"/>
  <c r="AZ176" i="33"/>
  <c r="BA176" i="33"/>
  <c r="BB176" i="33"/>
  <c r="BC176" i="33"/>
  <c r="BD176" i="33"/>
  <c r="BE176" i="33"/>
  <c r="BF176" i="33"/>
  <c r="BG176" i="33"/>
  <c r="BH176" i="33"/>
  <c r="BI176" i="33"/>
  <c r="BJ176" i="33"/>
  <c r="BK176" i="33"/>
  <c r="BL176" i="33"/>
  <c r="BM176" i="33"/>
  <c r="AZ177" i="33"/>
  <c r="BA177" i="33"/>
  <c r="BB177" i="33"/>
  <c r="BC177" i="33"/>
  <c r="BD177" i="33"/>
  <c r="BE177" i="33"/>
  <c r="BF177" i="33"/>
  <c r="BG177" i="33"/>
  <c r="BH177" i="33"/>
  <c r="BI177" i="33"/>
  <c r="BJ177" i="33"/>
  <c r="BK177" i="33"/>
  <c r="BL177" i="33"/>
  <c r="BM177" i="33"/>
  <c r="AZ178" i="33"/>
  <c r="BA178" i="33"/>
  <c r="BB178" i="33"/>
  <c r="BC178" i="33"/>
  <c r="BD178" i="33"/>
  <c r="BE178" i="33"/>
  <c r="BF178" i="33"/>
  <c r="BG178" i="33"/>
  <c r="BH178" i="33"/>
  <c r="BI178" i="33"/>
  <c r="BJ178" i="33"/>
  <c r="BK178" i="33"/>
  <c r="BL178" i="33"/>
  <c r="BM178" i="33"/>
  <c r="AZ179" i="33"/>
  <c r="BA179" i="33"/>
  <c r="BB179" i="33"/>
  <c r="BC179" i="33"/>
  <c r="BD179" i="33"/>
  <c r="BE179" i="33"/>
  <c r="BF179" i="33"/>
  <c r="BG179" i="33"/>
  <c r="BH179" i="33"/>
  <c r="BI179" i="33"/>
  <c r="BJ179" i="33"/>
  <c r="BK179" i="33"/>
  <c r="BL179" i="33"/>
  <c r="BM179" i="33"/>
  <c r="AZ180" i="33"/>
  <c r="BA180" i="33"/>
  <c r="BB180" i="33"/>
  <c r="BC180" i="33"/>
  <c r="BD180" i="33"/>
  <c r="BE180" i="33"/>
  <c r="BF180" i="33"/>
  <c r="BG180" i="33"/>
  <c r="BH180" i="33"/>
  <c r="BI180" i="33"/>
  <c r="BJ180" i="33"/>
  <c r="BK180" i="33"/>
  <c r="BL180" i="33"/>
  <c r="BM180" i="33"/>
  <c r="AY144" i="33"/>
  <c r="AY145" i="33"/>
  <c r="AY146" i="33"/>
  <c r="AY147" i="33"/>
  <c r="AY148" i="33"/>
  <c r="AY149" i="33"/>
  <c r="AY150" i="33"/>
  <c r="AY151" i="33"/>
  <c r="AY152" i="33"/>
  <c r="AY153" i="33"/>
  <c r="AY154" i="33"/>
  <c r="AY155" i="33"/>
  <c r="AY156" i="33"/>
  <c r="AY157" i="33"/>
  <c r="AY158" i="33"/>
  <c r="AY159" i="33"/>
  <c r="AY160" i="33"/>
  <c r="AY161" i="33"/>
  <c r="AY162" i="33"/>
  <c r="AY163" i="33"/>
  <c r="AY164" i="33"/>
  <c r="AY165" i="33"/>
  <c r="AY166" i="33"/>
  <c r="AY167" i="33"/>
  <c r="AY168" i="33"/>
  <c r="AY169" i="33"/>
  <c r="AY170" i="33"/>
  <c r="AY171" i="33"/>
  <c r="AY172" i="33"/>
  <c r="AY173" i="33"/>
  <c r="AY174" i="33"/>
  <c r="AY175" i="33"/>
  <c r="AY176" i="33"/>
  <c r="AY177" i="33"/>
  <c r="AY178" i="33"/>
  <c r="AY179" i="33"/>
  <c r="AY180" i="33"/>
  <c r="AY143" i="33"/>
  <c r="AZ98" i="33"/>
  <c r="BA98" i="33"/>
  <c r="BB98" i="33"/>
  <c r="BC98" i="33"/>
  <c r="BD98" i="33"/>
  <c r="BE98" i="33"/>
  <c r="BF98" i="33"/>
  <c r="BG98" i="33"/>
  <c r="BH98" i="33"/>
  <c r="BI98" i="33"/>
  <c r="BJ98" i="33"/>
  <c r="BK98" i="33"/>
  <c r="BL98" i="33"/>
  <c r="BM98" i="33"/>
  <c r="AZ99" i="33"/>
  <c r="BA99" i="33"/>
  <c r="BB99" i="33"/>
  <c r="BC99" i="33"/>
  <c r="BD99" i="33"/>
  <c r="BE99" i="33"/>
  <c r="BF99" i="33"/>
  <c r="BG99" i="33"/>
  <c r="BH99" i="33"/>
  <c r="BI99" i="33"/>
  <c r="BJ99" i="33"/>
  <c r="BK99" i="33"/>
  <c r="BL99" i="33"/>
  <c r="BM99" i="33"/>
  <c r="AZ100" i="33"/>
  <c r="BA100" i="33"/>
  <c r="BB100" i="33"/>
  <c r="BC100" i="33"/>
  <c r="BD100" i="33"/>
  <c r="BE100" i="33"/>
  <c r="BF100" i="33"/>
  <c r="BG100" i="33"/>
  <c r="BH100" i="33"/>
  <c r="BI100" i="33"/>
  <c r="BJ100" i="33"/>
  <c r="BK100" i="33"/>
  <c r="BL100" i="33"/>
  <c r="BM100" i="33"/>
  <c r="AZ101" i="33"/>
  <c r="BA101" i="33"/>
  <c r="BB101" i="33"/>
  <c r="BC101" i="33"/>
  <c r="BD101" i="33"/>
  <c r="BE101" i="33"/>
  <c r="BF101" i="33"/>
  <c r="BG101" i="33"/>
  <c r="BH101" i="33"/>
  <c r="BI101" i="33"/>
  <c r="BJ101" i="33"/>
  <c r="BK101" i="33"/>
  <c r="BL101" i="33"/>
  <c r="BM101" i="33"/>
  <c r="AZ102" i="33"/>
  <c r="BA102" i="33"/>
  <c r="BB102" i="33"/>
  <c r="BC102" i="33"/>
  <c r="BD102" i="33"/>
  <c r="BE102" i="33"/>
  <c r="BF102" i="33"/>
  <c r="BG102" i="33"/>
  <c r="BH102" i="33"/>
  <c r="BI102" i="33"/>
  <c r="BJ102" i="33"/>
  <c r="BK102" i="33"/>
  <c r="BL102" i="33"/>
  <c r="BM102" i="33"/>
  <c r="AZ103" i="33"/>
  <c r="BA103" i="33"/>
  <c r="BB103" i="33"/>
  <c r="BC103" i="33"/>
  <c r="BD103" i="33"/>
  <c r="BE103" i="33"/>
  <c r="BF103" i="33"/>
  <c r="BG103" i="33"/>
  <c r="BH103" i="33"/>
  <c r="BI103" i="33"/>
  <c r="BJ103" i="33"/>
  <c r="BK103" i="33"/>
  <c r="BL103" i="33"/>
  <c r="BM103" i="33"/>
  <c r="AZ104" i="33"/>
  <c r="BA104" i="33"/>
  <c r="BB104" i="33"/>
  <c r="BC104" i="33"/>
  <c r="BD104" i="33"/>
  <c r="BE104" i="33"/>
  <c r="BF104" i="33"/>
  <c r="BG104" i="33"/>
  <c r="BH104" i="33"/>
  <c r="BI104" i="33"/>
  <c r="BJ104" i="33"/>
  <c r="BK104" i="33"/>
  <c r="BL104" i="33"/>
  <c r="BM104" i="33"/>
  <c r="AZ105" i="33"/>
  <c r="BA105" i="33"/>
  <c r="BB105" i="33"/>
  <c r="BC105" i="33"/>
  <c r="BD105" i="33"/>
  <c r="BE105" i="33"/>
  <c r="BF105" i="33"/>
  <c r="BG105" i="33"/>
  <c r="BH105" i="33"/>
  <c r="BI105" i="33"/>
  <c r="BJ105" i="33"/>
  <c r="BK105" i="33"/>
  <c r="BL105" i="33"/>
  <c r="BM105" i="33"/>
  <c r="AZ106" i="33"/>
  <c r="BA106" i="33"/>
  <c r="BB106" i="33"/>
  <c r="BC106" i="33"/>
  <c r="BD106" i="33"/>
  <c r="BE106" i="33"/>
  <c r="BF106" i="33"/>
  <c r="BG106" i="33"/>
  <c r="BH106" i="33"/>
  <c r="BI106" i="33"/>
  <c r="BJ106" i="33"/>
  <c r="BK106" i="33"/>
  <c r="BL106" i="33"/>
  <c r="BM106" i="33"/>
  <c r="AZ107" i="33"/>
  <c r="BA107" i="33"/>
  <c r="BB107" i="33"/>
  <c r="BC107" i="33"/>
  <c r="BD107" i="33"/>
  <c r="BE107" i="33"/>
  <c r="BF107" i="33"/>
  <c r="BG107" i="33"/>
  <c r="BH107" i="33"/>
  <c r="BI107" i="33"/>
  <c r="BJ107" i="33"/>
  <c r="BK107" i="33"/>
  <c r="BL107" i="33"/>
  <c r="BM107" i="33"/>
  <c r="AZ108" i="33"/>
  <c r="BA108" i="33"/>
  <c r="BB108" i="33"/>
  <c r="BC108" i="33"/>
  <c r="BD108" i="33"/>
  <c r="BE108" i="33"/>
  <c r="BF108" i="33"/>
  <c r="BG108" i="33"/>
  <c r="BH108" i="33"/>
  <c r="BI108" i="33"/>
  <c r="BJ108" i="33"/>
  <c r="BK108" i="33"/>
  <c r="BL108" i="33"/>
  <c r="BM108" i="33"/>
  <c r="AZ109" i="33"/>
  <c r="BA109" i="33"/>
  <c r="BB109" i="33"/>
  <c r="BC109" i="33"/>
  <c r="BD109" i="33"/>
  <c r="BE109" i="33"/>
  <c r="BF109" i="33"/>
  <c r="BG109" i="33"/>
  <c r="BH109" i="33"/>
  <c r="BI109" i="33"/>
  <c r="BJ109" i="33"/>
  <c r="BK109" i="33"/>
  <c r="BL109" i="33"/>
  <c r="BM109" i="33"/>
  <c r="AZ110" i="33"/>
  <c r="BA110" i="33"/>
  <c r="BB110" i="33"/>
  <c r="BC110" i="33"/>
  <c r="BD110" i="33"/>
  <c r="BE110" i="33"/>
  <c r="BF110" i="33"/>
  <c r="BG110" i="33"/>
  <c r="BH110" i="33"/>
  <c r="BI110" i="33"/>
  <c r="BJ110" i="33"/>
  <c r="BK110" i="33"/>
  <c r="BL110" i="33"/>
  <c r="BM110" i="33"/>
  <c r="AZ111" i="33"/>
  <c r="BA111" i="33"/>
  <c r="BB111" i="33"/>
  <c r="BC111" i="33"/>
  <c r="BD111" i="33"/>
  <c r="BE111" i="33"/>
  <c r="BF111" i="33"/>
  <c r="BG111" i="33"/>
  <c r="BH111" i="33"/>
  <c r="BI111" i="33"/>
  <c r="BJ111" i="33"/>
  <c r="BK111" i="33"/>
  <c r="BL111" i="33"/>
  <c r="BM111" i="33"/>
  <c r="AZ112" i="33"/>
  <c r="BA112" i="33"/>
  <c r="BB112" i="33"/>
  <c r="BC112" i="33"/>
  <c r="BD112" i="33"/>
  <c r="BE112" i="33"/>
  <c r="BF112" i="33"/>
  <c r="BG112" i="33"/>
  <c r="BH112" i="33"/>
  <c r="BI112" i="33"/>
  <c r="BJ112" i="33"/>
  <c r="BK112" i="33"/>
  <c r="BL112" i="33"/>
  <c r="BM112" i="33"/>
  <c r="AZ113" i="33"/>
  <c r="BA113" i="33"/>
  <c r="BB113" i="33"/>
  <c r="BC113" i="33"/>
  <c r="BD113" i="33"/>
  <c r="BE113" i="33"/>
  <c r="BF113" i="33"/>
  <c r="BG113" i="33"/>
  <c r="BH113" i="33"/>
  <c r="BI113" i="33"/>
  <c r="BJ113" i="33"/>
  <c r="BK113" i="33"/>
  <c r="BL113" i="33"/>
  <c r="BM113" i="33"/>
  <c r="AZ114" i="33"/>
  <c r="BA114" i="33"/>
  <c r="BB114" i="33"/>
  <c r="BC114" i="33"/>
  <c r="BD114" i="33"/>
  <c r="BE114" i="33"/>
  <c r="BF114" i="33"/>
  <c r="BG114" i="33"/>
  <c r="BH114" i="33"/>
  <c r="BI114" i="33"/>
  <c r="BJ114" i="33"/>
  <c r="BK114" i="33"/>
  <c r="BL114" i="33"/>
  <c r="BM114" i="33"/>
  <c r="AZ115" i="33"/>
  <c r="BA115" i="33"/>
  <c r="BB115" i="33"/>
  <c r="BC115" i="33"/>
  <c r="BD115" i="33"/>
  <c r="BE115" i="33"/>
  <c r="BF115" i="33"/>
  <c r="BG115" i="33"/>
  <c r="BH115" i="33"/>
  <c r="BI115" i="33"/>
  <c r="BJ115" i="33"/>
  <c r="BK115" i="33"/>
  <c r="BL115" i="33"/>
  <c r="BM115" i="33"/>
  <c r="AZ116" i="33"/>
  <c r="BA116" i="33"/>
  <c r="BB116" i="33"/>
  <c r="BC116" i="33"/>
  <c r="BD116" i="33"/>
  <c r="BE116" i="33"/>
  <c r="BF116" i="33"/>
  <c r="BG116" i="33"/>
  <c r="BH116" i="33"/>
  <c r="BI116" i="33"/>
  <c r="BJ116" i="33"/>
  <c r="BK116" i="33"/>
  <c r="BL116" i="33"/>
  <c r="BM116" i="33"/>
  <c r="AZ117" i="33"/>
  <c r="BA117" i="33"/>
  <c r="BB117" i="33"/>
  <c r="BC117" i="33"/>
  <c r="BD117" i="33"/>
  <c r="BE117" i="33"/>
  <c r="BF117" i="33"/>
  <c r="BG117" i="33"/>
  <c r="BH117" i="33"/>
  <c r="BI117" i="33"/>
  <c r="BJ117" i="33"/>
  <c r="BK117" i="33"/>
  <c r="BL117" i="33"/>
  <c r="BM117" i="33"/>
  <c r="AZ118" i="33"/>
  <c r="BA118" i="33"/>
  <c r="BB118" i="33"/>
  <c r="BC118" i="33"/>
  <c r="BD118" i="33"/>
  <c r="BE118" i="33"/>
  <c r="BF118" i="33"/>
  <c r="BG118" i="33"/>
  <c r="BH118" i="33"/>
  <c r="BI118" i="33"/>
  <c r="BJ118" i="33"/>
  <c r="BK118" i="33"/>
  <c r="BL118" i="33"/>
  <c r="BM118" i="33"/>
  <c r="AZ119" i="33"/>
  <c r="BA119" i="33"/>
  <c r="BB119" i="33"/>
  <c r="BC119" i="33"/>
  <c r="BD119" i="33"/>
  <c r="BE119" i="33"/>
  <c r="BF119" i="33"/>
  <c r="BG119" i="33"/>
  <c r="BH119" i="33"/>
  <c r="BI119" i="33"/>
  <c r="BJ119" i="33"/>
  <c r="BK119" i="33"/>
  <c r="BL119" i="33"/>
  <c r="BM119" i="33"/>
  <c r="AZ120" i="33"/>
  <c r="BA120" i="33"/>
  <c r="BB120" i="33"/>
  <c r="BC120" i="33"/>
  <c r="BD120" i="33"/>
  <c r="BE120" i="33"/>
  <c r="BF120" i="33"/>
  <c r="BG120" i="33"/>
  <c r="BH120" i="33"/>
  <c r="BI120" i="33"/>
  <c r="BJ120" i="33"/>
  <c r="BK120" i="33"/>
  <c r="BL120" i="33"/>
  <c r="BM120" i="33"/>
  <c r="AZ121" i="33"/>
  <c r="BA121" i="33"/>
  <c r="BB121" i="33"/>
  <c r="BC121" i="33"/>
  <c r="BD121" i="33"/>
  <c r="BE121" i="33"/>
  <c r="BF121" i="33"/>
  <c r="BG121" i="33"/>
  <c r="BH121" i="33"/>
  <c r="BI121" i="33"/>
  <c r="BJ121" i="33"/>
  <c r="BK121" i="33"/>
  <c r="BL121" i="33"/>
  <c r="BM121" i="33"/>
  <c r="AZ122" i="33"/>
  <c r="BA122" i="33"/>
  <c r="BB122" i="33"/>
  <c r="BC122" i="33"/>
  <c r="BD122" i="33"/>
  <c r="BE122" i="33"/>
  <c r="BF122" i="33"/>
  <c r="BG122" i="33"/>
  <c r="BH122" i="33"/>
  <c r="BI122" i="33"/>
  <c r="BJ122" i="33"/>
  <c r="BK122" i="33"/>
  <c r="BL122" i="33"/>
  <c r="BM122" i="33"/>
  <c r="AZ123" i="33"/>
  <c r="BA123" i="33"/>
  <c r="BB123" i="33"/>
  <c r="BC123" i="33"/>
  <c r="BD123" i="33"/>
  <c r="BE123" i="33"/>
  <c r="BF123" i="33"/>
  <c r="BG123" i="33"/>
  <c r="BH123" i="33"/>
  <c r="BI123" i="33"/>
  <c r="BJ123" i="33"/>
  <c r="BK123" i="33"/>
  <c r="BL123" i="33"/>
  <c r="BM123" i="33"/>
  <c r="AZ124" i="33"/>
  <c r="BA124" i="33"/>
  <c r="BB124" i="33"/>
  <c r="BC124" i="33"/>
  <c r="BD124" i="33"/>
  <c r="BE124" i="33"/>
  <c r="BF124" i="33"/>
  <c r="BG124" i="33"/>
  <c r="BH124" i="33"/>
  <c r="BI124" i="33"/>
  <c r="BJ124" i="33"/>
  <c r="BK124" i="33"/>
  <c r="BL124" i="33"/>
  <c r="BM124" i="33"/>
  <c r="AZ125" i="33"/>
  <c r="BA125" i="33"/>
  <c r="BB125" i="33"/>
  <c r="BC125" i="33"/>
  <c r="BD125" i="33"/>
  <c r="BE125" i="33"/>
  <c r="BF125" i="33"/>
  <c r="BG125" i="33"/>
  <c r="BH125" i="33"/>
  <c r="BI125" i="33"/>
  <c r="BJ125" i="33"/>
  <c r="BK125" i="33"/>
  <c r="BL125" i="33"/>
  <c r="BM125" i="33"/>
  <c r="AZ126" i="33"/>
  <c r="BA126" i="33"/>
  <c r="BB126" i="33"/>
  <c r="BC126" i="33"/>
  <c r="BD126" i="33"/>
  <c r="BE126" i="33"/>
  <c r="BF126" i="33"/>
  <c r="BG126" i="33"/>
  <c r="BH126" i="33"/>
  <c r="BI126" i="33"/>
  <c r="BJ126" i="33"/>
  <c r="BK126" i="33"/>
  <c r="BL126" i="33"/>
  <c r="BM126" i="33"/>
  <c r="AZ127" i="33"/>
  <c r="BA127" i="33"/>
  <c r="BB127" i="33"/>
  <c r="BC127" i="33"/>
  <c r="BD127" i="33"/>
  <c r="BE127" i="33"/>
  <c r="BF127" i="33"/>
  <c r="BG127" i="33"/>
  <c r="BH127" i="33"/>
  <c r="BI127" i="33"/>
  <c r="BJ127" i="33"/>
  <c r="BK127" i="33"/>
  <c r="BL127" i="33"/>
  <c r="BM127" i="33"/>
  <c r="AZ128" i="33"/>
  <c r="BA128" i="33"/>
  <c r="BB128" i="33"/>
  <c r="BC128" i="33"/>
  <c r="BD128" i="33"/>
  <c r="BE128" i="33"/>
  <c r="BF128" i="33"/>
  <c r="BG128" i="33"/>
  <c r="BH128" i="33"/>
  <c r="BI128" i="33"/>
  <c r="BJ128" i="33"/>
  <c r="BK128" i="33"/>
  <c r="BL128" i="33"/>
  <c r="BM128" i="33"/>
  <c r="AZ129" i="33"/>
  <c r="BA129" i="33"/>
  <c r="BB129" i="33"/>
  <c r="BC129" i="33"/>
  <c r="BD129" i="33"/>
  <c r="BE129" i="33"/>
  <c r="BF129" i="33"/>
  <c r="BG129" i="33"/>
  <c r="BH129" i="33"/>
  <c r="BI129" i="33"/>
  <c r="BJ129" i="33"/>
  <c r="BK129" i="33"/>
  <c r="BL129" i="33"/>
  <c r="BM129" i="33"/>
  <c r="AZ130" i="33"/>
  <c r="BA130" i="33"/>
  <c r="BB130" i="33"/>
  <c r="BC130" i="33"/>
  <c r="BD130" i="33"/>
  <c r="BE130" i="33"/>
  <c r="BF130" i="33"/>
  <c r="BG130" i="33"/>
  <c r="BH130" i="33"/>
  <c r="BI130" i="33"/>
  <c r="BJ130" i="33"/>
  <c r="BK130" i="33"/>
  <c r="BL130" i="33"/>
  <c r="BM130" i="33"/>
  <c r="AZ131" i="33"/>
  <c r="BA131" i="33"/>
  <c r="BB131" i="33"/>
  <c r="BC131" i="33"/>
  <c r="BD131" i="33"/>
  <c r="BE131" i="33"/>
  <c r="BF131" i="33"/>
  <c r="BG131" i="33"/>
  <c r="BH131" i="33"/>
  <c r="BI131" i="33"/>
  <c r="BJ131" i="33"/>
  <c r="BK131" i="33"/>
  <c r="BL131" i="33"/>
  <c r="BM131" i="33"/>
  <c r="AZ132" i="33"/>
  <c r="BA132" i="33"/>
  <c r="BB132" i="33"/>
  <c r="BC132" i="33"/>
  <c r="BD132" i="33"/>
  <c r="BE132" i="33"/>
  <c r="BF132" i="33"/>
  <c r="BG132" i="33"/>
  <c r="BH132" i="33"/>
  <c r="BI132" i="33"/>
  <c r="BJ132" i="33"/>
  <c r="BK132" i="33"/>
  <c r="BL132" i="33"/>
  <c r="BM132" i="33"/>
  <c r="AZ133" i="33"/>
  <c r="BA133" i="33"/>
  <c r="BB133" i="33"/>
  <c r="BC133" i="33"/>
  <c r="BD133" i="33"/>
  <c r="BE133" i="33"/>
  <c r="BF133" i="33"/>
  <c r="BG133" i="33"/>
  <c r="BH133" i="33"/>
  <c r="BI133" i="33"/>
  <c r="BJ133" i="33"/>
  <c r="BK133" i="33"/>
  <c r="BL133" i="33"/>
  <c r="BM133" i="33"/>
  <c r="AZ134" i="33"/>
  <c r="BA134" i="33"/>
  <c r="BB134" i="33"/>
  <c r="BC134" i="33"/>
  <c r="BD134" i="33"/>
  <c r="BE134" i="33"/>
  <c r="BF134" i="33"/>
  <c r="BG134" i="33"/>
  <c r="BH134" i="33"/>
  <c r="BI134" i="33"/>
  <c r="BJ134" i="33"/>
  <c r="BK134" i="33"/>
  <c r="BL134" i="33"/>
  <c r="BM134" i="33"/>
  <c r="AZ135" i="33"/>
  <c r="BA135" i="33"/>
  <c r="BB135" i="33"/>
  <c r="BC135" i="33"/>
  <c r="BD135" i="33"/>
  <c r="BE135" i="33"/>
  <c r="BF135" i="33"/>
  <c r="BG135" i="33"/>
  <c r="BH135" i="33"/>
  <c r="BI135" i="33"/>
  <c r="BJ135" i="33"/>
  <c r="BK135" i="33"/>
  <c r="BL135" i="33"/>
  <c r="BM135" i="33"/>
  <c r="AY99" i="33"/>
  <c r="AY100" i="33"/>
  <c r="AY101" i="33"/>
  <c r="AY102" i="33"/>
  <c r="AY103" i="33"/>
  <c r="AY104" i="33"/>
  <c r="AY105" i="33"/>
  <c r="AY106" i="33"/>
  <c r="AY107" i="33"/>
  <c r="AY108" i="33"/>
  <c r="AY109" i="33"/>
  <c r="AY110" i="33"/>
  <c r="AY111" i="33"/>
  <c r="AY112" i="33"/>
  <c r="AY113" i="33"/>
  <c r="AY114" i="33"/>
  <c r="AY115" i="33"/>
  <c r="AY116" i="33"/>
  <c r="AY117" i="33"/>
  <c r="AY118" i="33"/>
  <c r="AY119" i="33"/>
  <c r="AY120" i="33"/>
  <c r="AY121" i="33"/>
  <c r="AY122" i="33"/>
  <c r="AY123" i="33"/>
  <c r="AY124" i="33"/>
  <c r="AY125" i="33"/>
  <c r="AY126" i="33"/>
  <c r="AY127" i="33"/>
  <c r="AY128" i="33"/>
  <c r="AY129" i="33"/>
  <c r="AY130" i="33"/>
  <c r="AY131" i="33"/>
  <c r="AY132" i="33"/>
  <c r="AY133" i="33"/>
  <c r="AY134" i="33"/>
  <c r="AY135" i="33"/>
  <c r="AY98" i="33"/>
  <c r="AZ53" i="33"/>
  <c r="BA53" i="33"/>
  <c r="BB53" i="33"/>
  <c r="BC53" i="33"/>
  <c r="BD53" i="33"/>
  <c r="BE53" i="33"/>
  <c r="BF53" i="33"/>
  <c r="BG53" i="33"/>
  <c r="BH53" i="33"/>
  <c r="BI53" i="33"/>
  <c r="BJ53" i="33"/>
  <c r="BK53" i="33"/>
  <c r="BL53" i="33"/>
  <c r="BM53" i="33"/>
  <c r="AZ54" i="33"/>
  <c r="BA54" i="33"/>
  <c r="BB54" i="33"/>
  <c r="BC54" i="33"/>
  <c r="BD54" i="33"/>
  <c r="BE54" i="33"/>
  <c r="BF54" i="33"/>
  <c r="BG54" i="33"/>
  <c r="BH54" i="33"/>
  <c r="BI54" i="33"/>
  <c r="BJ54" i="33"/>
  <c r="BK54" i="33"/>
  <c r="BL54" i="33"/>
  <c r="BM54" i="33"/>
  <c r="AZ55" i="33"/>
  <c r="BA55" i="33"/>
  <c r="BB55" i="33"/>
  <c r="BC55" i="33"/>
  <c r="BD55" i="33"/>
  <c r="BE55" i="33"/>
  <c r="BF55" i="33"/>
  <c r="BG55" i="33"/>
  <c r="BH55" i="33"/>
  <c r="BI55" i="33"/>
  <c r="BJ55" i="33"/>
  <c r="BK55" i="33"/>
  <c r="BL55" i="33"/>
  <c r="BM55" i="33"/>
  <c r="AZ56" i="33"/>
  <c r="BA56" i="33"/>
  <c r="BB56" i="33"/>
  <c r="BC56" i="33"/>
  <c r="BD56" i="33"/>
  <c r="BE56" i="33"/>
  <c r="BF56" i="33"/>
  <c r="BG56" i="33"/>
  <c r="BH56" i="33"/>
  <c r="BI56" i="33"/>
  <c r="BJ56" i="33"/>
  <c r="BK56" i="33"/>
  <c r="BL56" i="33"/>
  <c r="BM56" i="33"/>
  <c r="AZ57" i="33"/>
  <c r="BA57" i="33"/>
  <c r="BB57" i="33"/>
  <c r="BC57" i="33"/>
  <c r="BD57" i="33"/>
  <c r="BE57" i="33"/>
  <c r="BF57" i="33"/>
  <c r="BG57" i="33"/>
  <c r="BH57" i="33"/>
  <c r="BI57" i="33"/>
  <c r="BJ57" i="33"/>
  <c r="BK57" i="33"/>
  <c r="BL57" i="33"/>
  <c r="BM57" i="33"/>
  <c r="AZ58" i="33"/>
  <c r="BA58" i="33"/>
  <c r="BB58" i="33"/>
  <c r="BC58" i="33"/>
  <c r="BD58" i="33"/>
  <c r="BE58" i="33"/>
  <c r="BF58" i="33"/>
  <c r="BG58" i="33"/>
  <c r="BH58" i="33"/>
  <c r="BI58" i="33"/>
  <c r="BJ58" i="33"/>
  <c r="BK58" i="33"/>
  <c r="BL58" i="33"/>
  <c r="BM58" i="33"/>
  <c r="AZ59" i="33"/>
  <c r="BA59" i="33"/>
  <c r="BB59" i="33"/>
  <c r="BC59" i="33"/>
  <c r="BD59" i="33"/>
  <c r="BE59" i="33"/>
  <c r="BF59" i="33"/>
  <c r="BG59" i="33"/>
  <c r="BH59" i="33"/>
  <c r="BI59" i="33"/>
  <c r="BJ59" i="33"/>
  <c r="BK59" i="33"/>
  <c r="BL59" i="33"/>
  <c r="BM59" i="33"/>
  <c r="AZ60" i="33"/>
  <c r="BA60" i="33"/>
  <c r="BB60" i="33"/>
  <c r="BC60" i="33"/>
  <c r="BD60" i="33"/>
  <c r="BE60" i="33"/>
  <c r="BF60" i="33"/>
  <c r="BG60" i="33"/>
  <c r="BH60" i="33"/>
  <c r="BI60" i="33"/>
  <c r="BJ60" i="33"/>
  <c r="BK60" i="33"/>
  <c r="BL60" i="33"/>
  <c r="BM60" i="33"/>
  <c r="AZ61" i="33"/>
  <c r="BA61" i="33"/>
  <c r="BB61" i="33"/>
  <c r="BC61" i="33"/>
  <c r="BD61" i="33"/>
  <c r="BE61" i="33"/>
  <c r="BF61" i="33"/>
  <c r="BG61" i="33"/>
  <c r="BH61" i="33"/>
  <c r="BI61" i="33"/>
  <c r="BJ61" i="33"/>
  <c r="BK61" i="33"/>
  <c r="BL61" i="33"/>
  <c r="BM61" i="33"/>
  <c r="AZ62" i="33"/>
  <c r="BA62" i="33"/>
  <c r="BB62" i="33"/>
  <c r="BC62" i="33"/>
  <c r="BD62" i="33"/>
  <c r="BE62" i="33"/>
  <c r="BF62" i="33"/>
  <c r="BG62" i="33"/>
  <c r="BH62" i="33"/>
  <c r="BI62" i="33"/>
  <c r="BJ62" i="33"/>
  <c r="BK62" i="33"/>
  <c r="BL62" i="33"/>
  <c r="BM62" i="33"/>
  <c r="AZ63" i="33"/>
  <c r="BA63" i="33"/>
  <c r="BB63" i="33"/>
  <c r="BC63" i="33"/>
  <c r="BD63" i="33"/>
  <c r="BE63" i="33"/>
  <c r="BF63" i="33"/>
  <c r="BG63" i="33"/>
  <c r="BH63" i="33"/>
  <c r="BI63" i="33"/>
  <c r="BJ63" i="33"/>
  <c r="BK63" i="33"/>
  <c r="BL63" i="33"/>
  <c r="BM63" i="33"/>
  <c r="AZ64" i="33"/>
  <c r="BA64" i="33"/>
  <c r="BB64" i="33"/>
  <c r="BC64" i="33"/>
  <c r="BD64" i="33"/>
  <c r="BE64" i="33"/>
  <c r="BF64" i="33"/>
  <c r="BG64" i="33"/>
  <c r="BH64" i="33"/>
  <c r="BI64" i="33"/>
  <c r="BJ64" i="33"/>
  <c r="BK64" i="33"/>
  <c r="BL64" i="33"/>
  <c r="BM64" i="33"/>
  <c r="AZ65" i="33"/>
  <c r="BA65" i="33"/>
  <c r="BB65" i="33"/>
  <c r="BC65" i="33"/>
  <c r="BD65" i="33"/>
  <c r="BE65" i="33"/>
  <c r="BF65" i="33"/>
  <c r="BG65" i="33"/>
  <c r="BH65" i="33"/>
  <c r="BI65" i="33"/>
  <c r="BJ65" i="33"/>
  <c r="BK65" i="33"/>
  <c r="BL65" i="33"/>
  <c r="BM65" i="33"/>
  <c r="AZ66" i="33"/>
  <c r="BA66" i="33"/>
  <c r="BB66" i="33"/>
  <c r="BC66" i="33"/>
  <c r="BD66" i="33"/>
  <c r="BE66" i="33"/>
  <c r="BF66" i="33"/>
  <c r="BG66" i="33"/>
  <c r="BH66" i="33"/>
  <c r="BI66" i="33"/>
  <c r="BJ66" i="33"/>
  <c r="BK66" i="33"/>
  <c r="BL66" i="33"/>
  <c r="BM66" i="33"/>
  <c r="AZ67" i="33"/>
  <c r="BA67" i="33"/>
  <c r="BB67" i="33"/>
  <c r="BC67" i="33"/>
  <c r="BD67" i="33"/>
  <c r="BE67" i="33"/>
  <c r="BF67" i="33"/>
  <c r="BG67" i="33"/>
  <c r="BH67" i="33"/>
  <c r="BI67" i="33"/>
  <c r="BJ67" i="33"/>
  <c r="BK67" i="33"/>
  <c r="BL67" i="33"/>
  <c r="BM67" i="33"/>
  <c r="AZ68" i="33"/>
  <c r="BA68" i="33"/>
  <c r="BB68" i="33"/>
  <c r="BC68" i="33"/>
  <c r="BD68" i="33"/>
  <c r="BE68" i="33"/>
  <c r="BF68" i="33"/>
  <c r="BG68" i="33"/>
  <c r="BH68" i="33"/>
  <c r="BI68" i="33"/>
  <c r="BJ68" i="33"/>
  <c r="BK68" i="33"/>
  <c r="BL68" i="33"/>
  <c r="BM68" i="33"/>
  <c r="AZ69" i="33"/>
  <c r="BA69" i="33"/>
  <c r="BB69" i="33"/>
  <c r="BC69" i="33"/>
  <c r="BD69" i="33"/>
  <c r="BE69" i="33"/>
  <c r="BF69" i="33"/>
  <c r="BG69" i="33"/>
  <c r="BH69" i="33"/>
  <c r="BI69" i="33"/>
  <c r="BJ69" i="33"/>
  <c r="BK69" i="33"/>
  <c r="BL69" i="33"/>
  <c r="BM69" i="33"/>
  <c r="AZ70" i="33"/>
  <c r="BA70" i="33"/>
  <c r="BB70" i="33"/>
  <c r="BC70" i="33"/>
  <c r="BD70" i="33"/>
  <c r="BE70" i="33"/>
  <c r="BF70" i="33"/>
  <c r="BG70" i="33"/>
  <c r="BH70" i="33"/>
  <c r="BI70" i="33"/>
  <c r="BJ70" i="33"/>
  <c r="BK70" i="33"/>
  <c r="BL70" i="33"/>
  <c r="BM70" i="33"/>
  <c r="AZ71" i="33"/>
  <c r="BA71" i="33"/>
  <c r="BB71" i="33"/>
  <c r="BC71" i="33"/>
  <c r="BD71" i="33"/>
  <c r="BE71" i="33"/>
  <c r="BF71" i="33"/>
  <c r="BG71" i="33"/>
  <c r="BH71" i="33"/>
  <c r="BI71" i="33"/>
  <c r="BJ71" i="33"/>
  <c r="BK71" i="33"/>
  <c r="BL71" i="33"/>
  <c r="BM71" i="33"/>
  <c r="AZ72" i="33"/>
  <c r="BA72" i="33"/>
  <c r="BB72" i="33"/>
  <c r="BC72" i="33"/>
  <c r="BD72" i="33"/>
  <c r="BE72" i="33"/>
  <c r="BF72" i="33"/>
  <c r="BG72" i="33"/>
  <c r="BH72" i="33"/>
  <c r="BI72" i="33"/>
  <c r="BJ72" i="33"/>
  <c r="BK72" i="33"/>
  <c r="BL72" i="33"/>
  <c r="BM72" i="33"/>
  <c r="AZ73" i="33"/>
  <c r="BA73" i="33"/>
  <c r="BB73" i="33"/>
  <c r="BC73" i="33"/>
  <c r="BD73" i="33"/>
  <c r="BE73" i="33"/>
  <c r="BF73" i="33"/>
  <c r="BG73" i="33"/>
  <c r="BH73" i="33"/>
  <c r="BI73" i="33"/>
  <c r="BJ73" i="33"/>
  <c r="BK73" i="33"/>
  <c r="BL73" i="33"/>
  <c r="BM73" i="33"/>
  <c r="AZ74" i="33"/>
  <c r="BA74" i="33"/>
  <c r="BB74" i="33"/>
  <c r="BC74" i="33"/>
  <c r="BD74" i="33"/>
  <c r="BE74" i="33"/>
  <c r="BF74" i="33"/>
  <c r="BG74" i="33"/>
  <c r="BH74" i="33"/>
  <c r="BI74" i="33"/>
  <c r="BJ74" i="33"/>
  <c r="BK74" i="33"/>
  <c r="BL74" i="33"/>
  <c r="BM74" i="33"/>
  <c r="AZ75" i="33"/>
  <c r="BA75" i="33"/>
  <c r="BB75" i="33"/>
  <c r="BC75" i="33"/>
  <c r="BD75" i="33"/>
  <c r="BE75" i="33"/>
  <c r="BF75" i="33"/>
  <c r="BG75" i="33"/>
  <c r="BH75" i="33"/>
  <c r="BI75" i="33"/>
  <c r="BJ75" i="33"/>
  <c r="BK75" i="33"/>
  <c r="BL75" i="33"/>
  <c r="BM75" i="33"/>
  <c r="AZ76" i="33"/>
  <c r="BA76" i="33"/>
  <c r="BB76" i="33"/>
  <c r="BC76" i="33"/>
  <c r="BD76" i="33"/>
  <c r="BE76" i="33"/>
  <c r="BF76" i="33"/>
  <c r="BG76" i="33"/>
  <c r="BH76" i="33"/>
  <c r="BI76" i="33"/>
  <c r="BJ76" i="33"/>
  <c r="BK76" i="33"/>
  <c r="BL76" i="33"/>
  <c r="BM76" i="33"/>
  <c r="AZ77" i="33"/>
  <c r="BA77" i="33"/>
  <c r="BB77" i="33"/>
  <c r="BC77" i="33"/>
  <c r="BD77" i="33"/>
  <c r="BE77" i="33"/>
  <c r="BF77" i="33"/>
  <c r="BG77" i="33"/>
  <c r="BH77" i="33"/>
  <c r="BI77" i="33"/>
  <c r="BJ77" i="33"/>
  <c r="BK77" i="33"/>
  <c r="BL77" i="33"/>
  <c r="BM77" i="33"/>
  <c r="AZ78" i="33"/>
  <c r="BA78" i="33"/>
  <c r="BB78" i="33"/>
  <c r="BC78" i="33"/>
  <c r="BD78" i="33"/>
  <c r="BE78" i="33"/>
  <c r="BF78" i="33"/>
  <c r="BG78" i="33"/>
  <c r="BH78" i="33"/>
  <c r="BI78" i="33"/>
  <c r="BJ78" i="33"/>
  <c r="BK78" i="33"/>
  <c r="BL78" i="33"/>
  <c r="BM78" i="33"/>
  <c r="AZ79" i="33"/>
  <c r="BA79" i="33"/>
  <c r="BB79" i="33"/>
  <c r="BC79" i="33"/>
  <c r="BD79" i="33"/>
  <c r="BE79" i="33"/>
  <c r="BF79" i="33"/>
  <c r="BG79" i="33"/>
  <c r="BH79" i="33"/>
  <c r="BI79" i="33"/>
  <c r="BJ79" i="33"/>
  <c r="BK79" i="33"/>
  <c r="BL79" i="33"/>
  <c r="BM79" i="33"/>
  <c r="AZ80" i="33"/>
  <c r="BA80" i="33"/>
  <c r="BB80" i="33"/>
  <c r="BC80" i="33"/>
  <c r="BD80" i="33"/>
  <c r="BE80" i="33"/>
  <c r="BF80" i="33"/>
  <c r="BG80" i="33"/>
  <c r="BH80" i="33"/>
  <c r="BI80" i="33"/>
  <c r="BJ80" i="33"/>
  <c r="BK80" i="33"/>
  <c r="BL80" i="33"/>
  <c r="BM80" i="33"/>
  <c r="AZ81" i="33"/>
  <c r="BA81" i="33"/>
  <c r="BB81" i="33"/>
  <c r="BC81" i="33"/>
  <c r="BD81" i="33"/>
  <c r="BE81" i="33"/>
  <c r="BF81" i="33"/>
  <c r="BG81" i="33"/>
  <c r="BH81" i="33"/>
  <c r="BI81" i="33"/>
  <c r="BJ81" i="33"/>
  <c r="BK81" i="33"/>
  <c r="BL81" i="33"/>
  <c r="BM81" i="33"/>
  <c r="AZ82" i="33"/>
  <c r="BA82" i="33"/>
  <c r="BB82" i="33"/>
  <c r="BC82" i="33"/>
  <c r="BD82" i="33"/>
  <c r="BE82" i="33"/>
  <c r="BF82" i="33"/>
  <c r="BG82" i="33"/>
  <c r="BH82" i="33"/>
  <c r="BI82" i="33"/>
  <c r="BJ82" i="33"/>
  <c r="BK82" i="33"/>
  <c r="BL82" i="33"/>
  <c r="BM82" i="33"/>
  <c r="AZ83" i="33"/>
  <c r="BA83" i="33"/>
  <c r="BB83" i="33"/>
  <c r="BC83" i="33"/>
  <c r="BD83" i="33"/>
  <c r="BE83" i="33"/>
  <c r="BF83" i="33"/>
  <c r="BG83" i="33"/>
  <c r="BH83" i="33"/>
  <c r="BI83" i="33"/>
  <c r="BJ83" i="33"/>
  <c r="BK83" i="33"/>
  <c r="BL83" i="33"/>
  <c r="BM83" i="33"/>
  <c r="AZ84" i="33"/>
  <c r="BA84" i="33"/>
  <c r="BB84" i="33"/>
  <c r="BC84" i="33"/>
  <c r="BD84" i="33"/>
  <c r="BE84" i="33"/>
  <c r="BF84" i="33"/>
  <c r="BG84" i="33"/>
  <c r="BH84" i="33"/>
  <c r="BI84" i="33"/>
  <c r="BJ84" i="33"/>
  <c r="BK84" i="33"/>
  <c r="BL84" i="33"/>
  <c r="BM84" i="33"/>
  <c r="AZ85" i="33"/>
  <c r="BA85" i="33"/>
  <c r="BB85" i="33"/>
  <c r="BC85" i="33"/>
  <c r="BD85" i="33"/>
  <c r="BE85" i="33"/>
  <c r="BF85" i="33"/>
  <c r="BG85" i="33"/>
  <c r="BH85" i="33"/>
  <c r="BI85" i="33"/>
  <c r="BJ85" i="33"/>
  <c r="BK85" i="33"/>
  <c r="BL85" i="33"/>
  <c r="BM85" i="33"/>
  <c r="AZ86" i="33"/>
  <c r="BA86" i="33"/>
  <c r="BB86" i="33"/>
  <c r="BC86" i="33"/>
  <c r="BD86" i="33"/>
  <c r="BE86" i="33"/>
  <c r="BF86" i="33"/>
  <c r="BG86" i="33"/>
  <c r="BH86" i="33"/>
  <c r="BI86" i="33"/>
  <c r="BJ86" i="33"/>
  <c r="BK86" i="33"/>
  <c r="BL86" i="33"/>
  <c r="BM86" i="33"/>
  <c r="AZ87" i="33"/>
  <c r="BA87" i="33"/>
  <c r="BB87" i="33"/>
  <c r="BC87" i="33"/>
  <c r="BD87" i="33"/>
  <c r="BE87" i="33"/>
  <c r="BF87" i="33"/>
  <c r="BG87" i="33"/>
  <c r="BH87" i="33"/>
  <c r="BI87" i="33"/>
  <c r="BJ87" i="33"/>
  <c r="BK87" i="33"/>
  <c r="BL87" i="33"/>
  <c r="BM87" i="33"/>
  <c r="AZ88" i="33"/>
  <c r="BA88" i="33"/>
  <c r="BB88" i="33"/>
  <c r="BC88" i="33"/>
  <c r="BD88" i="33"/>
  <c r="BE88" i="33"/>
  <c r="BF88" i="33"/>
  <c r="BG88" i="33"/>
  <c r="BH88" i="33"/>
  <c r="BI88" i="33"/>
  <c r="BJ88" i="33"/>
  <c r="BK88" i="33"/>
  <c r="BL88" i="33"/>
  <c r="BM88" i="33"/>
  <c r="AZ89" i="33"/>
  <c r="BA89" i="33"/>
  <c r="BB89" i="33"/>
  <c r="BC89" i="33"/>
  <c r="BD89" i="33"/>
  <c r="BE89" i="33"/>
  <c r="BF89" i="33"/>
  <c r="BG89" i="33"/>
  <c r="BH89" i="33"/>
  <c r="BI89" i="33"/>
  <c r="BJ89" i="33"/>
  <c r="BK89" i="33"/>
  <c r="BL89" i="33"/>
  <c r="BM89" i="33"/>
  <c r="AZ90" i="33"/>
  <c r="BA90" i="33"/>
  <c r="BB90" i="33"/>
  <c r="BC90" i="33"/>
  <c r="BD90" i="33"/>
  <c r="BE90" i="33"/>
  <c r="BF90" i="33"/>
  <c r="BG90" i="33"/>
  <c r="BH90" i="33"/>
  <c r="BI90" i="33"/>
  <c r="BJ90" i="33"/>
  <c r="BK90" i="33"/>
  <c r="BL90" i="33"/>
  <c r="BM90" i="33"/>
  <c r="AY54" i="33"/>
  <c r="AY55" i="33"/>
  <c r="AY56" i="33"/>
  <c r="AY57" i="33"/>
  <c r="AY58" i="33"/>
  <c r="AY59" i="33"/>
  <c r="AY60" i="33"/>
  <c r="AY61" i="33"/>
  <c r="AY62" i="33"/>
  <c r="AY63" i="33"/>
  <c r="AY64" i="33"/>
  <c r="AY65" i="33"/>
  <c r="AY66" i="33"/>
  <c r="AY67" i="33"/>
  <c r="AY68" i="33"/>
  <c r="AY69" i="33"/>
  <c r="AY70" i="33"/>
  <c r="AY71" i="33"/>
  <c r="AY72" i="33"/>
  <c r="AY73" i="33"/>
  <c r="AY74" i="33"/>
  <c r="AY75" i="33"/>
  <c r="AY76" i="33"/>
  <c r="AY77" i="33"/>
  <c r="AY78" i="33"/>
  <c r="AY79" i="33"/>
  <c r="AY80" i="33"/>
  <c r="AY81" i="33"/>
  <c r="AY82" i="33"/>
  <c r="AY83" i="33"/>
  <c r="AY84" i="33"/>
  <c r="AY85" i="33"/>
  <c r="AY86" i="33"/>
  <c r="AY87" i="33"/>
  <c r="AY88" i="33"/>
  <c r="AY89" i="33"/>
  <c r="AY90" i="33"/>
  <c r="AY53" i="33"/>
  <c r="BI8" i="33"/>
  <c r="BJ8" i="33"/>
  <c r="BK8" i="33"/>
  <c r="BL8" i="33"/>
  <c r="BM8" i="33"/>
  <c r="BI9" i="33"/>
  <c r="BJ9" i="33"/>
  <c r="BK9" i="33"/>
  <c r="BL9" i="33"/>
  <c r="BM9" i="33"/>
  <c r="BI10" i="33"/>
  <c r="BJ10" i="33"/>
  <c r="BK10" i="33"/>
  <c r="BL10" i="33"/>
  <c r="BM10" i="33"/>
  <c r="BI11" i="33"/>
  <c r="BJ11" i="33"/>
  <c r="BK11" i="33"/>
  <c r="BL11" i="33"/>
  <c r="BM11" i="33"/>
  <c r="BI12" i="33"/>
  <c r="BJ12" i="33"/>
  <c r="BK12" i="33"/>
  <c r="BL12" i="33"/>
  <c r="BM12" i="33"/>
  <c r="BI13" i="33"/>
  <c r="BJ13" i="33"/>
  <c r="BK13" i="33"/>
  <c r="BL13" i="33"/>
  <c r="BM13" i="33"/>
  <c r="BI14" i="33"/>
  <c r="BJ14" i="33"/>
  <c r="BK14" i="33"/>
  <c r="BL14" i="33"/>
  <c r="BM14" i="33"/>
  <c r="BI15" i="33"/>
  <c r="BJ15" i="33"/>
  <c r="BK15" i="33"/>
  <c r="BL15" i="33"/>
  <c r="BM15" i="33"/>
  <c r="BI16" i="33"/>
  <c r="BJ16" i="33"/>
  <c r="BK16" i="33"/>
  <c r="BL16" i="33"/>
  <c r="BM16" i="33"/>
  <c r="BI17" i="33"/>
  <c r="BJ17" i="33"/>
  <c r="BK17" i="33"/>
  <c r="BL17" i="33"/>
  <c r="BM17" i="33"/>
  <c r="BI18" i="33"/>
  <c r="BJ18" i="33"/>
  <c r="BK18" i="33"/>
  <c r="BL18" i="33"/>
  <c r="BM18" i="33"/>
  <c r="BI19" i="33"/>
  <c r="BJ19" i="33"/>
  <c r="BK19" i="33"/>
  <c r="BL19" i="33"/>
  <c r="BM19" i="33"/>
  <c r="BI20" i="33"/>
  <c r="BJ20" i="33"/>
  <c r="BK20" i="33"/>
  <c r="BL20" i="33"/>
  <c r="BM20" i="33"/>
  <c r="BI21" i="33"/>
  <c r="BJ21" i="33"/>
  <c r="BK21" i="33"/>
  <c r="BL21" i="33"/>
  <c r="BM21" i="33"/>
  <c r="BI22" i="33"/>
  <c r="BJ22" i="33"/>
  <c r="BK22" i="33"/>
  <c r="BL22" i="33"/>
  <c r="BM22" i="33"/>
  <c r="BI23" i="33"/>
  <c r="BJ23" i="33"/>
  <c r="BK23" i="33"/>
  <c r="BL23" i="33"/>
  <c r="BM23" i="33"/>
  <c r="BI24" i="33"/>
  <c r="BJ24" i="33"/>
  <c r="BK24" i="33"/>
  <c r="BL24" i="33"/>
  <c r="BM24" i="33"/>
  <c r="BI25" i="33"/>
  <c r="BJ25" i="33"/>
  <c r="BK25" i="33"/>
  <c r="BL25" i="33"/>
  <c r="BM25" i="33"/>
  <c r="BI26" i="33"/>
  <c r="BJ26" i="33"/>
  <c r="BK26" i="33"/>
  <c r="BL26" i="33"/>
  <c r="BM26" i="33"/>
  <c r="BI27" i="33"/>
  <c r="BJ27" i="33"/>
  <c r="BK27" i="33"/>
  <c r="BL27" i="33"/>
  <c r="BM27" i="33"/>
  <c r="BI28" i="33"/>
  <c r="BJ28" i="33"/>
  <c r="BK28" i="33"/>
  <c r="BL28" i="33"/>
  <c r="BM28" i="33"/>
  <c r="BI29" i="33"/>
  <c r="BJ29" i="33"/>
  <c r="BK29" i="33"/>
  <c r="BL29" i="33"/>
  <c r="BM29" i="33"/>
  <c r="BI30" i="33"/>
  <c r="BJ30" i="33"/>
  <c r="BK30" i="33"/>
  <c r="BL30" i="33"/>
  <c r="BM30" i="33"/>
  <c r="BI31" i="33"/>
  <c r="BJ31" i="33"/>
  <c r="BK31" i="33"/>
  <c r="BL31" i="33"/>
  <c r="BM31" i="33"/>
  <c r="BI32" i="33"/>
  <c r="BJ32" i="33"/>
  <c r="BK32" i="33"/>
  <c r="BL32" i="33"/>
  <c r="BM32" i="33"/>
  <c r="BI33" i="33"/>
  <c r="BJ33" i="33"/>
  <c r="BK33" i="33"/>
  <c r="BL33" i="33"/>
  <c r="BM33" i="33"/>
  <c r="BI34" i="33"/>
  <c r="BJ34" i="33"/>
  <c r="BK34" i="33"/>
  <c r="BL34" i="33"/>
  <c r="BM34" i="33"/>
  <c r="BI35" i="33"/>
  <c r="BJ35" i="33"/>
  <c r="BK35" i="33"/>
  <c r="BL35" i="33"/>
  <c r="BM35" i="33"/>
  <c r="BI36" i="33"/>
  <c r="BJ36" i="33"/>
  <c r="BK36" i="33"/>
  <c r="BL36" i="33"/>
  <c r="BM36" i="33"/>
  <c r="BI37" i="33"/>
  <c r="BJ37" i="33"/>
  <c r="BK37" i="33"/>
  <c r="BL37" i="33"/>
  <c r="BM37" i="33"/>
  <c r="BI38" i="33"/>
  <c r="BJ38" i="33"/>
  <c r="BK38" i="33"/>
  <c r="BL38" i="33"/>
  <c r="BM38" i="33"/>
  <c r="BI39" i="33"/>
  <c r="BJ39" i="33"/>
  <c r="BK39" i="33"/>
  <c r="BL39" i="33"/>
  <c r="BM39" i="33"/>
  <c r="BI40" i="33"/>
  <c r="BJ40" i="33"/>
  <c r="BK40" i="33"/>
  <c r="BL40" i="33"/>
  <c r="BM40" i="33"/>
  <c r="BI41" i="33"/>
  <c r="BJ41" i="33"/>
  <c r="BK41" i="33"/>
  <c r="BL41" i="33"/>
  <c r="BM41" i="33"/>
  <c r="BI42" i="33"/>
  <c r="BJ42" i="33"/>
  <c r="BK42" i="33"/>
  <c r="BL42" i="33"/>
  <c r="BM42" i="33"/>
  <c r="BI43" i="33"/>
  <c r="BJ43" i="33"/>
  <c r="BK43" i="33"/>
  <c r="BL43" i="33"/>
  <c r="BM43" i="33"/>
  <c r="BI44" i="33"/>
  <c r="BJ44" i="33"/>
  <c r="BK44" i="33"/>
  <c r="BL44" i="33"/>
  <c r="BM44" i="33"/>
  <c r="BI45" i="33"/>
  <c r="BJ45" i="33"/>
  <c r="BK45" i="33"/>
  <c r="BL45" i="33"/>
  <c r="BM45" i="33"/>
  <c r="AZ8" i="33"/>
  <c r="BA8" i="33"/>
  <c r="BB8" i="33"/>
  <c r="BC8" i="33"/>
  <c r="BD8" i="33"/>
  <c r="BE8" i="33"/>
  <c r="BF8" i="33"/>
  <c r="BG8" i="33"/>
  <c r="BH8" i="33"/>
  <c r="AZ9" i="33"/>
  <c r="BA9" i="33"/>
  <c r="BB9" i="33"/>
  <c r="BC9" i="33"/>
  <c r="BD9" i="33"/>
  <c r="BE9" i="33"/>
  <c r="BF9" i="33"/>
  <c r="BG9" i="33"/>
  <c r="BH9" i="33"/>
  <c r="AZ10" i="33"/>
  <c r="BA10" i="33"/>
  <c r="BB10" i="33"/>
  <c r="BC10" i="33"/>
  <c r="BD10" i="33"/>
  <c r="BE10" i="33"/>
  <c r="BF10" i="33"/>
  <c r="BG10" i="33"/>
  <c r="BH10" i="33"/>
  <c r="AZ11" i="33"/>
  <c r="BA11" i="33"/>
  <c r="BB11" i="33"/>
  <c r="BC11" i="33"/>
  <c r="BD11" i="33"/>
  <c r="BE11" i="33"/>
  <c r="BF11" i="33"/>
  <c r="BG11" i="33"/>
  <c r="BH11" i="33"/>
  <c r="AZ12" i="33"/>
  <c r="BA12" i="33"/>
  <c r="BB12" i="33"/>
  <c r="BC12" i="33"/>
  <c r="BD12" i="33"/>
  <c r="BE12" i="33"/>
  <c r="BF12" i="33"/>
  <c r="BG12" i="33"/>
  <c r="BH12" i="33"/>
  <c r="AZ13" i="33"/>
  <c r="BA13" i="33"/>
  <c r="BB13" i="33"/>
  <c r="BC13" i="33"/>
  <c r="BD13" i="33"/>
  <c r="BE13" i="33"/>
  <c r="BF13" i="33"/>
  <c r="BG13" i="33"/>
  <c r="BH13" i="33"/>
  <c r="AZ14" i="33"/>
  <c r="BA14" i="33"/>
  <c r="BB14" i="33"/>
  <c r="BC14" i="33"/>
  <c r="BD14" i="33"/>
  <c r="BE14" i="33"/>
  <c r="BF14" i="33"/>
  <c r="BG14" i="33"/>
  <c r="BH14" i="33"/>
  <c r="AZ15" i="33"/>
  <c r="BA15" i="33"/>
  <c r="BB15" i="33"/>
  <c r="BC15" i="33"/>
  <c r="BD15" i="33"/>
  <c r="BE15" i="33"/>
  <c r="BF15" i="33"/>
  <c r="BG15" i="33"/>
  <c r="BH15" i="33"/>
  <c r="AZ16" i="33"/>
  <c r="BA16" i="33"/>
  <c r="BB16" i="33"/>
  <c r="BC16" i="33"/>
  <c r="BD16" i="33"/>
  <c r="BE16" i="33"/>
  <c r="BF16" i="33"/>
  <c r="BG16" i="33"/>
  <c r="BH16" i="33"/>
  <c r="AZ17" i="33"/>
  <c r="BA17" i="33"/>
  <c r="BB17" i="33"/>
  <c r="BC17" i="33"/>
  <c r="BD17" i="33"/>
  <c r="BE17" i="33"/>
  <c r="BF17" i="33"/>
  <c r="BG17" i="33"/>
  <c r="BH17" i="33"/>
  <c r="AZ18" i="33"/>
  <c r="BA18" i="33"/>
  <c r="BB18" i="33"/>
  <c r="BC18" i="33"/>
  <c r="BD18" i="33"/>
  <c r="BE18" i="33"/>
  <c r="BF18" i="33"/>
  <c r="BG18" i="33"/>
  <c r="BH18" i="33"/>
  <c r="AZ19" i="33"/>
  <c r="BA19" i="33"/>
  <c r="BB19" i="33"/>
  <c r="BC19" i="33"/>
  <c r="BD19" i="33"/>
  <c r="BE19" i="33"/>
  <c r="BF19" i="33"/>
  <c r="BG19" i="33"/>
  <c r="BH19" i="33"/>
  <c r="AZ20" i="33"/>
  <c r="BA20" i="33"/>
  <c r="BB20" i="33"/>
  <c r="BC20" i="33"/>
  <c r="BD20" i="33"/>
  <c r="BE20" i="33"/>
  <c r="BF20" i="33"/>
  <c r="BG20" i="33"/>
  <c r="BH20" i="33"/>
  <c r="AZ21" i="33"/>
  <c r="BA21" i="33"/>
  <c r="BB21" i="33"/>
  <c r="BC21" i="33"/>
  <c r="BD21" i="33"/>
  <c r="BE21" i="33"/>
  <c r="BF21" i="33"/>
  <c r="BG21" i="33"/>
  <c r="BH21" i="33"/>
  <c r="AZ22" i="33"/>
  <c r="BA22" i="33"/>
  <c r="BB22" i="33"/>
  <c r="BC22" i="33"/>
  <c r="BD22" i="33"/>
  <c r="BE22" i="33"/>
  <c r="BF22" i="33"/>
  <c r="BG22" i="33"/>
  <c r="BH22" i="33"/>
  <c r="AZ23" i="33"/>
  <c r="BA23" i="33"/>
  <c r="BB23" i="33"/>
  <c r="BC23" i="33"/>
  <c r="BD23" i="33"/>
  <c r="BE23" i="33"/>
  <c r="BF23" i="33"/>
  <c r="BG23" i="33"/>
  <c r="BH23" i="33"/>
  <c r="AZ24" i="33"/>
  <c r="BA24" i="33"/>
  <c r="BB24" i="33"/>
  <c r="BC24" i="33"/>
  <c r="BD24" i="33"/>
  <c r="BE24" i="33"/>
  <c r="BF24" i="33"/>
  <c r="BG24" i="33"/>
  <c r="BH24" i="33"/>
  <c r="AZ25" i="33"/>
  <c r="BA25" i="33"/>
  <c r="BB25" i="33"/>
  <c r="BC25" i="33"/>
  <c r="BD25" i="33"/>
  <c r="BE25" i="33"/>
  <c r="BF25" i="33"/>
  <c r="BG25" i="33"/>
  <c r="BH25" i="33"/>
  <c r="AZ26" i="33"/>
  <c r="BA26" i="33"/>
  <c r="BB26" i="33"/>
  <c r="BC26" i="33"/>
  <c r="BD26" i="33"/>
  <c r="BE26" i="33"/>
  <c r="BF26" i="33"/>
  <c r="BG26" i="33"/>
  <c r="BH26" i="33"/>
  <c r="AZ27" i="33"/>
  <c r="BA27" i="33"/>
  <c r="BB27" i="33"/>
  <c r="BC27" i="33"/>
  <c r="BD27" i="33"/>
  <c r="BE27" i="33"/>
  <c r="BF27" i="33"/>
  <c r="BG27" i="33"/>
  <c r="BH27" i="33"/>
  <c r="AZ28" i="33"/>
  <c r="BA28" i="33"/>
  <c r="BB28" i="33"/>
  <c r="BC28" i="33"/>
  <c r="BD28" i="33"/>
  <c r="BE28" i="33"/>
  <c r="BF28" i="33"/>
  <c r="BG28" i="33"/>
  <c r="BH28" i="33"/>
  <c r="AZ29" i="33"/>
  <c r="BA29" i="33"/>
  <c r="BB29" i="33"/>
  <c r="BC29" i="33"/>
  <c r="BD29" i="33"/>
  <c r="BE29" i="33"/>
  <c r="BF29" i="33"/>
  <c r="BG29" i="33"/>
  <c r="BH29" i="33"/>
  <c r="AZ30" i="33"/>
  <c r="BA30" i="33"/>
  <c r="BB30" i="33"/>
  <c r="BC30" i="33"/>
  <c r="BD30" i="33"/>
  <c r="BE30" i="33"/>
  <c r="BF30" i="33"/>
  <c r="BG30" i="33"/>
  <c r="BH30" i="33"/>
  <c r="AZ31" i="33"/>
  <c r="BA31" i="33"/>
  <c r="BB31" i="33"/>
  <c r="BC31" i="33"/>
  <c r="BD31" i="33"/>
  <c r="BE31" i="33"/>
  <c r="BF31" i="33"/>
  <c r="BG31" i="33"/>
  <c r="BH31" i="33"/>
  <c r="AZ32" i="33"/>
  <c r="BA32" i="33"/>
  <c r="BB32" i="33"/>
  <c r="BC32" i="33"/>
  <c r="BD32" i="33"/>
  <c r="BE32" i="33"/>
  <c r="BF32" i="33"/>
  <c r="BG32" i="33"/>
  <c r="BH32" i="33"/>
  <c r="AZ33" i="33"/>
  <c r="BA33" i="33"/>
  <c r="BB33" i="33"/>
  <c r="BC33" i="33"/>
  <c r="BD33" i="33"/>
  <c r="BE33" i="33"/>
  <c r="BF33" i="33"/>
  <c r="BG33" i="33"/>
  <c r="BH33" i="33"/>
  <c r="AZ34" i="33"/>
  <c r="BA34" i="33"/>
  <c r="BB34" i="33"/>
  <c r="BC34" i="33"/>
  <c r="BD34" i="33"/>
  <c r="BE34" i="33"/>
  <c r="BF34" i="33"/>
  <c r="BG34" i="33"/>
  <c r="BH34" i="33"/>
  <c r="AZ35" i="33"/>
  <c r="BA35" i="33"/>
  <c r="BB35" i="33"/>
  <c r="BC35" i="33"/>
  <c r="BD35" i="33"/>
  <c r="BE35" i="33"/>
  <c r="BF35" i="33"/>
  <c r="BG35" i="33"/>
  <c r="BH35" i="33"/>
  <c r="AZ36" i="33"/>
  <c r="BA36" i="33"/>
  <c r="BB36" i="33"/>
  <c r="BC36" i="33"/>
  <c r="BD36" i="33"/>
  <c r="BE36" i="33"/>
  <c r="BF36" i="33"/>
  <c r="BG36" i="33"/>
  <c r="BH36" i="33"/>
  <c r="AZ37" i="33"/>
  <c r="BA37" i="33"/>
  <c r="BB37" i="33"/>
  <c r="BC37" i="33"/>
  <c r="BD37" i="33"/>
  <c r="BE37" i="33"/>
  <c r="BF37" i="33"/>
  <c r="BG37" i="33"/>
  <c r="BH37" i="33"/>
  <c r="AZ38" i="33"/>
  <c r="BA38" i="33"/>
  <c r="BB38" i="33"/>
  <c r="BC38" i="33"/>
  <c r="BD38" i="33"/>
  <c r="BE38" i="33"/>
  <c r="BF38" i="33"/>
  <c r="BG38" i="33"/>
  <c r="BH38" i="33"/>
  <c r="AZ39" i="33"/>
  <c r="BA39" i="33"/>
  <c r="BB39" i="33"/>
  <c r="BC39" i="33"/>
  <c r="BD39" i="33"/>
  <c r="BE39" i="33"/>
  <c r="BF39" i="33"/>
  <c r="BG39" i="33"/>
  <c r="BH39" i="33"/>
  <c r="AZ40" i="33"/>
  <c r="BA40" i="33"/>
  <c r="BB40" i="33"/>
  <c r="BC40" i="33"/>
  <c r="BD40" i="33"/>
  <c r="BE40" i="33"/>
  <c r="BF40" i="33"/>
  <c r="BG40" i="33"/>
  <c r="BH40" i="33"/>
  <c r="AZ41" i="33"/>
  <c r="BA41" i="33"/>
  <c r="BB41" i="33"/>
  <c r="BC41" i="33"/>
  <c r="BD41" i="33"/>
  <c r="BE41" i="33"/>
  <c r="BF41" i="33"/>
  <c r="BG41" i="33"/>
  <c r="BH41" i="33"/>
  <c r="AZ42" i="33"/>
  <c r="BA42" i="33"/>
  <c r="BB42" i="33"/>
  <c r="BC42" i="33"/>
  <c r="BD42" i="33"/>
  <c r="BE42" i="33"/>
  <c r="BF42" i="33"/>
  <c r="BG42" i="33"/>
  <c r="BH42" i="33"/>
  <c r="AZ43" i="33"/>
  <c r="BA43" i="33"/>
  <c r="BB43" i="33"/>
  <c r="BC43" i="33"/>
  <c r="BD43" i="33"/>
  <c r="BE43" i="33"/>
  <c r="BF43" i="33"/>
  <c r="BG43" i="33"/>
  <c r="BH43" i="33"/>
  <c r="AZ44" i="33"/>
  <c r="BA44" i="33"/>
  <c r="BB44" i="33"/>
  <c r="BC44" i="33"/>
  <c r="BD44" i="33"/>
  <c r="BE44" i="33"/>
  <c r="BF44" i="33"/>
  <c r="BG44" i="33"/>
  <c r="BH44" i="33"/>
  <c r="AZ45" i="33"/>
  <c r="BA45" i="33"/>
  <c r="BB45" i="33"/>
  <c r="BC45" i="33"/>
  <c r="BD45" i="33"/>
  <c r="BE45" i="33"/>
  <c r="BF45" i="33"/>
  <c r="BG45" i="33"/>
  <c r="BH45" i="33"/>
  <c r="AY9" i="33"/>
  <c r="AY10" i="33"/>
  <c r="AY11" i="33"/>
  <c r="AY12" i="33"/>
  <c r="AY13" i="33"/>
  <c r="AY14" i="33"/>
  <c r="AY15" i="33"/>
  <c r="AY16" i="33"/>
  <c r="AY17" i="33"/>
  <c r="AY18" i="33"/>
  <c r="AY19" i="33"/>
  <c r="AY20" i="33"/>
  <c r="AY21" i="33"/>
  <c r="AY22" i="33"/>
  <c r="AY23" i="33"/>
  <c r="AY24" i="33"/>
  <c r="AY25" i="33"/>
  <c r="AY26" i="33"/>
  <c r="AY27" i="33"/>
  <c r="AY28" i="33"/>
  <c r="AY29" i="33"/>
  <c r="AY30" i="33"/>
  <c r="AY31" i="33"/>
  <c r="AY32" i="33"/>
  <c r="AY33" i="33"/>
  <c r="AY34" i="33"/>
  <c r="AY35" i="33"/>
  <c r="AY36" i="33"/>
  <c r="AY37" i="33"/>
  <c r="AY38" i="33"/>
  <c r="AY39" i="33"/>
  <c r="AY40" i="33"/>
  <c r="AY41" i="33"/>
  <c r="AY42" i="33"/>
  <c r="AY43" i="33"/>
  <c r="AY44" i="33"/>
  <c r="AY45" i="33"/>
  <c r="AY8" i="33"/>
  <c r="E4" i="32"/>
  <c r="C4" i="32"/>
  <c r="CL21" i="33"/>
  <c r="CM21" i="33"/>
  <c r="CL22" i="33"/>
  <c r="CM22" i="33"/>
  <c r="CL23" i="33"/>
  <c r="CM23" i="33"/>
  <c r="CL24" i="33"/>
  <c r="CM24" i="33"/>
  <c r="CL25" i="33"/>
  <c r="CM25" i="33"/>
  <c r="CL26" i="33"/>
  <c r="CM26" i="33"/>
  <c r="CL27" i="33"/>
  <c r="CM27" i="33"/>
  <c r="CL28" i="33"/>
  <c r="CM28" i="33"/>
  <c r="CL29" i="33"/>
  <c r="CM29" i="33"/>
  <c r="CL30" i="33"/>
  <c r="CM30" i="33"/>
  <c r="CL31" i="33"/>
  <c r="CM31" i="33"/>
  <c r="CL32" i="33"/>
  <c r="CM32" i="33"/>
  <c r="CL33" i="33"/>
  <c r="CM33" i="33"/>
  <c r="CL34" i="33"/>
  <c r="CM34" i="33"/>
  <c r="CL35" i="33"/>
  <c r="CM35" i="33"/>
  <c r="CL36" i="33"/>
  <c r="CM36" i="33"/>
  <c r="CL37" i="33"/>
  <c r="CM37" i="33"/>
  <c r="CL38" i="33"/>
  <c r="CM38" i="33"/>
  <c r="CL39" i="33"/>
  <c r="CM39" i="33"/>
  <c r="CL40" i="33"/>
  <c r="CM40" i="33"/>
  <c r="CL41" i="33"/>
  <c r="CM41" i="33"/>
  <c r="CL9" i="33"/>
  <c r="CM9" i="33" s="1"/>
  <c r="CL10" i="33"/>
  <c r="CM10" i="33" s="1"/>
  <c r="CL11" i="33"/>
  <c r="CM11" i="33" s="1"/>
  <c r="CL12" i="33"/>
  <c r="CM12" i="33" s="1"/>
  <c r="CL13" i="33"/>
  <c r="CM13" i="33" s="1"/>
  <c r="CL14" i="33"/>
  <c r="CM14" i="33" s="1"/>
  <c r="CL15" i="33"/>
  <c r="CM15" i="33" s="1"/>
  <c r="CL16" i="33"/>
  <c r="CM16" i="33" s="1"/>
  <c r="CL17" i="33"/>
  <c r="CM17" i="33" s="1"/>
  <c r="CL18" i="33"/>
  <c r="CM18" i="33" s="1"/>
  <c r="CL19" i="33"/>
  <c r="CM19" i="33" s="1"/>
  <c r="CL20" i="33"/>
  <c r="CM20" i="33" s="1"/>
  <c r="CL8" i="33"/>
  <c r="BO47" i="33"/>
  <c r="BO48" i="33"/>
  <c r="BP48" i="33" s="1"/>
  <c r="BO49" i="33"/>
  <c r="BP49" i="33" s="1"/>
  <c r="BO50" i="33"/>
  <c r="BO51" i="33"/>
  <c r="BO52" i="33"/>
  <c r="BP52" i="33" s="1"/>
  <c r="BO53" i="33"/>
  <c r="BO54" i="33"/>
  <c r="BO55" i="33"/>
  <c r="BO56" i="33"/>
  <c r="BP56" i="33" s="1"/>
  <c r="BO57" i="33"/>
  <c r="BP57" i="33" s="1"/>
  <c r="BO58" i="33"/>
  <c r="BP58" i="33" s="1"/>
  <c r="BO59" i="33"/>
  <c r="BO60" i="33"/>
  <c r="BO61" i="33"/>
  <c r="BP61" i="33" s="1"/>
  <c r="BO62" i="33"/>
  <c r="BP62" i="33" s="1"/>
  <c r="BO63" i="33"/>
  <c r="BO64" i="33"/>
  <c r="BP64" i="33" s="1"/>
  <c r="BO65" i="33"/>
  <c r="BP65" i="33" s="1"/>
  <c r="BO66" i="33"/>
  <c r="BO67" i="33"/>
  <c r="BO68" i="33"/>
  <c r="BP68" i="33" s="1"/>
  <c r="BO69" i="33"/>
  <c r="BO15" i="33"/>
  <c r="BO16" i="33"/>
  <c r="BO17" i="33"/>
  <c r="BP17" i="33" s="1"/>
  <c r="BO18" i="33"/>
  <c r="BP18" i="33" s="1"/>
  <c r="BO19" i="33"/>
  <c r="BP19" i="33" s="1"/>
  <c r="BO20" i="33"/>
  <c r="BO21" i="33"/>
  <c r="BP21" i="33" s="1"/>
  <c r="BO22" i="33"/>
  <c r="BP22" i="33" s="1"/>
  <c r="BO23" i="33"/>
  <c r="BO24" i="33"/>
  <c r="BO25" i="33"/>
  <c r="BP25" i="33" s="1"/>
  <c r="BO26" i="33"/>
  <c r="BP26" i="33" s="1"/>
  <c r="BO27" i="33"/>
  <c r="BP27" i="33" s="1"/>
  <c r="BO28" i="33"/>
  <c r="BO29" i="33"/>
  <c r="BP29" i="33" s="1"/>
  <c r="BO30" i="33"/>
  <c r="BP30" i="33" s="1"/>
  <c r="BO31" i="33"/>
  <c r="BO32" i="33"/>
  <c r="BO33" i="33"/>
  <c r="BP33" i="33" s="1"/>
  <c r="BO34" i="33"/>
  <c r="BO35" i="33"/>
  <c r="BP35" i="33" s="1"/>
  <c r="BO36" i="33"/>
  <c r="BO37" i="33"/>
  <c r="BP37" i="33" s="1"/>
  <c r="BO38" i="33"/>
  <c r="BP38" i="33" s="1"/>
  <c r="BO39" i="33"/>
  <c r="BO40" i="33"/>
  <c r="BO41" i="33"/>
  <c r="BP41" i="33" s="1"/>
  <c r="BO42" i="33"/>
  <c r="BP42" i="33" s="1"/>
  <c r="BO43" i="33"/>
  <c r="BP43" i="33" s="1"/>
  <c r="BO44" i="33"/>
  <c r="BO45" i="33"/>
  <c r="BP45" i="33" s="1"/>
  <c r="BO9" i="33"/>
  <c r="BP9" i="33" s="1"/>
  <c r="BO10" i="33"/>
  <c r="BP10" i="33" s="1"/>
  <c r="BO11" i="33"/>
  <c r="BO12" i="33"/>
  <c r="BP12" i="33" s="1"/>
  <c r="BO13" i="33"/>
  <c r="BP13" i="33" s="1"/>
  <c r="BO14" i="33"/>
  <c r="BO8" i="33"/>
  <c r="O105" i="32"/>
  <c r="O104" i="32"/>
  <c r="O103" i="32"/>
  <c r="O101" i="32"/>
  <c r="O102" i="32"/>
  <c r="O100" i="32"/>
  <c r="O99" i="32"/>
  <c r="O98" i="32"/>
  <c r="O97" i="32"/>
  <c r="O96" i="32"/>
  <c r="O95" i="32"/>
  <c r="O94" i="32"/>
  <c r="O93" i="32"/>
  <c r="O92" i="32"/>
  <c r="O91" i="32"/>
  <c r="O90" i="32"/>
  <c r="O89" i="32"/>
  <c r="O88" i="32"/>
  <c r="O87" i="32"/>
  <c r="O86" i="32"/>
  <c r="O85" i="32"/>
  <c r="O84" i="32"/>
  <c r="O83" i="32"/>
  <c r="O82" i="32"/>
  <c r="O81" i="32"/>
  <c r="O80" i="32"/>
  <c r="O79" i="32"/>
  <c r="O78" i="32"/>
  <c r="O77" i="32"/>
  <c r="O76" i="32"/>
  <c r="O75" i="32"/>
  <c r="O74" i="32"/>
  <c r="O73" i="32"/>
  <c r="O72" i="32"/>
  <c r="O71" i="32"/>
  <c r="O70" i="32"/>
  <c r="O69" i="32"/>
  <c r="O68" i="32"/>
  <c r="O67" i="32"/>
  <c r="O66" i="32"/>
  <c r="O65" i="32"/>
  <c r="O64" i="32"/>
  <c r="O63" i="32"/>
  <c r="O62" i="32"/>
  <c r="O61" i="32"/>
  <c r="O60" i="32"/>
  <c r="O59" i="32"/>
  <c r="O58" i="32"/>
  <c r="O57" i="32"/>
  <c r="O56" i="32"/>
  <c r="O55" i="32"/>
  <c r="O54" i="32"/>
  <c r="O53" i="32"/>
  <c r="O52" i="32"/>
  <c r="O51" i="32"/>
  <c r="O50" i="32"/>
  <c r="O49" i="32"/>
  <c r="O48" i="32"/>
  <c r="O47" i="32"/>
  <c r="O46" i="32"/>
  <c r="O45" i="32"/>
  <c r="O44" i="32"/>
  <c r="O43" i="32"/>
  <c r="O42" i="32"/>
  <c r="O41" i="32"/>
  <c r="O40" i="32"/>
  <c r="O39" i="32"/>
  <c r="O38" i="32"/>
  <c r="O37" i="32"/>
  <c r="O36" i="32"/>
  <c r="O35" i="32"/>
  <c r="O34" i="32"/>
  <c r="O33" i="32"/>
  <c r="O32" i="32"/>
  <c r="O31" i="32"/>
  <c r="O30" i="32"/>
  <c r="O29" i="32"/>
  <c r="O28" i="32"/>
  <c r="O27" i="32"/>
  <c r="O26" i="32"/>
  <c r="O25" i="32"/>
  <c r="O24" i="32"/>
  <c r="O23" i="32"/>
  <c r="O22" i="32"/>
  <c r="O21" i="32"/>
  <c r="O20" i="32"/>
  <c r="O19" i="32"/>
  <c r="O18" i="32"/>
  <c r="O17" i="32"/>
  <c r="L38" i="32"/>
  <c r="L41" i="32"/>
  <c r="L11" i="32"/>
  <c r="L45" i="32"/>
  <c r="L33" i="32"/>
  <c r="L26" i="32"/>
  <c r="L42" i="32"/>
  <c r="L21" i="32"/>
  <c r="L34" i="32"/>
  <c r="L23" i="32"/>
  <c r="L37" i="32"/>
  <c r="L47" i="32"/>
  <c r="L36" i="32"/>
  <c r="L24" i="32"/>
  <c r="L39" i="32"/>
  <c r="L29" i="32"/>
  <c r="L19" i="32"/>
  <c r="L31" i="32"/>
  <c r="L52" i="32"/>
  <c r="L50" i="32"/>
  <c r="L57" i="32"/>
  <c r="L32" i="32"/>
  <c r="L7" i="32"/>
  <c r="L30" i="32"/>
  <c r="L8" i="32"/>
  <c r="L14" i="32"/>
  <c r="L15" i="32"/>
  <c r="L25" i="32"/>
  <c r="N25" i="32" s="1"/>
  <c r="L55" i="32"/>
  <c r="L5" i="32"/>
  <c r="L43" i="32"/>
  <c r="L61" i="32"/>
  <c r="L46" i="32"/>
  <c r="L58" i="32"/>
  <c r="L60" i="32"/>
  <c r="L22" i="32"/>
  <c r="L10" i="32"/>
  <c r="L56" i="32"/>
  <c r="L54" i="32"/>
  <c r="L27" i="32"/>
  <c r="L44" i="32"/>
  <c r="L48" i="32"/>
  <c r="L35" i="32"/>
  <c r="L28" i="32"/>
  <c r="L20" i="32"/>
  <c r="L49" i="32"/>
  <c r="L13" i="32"/>
  <c r="L64" i="32"/>
  <c r="L63" i="32"/>
  <c r="L51" i="32"/>
  <c r="L62" i="32"/>
  <c r="L6" i="32"/>
  <c r="L9" i="32"/>
  <c r="L18" i="32"/>
  <c r="L53" i="32"/>
  <c r="L16" i="32"/>
  <c r="L12" i="32"/>
  <c r="L17" i="32"/>
  <c r="L59" i="32"/>
  <c r="L40" i="32"/>
  <c r="J34" i="32"/>
  <c r="K34" i="32" s="1"/>
  <c r="J33" i="32"/>
  <c r="K33" i="32" s="1"/>
  <c r="J25" i="32"/>
  <c r="K25" i="32" s="1"/>
  <c r="J32" i="32"/>
  <c r="K32" i="32" s="1"/>
  <c r="J29" i="32"/>
  <c r="K29" i="32" s="1"/>
  <c r="J39" i="32"/>
  <c r="K39" i="32" s="1"/>
  <c r="J27" i="32"/>
  <c r="K27" i="32" s="1"/>
  <c r="J28" i="32"/>
  <c r="K28" i="32" s="1"/>
  <c r="J37" i="32"/>
  <c r="K37" i="32" s="1"/>
  <c r="J24" i="32"/>
  <c r="K24" i="32" s="1"/>
  <c r="J35" i="32"/>
  <c r="K35" i="32" s="1"/>
  <c r="J36" i="32"/>
  <c r="K36" i="32" s="1"/>
  <c r="J31" i="32"/>
  <c r="K31" i="32" s="1"/>
  <c r="J43" i="32"/>
  <c r="K43" i="32" s="1"/>
  <c r="J38" i="32"/>
  <c r="K38" i="32" s="1"/>
  <c r="J30" i="32"/>
  <c r="K30" i="32" s="1"/>
  <c r="J41" i="32"/>
  <c r="K41" i="32" s="1"/>
  <c r="J23" i="32"/>
  <c r="K23" i="32" s="1"/>
  <c r="J21" i="32"/>
  <c r="K21" i="32" s="1"/>
  <c r="J26" i="32"/>
  <c r="K26" i="32" s="1"/>
  <c r="J56" i="32"/>
  <c r="K56" i="32" s="1"/>
  <c r="J18" i="32"/>
  <c r="K18" i="32" s="1"/>
  <c r="J50" i="32"/>
  <c r="K50" i="32" s="1"/>
  <c r="J55" i="32"/>
  <c r="K55" i="32" s="1"/>
  <c r="J52" i="32"/>
  <c r="K52" i="32" s="1"/>
  <c r="J60" i="32"/>
  <c r="K60" i="32" s="1"/>
  <c r="J62" i="32"/>
  <c r="K62" i="32" s="1"/>
  <c r="J47" i="32"/>
  <c r="K47" i="32" s="1"/>
  <c r="J19" i="32"/>
  <c r="K19" i="32" s="1"/>
  <c r="J48" i="32"/>
  <c r="K48" i="32" s="1"/>
  <c r="J42" i="32"/>
  <c r="K42" i="32" s="1"/>
  <c r="J54" i="32"/>
  <c r="K54" i="32" s="1"/>
  <c r="J53" i="32"/>
  <c r="K53" i="32" s="1"/>
  <c r="J49" i="32"/>
  <c r="K49" i="32" s="1"/>
  <c r="J20" i="32"/>
  <c r="K20" i="32" s="1"/>
  <c r="J59" i="32"/>
  <c r="K59" i="32" s="1"/>
  <c r="J61" i="32"/>
  <c r="K61" i="32" s="1"/>
  <c r="J46" i="32"/>
  <c r="K46" i="32" s="1"/>
  <c r="N58" i="32"/>
  <c r="J58" i="32"/>
  <c r="K58" i="32" s="1"/>
  <c r="J51" i="32"/>
  <c r="K51" i="32" s="1"/>
  <c r="J64" i="32"/>
  <c r="K64" i="32" s="1"/>
  <c r="J57" i="32"/>
  <c r="K57" i="32" s="1"/>
  <c r="J63" i="32"/>
  <c r="K63" i="32" s="1"/>
  <c r="J45" i="32"/>
  <c r="K45" i="32" s="1"/>
  <c r="J22" i="32"/>
  <c r="K22" i="32" s="1"/>
  <c r="J44" i="32"/>
  <c r="K44" i="32" s="1"/>
  <c r="J40" i="32"/>
  <c r="K40" i="32" s="1"/>
  <c r="O1" i="34"/>
  <c r="CO32" i="33"/>
  <c r="CO44" i="33"/>
  <c r="CO8" i="33"/>
  <c r="CO29" i="33"/>
  <c r="CO45" i="33"/>
  <c r="CO14" i="33"/>
  <c r="CO34" i="33"/>
  <c r="CO38" i="33"/>
  <c r="CO9" i="33"/>
  <c r="CO31" i="33"/>
  <c r="CO39" i="33"/>
  <c r="CD9" i="33"/>
  <c r="CE10" i="33"/>
  <c r="CG12" i="33"/>
  <c r="CH13" i="33"/>
  <c r="CG16" i="33"/>
  <c r="CE18" i="33"/>
  <c r="CI18" i="33"/>
  <c r="CH21" i="33"/>
  <c r="CI22" i="33"/>
  <c r="CD25" i="33"/>
  <c r="CF27" i="33"/>
  <c r="CG28" i="33"/>
  <c r="CE30" i="33"/>
  <c r="CD33" i="33"/>
  <c r="CE34" i="33"/>
  <c r="CI34" i="33"/>
  <c r="CH37" i="33"/>
  <c r="CI38" i="33"/>
  <c r="CC40" i="33"/>
  <c r="CH41" i="33"/>
  <c r="CG8" i="33"/>
  <c r="CE9" i="33"/>
  <c r="CG11" i="33"/>
  <c r="CD12" i="33"/>
  <c r="CF14" i="33"/>
  <c r="CE21" i="33"/>
  <c r="CC9" i="33"/>
  <c r="CH10" i="33"/>
  <c r="CI11" i="33"/>
  <c r="CG13" i="33"/>
  <c r="CD14" i="33"/>
  <c r="CF16" i="33"/>
  <c r="CG17" i="33"/>
  <c r="CD18" i="33"/>
  <c r="CF20" i="33"/>
  <c r="CC21" i="33"/>
  <c r="CH22" i="33"/>
  <c r="CF24" i="33"/>
  <c r="CG25" i="33"/>
  <c r="CH26" i="33"/>
  <c r="CC29" i="33"/>
  <c r="CG29" i="33"/>
  <c r="CD30" i="33"/>
  <c r="CF32" i="33"/>
  <c r="CG33" i="33"/>
  <c r="CH34" i="33"/>
  <c r="CF36" i="33"/>
  <c r="CD38" i="33"/>
  <c r="CH38" i="33"/>
  <c r="CC41" i="33"/>
  <c r="CG41" i="33"/>
  <c r="CH42" i="33"/>
  <c r="CC45" i="33"/>
  <c r="CG45" i="33"/>
  <c r="CI42" i="33"/>
  <c r="CG44" i="33"/>
  <c r="CC8" i="33"/>
  <c r="CH12" i="33"/>
  <c r="CH16" i="33"/>
  <c r="CF18" i="33"/>
  <c r="CC19" i="33"/>
  <c r="CG10" i="33"/>
  <c r="CI12" i="33"/>
  <c r="CH19" i="33"/>
  <c r="CE24" i="33"/>
  <c r="CG26" i="33"/>
  <c r="CI28" i="33"/>
  <c r="CF33" i="33"/>
  <c r="CG34" i="33"/>
  <c r="CH35" i="33"/>
  <c r="CE40" i="33"/>
  <c r="CG42" i="33"/>
  <c r="CI44" i="33"/>
  <c r="CF13" i="33"/>
  <c r="CE20" i="33"/>
  <c r="CF22" i="33"/>
  <c r="CC27" i="33"/>
  <c r="CD28" i="33"/>
  <c r="CF30" i="33"/>
  <c r="CC35" i="33"/>
  <c r="CD36" i="33"/>
  <c r="CG39" i="33"/>
  <c r="CI41" i="33"/>
  <c r="CE45" i="33"/>
  <c r="CF8" i="33"/>
  <c r="CE16" i="33"/>
  <c r="CI20" i="33"/>
  <c r="CG22" i="33"/>
  <c r="CD27" i="33"/>
  <c r="CE28" i="33"/>
  <c r="CH31" i="33"/>
  <c r="CD35" i="33"/>
  <c r="CF37" i="33"/>
  <c r="CH39" i="33"/>
  <c r="CE44" i="33"/>
  <c r="CF45" i="33"/>
  <c r="CE8" i="33"/>
  <c r="CI16" i="33"/>
  <c r="CF21" i="33"/>
  <c r="CD24" i="33"/>
  <c r="CG27" i="33"/>
  <c r="CC31" i="33"/>
  <c r="CD32" i="33"/>
  <c r="CH36" i="33"/>
  <c r="CI37" i="33"/>
  <c r="CC39" i="33"/>
  <c r="CF42" i="33"/>
  <c r="CG43" i="33"/>
  <c r="CI45" i="33"/>
  <c r="BQ62" i="33"/>
  <c r="CF60" i="33"/>
  <c r="CH59" i="33"/>
  <c r="BQ51" i="33"/>
  <c r="CG69" i="33"/>
  <c r="BV60" i="33"/>
  <c r="BZ57" i="33"/>
  <c r="CE56" i="33"/>
  <c r="BZ49" i="33"/>
  <c r="CB69" i="33"/>
  <c r="BQ67" i="33"/>
  <c r="BQ66" i="33"/>
  <c r="CB62" i="33"/>
  <c r="CG61" i="33"/>
  <c r="BU60" i="33"/>
  <c r="BU57" i="33"/>
  <c r="BX56" i="33"/>
  <c r="CC54" i="33"/>
  <c r="CA51" i="33"/>
  <c r="BT13" i="33"/>
  <c r="BQ69" i="33"/>
  <c r="CA66" i="33"/>
  <c r="BZ65" i="33"/>
  <c r="CE64" i="33"/>
  <c r="BS54" i="33"/>
  <c r="CB53" i="33"/>
  <c r="BX48" i="33"/>
  <c r="BU68" i="33"/>
  <c r="BZ66" i="33"/>
  <c r="BU65" i="33"/>
  <c r="CC62" i="33"/>
  <c r="BQ54" i="33"/>
  <c r="BU53" i="33"/>
  <c r="BU44" i="33"/>
  <c r="CA8" i="33"/>
  <c r="CF68" i="33"/>
  <c r="CD66" i="33"/>
  <c r="BS63" i="33"/>
  <c r="BS62" i="33"/>
  <c r="BQ59" i="33"/>
  <c r="BQ58" i="33"/>
  <c r="BT56" i="33"/>
  <c r="CG53" i="33"/>
  <c r="BU52" i="33"/>
  <c r="BQ50" i="33"/>
  <c r="BU45" i="33"/>
  <c r="BZ50" i="33"/>
  <c r="CD50" i="33"/>
  <c r="BT48" i="33"/>
  <c r="BX40" i="33"/>
  <c r="CA37" i="33"/>
  <c r="BU29" i="33"/>
  <c r="BX15" i="33"/>
  <c r="CA69" i="33"/>
  <c r="CB68" i="33"/>
  <c r="CG67" i="33"/>
  <c r="BV67" i="33"/>
  <c r="CF65" i="33"/>
  <c r="BS65" i="33"/>
  <c r="CD64" i="33"/>
  <c r="BY63" i="33"/>
  <c r="BX62" i="33"/>
  <c r="BQ60" i="33"/>
  <c r="BV59" i="33"/>
  <c r="CH58" i="33"/>
  <c r="BS57" i="33"/>
  <c r="CD56" i="33"/>
  <c r="BS56" i="33"/>
  <c r="BX54" i="33"/>
  <c r="CA53" i="33"/>
  <c r="CB52" i="33"/>
  <c r="CG51" i="33"/>
  <c r="CH50" i="33"/>
  <c r="BV50" i="33"/>
  <c r="CD48" i="33"/>
  <c r="BS48" i="33"/>
  <c r="CA45" i="33"/>
  <c r="BS39" i="33"/>
  <c r="CB38" i="33"/>
  <c r="BU36" i="33"/>
  <c r="BT17" i="33"/>
  <c r="BZ8" i="33"/>
  <c r="CH69" i="33"/>
  <c r="BZ68" i="33"/>
  <c r="CC67" i="33"/>
  <c r="BU66" i="33"/>
  <c r="CE65" i="33"/>
  <c r="BZ64" i="33"/>
  <c r="CH62" i="33"/>
  <c r="CH61" i="33"/>
  <c r="BW61" i="33"/>
  <c r="CC59" i="33"/>
  <c r="BR59" i="33"/>
  <c r="CF58" i="33"/>
  <c r="CD57" i="33"/>
  <c r="BZ56" i="33"/>
  <c r="CH54" i="33"/>
  <c r="CH53" i="33"/>
  <c r="BZ52" i="33"/>
  <c r="CF50" i="33"/>
  <c r="BU50" i="33"/>
  <c r="CE49" i="33"/>
  <c r="BV45" i="33"/>
  <c r="BW44" i="33"/>
  <c r="BS41" i="33"/>
  <c r="BQ38" i="33"/>
  <c r="BR24" i="33"/>
  <c r="BX19" i="33"/>
  <c r="CD68" i="33"/>
  <c r="BY68" i="33"/>
  <c r="BT68" i="33"/>
  <c r="BU67" i="33"/>
  <c r="CE66" i="33"/>
  <c r="BS66" i="33"/>
  <c r="CI65" i="33"/>
  <c r="CC65" i="33"/>
  <c r="BR65" i="33"/>
  <c r="CH64" i="33"/>
  <c r="CB64" i="33"/>
  <c r="BR64" i="33"/>
  <c r="CG63" i="33"/>
  <c r="CB63" i="33"/>
  <c r="BQ63" i="33"/>
  <c r="CG62" i="33"/>
  <c r="CA62" i="33"/>
  <c r="CF61" i="33"/>
  <c r="BY61" i="33"/>
  <c r="CD61" i="33"/>
  <c r="CD60" i="33"/>
  <c r="BY60" i="33"/>
  <c r="CE59" i="33"/>
  <c r="BZ59" i="33"/>
  <c r="BU59" i="33"/>
  <c r="BY58" i="33"/>
  <c r="BS58" i="33"/>
  <c r="CI57" i="33"/>
  <c r="BW57" i="33"/>
  <c r="BR57" i="33"/>
  <c r="CH56" i="33"/>
  <c r="BW56" i="33"/>
  <c r="BR56" i="33"/>
  <c r="CG55" i="33"/>
  <c r="BW55" i="33"/>
  <c r="BQ55" i="33"/>
  <c r="CG54" i="33"/>
  <c r="BU54" i="33"/>
  <c r="BP54" i="33"/>
  <c r="CF53" i="33"/>
  <c r="BT53" i="33"/>
  <c r="CD53" i="33"/>
  <c r="CD52" i="33"/>
  <c r="BT52" i="33"/>
  <c r="CE51" i="33"/>
  <c r="BZ51" i="33"/>
  <c r="CE50" i="33"/>
  <c r="BY50" i="33"/>
  <c r="BS50" i="33"/>
  <c r="CC49" i="33"/>
  <c r="BW49" i="33"/>
  <c r="BR49" i="33"/>
  <c r="CB48" i="33"/>
  <c r="BW48" i="33"/>
  <c r="BR48" i="33"/>
  <c r="BS45" i="33"/>
  <c r="BQ44" i="33"/>
  <c r="BZ43" i="33"/>
  <c r="BY41" i="33"/>
  <c r="BQ40" i="33"/>
  <c r="CA39" i="33"/>
  <c r="BS37" i="33"/>
  <c r="BQ36" i="33"/>
  <c r="BZ35" i="33"/>
  <c r="BY33" i="33"/>
  <c r="BW32" i="33"/>
  <c r="BY31" i="33"/>
  <c r="CA27" i="33"/>
  <c r="BZ26" i="33"/>
  <c r="BS25" i="33"/>
  <c r="BX11" i="33"/>
  <c r="BY57" i="33"/>
  <c r="BS9" i="33"/>
  <c r="CA9" i="33"/>
  <c r="BR10" i="33"/>
  <c r="BV10" i="33"/>
  <c r="BQ11" i="33"/>
  <c r="BU11" i="33"/>
  <c r="BY11" i="33"/>
  <c r="BU12" i="33"/>
  <c r="BY12" i="33"/>
  <c r="BU13" i="33"/>
  <c r="BP14" i="33"/>
  <c r="BT14" i="33"/>
  <c r="BX14" i="33"/>
  <c r="BS15" i="33"/>
  <c r="BW15" i="33"/>
  <c r="CA15" i="33"/>
  <c r="BW16" i="33"/>
  <c r="CA16" i="33"/>
  <c r="BS17" i="33"/>
  <c r="CA17" i="33"/>
  <c r="BR18" i="33"/>
  <c r="BV18" i="33"/>
  <c r="BQ19" i="33"/>
  <c r="BU19" i="33"/>
  <c r="BY19" i="33"/>
  <c r="BU20" i="33"/>
  <c r="BY20" i="33"/>
  <c r="BQ21" i="33"/>
  <c r="BY21" i="33"/>
  <c r="BT22" i="33"/>
  <c r="CB22" i="33"/>
  <c r="BS23" i="33"/>
  <c r="BW23" i="33"/>
  <c r="BS24" i="33"/>
  <c r="BW24" i="33"/>
  <c r="CA24" i="33"/>
  <c r="BY9" i="33"/>
  <c r="BT10" i="33"/>
  <c r="CB10" i="33"/>
  <c r="BS11" i="33"/>
  <c r="BW11" i="33"/>
  <c r="BS12" i="33"/>
  <c r="BW12" i="33"/>
  <c r="CA12" i="33"/>
  <c r="BW13" i="33"/>
  <c r="CA13" i="33"/>
  <c r="BR14" i="33"/>
  <c r="BZ14" i="33"/>
  <c r="BQ15" i="33"/>
  <c r="BU15" i="33"/>
  <c r="BQ16" i="33"/>
  <c r="BU16" i="33"/>
  <c r="BY16" i="33"/>
  <c r="BU17" i="33"/>
  <c r="BY17" i="33"/>
  <c r="BX18" i="33"/>
  <c r="CB18" i="33"/>
  <c r="BS19" i="33"/>
  <c r="CA19" i="33"/>
  <c r="BS20" i="33"/>
  <c r="BW20" i="33"/>
  <c r="BS21" i="33"/>
  <c r="BW21" i="33"/>
  <c r="CA21" i="33"/>
  <c r="BV22" i="33"/>
  <c r="BZ22" i="33"/>
  <c r="BQ23" i="33"/>
  <c r="BY23" i="33"/>
  <c r="BQ24" i="33"/>
  <c r="BU24" i="33"/>
  <c r="BQ25" i="33"/>
  <c r="BU25" i="33"/>
  <c r="BY25" i="33"/>
  <c r="BQ10" i="33"/>
  <c r="BY10" i="33"/>
  <c r="BR11" i="33"/>
  <c r="BT12" i="33"/>
  <c r="CB12" i="33"/>
  <c r="BV13" i="33"/>
  <c r="BY14" i="33"/>
  <c r="BR15" i="33"/>
  <c r="BZ15" i="33"/>
  <c r="CB16" i="33"/>
  <c r="BV17" i="33"/>
  <c r="BY18" i="33"/>
  <c r="BZ19" i="33"/>
  <c r="BT20" i="33"/>
  <c r="CB20" i="33"/>
  <c r="BV21" i="33"/>
  <c r="BY22" i="33"/>
  <c r="BR23" i="33"/>
  <c r="BZ23" i="33"/>
  <c r="BT24" i="33"/>
  <c r="CB24" i="33"/>
  <c r="BT25" i="33"/>
  <c r="BZ25" i="33"/>
  <c r="BS26" i="33"/>
  <c r="BW26" i="33"/>
  <c r="CA26" i="33"/>
  <c r="BR27" i="33"/>
  <c r="BV27" i="33"/>
  <c r="BZ27" i="33"/>
  <c r="BR28" i="33"/>
  <c r="BV28" i="33"/>
  <c r="BZ28" i="33"/>
  <c r="BR29" i="33"/>
  <c r="BV29" i="33"/>
  <c r="BZ29" i="33"/>
  <c r="BU30" i="33"/>
  <c r="BY30" i="33"/>
  <c r="BP31" i="33"/>
  <c r="BT31" i="33"/>
  <c r="BX31" i="33"/>
  <c r="CB31" i="33"/>
  <c r="BP32" i="33"/>
  <c r="BT32" i="33"/>
  <c r="BX32" i="33"/>
  <c r="CB32" i="33"/>
  <c r="BT33" i="33"/>
  <c r="BX33" i="33"/>
  <c r="CB33" i="33"/>
  <c r="BS34" i="33"/>
  <c r="BW34" i="33"/>
  <c r="BR9" i="33"/>
  <c r="BZ9" i="33"/>
  <c r="BU10" i="33"/>
  <c r="BV11" i="33"/>
  <c r="BX12" i="33"/>
  <c r="BR13" i="33"/>
  <c r="BZ13" i="33"/>
  <c r="BU14" i="33"/>
  <c r="BV15" i="33"/>
  <c r="BP16" i="33"/>
  <c r="BX16" i="33"/>
  <c r="BR17" i="33"/>
  <c r="BZ17" i="33"/>
  <c r="BU18" i="33"/>
  <c r="BV19" i="33"/>
  <c r="BP20" i="33"/>
  <c r="BX20" i="33"/>
  <c r="BR21" i="33"/>
  <c r="BZ21" i="33"/>
  <c r="BU22" i="33"/>
  <c r="BV23" i="33"/>
  <c r="BP24" i="33"/>
  <c r="BX24" i="33"/>
  <c r="BR25" i="33"/>
  <c r="BW25" i="33"/>
  <c r="CB25" i="33"/>
  <c r="BU26" i="33"/>
  <c r="BY26" i="33"/>
  <c r="BT27" i="33"/>
  <c r="BX27" i="33"/>
  <c r="CB27" i="33"/>
  <c r="BP28" i="33"/>
  <c r="BT28" i="33"/>
  <c r="BX28" i="33"/>
  <c r="CB28" i="33"/>
  <c r="BT29" i="33"/>
  <c r="BX29" i="33"/>
  <c r="CB29" i="33"/>
  <c r="BS30" i="33"/>
  <c r="BW30" i="33"/>
  <c r="CA30" i="33"/>
  <c r="BR31" i="33"/>
  <c r="BV31" i="33"/>
  <c r="BZ31" i="33"/>
  <c r="BR32" i="33"/>
  <c r="BV32" i="33"/>
  <c r="BZ32" i="33"/>
  <c r="BR33" i="33"/>
  <c r="BV33" i="33"/>
  <c r="BZ33" i="33"/>
  <c r="BQ34" i="33"/>
  <c r="BU34" i="33"/>
  <c r="BY34" i="33"/>
  <c r="BT35" i="33"/>
  <c r="BX35" i="33"/>
  <c r="CB35" i="33"/>
  <c r="BP36" i="33"/>
  <c r="BT36" i="33"/>
  <c r="BX36" i="33"/>
  <c r="CB36" i="33"/>
  <c r="BT37" i="33"/>
  <c r="BX37" i="33"/>
  <c r="CB37" i="33"/>
  <c r="BS38" i="33"/>
  <c r="BW38" i="33"/>
  <c r="CA38" i="33"/>
  <c r="BR39" i="33"/>
  <c r="BV39" i="33"/>
  <c r="BZ39" i="33"/>
  <c r="BR40" i="33"/>
  <c r="BV40" i="33"/>
  <c r="BZ40" i="33"/>
  <c r="BR41" i="33"/>
  <c r="BV41" i="33"/>
  <c r="BZ41" i="33"/>
  <c r="BQ42" i="33"/>
  <c r="BU42" i="33"/>
  <c r="BY42" i="33"/>
  <c r="BT43" i="33"/>
  <c r="BX43" i="33"/>
  <c r="CB43" i="33"/>
  <c r="BP44" i="33"/>
  <c r="BT44" i="33"/>
  <c r="BX44" i="33"/>
  <c r="CB44" i="33"/>
  <c r="BT45" i="33"/>
  <c r="BX45" i="33"/>
  <c r="CB45" i="33"/>
  <c r="CB9" i="33"/>
  <c r="BW10" i="33"/>
  <c r="CB11" i="33"/>
  <c r="BV12" i="33"/>
  <c r="CB13" i="33"/>
  <c r="BW14" i="33"/>
  <c r="CB15" i="33"/>
  <c r="BV16" i="33"/>
  <c r="CB17" i="33"/>
  <c r="BW18" i="33"/>
  <c r="CB19" i="33"/>
  <c r="BV20" i="33"/>
  <c r="CB21" i="33"/>
  <c r="BW22" i="33"/>
  <c r="CB23" i="33"/>
  <c r="BV24" i="33"/>
  <c r="BX25" i="33"/>
  <c r="BT26" i="33"/>
  <c r="CB26" i="33"/>
  <c r="BW27" i="33"/>
  <c r="BS28" i="33"/>
  <c r="CA28" i="33"/>
  <c r="BW29" i="33"/>
  <c r="BX30" i="33"/>
  <c r="BS31" i="33"/>
  <c r="CA31" i="33"/>
  <c r="CA10" i="33"/>
  <c r="BP11" i="33"/>
  <c r="BZ12" i="33"/>
  <c r="CA14" i="33"/>
  <c r="BP15" i="33"/>
  <c r="BZ16" i="33"/>
  <c r="CA18" i="33"/>
  <c r="BZ20" i="33"/>
  <c r="CA22" i="33"/>
  <c r="BP23" i="33"/>
  <c r="BZ24" i="33"/>
  <c r="CA25" i="33"/>
  <c r="BV26" i="33"/>
  <c r="BQ27" i="33"/>
  <c r="BY27" i="33"/>
  <c r="BU28" i="33"/>
  <c r="BQ29" i="33"/>
  <c r="BY29" i="33"/>
  <c r="BR30" i="33"/>
  <c r="BZ30" i="33"/>
  <c r="BU31" i="33"/>
  <c r="BQ32" i="33"/>
  <c r="BY32" i="33"/>
  <c r="BU33" i="33"/>
  <c r="BV34" i="33"/>
  <c r="CB34" i="33"/>
  <c r="BR35" i="33"/>
  <c r="BW35" i="33"/>
  <c r="BS36" i="33"/>
  <c r="BY36" i="33"/>
  <c r="BU37" i="33"/>
  <c r="BZ37" i="33"/>
  <c r="BT38" i="33"/>
  <c r="BY38" i="33"/>
  <c r="BT39" i="33"/>
  <c r="BY39" i="33"/>
  <c r="BP40" i="33"/>
  <c r="BU40" i="33"/>
  <c r="CA40" i="33"/>
  <c r="BQ41" i="33"/>
  <c r="BW41" i="33"/>
  <c r="CB41" i="33"/>
  <c r="BR42" i="33"/>
  <c r="BW42" i="33"/>
  <c r="CB42" i="33"/>
  <c r="BR43" i="33"/>
  <c r="BW43" i="33"/>
  <c r="BS44" i="33"/>
  <c r="BY44" i="33"/>
  <c r="BS10" i="33"/>
  <c r="BT11" i="33"/>
  <c r="BX13" i="33"/>
  <c r="BS18" i="33"/>
  <c r="BT19" i="33"/>
  <c r="BX21" i="33"/>
  <c r="BX26" i="33"/>
  <c r="BY28" i="33"/>
  <c r="BS29" i="33"/>
  <c r="CB30" i="33"/>
  <c r="BW31" i="33"/>
  <c r="CA32" i="33"/>
  <c r="BQ33" i="33"/>
  <c r="CA33" i="33"/>
  <c r="BX34" i="33"/>
  <c r="BQ35" i="33"/>
  <c r="BY35" i="33"/>
  <c r="BR36" i="33"/>
  <c r="BZ36" i="33"/>
  <c r="BR37" i="33"/>
  <c r="BY37" i="33"/>
  <c r="BV38" i="33"/>
  <c r="BU39" i="33"/>
  <c r="CB39" i="33"/>
  <c r="BW40" i="33"/>
  <c r="BX41" i="33"/>
  <c r="BX42" i="33"/>
  <c r="BQ43" i="33"/>
  <c r="BY43" i="33"/>
  <c r="BR44" i="33"/>
  <c r="BZ44" i="33"/>
  <c r="BR45" i="33"/>
  <c r="BW45" i="33"/>
  <c r="BQ48" i="33"/>
  <c r="BU48" i="33"/>
  <c r="BY48" i="33"/>
  <c r="CC48" i="33"/>
  <c r="CG48" i="33"/>
  <c r="BT49" i="33"/>
  <c r="BX49" i="33"/>
  <c r="CB49" i="33"/>
  <c r="CG49" i="33"/>
  <c r="BP50" i="33"/>
  <c r="BT50" i="33"/>
  <c r="BX50" i="33"/>
  <c r="CB50" i="33"/>
  <c r="CG50" i="33"/>
  <c r="BP51" i="33"/>
  <c r="BT51" i="33"/>
  <c r="BX51" i="33"/>
  <c r="CB51" i="33"/>
  <c r="CF51" i="33"/>
  <c r="BS52" i="33"/>
  <c r="BW52" i="33"/>
  <c r="CA52" i="33"/>
  <c r="CE52" i="33"/>
  <c r="CI52" i="33"/>
  <c r="BR53" i="33"/>
  <c r="BV53" i="33"/>
  <c r="BZ53" i="33"/>
  <c r="CE53" i="33"/>
  <c r="CI53" i="33"/>
  <c r="BR54" i="33"/>
  <c r="BV54" i="33"/>
  <c r="BZ54" i="33"/>
  <c r="CE54" i="33"/>
  <c r="CI54" i="33"/>
  <c r="BR55" i="33"/>
  <c r="BV55" i="33"/>
  <c r="BZ55" i="33"/>
  <c r="CD55" i="33"/>
  <c r="CH55" i="33"/>
  <c r="BQ56" i="33"/>
  <c r="BU56" i="33"/>
  <c r="BY56" i="33"/>
  <c r="CC56" i="33"/>
  <c r="CG56" i="33"/>
  <c r="BT57" i="33"/>
  <c r="BX57" i="33"/>
  <c r="CB57" i="33"/>
  <c r="CG57" i="33"/>
  <c r="BT58" i="33"/>
  <c r="BX58" i="33"/>
  <c r="CB58" i="33"/>
  <c r="CG58" i="33"/>
  <c r="BP59" i="33"/>
  <c r="BT59" i="33"/>
  <c r="BX59" i="33"/>
  <c r="CB59" i="33"/>
  <c r="CF59" i="33"/>
  <c r="BS60" i="33"/>
  <c r="BW60" i="33"/>
  <c r="CA60" i="33"/>
  <c r="CE60" i="33"/>
  <c r="CI60" i="33"/>
  <c r="BR61" i="33"/>
  <c r="BV61" i="33"/>
  <c r="BZ61" i="33"/>
  <c r="CE61" i="33"/>
  <c r="CI61" i="33"/>
  <c r="BR62" i="33"/>
  <c r="BV62" i="33"/>
  <c r="BZ62" i="33"/>
  <c r="CE62" i="33"/>
  <c r="CI62" i="33"/>
  <c r="BR63" i="33"/>
  <c r="BV63" i="33"/>
  <c r="BZ63" i="33"/>
  <c r="CD63" i="33"/>
  <c r="CH63" i="33"/>
  <c r="BQ64" i="33"/>
  <c r="BU64" i="33"/>
  <c r="BY64" i="33"/>
  <c r="CC64" i="33"/>
  <c r="CG64" i="33"/>
  <c r="BT65" i="33"/>
  <c r="BX65" i="33"/>
  <c r="CB65" i="33"/>
  <c r="CG65" i="33"/>
  <c r="BP66" i="33"/>
  <c r="BT66" i="33"/>
  <c r="BX66" i="33"/>
  <c r="CB66" i="33"/>
  <c r="CG66" i="33"/>
  <c r="BP67" i="33"/>
  <c r="BT67" i="33"/>
  <c r="BX67" i="33"/>
  <c r="CB67" i="33"/>
  <c r="CF67" i="33"/>
  <c r="BS68" i="33"/>
  <c r="BW68" i="33"/>
  <c r="CA68" i="33"/>
  <c r="CE68" i="33"/>
  <c r="CI68" i="33"/>
  <c r="BR69" i="33"/>
  <c r="BV69" i="33"/>
  <c r="BZ69" i="33"/>
  <c r="CE69" i="33"/>
  <c r="CI69" i="33"/>
  <c r="CB8" i="33"/>
  <c r="BX8" i="33"/>
  <c r="BX9" i="33"/>
  <c r="BS14" i="33"/>
  <c r="BT15" i="33"/>
  <c r="BX17" i="33"/>
  <c r="BS22" i="33"/>
  <c r="BT23" i="33"/>
  <c r="BV25" i="33"/>
  <c r="BU27" i="33"/>
  <c r="BQ28" i="33"/>
  <c r="CA29" i="33"/>
  <c r="BT30" i="33"/>
  <c r="BU32" i="33"/>
  <c r="BW33" i="33"/>
  <c r="BR34" i="33"/>
  <c r="CA34" i="33"/>
  <c r="BU35" i="33"/>
  <c r="CA35" i="33"/>
  <c r="BV36" i="33"/>
  <c r="BV37" i="33"/>
  <c r="BR38" i="33"/>
  <c r="BZ38" i="33"/>
  <c r="BQ39" i="33"/>
  <c r="BX39" i="33"/>
  <c r="BS40" i="33"/>
  <c r="BY40" i="33"/>
  <c r="BT41" i="33"/>
  <c r="CA41" i="33"/>
  <c r="BT42" i="33"/>
  <c r="CA42" i="33"/>
  <c r="BU43" i="33"/>
  <c r="CA43" i="33"/>
  <c r="BV44" i="33"/>
  <c r="BW8" i="33"/>
  <c r="CF69" i="33"/>
  <c r="BY69" i="33"/>
  <c r="BT69" i="33"/>
  <c r="BY8" i="33"/>
  <c r="CC69" i="33"/>
  <c r="BX69" i="33"/>
  <c r="BS69" i="33"/>
  <c r="CH68" i="33"/>
  <c r="CC68" i="33"/>
  <c r="BX68" i="33"/>
  <c r="BR68" i="33"/>
  <c r="CI67" i="33"/>
  <c r="CD67" i="33"/>
  <c r="BY67" i="33"/>
  <c r="BS67" i="33"/>
  <c r="CI66" i="33"/>
  <c r="CC66" i="33"/>
  <c r="BW66" i="33"/>
  <c r="BR66" i="33"/>
  <c r="CH65" i="33"/>
  <c r="CA65" i="33"/>
  <c r="BV65" i="33"/>
  <c r="BQ65" i="33"/>
  <c r="CF64" i="33"/>
  <c r="CA64" i="33"/>
  <c r="BV64" i="33"/>
  <c r="CF63" i="33"/>
  <c r="CA63" i="33"/>
  <c r="BU63" i="33"/>
  <c r="BP63" i="33"/>
  <c r="CF62" i="33"/>
  <c r="BY62" i="33"/>
  <c r="BT62" i="33"/>
  <c r="CD62" i="33"/>
  <c r="CC61" i="33"/>
  <c r="BX61" i="33"/>
  <c r="BS61" i="33"/>
  <c r="CH60" i="33"/>
  <c r="CC60" i="33"/>
  <c r="BX60" i="33"/>
  <c r="BR60" i="33"/>
  <c r="CI59" i="33"/>
  <c r="CD59" i="33"/>
  <c r="BY59" i="33"/>
  <c r="BS59" i="33"/>
  <c r="CI58" i="33"/>
  <c r="CC58" i="33"/>
  <c r="BW58" i="33"/>
  <c r="BR58" i="33"/>
  <c r="CH57" i="33"/>
  <c r="CA57" i="33"/>
  <c r="BV57" i="33"/>
  <c r="BQ57" i="33"/>
  <c r="CF56" i="33"/>
  <c r="CA56" i="33"/>
  <c r="BV56" i="33"/>
  <c r="CF55" i="33"/>
  <c r="CA55" i="33"/>
  <c r="BU55" i="33"/>
  <c r="BP55" i="33"/>
  <c r="CF54" i="33"/>
  <c r="BY54" i="33"/>
  <c r="BT54" i="33"/>
  <c r="CD54" i="33"/>
  <c r="CC53" i="33"/>
  <c r="BX53" i="33"/>
  <c r="BS53" i="33"/>
  <c r="CH52" i="33"/>
  <c r="CC52" i="33"/>
  <c r="BX52" i="33"/>
  <c r="BR52" i="33"/>
  <c r="CI51" i="33"/>
  <c r="CD51" i="33"/>
  <c r="BY51" i="33"/>
  <c r="BS51" i="33"/>
  <c r="CI50" i="33"/>
  <c r="CC50" i="33"/>
  <c r="BW50" i="33"/>
  <c r="BR50" i="33"/>
  <c r="CH49" i="33"/>
  <c r="CA49" i="33"/>
  <c r="BV49" i="33"/>
  <c r="CF48" i="33"/>
  <c r="CA48" i="33"/>
  <c r="BV48" i="33"/>
  <c r="BY45" i="33"/>
  <c r="BQ45" i="33"/>
  <c r="CA44" i="33"/>
  <c r="BV43" i="33"/>
  <c r="BU41" i="33"/>
  <c r="CB40" i="33"/>
  <c r="BW39" i="33"/>
  <c r="BU38" i="33"/>
  <c r="BQ37" i="33"/>
  <c r="CA36" i="33"/>
  <c r="BV35" i="33"/>
  <c r="BS33" i="33"/>
  <c r="BS32" i="33"/>
  <c r="BQ31" i="33"/>
  <c r="BS27" i="33"/>
  <c r="BR26" i="33"/>
  <c r="BX23" i="33"/>
  <c r="BT21" i="33"/>
  <c r="BR16" i="33"/>
  <c r="C62" i="34"/>
  <c r="E62" i="34"/>
  <c r="F62" i="34"/>
  <c r="G62" i="34"/>
  <c r="C61" i="34"/>
  <c r="E61" i="34"/>
  <c r="F61" i="34"/>
  <c r="G61" i="34"/>
  <c r="C50" i="34"/>
  <c r="E50" i="34"/>
  <c r="F50" i="34"/>
  <c r="G50" i="34"/>
  <c r="C47" i="34"/>
  <c r="E47" i="34"/>
  <c r="F47" i="34"/>
  <c r="G47" i="34"/>
  <c r="C45" i="34"/>
  <c r="E45" i="34"/>
  <c r="F45" i="34"/>
  <c r="G45" i="34"/>
  <c r="C51" i="34"/>
  <c r="E51" i="34"/>
  <c r="F51" i="34"/>
  <c r="G51" i="34"/>
  <c r="C43" i="34"/>
  <c r="E43" i="34"/>
  <c r="F43" i="34"/>
  <c r="G43" i="34"/>
  <c r="AW180" i="33"/>
  <c r="AV180" i="33"/>
  <c r="AU180" i="33"/>
  <c r="AT180" i="33"/>
  <c r="AS180" i="33"/>
  <c r="AR180" i="33"/>
  <c r="AQ180" i="33"/>
  <c r="AP180" i="33"/>
  <c r="AO180" i="33"/>
  <c r="AN180" i="33"/>
  <c r="AM180" i="33"/>
  <c r="AL180" i="33"/>
  <c r="AK180" i="33"/>
  <c r="AJ180" i="33"/>
  <c r="AI180" i="33"/>
  <c r="AW179" i="33"/>
  <c r="AV179" i="33"/>
  <c r="AU179" i="33"/>
  <c r="AT179" i="33"/>
  <c r="AS179" i="33"/>
  <c r="AR179" i="33"/>
  <c r="AQ179" i="33"/>
  <c r="AP179" i="33"/>
  <c r="AO179" i="33"/>
  <c r="AN179" i="33"/>
  <c r="AM179" i="33"/>
  <c r="AL179" i="33"/>
  <c r="AK179" i="33"/>
  <c r="AJ179" i="33"/>
  <c r="AI179" i="33"/>
  <c r="AW178" i="33"/>
  <c r="AV178" i="33"/>
  <c r="AU178" i="33"/>
  <c r="AT178" i="33"/>
  <c r="AS178" i="33"/>
  <c r="AR178" i="33"/>
  <c r="AQ178" i="33"/>
  <c r="AP178" i="33"/>
  <c r="AO178" i="33"/>
  <c r="AN178" i="33"/>
  <c r="AM178" i="33"/>
  <c r="AL178" i="33"/>
  <c r="AK178" i="33"/>
  <c r="AJ178" i="33"/>
  <c r="AI178" i="33"/>
  <c r="AW177" i="33"/>
  <c r="AV177" i="33"/>
  <c r="AU177" i="33"/>
  <c r="AT177" i="33"/>
  <c r="AS177" i="33"/>
  <c r="AR177" i="33"/>
  <c r="AQ177" i="33"/>
  <c r="AP177" i="33"/>
  <c r="AO177" i="33"/>
  <c r="AN177" i="33"/>
  <c r="AM177" i="33"/>
  <c r="AL177" i="33"/>
  <c r="AK177" i="33"/>
  <c r="AJ177" i="33"/>
  <c r="AI177" i="33"/>
  <c r="AW176" i="33"/>
  <c r="AV176" i="33"/>
  <c r="AU176" i="33"/>
  <c r="AT176" i="33"/>
  <c r="AS176" i="33"/>
  <c r="AR176" i="33"/>
  <c r="AQ176" i="33"/>
  <c r="AP176" i="33"/>
  <c r="AO176" i="33"/>
  <c r="AN176" i="33"/>
  <c r="AM176" i="33"/>
  <c r="AL176" i="33"/>
  <c r="AK176" i="33"/>
  <c r="AJ176" i="33"/>
  <c r="AI176" i="33"/>
  <c r="AW175" i="33"/>
  <c r="AV175" i="33"/>
  <c r="AU175" i="33"/>
  <c r="AT175" i="33"/>
  <c r="AS175" i="33"/>
  <c r="AR175" i="33"/>
  <c r="AQ175" i="33"/>
  <c r="AP175" i="33"/>
  <c r="AO175" i="33"/>
  <c r="AN175" i="33"/>
  <c r="AM175" i="33"/>
  <c r="AL175" i="33"/>
  <c r="AK175" i="33"/>
  <c r="AJ175" i="33"/>
  <c r="AI175" i="33"/>
  <c r="AW174" i="33"/>
  <c r="AV174" i="33"/>
  <c r="AU174" i="33"/>
  <c r="AT174" i="33"/>
  <c r="AS174" i="33"/>
  <c r="AR174" i="33"/>
  <c r="AQ174" i="33"/>
  <c r="AP174" i="33"/>
  <c r="AO174" i="33"/>
  <c r="AN174" i="33"/>
  <c r="AM174" i="33"/>
  <c r="AL174" i="33"/>
  <c r="AK174" i="33"/>
  <c r="AJ174" i="33"/>
  <c r="AI174" i="33"/>
  <c r="AW173" i="33"/>
  <c r="AV173" i="33"/>
  <c r="AU173" i="33"/>
  <c r="AT173" i="33"/>
  <c r="AS173" i="33"/>
  <c r="AR173" i="33"/>
  <c r="AQ173" i="33"/>
  <c r="AP173" i="33"/>
  <c r="AO173" i="33"/>
  <c r="AN173" i="33"/>
  <c r="AM173" i="33"/>
  <c r="AL173" i="33"/>
  <c r="AK173" i="33"/>
  <c r="AJ173" i="33"/>
  <c r="AI173" i="33"/>
  <c r="AW172" i="33"/>
  <c r="AV172" i="33"/>
  <c r="AU172" i="33"/>
  <c r="AT172" i="33"/>
  <c r="AS172" i="33"/>
  <c r="AR172" i="33"/>
  <c r="AQ172" i="33"/>
  <c r="AP172" i="33"/>
  <c r="AO172" i="33"/>
  <c r="AN172" i="33"/>
  <c r="AM172" i="33"/>
  <c r="AL172" i="33"/>
  <c r="AK172" i="33"/>
  <c r="AJ172" i="33"/>
  <c r="AI172" i="33"/>
  <c r="AW171" i="33"/>
  <c r="AV171" i="33"/>
  <c r="AU171" i="33"/>
  <c r="AT171" i="33"/>
  <c r="AS171" i="33"/>
  <c r="AR171" i="33"/>
  <c r="AQ171" i="33"/>
  <c r="AP171" i="33"/>
  <c r="AO171" i="33"/>
  <c r="AN171" i="33"/>
  <c r="AM171" i="33"/>
  <c r="AL171" i="33"/>
  <c r="AK171" i="33"/>
  <c r="AJ171" i="33"/>
  <c r="AI171" i="33"/>
  <c r="AW170" i="33"/>
  <c r="AV170" i="33"/>
  <c r="AU170" i="33"/>
  <c r="AT170" i="33"/>
  <c r="AS170" i="33"/>
  <c r="AR170" i="33"/>
  <c r="AQ170" i="33"/>
  <c r="AP170" i="33"/>
  <c r="AO170" i="33"/>
  <c r="AN170" i="33"/>
  <c r="AM170" i="33"/>
  <c r="AL170" i="33"/>
  <c r="AK170" i="33"/>
  <c r="AJ170" i="33"/>
  <c r="AI170" i="33"/>
  <c r="AW169" i="33"/>
  <c r="AV169" i="33"/>
  <c r="AU169" i="33"/>
  <c r="AT169" i="33"/>
  <c r="AS169" i="33"/>
  <c r="AR169" i="33"/>
  <c r="AQ169" i="33"/>
  <c r="AP169" i="33"/>
  <c r="AO169" i="33"/>
  <c r="AN169" i="33"/>
  <c r="AM169" i="33"/>
  <c r="AL169" i="33"/>
  <c r="AK169" i="33"/>
  <c r="AJ169" i="33"/>
  <c r="AI169" i="33"/>
  <c r="AW168" i="33"/>
  <c r="AV168" i="33"/>
  <c r="AU168" i="33"/>
  <c r="AT168" i="33"/>
  <c r="AS168" i="33"/>
  <c r="AR168" i="33"/>
  <c r="AQ168" i="33"/>
  <c r="AP168" i="33"/>
  <c r="AO168" i="33"/>
  <c r="AN168" i="33"/>
  <c r="AM168" i="33"/>
  <c r="AL168" i="33"/>
  <c r="AK168" i="33"/>
  <c r="AJ168" i="33"/>
  <c r="AI168" i="33"/>
  <c r="AW167" i="33"/>
  <c r="AV167" i="33"/>
  <c r="AU167" i="33"/>
  <c r="AT167" i="33"/>
  <c r="AS167" i="33"/>
  <c r="AR167" i="33"/>
  <c r="AQ167" i="33"/>
  <c r="AP167" i="33"/>
  <c r="AO167" i="33"/>
  <c r="AN167" i="33"/>
  <c r="AM167" i="33"/>
  <c r="AL167" i="33"/>
  <c r="AK167" i="33"/>
  <c r="AJ167" i="33"/>
  <c r="AI167" i="33"/>
  <c r="AW166" i="33"/>
  <c r="AV166" i="33"/>
  <c r="AU166" i="33"/>
  <c r="AT166" i="33"/>
  <c r="AS166" i="33"/>
  <c r="AR166" i="33"/>
  <c r="AQ166" i="33"/>
  <c r="AP166" i="33"/>
  <c r="AO166" i="33"/>
  <c r="AN166" i="33"/>
  <c r="AM166" i="33"/>
  <c r="AL166" i="33"/>
  <c r="AK166" i="33"/>
  <c r="AJ166" i="33"/>
  <c r="AI166" i="33"/>
  <c r="AW165" i="33"/>
  <c r="AV165" i="33"/>
  <c r="AU165" i="33"/>
  <c r="AT165" i="33"/>
  <c r="AS165" i="33"/>
  <c r="AR165" i="33"/>
  <c r="AQ165" i="33"/>
  <c r="AP165" i="33"/>
  <c r="AO165" i="33"/>
  <c r="AN165" i="33"/>
  <c r="AM165" i="33"/>
  <c r="AL165" i="33"/>
  <c r="AK165" i="33"/>
  <c r="AJ165" i="33"/>
  <c r="AI165" i="33"/>
  <c r="AW164" i="33"/>
  <c r="AV164" i="33"/>
  <c r="AU164" i="33"/>
  <c r="AT164" i="33"/>
  <c r="AS164" i="33"/>
  <c r="AR164" i="33"/>
  <c r="AQ164" i="33"/>
  <c r="AP164" i="33"/>
  <c r="AO164" i="33"/>
  <c r="AN164" i="33"/>
  <c r="AM164" i="33"/>
  <c r="AL164" i="33"/>
  <c r="AK164" i="33"/>
  <c r="AJ164" i="33"/>
  <c r="AI164" i="33"/>
  <c r="AW163" i="33"/>
  <c r="AV163" i="33"/>
  <c r="AU163" i="33"/>
  <c r="AT163" i="33"/>
  <c r="AS163" i="33"/>
  <c r="AR163" i="33"/>
  <c r="AQ163" i="33"/>
  <c r="AP163" i="33"/>
  <c r="AO163" i="33"/>
  <c r="AN163" i="33"/>
  <c r="AM163" i="33"/>
  <c r="AL163" i="33"/>
  <c r="AK163" i="33"/>
  <c r="AJ163" i="33"/>
  <c r="AI163" i="33"/>
  <c r="AW162" i="33"/>
  <c r="AV162" i="33"/>
  <c r="AU162" i="33"/>
  <c r="AT162" i="33"/>
  <c r="AS162" i="33"/>
  <c r="AR162" i="33"/>
  <c r="AQ162" i="33"/>
  <c r="AP162" i="33"/>
  <c r="AO162" i="33"/>
  <c r="AN162" i="33"/>
  <c r="AM162" i="33"/>
  <c r="AL162" i="33"/>
  <c r="AK162" i="33"/>
  <c r="AJ162" i="33"/>
  <c r="AI162" i="33"/>
  <c r="AW161" i="33"/>
  <c r="AV161" i="33"/>
  <c r="AU161" i="33"/>
  <c r="AT161" i="33"/>
  <c r="AS161" i="33"/>
  <c r="AR161" i="33"/>
  <c r="AQ161" i="33"/>
  <c r="AP161" i="33"/>
  <c r="AO161" i="33"/>
  <c r="AN161" i="33"/>
  <c r="AM161" i="33"/>
  <c r="AL161" i="33"/>
  <c r="AK161" i="33"/>
  <c r="AJ161" i="33"/>
  <c r="AI161" i="33"/>
  <c r="AW160" i="33"/>
  <c r="AV160" i="33"/>
  <c r="AU160" i="33"/>
  <c r="AT160" i="33"/>
  <c r="AS160" i="33"/>
  <c r="AR160" i="33"/>
  <c r="AQ160" i="33"/>
  <c r="AP160" i="33"/>
  <c r="AO160" i="33"/>
  <c r="AN160" i="33"/>
  <c r="AM160" i="33"/>
  <c r="AL160" i="33"/>
  <c r="AK160" i="33"/>
  <c r="AJ160" i="33"/>
  <c r="AI160" i="33"/>
  <c r="AW159" i="33"/>
  <c r="AV159" i="33"/>
  <c r="AU159" i="33"/>
  <c r="AT159" i="33"/>
  <c r="AS159" i="33"/>
  <c r="AR159" i="33"/>
  <c r="AQ159" i="33"/>
  <c r="AP159" i="33"/>
  <c r="AO159" i="33"/>
  <c r="AN159" i="33"/>
  <c r="AM159" i="33"/>
  <c r="AL159" i="33"/>
  <c r="AK159" i="33"/>
  <c r="AJ159" i="33"/>
  <c r="AI159" i="33"/>
  <c r="AW158" i="33"/>
  <c r="AV158" i="33"/>
  <c r="AU158" i="33"/>
  <c r="AT158" i="33"/>
  <c r="AS158" i="33"/>
  <c r="AR158" i="33"/>
  <c r="AQ158" i="33"/>
  <c r="AP158" i="33"/>
  <c r="AO158" i="33"/>
  <c r="AN158" i="33"/>
  <c r="AM158" i="33"/>
  <c r="AL158" i="33"/>
  <c r="AK158" i="33"/>
  <c r="AJ158" i="33"/>
  <c r="AI158" i="33"/>
  <c r="AW157" i="33"/>
  <c r="AV157" i="33"/>
  <c r="AU157" i="33"/>
  <c r="AT157" i="33"/>
  <c r="AS157" i="33"/>
  <c r="AR157" i="33"/>
  <c r="AQ157" i="33"/>
  <c r="AP157" i="33"/>
  <c r="AO157" i="33"/>
  <c r="AN157" i="33"/>
  <c r="AM157" i="33"/>
  <c r="AL157" i="33"/>
  <c r="AK157" i="33"/>
  <c r="AJ157" i="33"/>
  <c r="AI157" i="33"/>
  <c r="AW156" i="33"/>
  <c r="AV156" i="33"/>
  <c r="AU156" i="33"/>
  <c r="AT156" i="33"/>
  <c r="AS156" i="33"/>
  <c r="AR156" i="33"/>
  <c r="AQ156" i="33"/>
  <c r="AP156" i="33"/>
  <c r="AO156" i="33"/>
  <c r="AN156" i="33"/>
  <c r="AM156" i="33"/>
  <c r="AL156" i="33"/>
  <c r="AK156" i="33"/>
  <c r="AJ156" i="33"/>
  <c r="AI156" i="33"/>
  <c r="AW155" i="33"/>
  <c r="AV155" i="33"/>
  <c r="AU155" i="33"/>
  <c r="AT155" i="33"/>
  <c r="AS155" i="33"/>
  <c r="AR155" i="33"/>
  <c r="AQ155" i="33"/>
  <c r="AP155" i="33"/>
  <c r="AO155" i="33"/>
  <c r="AN155" i="33"/>
  <c r="AM155" i="33"/>
  <c r="AL155" i="33"/>
  <c r="AK155" i="33"/>
  <c r="AJ155" i="33"/>
  <c r="AI155" i="33"/>
  <c r="AW154" i="33"/>
  <c r="AV154" i="33"/>
  <c r="AU154" i="33"/>
  <c r="AT154" i="33"/>
  <c r="AS154" i="33"/>
  <c r="AR154" i="33"/>
  <c r="AQ154" i="33"/>
  <c r="AP154" i="33"/>
  <c r="AO154" i="33"/>
  <c r="AN154" i="33"/>
  <c r="AM154" i="33"/>
  <c r="AL154" i="33"/>
  <c r="AK154" i="33"/>
  <c r="AJ154" i="33"/>
  <c r="AI154" i="33"/>
  <c r="AW153" i="33"/>
  <c r="AV153" i="33"/>
  <c r="AU153" i="33"/>
  <c r="AT153" i="33"/>
  <c r="AS153" i="33"/>
  <c r="AR153" i="33"/>
  <c r="AQ153" i="33"/>
  <c r="AP153" i="33"/>
  <c r="AO153" i="33"/>
  <c r="AN153" i="33"/>
  <c r="AM153" i="33"/>
  <c r="AL153" i="33"/>
  <c r="AK153" i="33"/>
  <c r="AJ153" i="33"/>
  <c r="AI153" i="33"/>
  <c r="AW152" i="33"/>
  <c r="AV152" i="33"/>
  <c r="AU152" i="33"/>
  <c r="AT152" i="33"/>
  <c r="AS152" i="33"/>
  <c r="AR152" i="33"/>
  <c r="AQ152" i="33"/>
  <c r="AP152" i="33"/>
  <c r="AO152" i="33"/>
  <c r="AN152" i="33"/>
  <c r="AM152" i="33"/>
  <c r="AL152" i="33"/>
  <c r="AK152" i="33"/>
  <c r="AJ152" i="33"/>
  <c r="AI152" i="33"/>
  <c r="AW151" i="33"/>
  <c r="AV151" i="33"/>
  <c r="AU151" i="33"/>
  <c r="AT151" i="33"/>
  <c r="AS151" i="33"/>
  <c r="AR151" i="33"/>
  <c r="AQ151" i="33"/>
  <c r="AP151" i="33"/>
  <c r="AO151" i="33"/>
  <c r="AN151" i="33"/>
  <c r="AM151" i="33"/>
  <c r="AL151" i="33"/>
  <c r="AK151" i="33"/>
  <c r="AJ151" i="33"/>
  <c r="AI151" i="33"/>
  <c r="AW150" i="33"/>
  <c r="AV150" i="33"/>
  <c r="AU150" i="33"/>
  <c r="AT150" i="33"/>
  <c r="AS150" i="33"/>
  <c r="AR150" i="33"/>
  <c r="AQ150" i="33"/>
  <c r="AP150" i="33"/>
  <c r="AO150" i="33"/>
  <c r="AN150" i="33"/>
  <c r="AM150" i="33"/>
  <c r="AL150" i="33"/>
  <c r="AK150" i="33"/>
  <c r="AJ150" i="33"/>
  <c r="AI150" i="33"/>
  <c r="AW149" i="33"/>
  <c r="AV149" i="33"/>
  <c r="AU149" i="33"/>
  <c r="AT149" i="33"/>
  <c r="AS149" i="33"/>
  <c r="AR149" i="33"/>
  <c r="AQ149" i="33"/>
  <c r="AP149" i="33"/>
  <c r="AO149" i="33"/>
  <c r="AN149" i="33"/>
  <c r="AM149" i="33"/>
  <c r="AL149" i="33"/>
  <c r="AK149" i="33"/>
  <c r="AJ149" i="33"/>
  <c r="AI149" i="33"/>
  <c r="AW148" i="33"/>
  <c r="AV148" i="33"/>
  <c r="AU148" i="33"/>
  <c r="AT148" i="33"/>
  <c r="AS148" i="33"/>
  <c r="AR148" i="33"/>
  <c r="AQ148" i="33"/>
  <c r="AP148" i="33"/>
  <c r="AO148" i="33"/>
  <c r="AN148" i="33"/>
  <c r="AM148" i="33"/>
  <c r="AL148" i="33"/>
  <c r="AK148" i="33"/>
  <c r="AJ148" i="33"/>
  <c r="AI148" i="33"/>
  <c r="AW147" i="33"/>
  <c r="AV147" i="33"/>
  <c r="AU147" i="33"/>
  <c r="AT147" i="33"/>
  <c r="AS147" i="33"/>
  <c r="AR147" i="33"/>
  <c r="AQ147" i="33"/>
  <c r="AP147" i="33"/>
  <c r="AO147" i="33"/>
  <c r="AN147" i="33"/>
  <c r="AM147" i="33"/>
  <c r="AL147" i="33"/>
  <c r="AK147" i="33"/>
  <c r="AJ147" i="33"/>
  <c r="AI147" i="33"/>
  <c r="AW146" i="33"/>
  <c r="AV146" i="33"/>
  <c r="AU146" i="33"/>
  <c r="AT146" i="33"/>
  <c r="AS146" i="33"/>
  <c r="AR146" i="33"/>
  <c r="AQ146" i="33"/>
  <c r="AP146" i="33"/>
  <c r="AO146" i="33"/>
  <c r="AN146" i="33"/>
  <c r="AM146" i="33"/>
  <c r="AL146" i="33"/>
  <c r="AK146" i="33"/>
  <c r="AJ146" i="33"/>
  <c r="AI146" i="33"/>
  <c r="AW145" i="33"/>
  <c r="AV145" i="33"/>
  <c r="AU145" i="33"/>
  <c r="AT145" i="33"/>
  <c r="AS145" i="33"/>
  <c r="AR145" i="33"/>
  <c r="AQ145" i="33"/>
  <c r="AP145" i="33"/>
  <c r="AO145" i="33"/>
  <c r="AN145" i="33"/>
  <c r="AM145" i="33"/>
  <c r="AL145" i="33"/>
  <c r="AK145" i="33"/>
  <c r="AJ145" i="33"/>
  <c r="AI145" i="33"/>
  <c r="AW144" i="33"/>
  <c r="AV144" i="33"/>
  <c r="AU144" i="33"/>
  <c r="AT144" i="33"/>
  <c r="AS144" i="33"/>
  <c r="AR144" i="33"/>
  <c r="AQ144" i="33"/>
  <c r="AP144" i="33"/>
  <c r="AO144" i="33"/>
  <c r="AN144" i="33"/>
  <c r="AM144" i="33"/>
  <c r="AL144" i="33"/>
  <c r="AK144" i="33"/>
  <c r="AJ144" i="33"/>
  <c r="AI144" i="33"/>
  <c r="AW143" i="33"/>
  <c r="AV143" i="33"/>
  <c r="AU143" i="33"/>
  <c r="AT143" i="33"/>
  <c r="AS143" i="33"/>
  <c r="AR143" i="33"/>
  <c r="AQ143" i="33"/>
  <c r="AP143" i="33"/>
  <c r="AO143" i="33"/>
  <c r="AN143" i="33"/>
  <c r="AM143" i="33"/>
  <c r="AL143" i="33"/>
  <c r="AK143" i="33"/>
  <c r="AJ143" i="33"/>
  <c r="AI143" i="33"/>
  <c r="AW135" i="33"/>
  <c r="AV135" i="33"/>
  <c r="AU135" i="33"/>
  <c r="AT135" i="33"/>
  <c r="AS135" i="33"/>
  <c r="AR135" i="33"/>
  <c r="AQ135" i="33"/>
  <c r="AP135" i="33"/>
  <c r="AO135" i="33"/>
  <c r="AN135" i="33"/>
  <c r="AM135" i="33"/>
  <c r="AL135" i="33"/>
  <c r="AK135" i="33"/>
  <c r="AJ135" i="33"/>
  <c r="AI135" i="33"/>
  <c r="AW134" i="33"/>
  <c r="AV134" i="33"/>
  <c r="AU134" i="33"/>
  <c r="AT134" i="33"/>
  <c r="AS134" i="33"/>
  <c r="AR134" i="33"/>
  <c r="AQ134" i="33"/>
  <c r="AP134" i="33"/>
  <c r="AO134" i="33"/>
  <c r="AN134" i="33"/>
  <c r="AM134" i="33"/>
  <c r="AL134" i="33"/>
  <c r="AK134" i="33"/>
  <c r="AJ134" i="33"/>
  <c r="AI134" i="33"/>
  <c r="AW133" i="33"/>
  <c r="AV133" i="33"/>
  <c r="AU133" i="33"/>
  <c r="AT133" i="33"/>
  <c r="AS133" i="33"/>
  <c r="AR133" i="33"/>
  <c r="AQ133" i="33"/>
  <c r="AP133" i="33"/>
  <c r="AO133" i="33"/>
  <c r="AN133" i="33"/>
  <c r="AM133" i="33"/>
  <c r="AL133" i="33"/>
  <c r="AK133" i="33"/>
  <c r="AJ133" i="33"/>
  <c r="AI133" i="33"/>
  <c r="AW132" i="33"/>
  <c r="AV132" i="33"/>
  <c r="AU132" i="33"/>
  <c r="AT132" i="33"/>
  <c r="AS132" i="33"/>
  <c r="AR132" i="33"/>
  <c r="AQ132" i="33"/>
  <c r="AP132" i="33"/>
  <c r="AO132" i="33"/>
  <c r="AN132" i="33"/>
  <c r="AM132" i="33"/>
  <c r="AL132" i="33"/>
  <c r="AK132" i="33"/>
  <c r="AJ132" i="33"/>
  <c r="AI132" i="33"/>
  <c r="AW131" i="33"/>
  <c r="AV131" i="33"/>
  <c r="AU131" i="33"/>
  <c r="AT131" i="33"/>
  <c r="AS131" i="33"/>
  <c r="AR131" i="33"/>
  <c r="AQ131" i="33"/>
  <c r="AP131" i="33"/>
  <c r="AO131" i="33"/>
  <c r="AN131" i="33"/>
  <c r="AM131" i="33"/>
  <c r="AL131" i="33"/>
  <c r="AK131" i="33"/>
  <c r="AJ131" i="33"/>
  <c r="AI131" i="33"/>
  <c r="AW130" i="33"/>
  <c r="AV130" i="33"/>
  <c r="AU130" i="33"/>
  <c r="AT130" i="33"/>
  <c r="AS130" i="33"/>
  <c r="AR130" i="33"/>
  <c r="AQ130" i="33"/>
  <c r="AP130" i="33"/>
  <c r="AO130" i="33"/>
  <c r="AN130" i="33"/>
  <c r="AM130" i="33"/>
  <c r="AL130" i="33"/>
  <c r="AK130" i="33"/>
  <c r="AJ130" i="33"/>
  <c r="AI130" i="33"/>
  <c r="AW129" i="33"/>
  <c r="AV129" i="33"/>
  <c r="AU129" i="33"/>
  <c r="AT129" i="33"/>
  <c r="AS129" i="33"/>
  <c r="AR129" i="33"/>
  <c r="AQ129" i="33"/>
  <c r="AP129" i="33"/>
  <c r="AO129" i="33"/>
  <c r="AN129" i="33"/>
  <c r="AM129" i="33"/>
  <c r="AL129" i="33"/>
  <c r="AK129" i="33"/>
  <c r="AJ129" i="33"/>
  <c r="AI129" i="33"/>
  <c r="AW128" i="33"/>
  <c r="AV128" i="33"/>
  <c r="AU128" i="33"/>
  <c r="AT128" i="33"/>
  <c r="AS128" i="33"/>
  <c r="AR128" i="33"/>
  <c r="AQ128" i="33"/>
  <c r="AP128" i="33"/>
  <c r="AO128" i="33"/>
  <c r="AN128" i="33"/>
  <c r="AM128" i="33"/>
  <c r="AL128" i="33"/>
  <c r="AK128" i="33"/>
  <c r="AJ128" i="33"/>
  <c r="AI128" i="33"/>
  <c r="AW127" i="33"/>
  <c r="AV127" i="33"/>
  <c r="AU127" i="33"/>
  <c r="AT127" i="33"/>
  <c r="AS127" i="33"/>
  <c r="AR127" i="33"/>
  <c r="AQ127" i="33"/>
  <c r="AP127" i="33"/>
  <c r="AO127" i="33"/>
  <c r="AN127" i="33"/>
  <c r="AM127" i="33"/>
  <c r="AL127" i="33"/>
  <c r="AK127" i="33"/>
  <c r="AJ127" i="33"/>
  <c r="AI127" i="33"/>
  <c r="AW126" i="33"/>
  <c r="AV126" i="33"/>
  <c r="AU126" i="33"/>
  <c r="AT126" i="33"/>
  <c r="AS126" i="33"/>
  <c r="AR126" i="33"/>
  <c r="AQ126" i="33"/>
  <c r="AP126" i="33"/>
  <c r="AO126" i="33"/>
  <c r="AN126" i="33"/>
  <c r="AM126" i="33"/>
  <c r="AL126" i="33"/>
  <c r="AK126" i="33"/>
  <c r="AJ126" i="33"/>
  <c r="AI126" i="33"/>
  <c r="AW125" i="33"/>
  <c r="AV125" i="33"/>
  <c r="AU125" i="33"/>
  <c r="AT125" i="33"/>
  <c r="AS125" i="33"/>
  <c r="AR125" i="33"/>
  <c r="AQ125" i="33"/>
  <c r="AP125" i="33"/>
  <c r="AO125" i="33"/>
  <c r="AN125" i="33"/>
  <c r="AM125" i="33"/>
  <c r="AL125" i="33"/>
  <c r="AK125" i="33"/>
  <c r="AJ125" i="33"/>
  <c r="AI125" i="33"/>
  <c r="AW124" i="33"/>
  <c r="AV124" i="33"/>
  <c r="AU124" i="33"/>
  <c r="AT124" i="33"/>
  <c r="AS124" i="33"/>
  <c r="AR124" i="33"/>
  <c r="AQ124" i="33"/>
  <c r="AP124" i="33"/>
  <c r="AO124" i="33"/>
  <c r="AN124" i="33"/>
  <c r="AM124" i="33"/>
  <c r="AL124" i="33"/>
  <c r="AK124" i="33"/>
  <c r="AJ124" i="33"/>
  <c r="AI124" i="33"/>
  <c r="AW123" i="33"/>
  <c r="AV123" i="33"/>
  <c r="AU123" i="33"/>
  <c r="AT123" i="33"/>
  <c r="AS123" i="33"/>
  <c r="AR123" i="33"/>
  <c r="AQ123" i="33"/>
  <c r="AP123" i="33"/>
  <c r="AO123" i="33"/>
  <c r="AN123" i="33"/>
  <c r="AM123" i="33"/>
  <c r="AL123" i="33"/>
  <c r="AK123" i="33"/>
  <c r="AJ123" i="33"/>
  <c r="AI123" i="33"/>
  <c r="AW122" i="33"/>
  <c r="AV122" i="33"/>
  <c r="AU122" i="33"/>
  <c r="AT122" i="33"/>
  <c r="AS122" i="33"/>
  <c r="AR122" i="33"/>
  <c r="AQ122" i="33"/>
  <c r="AP122" i="33"/>
  <c r="AO122" i="33"/>
  <c r="AN122" i="33"/>
  <c r="AM122" i="33"/>
  <c r="AL122" i="33"/>
  <c r="AK122" i="33"/>
  <c r="AJ122" i="33"/>
  <c r="AI122" i="33"/>
  <c r="AW121" i="33"/>
  <c r="AV121" i="33"/>
  <c r="AU121" i="33"/>
  <c r="AT121" i="33"/>
  <c r="AS121" i="33"/>
  <c r="AR121" i="33"/>
  <c r="AQ121" i="33"/>
  <c r="AP121" i="33"/>
  <c r="AO121" i="33"/>
  <c r="AN121" i="33"/>
  <c r="AM121" i="33"/>
  <c r="AL121" i="33"/>
  <c r="AK121" i="33"/>
  <c r="AJ121" i="33"/>
  <c r="AI121" i="33"/>
  <c r="AW120" i="33"/>
  <c r="AV120" i="33"/>
  <c r="AU120" i="33"/>
  <c r="AT120" i="33"/>
  <c r="AS120" i="33"/>
  <c r="AR120" i="33"/>
  <c r="AQ120" i="33"/>
  <c r="AP120" i="33"/>
  <c r="AO120" i="33"/>
  <c r="AN120" i="33"/>
  <c r="AM120" i="33"/>
  <c r="AL120" i="33"/>
  <c r="AK120" i="33"/>
  <c r="AJ120" i="33"/>
  <c r="AI120" i="33"/>
  <c r="AW119" i="33"/>
  <c r="AV119" i="33"/>
  <c r="AU119" i="33"/>
  <c r="AT119" i="33"/>
  <c r="AS119" i="33"/>
  <c r="AR119" i="33"/>
  <c r="AQ119" i="33"/>
  <c r="AP119" i="33"/>
  <c r="AO119" i="33"/>
  <c r="AN119" i="33"/>
  <c r="AM119" i="33"/>
  <c r="AL119" i="33"/>
  <c r="AK119" i="33"/>
  <c r="AJ119" i="33"/>
  <c r="AI119" i="33"/>
  <c r="AW118" i="33"/>
  <c r="AV118" i="33"/>
  <c r="AU118" i="33"/>
  <c r="AT118" i="33"/>
  <c r="AS118" i="33"/>
  <c r="AR118" i="33"/>
  <c r="AQ118" i="33"/>
  <c r="AP118" i="33"/>
  <c r="AO118" i="33"/>
  <c r="AN118" i="33"/>
  <c r="AM118" i="33"/>
  <c r="AL118" i="33"/>
  <c r="AK118" i="33"/>
  <c r="AJ118" i="33"/>
  <c r="AI118" i="33"/>
  <c r="AW117" i="33"/>
  <c r="AV117" i="33"/>
  <c r="AU117" i="33"/>
  <c r="AT117" i="33"/>
  <c r="AS117" i="33"/>
  <c r="AR117" i="33"/>
  <c r="AQ117" i="33"/>
  <c r="AP117" i="33"/>
  <c r="AO117" i="33"/>
  <c r="AN117" i="33"/>
  <c r="AM117" i="33"/>
  <c r="AL117" i="33"/>
  <c r="AK117" i="33"/>
  <c r="AJ117" i="33"/>
  <c r="AI117" i="33"/>
  <c r="AW116" i="33"/>
  <c r="AV116" i="33"/>
  <c r="AU116" i="33"/>
  <c r="AT116" i="33"/>
  <c r="AS116" i="33"/>
  <c r="AR116" i="33"/>
  <c r="AQ116" i="33"/>
  <c r="AP116" i="33"/>
  <c r="AO116" i="33"/>
  <c r="AN116" i="33"/>
  <c r="AM116" i="33"/>
  <c r="AL116" i="33"/>
  <c r="AK116" i="33"/>
  <c r="AJ116" i="33"/>
  <c r="AI116" i="33"/>
  <c r="AW115" i="33"/>
  <c r="AV115" i="33"/>
  <c r="AU115" i="33"/>
  <c r="AT115" i="33"/>
  <c r="AS115" i="33"/>
  <c r="AR115" i="33"/>
  <c r="AQ115" i="33"/>
  <c r="AP115" i="33"/>
  <c r="AO115" i="33"/>
  <c r="AN115" i="33"/>
  <c r="AM115" i="33"/>
  <c r="AL115" i="33"/>
  <c r="AK115" i="33"/>
  <c r="AJ115" i="33"/>
  <c r="AI115" i="33"/>
  <c r="AW114" i="33"/>
  <c r="AV114" i="33"/>
  <c r="AU114" i="33"/>
  <c r="AT114" i="33"/>
  <c r="AS114" i="33"/>
  <c r="AR114" i="33"/>
  <c r="AQ114" i="33"/>
  <c r="AP114" i="33"/>
  <c r="AO114" i="33"/>
  <c r="AN114" i="33"/>
  <c r="AM114" i="33"/>
  <c r="AL114" i="33"/>
  <c r="AK114" i="33"/>
  <c r="AJ114" i="33"/>
  <c r="AI114" i="33"/>
  <c r="AW113" i="33"/>
  <c r="AV113" i="33"/>
  <c r="AU113" i="33"/>
  <c r="AT113" i="33"/>
  <c r="AS113" i="33"/>
  <c r="AR113" i="33"/>
  <c r="AQ113" i="33"/>
  <c r="AP113" i="33"/>
  <c r="AO113" i="33"/>
  <c r="AN113" i="33"/>
  <c r="AM113" i="33"/>
  <c r="AL113" i="33"/>
  <c r="AK113" i="33"/>
  <c r="AJ113" i="33"/>
  <c r="AI113" i="33"/>
  <c r="AW112" i="33"/>
  <c r="AV112" i="33"/>
  <c r="AU112" i="33"/>
  <c r="AT112" i="33"/>
  <c r="AS112" i="33"/>
  <c r="AR112" i="33"/>
  <c r="AQ112" i="33"/>
  <c r="AP112" i="33"/>
  <c r="AO112" i="33"/>
  <c r="AN112" i="33"/>
  <c r="AM112" i="33"/>
  <c r="AL112" i="33"/>
  <c r="AK112" i="33"/>
  <c r="AJ112" i="33"/>
  <c r="AI112" i="33"/>
  <c r="AW111" i="33"/>
  <c r="AV111" i="33"/>
  <c r="AU111" i="33"/>
  <c r="AT111" i="33"/>
  <c r="AS111" i="33"/>
  <c r="AR111" i="33"/>
  <c r="AQ111" i="33"/>
  <c r="AP111" i="33"/>
  <c r="AO111" i="33"/>
  <c r="AN111" i="33"/>
  <c r="AM111" i="33"/>
  <c r="AL111" i="33"/>
  <c r="AK111" i="33"/>
  <c r="AJ111" i="33"/>
  <c r="AI111" i="33"/>
  <c r="AW110" i="33"/>
  <c r="AV110" i="33"/>
  <c r="AU110" i="33"/>
  <c r="AT110" i="33"/>
  <c r="AS110" i="33"/>
  <c r="AR110" i="33"/>
  <c r="AQ110" i="33"/>
  <c r="AP110" i="33"/>
  <c r="AO110" i="33"/>
  <c r="AN110" i="33"/>
  <c r="AM110" i="33"/>
  <c r="AL110" i="33"/>
  <c r="AK110" i="33"/>
  <c r="AJ110" i="33"/>
  <c r="AI110" i="33"/>
  <c r="AW109" i="33"/>
  <c r="AV109" i="33"/>
  <c r="AU109" i="33"/>
  <c r="AT109" i="33"/>
  <c r="AS109" i="33"/>
  <c r="AR109" i="33"/>
  <c r="AQ109" i="33"/>
  <c r="AP109" i="33"/>
  <c r="AO109" i="33"/>
  <c r="AN109" i="33"/>
  <c r="AM109" i="33"/>
  <c r="AL109" i="33"/>
  <c r="AK109" i="33"/>
  <c r="AJ109" i="33"/>
  <c r="AI109" i="33"/>
  <c r="AW108" i="33"/>
  <c r="AV108" i="33"/>
  <c r="AU108" i="33"/>
  <c r="AT108" i="33"/>
  <c r="AS108" i="33"/>
  <c r="AR108" i="33"/>
  <c r="AQ108" i="33"/>
  <c r="AP108" i="33"/>
  <c r="AO108" i="33"/>
  <c r="AN108" i="33"/>
  <c r="AM108" i="33"/>
  <c r="AL108" i="33"/>
  <c r="AK108" i="33"/>
  <c r="AJ108" i="33"/>
  <c r="AI108" i="33"/>
  <c r="AW107" i="33"/>
  <c r="AV107" i="33"/>
  <c r="AU107" i="33"/>
  <c r="AT107" i="33"/>
  <c r="AS107" i="33"/>
  <c r="AR107" i="33"/>
  <c r="AQ107" i="33"/>
  <c r="AP107" i="33"/>
  <c r="AO107" i="33"/>
  <c r="AN107" i="33"/>
  <c r="AM107" i="33"/>
  <c r="AL107" i="33"/>
  <c r="AK107" i="33"/>
  <c r="AJ107" i="33"/>
  <c r="AI107" i="33"/>
  <c r="AW106" i="33"/>
  <c r="AV106" i="33"/>
  <c r="AU106" i="33"/>
  <c r="AT106" i="33"/>
  <c r="AS106" i="33"/>
  <c r="AR106" i="33"/>
  <c r="AQ106" i="33"/>
  <c r="AP106" i="33"/>
  <c r="AO106" i="33"/>
  <c r="AN106" i="33"/>
  <c r="AM106" i="33"/>
  <c r="AL106" i="33"/>
  <c r="AK106" i="33"/>
  <c r="AJ106" i="33"/>
  <c r="AI106" i="33"/>
  <c r="AW105" i="33"/>
  <c r="AV105" i="33"/>
  <c r="AU105" i="33"/>
  <c r="AT105" i="33"/>
  <c r="AS105" i="33"/>
  <c r="AR105" i="33"/>
  <c r="AQ105" i="33"/>
  <c r="AP105" i="33"/>
  <c r="AO105" i="33"/>
  <c r="AN105" i="33"/>
  <c r="AM105" i="33"/>
  <c r="AL105" i="33"/>
  <c r="AK105" i="33"/>
  <c r="AJ105" i="33"/>
  <c r="AI105" i="33"/>
  <c r="AW104" i="33"/>
  <c r="AV104" i="33"/>
  <c r="AU104" i="33"/>
  <c r="AT104" i="33"/>
  <c r="AS104" i="33"/>
  <c r="AR104" i="33"/>
  <c r="AQ104" i="33"/>
  <c r="AP104" i="33"/>
  <c r="AO104" i="33"/>
  <c r="AN104" i="33"/>
  <c r="AM104" i="33"/>
  <c r="AL104" i="33"/>
  <c r="AK104" i="33"/>
  <c r="AJ104" i="33"/>
  <c r="AI104" i="33"/>
  <c r="AW103" i="33"/>
  <c r="AV103" i="33"/>
  <c r="AU103" i="33"/>
  <c r="AT103" i="33"/>
  <c r="AS103" i="33"/>
  <c r="AR103" i="33"/>
  <c r="AQ103" i="33"/>
  <c r="AP103" i="33"/>
  <c r="AO103" i="33"/>
  <c r="AN103" i="33"/>
  <c r="AM103" i="33"/>
  <c r="AL103" i="33"/>
  <c r="AK103" i="33"/>
  <c r="AJ103" i="33"/>
  <c r="AI103" i="33"/>
  <c r="AW102" i="33"/>
  <c r="AV102" i="33"/>
  <c r="AU102" i="33"/>
  <c r="AT102" i="33"/>
  <c r="AS102" i="33"/>
  <c r="AR102" i="33"/>
  <c r="AQ102" i="33"/>
  <c r="AP102" i="33"/>
  <c r="AO102" i="33"/>
  <c r="AN102" i="33"/>
  <c r="AM102" i="33"/>
  <c r="AL102" i="33"/>
  <c r="AK102" i="33"/>
  <c r="AJ102" i="33"/>
  <c r="AI102" i="33"/>
  <c r="AW101" i="33"/>
  <c r="AV101" i="33"/>
  <c r="AU101" i="33"/>
  <c r="AT101" i="33"/>
  <c r="AS101" i="33"/>
  <c r="AR101" i="33"/>
  <c r="AQ101" i="33"/>
  <c r="AP101" i="33"/>
  <c r="AO101" i="33"/>
  <c r="AN101" i="33"/>
  <c r="AM101" i="33"/>
  <c r="AL101" i="33"/>
  <c r="AK101" i="33"/>
  <c r="AJ101" i="33"/>
  <c r="AI101" i="33"/>
  <c r="AW100" i="33"/>
  <c r="AV100" i="33"/>
  <c r="AU100" i="33"/>
  <c r="AT100" i="33"/>
  <c r="AS100" i="33"/>
  <c r="AR100" i="33"/>
  <c r="AQ100" i="33"/>
  <c r="AP100" i="33"/>
  <c r="AO100" i="33"/>
  <c r="AN100" i="33"/>
  <c r="AM100" i="33"/>
  <c r="AL100" i="33"/>
  <c r="AK100" i="33"/>
  <c r="AJ100" i="33"/>
  <c r="AI100" i="33"/>
  <c r="AW99" i="33"/>
  <c r="AV99" i="33"/>
  <c r="AU99" i="33"/>
  <c r="AT99" i="33"/>
  <c r="AS99" i="33"/>
  <c r="AR99" i="33"/>
  <c r="AQ99" i="33"/>
  <c r="AP99" i="33"/>
  <c r="AO99" i="33"/>
  <c r="AN99" i="33"/>
  <c r="AM99" i="33"/>
  <c r="AL99" i="33"/>
  <c r="AK99" i="33"/>
  <c r="AJ99" i="33"/>
  <c r="AI99" i="33"/>
  <c r="AW98" i="33"/>
  <c r="AV98" i="33"/>
  <c r="AU98" i="33"/>
  <c r="AT98" i="33"/>
  <c r="AS98" i="33"/>
  <c r="AR98" i="33"/>
  <c r="AQ98" i="33"/>
  <c r="AP98" i="33"/>
  <c r="AO98" i="33"/>
  <c r="AN98" i="33"/>
  <c r="AM98" i="33"/>
  <c r="AL98" i="33"/>
  <c r="AK98" i="33"/>
  <c r="AJ98" i="33"/>
  <c r="AI98" i="33"/>
  <c r="G44" i="34"/>
  <c r="G53" i="34"/>
  <c r="G54" i="34"/>
  <c r="G55" i="34"/>
  <c r="G46" i="34"/>
  <c r="G56" i="34"/>
  <c r="G57" i="34"/>
  <c r="G48" i="34"/>
  <c r="G58" i="34"/>
  <c r="G59" i="34"/>
  <c r="G60" i="34"/>
  <c r="G42" i="34"/>
  <c r="G52" i="34"/>
  <c r="F44" i="34"/>
  <c r="EG44" i="34" s="1"/>
  <c r="F53" i="34"/>
  <c r="F54" i="34"/>
  <c r="F55" i="34"/>
  <c r="F46" i="34"/>
  <c r="F56" i="34"/>
  <c r="F57" i="34"/>
  <c r="F48" i="34"/>
  <c r="EG48" i="34" s="1"/>
  <c r="F58" i="34"/>
  <c r="EG58" i="34" s="1"/>
  <c r="F59" i="34"/>
  <c r="F60" i="34"/>
  <c r="EG60" i="34" s="1"/>
  <c r="F42" i="34"/>
  <c r="EG42" i="34" s="1"/>
  <c r="F52" i="34"/>
  <c r="E44" i="34"/>
  <c r="E53" i="34"/>
  <c r="E54" i="34"/>
  <c r="E55" i="34"/>
  <c r="E46" i="34"/>
  <c r="E56" i="34"/>
  <c r="E57" i="34"/>
  <c r="E48" i="34"/>
  <c r="E58" i="34"/>
  <c r="E59" i="34"/>
  <c r="E60" i="34"/>
  <c r="E42" i="34"/>
  <c r="E52" i="34"/>
  <c r="C44" i="34"/>
  <c r="C53" i="34"/>
  <c r="C54" i="34"/>
  <c r="C55" i="34"/>
  <c r="C46" i="34"/>
  <c r="C56" i="34"/>
  <c r="C57" i="34"/>
  <c r="C48" i="34"/>
  <c r="C58" i="34"/>
  <c r="C59" i="34"/>
  <c r="C60" i="34"/>
  <c r="C42" i="34"/>
  <c r="C52" i="34"/>
  <c r="BG52" i="34"/>
  <c r="DS52" i="34" s="1"/>
  <c r="BG115" i="34" s="1"/>
  <c r="BK52" i="34"/>
  <c r="DW52" i="34" s="1"/>
  <c r="BK115" i="34" s="1"/>
  <c r="BO52" i="34"/>
  <c r="EA52" i="34" s="1"/>
  <c r="BO115" i="34" s="1"/>
  <c r="BD52" i="34"/>
  <c r="DP52" i="34" s="1"/>
  <c r="BD115" i="34" s="1"/>
  <c r="BH52" i="34"/>
  <c r="DT52" i="34" s="1"/>
  <c r="BH115" i="34" s="1"/>
  <c r="BL52" i="34"/>
  <c r="DX52" i="34" s="1"/>
  <c r="BL115" i="34" s="1"/>
  <c r="BP52" i="34"/>
  <c r="EB52" i="34" s="1"/>
  <c r="BP115" i="34" s="1"/>
  <c r="BE52" i="34"/>
  <c r="DQ52" i="34" s="1"/>
  <c r="BE115" i="34" s="1"/>
  <c r="BI52" i="34"/>
  <c r="DU52" i="34" s="1"/>
  <c r="BI115" i="34" s="1"/>
  <c r="BM52" i="34"/>
  <c r="DY52" i="34" s="1"/>
  <c r="BM115" i="34" s="1"/>
  <c r="BQ52" i="34"/>
  <c r="EC52" i="34" s="1"/>
  <c r="BQ115" i="34" s="1"/>
  <c r="BC52" i="34"/>
  <c r="DO52" i="34" s="1"/>
  <c r="BC115" i="34" s="1"/>
  <c r="BF52" i="34"/>
  <c r="DR52" i="34" s="1"/>
  <c r="BF115" i="34" s="1"/>
  <c r="BJ52" i="34"/>
  <c r="DV52" i="34" s="1"/>
  <c r="BJ115" i="34" s="1"/>
  <c r="AP52" i="34"/>
  <c r="DB52" i="34" s="1"/>
  <c r="AP115" i="34" s="1"/>
  <c r="AT52" i="34"/>
  <c r="DF52" i="34" s="1"/>
  <c r="AT115" i="34" s="1"/>
  <c r="AX52" i="34"/>
  <c r="DJ52" i="34" s="1"/>
  <c r="AX115" i="34" s="1"/>
  <c r="BB52" i="34"/>
  <c r="DN52" i="34" s="1"/>
  <c r="BB115" i="34" s="1"/>
  <c r="AQ52" i="34"/>
  <c r="DC52" i="34" s="1"/>
  <c r="AQ115" i="34" s="1"/>
  <c r="AU52" i="34"/>
  <c r="DG52" i="34" s="1"/>
  <c r="AU115" i="34" s="1"/>
  <c r="AY52" i="34"/>
  <c r="DK52" i="34" s="1"/>
  <c r="AY115" i="34" s="1"/>
  <c r="AO52" i="34"/>
  <c r="DA52" i="34" s="1"/>
  <c r="AO115" i="34" s="1"/>
  <c r="AS52" i="34"/>
  <c r="DE52" i="34" s="1"/>
  <c r="AS115" i="34" s="1"/>
  <c r="AW52" i="34"/>
  <c r="DI52" i="34" s="1"/>
  <c r="AW115" i="34" s="1"/>
  <c r="BA52" i="34"/>
  <c r="DM52" i="34" s="1"/>
  <c r="BA115" i="34" s="1"/>
  <c r="AR52" i="34"/>
  <c r="DD52" i="34" s="1"/>
  <c r="AR115" i="34" s="1"/>
  <c r="AV52" i="34"/>
  <c r="DH52" i="34" s="1"/>
  <c r="AV115" i="34" s="1"/>
  <c r="AN52" i="34"/>
  <c r="CZ52" i="34" s="1"/>
  <c r="AN115" i="34" s="1"/>
  <c r="AZ52" i="34"/>
  <c r="DL52" i="34" s="1"/>
  <c r="AZ115" i="34" s="1"/>
  <c r="BN52" i="34"/>
  <c r="DZ52" i="34" s="1"/>
  <c r="BN115" i="34" s="1"/>
  <c r="BG58" i="34"/>
  <c r="DS58" i="34" s="1"/>
  <c r="BG121" i="34" s="1"/>
  <c r="BK58" i="34"/>
  <c r="DW58" i="34" s="1"/>
  <c r="BK121" i="34" s="1"/>
  <c r="BO58" i="34"/>
  <c r="EA58" i="34" s="1"/>
  <c r="BO121" i="34" s="1"/>
  <c r="BD58" i="34"/>
  <c r="DP58" i="34" s="1"/>
  <c r="BD121" i="34" s="1"/>
  <c r="BH58" i="34"/>
  <c r="DT58" i="34" s="1"/>
  <c r="BH121" i="34" s="1"/>
  <c r="BL58" i="34"/>
  <c r="DX58" i="34" s="1"/>
  <c r="BL121" i="34" s="1"/>
  <c r="BP58" i="34"/>
  <c r="EB58" i="34" s="1"/>
  <c r="BP121" i="34" s="1"/>
  <c r="BE58" i="34"/>
  <c r="DQ58" i="34" s="1"/>
  <c r="BE121" i="34" s="1"/>
  <c r="BI58" i="34"/>
  <c r="DU58" i="34" s="1"/>
  <c r="BI121" i="34" s="1"/>
  <c r="BM58" i="34"/>
  <c r="DY58" i="34" s="1"/>
  <c r="BM121" i="34" s="1"/>
  <c r="BQ58" i="34"/>
  <c r="EC58" i="34" s="1"/>
  <c r="BQ121" i="34" s="1"/>
  <c r="BJ58" i="34"/>
  <c r="DV58" i="34" s="1"/>
  <c r="BJ121" i="34" s="1"/>
  <c r="BC58" i="34"/>
  <c r="DO58" i="34" s="1"/>
  <c r="BC121" i="34" s="1"/>
  <c r="BN58" i="34"/>
  <c r="DZ58" i="34" s="1"/>
  <c r="BN121" i="34" s="1"/>
  <c r="AP58" i="34"/>
  <c r="DB58" i="34" s="1"/>
  <c r="AP121" i="34" s="1"/>
  <c r="AT58" i="34"/>
  <c r="DF58" i="34" s="1"/>
  <c r="AT121" i="34" s="1"/>
  <c r="AX58" i="34"/>
  <c r="DJ58" i="34" s="1"/>
  <c r="AX121" i="34" s="1"/>
  <c r="BB58" i="34"/>
  <c r="DN58" i="34" s="1"/>
  <c r="BB121" i="34" s="1"/>
  <c r="AQ58" i="34"/>
  <c r="DC58" i="34" s="1"/>
  <c r="AQ121" i="34" s="1"/>
  <c r="AU58" i="34"/>
  <c r="DG58" i="34" s="1"/>
  <c r="AU121" i="34" s="1"/>
  <c r="AY58" i="34"/>
  <c r="DK58" i="34" s="1"/>
  <c r="AY121" i="34" s="1"/>
  <c r="AO58" i="34"/>
  <c r="DA58" i="34" s="1"/>
  <c r="AO121" i="34" s="1"/>
  <c r="AS58" i="34"/>
  <c r="DE58" i="34" s="1"/>
  <c r="AS121" i="34" s="1"/>
  <c r="AW58" i="34"/>
  <c r="DI58" i="34" s="1"/>
  <c r="AW121" i="34" s="1"/>
  <c r="BA58" i="34"/>
  <c r="DM58" i="34" s="1"/>
  <c r="BA121" i="34" s="1"/>
  <c r="AV58" i="34"/>
  <c r="DH58" i="34" s="1"/>
  <c r="AV121" i="34" s="1"/>
  <c r="AZ58" i="34"/>
  <c r="DL58" i="34" s="1"/>
  <c r="AZ121" i="34" s="1"/>
  <c r="BF58" i="34"/>
  <c r="DR58" i="34" s="1"/>
  <c r="BF121" i="34" s="1"/>
  <c r="AN58" i="34"/>
  <c r="CZ58" i="34" s="1"/>
  <c r="AN121" i="34" s="1"/>
  <c r="AR58" i="34"/>
  <c r="DD58" i="34" s="1"/>
  <c r="AR121" i="34" s="1"/>
  <c r="BG46" i="34"/>
  <c r="DS46" i="34" s="1"/>
  <c r="BG109" i="34" s="1"/>
  <c r="BK46" i="34"/>
  <c r="DW46" i="34" s="1"/>
  <c r="BK109" i="34" s="1"/>
  <c r="BO46" i="34"/>
  <c r="EA46" i="34" s="1"/>
  <c r="BO109" i="34" s="1"/>
  <c r="BD46" i="34"/>
  <c r="DP46" i="34" s="1"/>
  <c r="BD109" i="34" s="1"/>
  <c r="BH46" i="34"/>
  <c r="DT46" i="34" s="1"/>
  <c r="BH109" i="34" s="1"/>
  <c r="BL46" i="34"/>
  <c r="DX46" i="34" s="1"/>
  <c r="BL109" i="34" s="1"/>
  <c r="BP46" i="34"/>
  <c r="EB46" i="34" s="1"/>
  <c r="BP109" i="34" s="1"/>
  <c r="BE46" i="34"/>
  <c r="DQ46" i="34" s="1"/>
  <c r="BE109" i="34" s="1"/>
  <c r="BI46" i="34"/>
  <c r="DU46" i="34" s="1"/>
  <c r="BI109" i="34" s="1"/>
  <c r="BM46" i="34"/>
  <c r="DY46" i="34" s="1"/>
  <c r="BM109" i="34" s="1"/>
  <c r="BQ46" i="34"/>
  <c r="EC46" i="34" s="1"/>
  <c r="BQ109" i="34" s="1"/>
  <c r="BC46" i="34"/>
  <c r="DO46" i="34" s="1"/>
  <c r="BC109" i="34" s="1"/>
  <c r="BF46" i="34"/>
  <c r="DR46" i="34" s="1"/>
  <c r="BF109" i="34" s="1"/>
  <c r="BJ46" i="34"/>
  <c r="DV46" i="34" s="1"/>
  <c r="BJ109" i="34" s="1"/>
  <c r="AP46" i="34"/>
  <c r="DB46" i="34" s="1"/>
  <c r="AP109" i="34" s="1"/>
  <c r="AT46" i="34"/>
  <c r="DF46" i="34" s="1"/>
  <c r="AT109" i="34" s="1"/>
  <c r="AX46" i="34"/>
  <c r="DJ46" i="34" s="1"/>
  <c r="AX109" i="34" s="1"/>
  <c r="BB46" i="34"/>
  <c r="DN46" i="34" s="1"/>
  <c r="BB109" i="34" s="1"/>
  <c r="AQ46" i="34"/>
  <c r="DC46" i="34" s="1"/>
  <c r="AQ109" i="34" s="1"/>
  <c r="AU46" i="34"/>
  <c r="DG46" i="34" s="1"/>
  <c r="AU109" i="34" s="1"/>
  <c r="AY46" i="34"/>
  <c r="DK46" i="34" s="1"/>
  <c r="AY109" i="34" s="1"/>
  <c r="BN46" i="34"/>
  <c r="DZ46" i="34" s="1"/>
  <c r="BN109" i="34" s="1"/>
  <c r="AO46" i="34"/>
  <c r="DA46" i="34" s="1"/>
  <c r="AO109" i="34" s="1"/>
  <c r="AS46" i="34"/>
  <c r="DE46" i="34" s="1"/>
  <c r="AS109" i="34" s="1"/>
  <c r="AW46" i="34"/>
  <c r="DI46" i="34" s="1"/>
  <c r="AW109" i="34" s="1"/>
  <c r="BA46" i="34"/>
  <c r="DM46" i="34" s="1"/>
  <c r="BA109" i="34" s="1"/>
  <c r="AR46" i="34"/>
  <c r="DD46" i="34" s="1"/>
  <c r="AR109" i="34" s="1"/>
  <c r="AV46" i="34"/>
  <c r="DH46" i="34" s="1"/>
  <c r="AV109" i="34" s="1"/>
  <c r="AN46" i="34"/>
  <c r="CZ46" i="34" s="1"/>
  <c r="AN109" i="34" s="1"/>
  <c r="AZ46" i="34"/>
  <c r="DL46" i="34" s="1"/>
  <c r="AZ109" i="34" s="1"/>
  <c r="BG44" i="34"/>
  <c r="DS44" i="34" s="1"/>
  <c r="BG107" i="34" s="1"/>
  <c r="BK44" i="34"/>
  <c r="DW44" i="34" s="1"/>
  <c r="BK107" i="34" s="1"/>
  <c r="BO44" i="34"/>
  <c r="EA44" i="34" s="1"/>
  <c r="BO107" i="34" s="1"/>
  <c r="BD44" i="34"/>
  <c r="DP44" i="34" s="1"/>
  <c r="BD107" i="34" s="1"/>
  <c r="BH44" i="34"/>
  <c r="DT44" i="34" s="1"/>
  <c r="BH107" i="34" s="1"/>
  <c r="BL44" i="34"/>
  <c r="DX44" i="34" s="1"/>
  <c r="BL107" i="34" s="1"/>
  <c r="BP44" i="34"/>
  <c r="EB44" i="34" s="1"/>
  <c r="BP107" i="34" s="1"/>
  <c r="BE44" i="34"/>
  <c r="DQ44" i="34" s="1"/>
  <c r="BE107" i="34" s="1"/>
  <c r="BI44" i="34"/>
  <c r="DU44" i="34" s="1"/>
  <c r="BI107" i="34" s="1"/>
  <c r="BM44" i="34"/>
  <c r="DY44" i="34" s="1"/>
  <c r="BM107" i="34" s="1"/>
  <c r="BQ44" i="34"/>
  <c r="EC44" i="34" s="1"/>
  <c r="BQ107" i="34" s="1"/>
  <c r="BJ44" i="34"/>
  <c r="DV44" i="34" s="1"/>
  <c r="BJ107" i="34" s="1"/>
  <c r="BC44" i="34"/>
  <c r="DO44" i="34" s="1"/>
  <c r="BC107" i="34" s="1"/>
  <c r="AO44" i="34"/>
  <c r="DA44" i="34" s="1"/>
  <c r="AO107" i="34" s="1"/>
  <c r="AS44" i="34"/>
  <c r="DE44" i="34" s="1"/>
  <c r="AS107" i="34" s="1"/>
  <c r="AW44" i="34"/>
  <c r="DI44" i="34" s="1"/>
  <c r="AW107" i="34" s="1"/>
  <c r="BA44" i="34"/>
  <c r="DM44" i="34" s="1"/>
  <c r="BA107" i="34" s="1"/>
  <c r="BN44" i="34"/>
  <c r="DZ44" i="34" s="1"/>
  <c r="BN107" i="34" s="1"/>
  <c r="AP44" i="34"/>
  <c r="DB44" i="34" s="1"/>
  <c r="AP107" i="34" s="1"/>
  <c r="AT44" i="34"/>
  <c r="DF44" i="34" s="1"/>
  <c r="AT107" i="34" s="1"/>
  <c r="AX44" i="34"/>
  <c r="DJ44" i="34" s="1"/>
  <c r="AX107" i="34" s="1"/>
  <c r="BB44" i="34"/>
  <c r="DN44" i="34" s="1"/>
  <c r="BB107" i="34" s="1"/>
  <c r="AQ44" i="34"/>
  <c r="DC44" i="34" s="1"/>
  <c r="AQ107" i="34" s="1"/>
  <c r="AU44" i="34"/>
  <c r="DG44" i="34" s="1"/>
  <c r="AU107" i="34" s="1"/>
  <c r="AY44" i="34"/>
  <c r="DK44" i="34" s="1"/>
  <c r="AY107" i="34" s="1"/>
  <c r="AR44" i="34"/>
  <c r="DD44" i="34" s="1"/>
  <c r="AR107" i="34" s="1"/>
  <c r="AV44" i="34"/>
  <c r="DH44" i="34" s="1"/>
  <c r="AV107" i="34" s="1"/>
  <c r="BF44" i="34"/>
  <c r="DR44" i="34" s="1"/>
  <c r="BF107" i="34" s="1"/>
  <c r="AN44" i="34"/>
  <c r="CZ44" i="34" s="1"/>
  <c r="AN107" i="34" s="1"/>
  <c r="AZ44" i="34"/>
  <c r="DL44" i="34" s="1"/>
  <c r="AZ107" i="34" s="1"/>
  <c r="BE42" i="34"/>
  <c r="DQ42" i="34" s="1"/>
  <c r="BE105" i="34" s="1"/>
  <c r="BI42" i="34"/>
  <c r="DU42" i="34" s="1"/>
  <c r="BI105" i="34" s="1"/>
  <c r="BM42" i="34"/>
  <c r="DY42" i="34" s="1"/>
  <c r="BM105" i="34" s="1"/>
  <c r="BQ42" i="34"/>
  <c r="EC42" i="34" s="1"/>
  <c r="BQ105" i="34" s="1"/>
  <c r="BF42" i="34"/>
  <c r="DR42" i="34" s="1"/>
  <c r="BF105" i="34" s="1"/>
  <c r="BJ42" i="34"/>
  <c r="DV42" i="34" s="1"/>
  <c r="BJ105" i="34" s="1"/>
  <c r="BN42" i="34"/>
  <c r="DZ42" i="34" s="1"/>
  <c r="BN105" i="34" s="1"/>
  <c r="BG42" i="34"/>
  <c r="DS42" i="34" s="1"/>
  <c r="BG105" i="34" s="1"/>
  <c r="BK42" i="34"/>
  <c r="DW42" i="34" s="1"/>
  <c r="BK105" i="34" s="1"/>
  <c r="BO42" i="34"/>
  <c r="EA42" i="34" s="1"/>
  <c r="BO105" i="34" s="1"/>
  <c r="BP42" i="34"/>
  <c r="EB42" i="34" s="1"/>
  <c r="BP105" i="34" s="1"/>
  <c r="BD42" i="34"/>
  <c r="DP42" i="34" s="1"/>
  <c r="BD105" i="34" s="1"/>
  <c r="BH42" i="34"/>
  <c r="DT42" i="34" s="1"/>
  <c r="BH105" i="34" s="1"/>
  <c r="AR42" i="34"/>
  <c r="DD42" i="34" s="1"/>
  <c r="AR105" i="34" s="1"/>
  <c r="AV42" i="34"/>
  <c r="DH42" i="34" s="1"/>
  <c r="AV105" i="34" s="1"/>
  <c r="AZ42" i="34"/>
  <c r="DL42" i="34" s="1"/>
  <c r="AZ105" i="34" s="1"/>
  <c r="BL42" i="34"/>
  <c r="DX42" i="34" s="1"/>
  <c r="BL105" i="34" s="1"/>
  <c r="BC42" i="34"/>
  <c r="DO42" i="34" s="1"/>
  <c r="BC105" i="34" s="1"/>
  <c r="AO42" i="34"/>
  <c r="DA42" i="34" s="1"/>
  <c r="AO105" i="34" s="1"/>
  <c r="AS42" i="34"/>
  <c r="DE42" i="34" s="1"/>
  <c r="AS105" i="34" s="1"/>
  <c r="AW42" i="34"/>
  <c r="DI42" i="34" s="1"/>
  <c r="AW105" i="34" s="1"/>
  <c r="BA42" i="34"/>
  <c r="DM42" i="34" s="1"/>
  <c r="BA105" i="34" s="1"/>
  <c r="AQ42" i="34"/>
  <c r="DC42" i="34" s="1"/>
  <c r="AQ105" i="34" s="1"/>
  <c r="AU42" i="34"/>
  <c r="DG42" i="34" s="1"/>
  <c r="AU105" i="34" s="1"/>
  <c r="AY42" i="34"/>
  <c r="DK42" i="34" s="1"/>
  <c r="AY105" i="34" s="1"/>
  <c r="BB42" i="34"/>
  <c r="DN42" i="34" s="1"/>
  <c r="BB105" i="34" s="1"/>
  <c r="AP42" i="34"/>
  <c r="DB42" i="34" s="1"/>
  <c r="AP105" i="34" s="1"/>
  <c r="AN42" i="34"/>
  <c r="CZ42" i="34" s="1"/>
  <c r="AN105" i="34" s="1"/>
  <c r="AT42" i="34"/>
  <c r="DF42" i="34" s="1"/>
  <c r="AT105" i="34" s="1"/>
  <c r="AX42" i="34"/>
  <c r="DJ42" i="34" s="1"/>
  <c r="AX105" i="34" s="1"/>
  <c r="BE48" i="34"/>
  <c r="DQ48" i="34" s="1"/>
  <c r="BE111" i="34" s="1"/>
  <c r="BI48" i="34"/>
  <c r="DU48" i="34" s="1"/>
  <c r="BI111" i="34" s="1"/>
  <c r="BM48" i="34"/>
  <c r="DY48" i="34" s="1"/>
  <c r="BM111" i="34" s="1"/>
  <c r="BQ48" i="34"/>
  <c r="EC48" i="34" s="1"/>
  <c r="BQ111" i="34" s="1"/>
  <c r="BF48" i="34"/>
  <c r="DR48" i="34" s="1"/>
  <c r="BF111" i="34" s="1"/>
  <c r="BJ48" i="34"/>
  <c r="DV48" i="34" s="1"/>
  <c r="BJ111" i="34" s="1"/>
  <c r="BN48" i="34"/>
  <c r="DZ48" i="34" s="1"/>
  <c r="BN111" i="34" s="1"/>
  <c r="BG48" i="34"/>
  <c r="DS48" i="34" s="1"/>
  <c r="BG111" i="34" s="1"/>
  <c r="BK48" i="34"/>
  <c r="DW48" i="34" s="1"/>
  <c r="BK111" i="34" s="1"/>
  <c r="BO48" i="34"/>
  <c r="EA48" i="34" s="1"/>
  <c r="BO111" i="34" s="1"/>
  <c r="BH48" i="34"/>
  <c r="DT48" i="34" s="1"/>
  <c r="BH111" i="34" s="1"/>
  <c r="BL48" i="34"/>
  <c r="DX48" i="34" s="1"/>
  <c r="BL111" i="34" s="1"/>
  <c r="BP48" i="34"/>
  <c r="EB48" i="34" s="1"/>
  <c r="BP111" i="34" s="1"/>
  <c r="BC48" i="34"/>
  <c r="DO48" i="34" s="1"/>
  <c r="BC111" i="34" s="1"/>
  <c r="AR48" i="34"/>
  <c r="DD48" i="34" s="1"/>
  <c r="AR111" i="34" s="1"/>
  <c r="AV48" i="34"/>
  <c r="DH48" i="34" s="1"/>
  <c r="AV111" i="34" s="1"/>
  <c r="AZ48" i="34"/>
  <c r="DL48" i="34" s="1"/>
  <c r="AZ111" i="34" s="1"/>
  <c r="BD48" i="34"/>
  <c r="DP48" i="34" s="1"/>
  <c r="BD111" i="34" s="1"/>
  <c r="AO48" i="34"/>
  <c r="DA48" i="34" s="1"/>
  <c r="AO111" i="34" s="1"/>
  <c r="AS48" i="34"/>
  <c r="DE48" i="34" s="1"/>
  <c r="AS111" i="34" s="1"/>
  <c r="AW48" i="34"/>
  <c r="DI48" i="34" s="1"/>
  <c r="AW111" i="34" s="1"/>
  <c r="BA48" i="34"/>
  <c r="DM48" i="34" s="1"/>
  <c r="BA111" i="34" s="1"/>
  <c r="AQ48" i="34"/>
  <c r="DC48" i="34" s="1"/>
  <c r="AQ111" i="34" s="1"/>
  <c r="AU48" i="34"/>
  <c r="DG48" i="34" s="1"/>
  <c r="AU111" i="34" s="1"/>
  <c r="AY48" i="34"/>
  <c r="DK48" i="34" s="1"/>
  <c r="AY111" i="34" s="1"/>
  <c r="AT48" i="34"/>
  <c r="DF48" i="34" s="1"/>
  <c r="AT111" i="34" s="1"/>
  <c r="AX48" i="34"/>
  <c r="DJ48" i="34" s="1"/>
  <c r="AX111" i="34" s="1"/>
  <c r="AN48" i="34"/>
  <c r="CZ48" i="34" s="1"/>
  <c r="AN111" i="34" s="1"/>
  <c r="BB48" i="34"/>
  <c r="DN48" i="34" s="1"/>
  <c r="BB111" i="34" s="1"/>
  <c r="AP48" i="34"/>
  <c r="DB48" i="34" s="1"/>
  <c r="AP111" i="34" s="1"/>
  <c r="BE55" i="34"/>
  <c r="DQ55" i="34" s="1"/>
  <c r="BE118" i="34" s="1"/>
  <c r="BI55" i="34"/>
  <c r="DU55" i="34" s="1"/>
  <c r="BI118" i="34" s="1"/>
  <c r="BM55" i="34"/>
  <c r="DY55" i="34" s="1"/>
  <c r="BM118" i="34" s="1"/>
  <c r="BQ55" i="34"/>
  <c r="EC55" i="34" s="1"/>
  <c r="BQ118" i="34" s="1"/>
  <c r="BF55" i="34"/>
  <c r="DR55" i="34" s="1"/>
  <c r="BF118" i="34" s="1"/>
  <c r="BJ55" i="34"/>
  <c r="DV55" i="34" s="1"/>
  <c r="BJ118" i="34" s="1"/>
  <c r="BN55" i="34"/>
  <c r="DZ55" i="34" s="1"/>
  <c r="BN118" i="34" s="1"/>
  <c r="BG55" i="34"/>
  <c r="DS55" i="34" s="1"/>
  <c r="BG118" i="34" s="1"/>
  <c r="BK55" i="34"/>
  <c r="DW55" i="34" s="1"/>
  <c r="BK118" i="34" s="1"/>
  <c r="BO55" i="34"/>
  <c r="EA55" i="34" s="1"/>
  <c r="BO118" i="34" s="1"/>
  <c r="BP55" i="34"/>
  <c r="EB55" i="34" s="1"/>
  <c r="BP118" i="34" s="1"/>
  <c r="BD55" i="34"/>
  <c r="DP55" i="34" s="1"/>
  <c r="BD118" i="34" s="1"/>
  <c r="BH55" i="34"/>
  <c r="DT55" i="34" s="1"/>
  <c r="BH118" i="34" s="1"/>
  <c r="AR55" i="34"/>
  <c r="DD55" i="34" s="1"/>
  <c r="AR118" i="34" s="1"/>
  <c r="AV55" i="34"/>
  <c r="DH55" i="34" s="1"/>
  <c r="AV118" i="34" s="1"/>
  <c r="AZ55" i="34"/>
  <c r="DL55" i="34" s="1"/>
  <c r="AZ118" i="34" s="1"/>
  <c r="AO55" i="34"/>
  <c r="DA55" i="34" s="1"/>
  <c r="AO118" i="34" s="1"/>
  <c r="AS55" i="34"/>
  <c r="DE55" i="34" s="1"/>
  <c r="AS118" i="34" s="1"/>
  <c r="AW55" i="34"/>
  <c r="DI55" i="34" s="1"/>
  <c r="AW118" i="34" s="1"/>
  <c r="BA55" i="34"/>
  <c r="DM55" i="34" s="1"/>
  <c r="BA118" i="34" s="1"/>
  <c r="BC55" i="34"/>
  <c r="DO55" i="34" s="1"/>
  <c r="BC118" i="34" s="1"/>
  <c r="AQ55" i="34"/>
  <c r="DC55" i="34" s="1"/>
  <c r="AQ118" i="34" s="1"/>
  <c r="AU55" i="34"/>
  <c r="DG55" i="34" s="1"/>
  <c r="AU118" i="34" s="1"/>
  <c r="AY55" i="34"/>
  <c r="DK55" i="34" s="1"/>
  <c r="AY118" i="34" s="1"/>
  <c r="BB55" i="34"/>
  <c r="DN55" i="34" s="1"/>
  <c r="BB118" i="34" s="1"/>
  <c r="BL55" i="34"/>
  <c r="DX55" i="34" s="1"/>
  <c r="BL118" i="34" s="1"/>
  <c r="AP55" i="34"/>
  <c r="DB55" i="34" s="1"/>
  <c r="AP118" i="34" s="1"/>
  <c r="AN55" i="34"/>
  <c r="CZ55" i="34" s="1"/>
  <c r="AN118" i="34" s="1"/>
  <c r="AT55" i="34"/>
  <c r="DF55" i="34" s="1"/>
  <c r="AT118" i="34" s="1"/>
  <c r="AX55" i="34"/>
  <c r="DJ55" i="34" s="1"/>
  <c r="AX118" i="34" s="1"/>
  <c r="BG60" i="34"/>
  <c r="DS60" i="34" s="1"/>
  <c r="BG123" i="34" s="1"/>
  <c r="BK60" i="34"/>
  <c r="DW60" i="34" s="1"/>
  <c r="BK123" i="34" s="1"/>
  <c r="BO60" i="34"/>
  <c r="EA60" i="34" s="1"/>
  <c r="BO123" i="34" s="1"/>
  <c r="BD60" i="34"/>
  <c r="DP60" i="34" s="1"/>
  <c r="BD123" i="34" s="1"/>
  <c r="BH60" i="34"/>
  <c r="DT60" i="34" s="1"/>
  <c r="BH123" i="34" s="1"/>
  <c r="BL60" i="34"/>
  <c r="DX60" i="34" s="1"/>
  <c r="BL123" i="34" s="1"/>
  <c r="BP60" i="34"/>
  <c r="EB60" i="34" s="1"/>
  <c r="BP123" i="34" s="1"/>
  <c r="BE60" i="34"/>
  <c r="DQ60" i="34" s="1"/>
  <c r="BE123" i="34" s="1"/>
  <c r="BI60" i="34"/>
  <c r="DU60" i="34" s="1"/>
  <c r="BI123" i="34" s="1"/>
  <c r="BM60" i="34"/>
  <c r="DY60" i="34" s="1"/>
  <c r="BM123" i="34" s="1"/>
  <c r="BQ60" i="34"/>
  <c r="EC60" i="34" s="1"/>
  <c r="BQ123" i="34" s="1"/>
  <c r="BN60" i="34"/>
  <c r="DZ60" i="34" s="1"/>
  <c r="BN123" i="34" s="1"/>
  <c r="BF60" i="34"/>
  <c r="DR60" i="34" s="1"/>
  <c r="BF123" i="34" s="1"/>
  <c r="BC60" i="34"/>
  <c r="DO60" i="34" s="1"/>
  <c r="BC123" i="34" s="1"/>
  <c r="BJ60" i="34"/>
  <c r="DV60" i="34" s="1"/>
  <c r="BJ123" i="34" s="1"/>
  <c r="AP60" i="34"/>
  <c r="DB60" i="34" s="1"/>
  <c r="AP123" i="34" s="1"/>
  <c r="AT60" i="34"/>
  <c r="DF60" i="34" s="1"/>
  <c r="AT123" i="34" s="1"/>
  <c r="AX60" i="34"/>
  <c r="DJ60" i="34" s="1"/>
  <c r="AX123" i="34" s="1"/>
  <c r="BB60" i="34"/>
  <c r="DN60" i="34" s="1"/>
  <c r="BB123" i="34" s="1"/>
  <c r="AQ60" i="34"/>
  <c r="DC60" i="34" s="1"/>
  <c r="AQ123" i="34" s="1"/>
  <c r="AU60" i="34"/>
  <c r="DG60" i="34" s="1"/>
  <c r="AU123" i="34" s="1"/>
  <c r="AY60" i="34"/>
  <c r="DK60" i="34" s="1"/>
  <c r="AY123" i="34" s="1"/>
  <c r="AO60" i="34"/>
  <c r="DA60" i="34" s="1"/>
  <c r="AO123" i="34" s="1"/>
  <c r="AS60" i="34"/>
  <c r="DE60" i="34" s="1"/>
  <c r="AS123" i="34" s="1"/>
  <c r="AW60" i="34"/>
  <c r="DI60" i="34" s="1"/>
  <c r="AW123" i="34" s="1"/>
  <c r="BA60" i="34"/>
  <c r="DM60" i="34" s="1"/>
  <c r="BA123" i="34" s="1"/>
  <c r="AZ60" i="34"/>
  <c r="DL60" i="34" s="1"/>
  <c r="AZ123" i="34" s="1"/>
  <c r="AR60" i="34"/>
  <c r="DD60" i="34" s="1"/>
  <c r="AR123" i="34" s="1"/>
  <c r="AV60" i="34"/>
  <c r="DH60" i="34" s="1"/>
  <c r="AV123" i="34" s="1"/>
  <c r="AN60" i="34"/>
  <c r="CZ60" i="34" s="1"/>
  <c r="AN123" i="34" s="1"/>
  <c r="BG57" i="34"/>
  <c r="DS57" i="34" s="1"/>
  <c r="BG120" i="34" s="1"/>
  <c r="BK57" i="34"/>
  <c r="DW57" i="34" s="1"/>
  <c r="BK120" i="34" s="1"/>
  <c r="BO57" i="34"/>
  <c r="EA57" i="34" s="1"/>
  <c r="BO120" i="34" s="1"/>
  <c r="BD57" i="34"/>
  <c r="DP57" i="34" s="1"/>
  <c r="BD120" i="34" s="1"/>
  <c r="BH57" i="34"/>
  <c r="DT57" i="34" s="1"/>
  <c r="BH120" i="34" s="1"/>
  <c r="BL57" i="34"/>
  <c r="DX57" i="34" s="1"/>
  <c r="BL120" i="34" s="1"/>
  <c r="BP57" i="34"/>
  <c r="EB57" i="34" s="1"/>
  <c r="BP120" i="34" s="1"/>
  <c r="BE57" i="34"/>
  <c r="DQ57" i="34" s="1"/>
  <c r="BE120" i="34" s="1"/>
  <c r="BI57" i="34"/>
  <c r="DU57" i="34" s="1"/>
  <c r="BI120" i="34" s="1"/>
  <c r="BM57" i="34"/>
  <c r="DY57" i="34" s="1"/>
  <c r="BM120" i="34" s="1"/>
  <c r="BQ57" i="34"/>
  <c r="EC57" i="34" s="1"/>
  <c r="BQ120" i="34" s="1"/>
  <c r="BF57" i="34"/>
  <c r="DR57" i="34" s="1"/>
  <c r="BF120" i="34" s="1"/>
  <c r="BJ57" i="34"/>
  <c r="DV57" i="34" s="1"/>
  <c r="BJ120" i="34" s="1"/>
  <c r="BN57" i="34"/>
  <c r="DZ57" i="34" s="1"/>
  <c r="BN120" i="34" s="1"/>
  <c r="BC57" i="34"/>
  <c r="DO57" i="34" s="1"/>
  <c r="BC120" i="34" s="1"/>
  <c r="AP57" i="34"/>
  <c r="DB57" i="34" s="1"/>
  <c r="AP120" i="34" s="1"/>
  <c r="AT57" i="34"/>
  <c r="DF57" i="34" s="1"/>
  <c r="AT120" i="34" s="1"/>
  <c r="AX57" i="34"/>
  <c r="DJ57" i="34" s="1"/>
  <c r="AX120" i="34" s="1"/>
  <c r="BB57" i="34"/>
  <c r="DN57" i="34" s="1"/>
  <c r="BB120" i="34" s="1"/>
  <c r="AQ57" i="34"/>
  <c r="DC57" i="34" s="1"/>
  <c r="AQ120" i="34" s="1"/>
  <c r="AU57" i="34"/>
  <c r="DG57" i="34" s="1"/>
  <c r="AU120" i="34" s="1"/>
  <c r="AY57" i="34"/>
  <c r="DK57" i="34" s="1"/>
  <c r="AY120" i="34" s="1"/>
  <c r="AO57" i="34"/>
  <c r="DA57" i="34" s="1"/>
  <c r="AO120" i="34" s="1"/>
  <c r="AS57" i="34"/>
  <c r="DE57" i="34" s="1"/>
  <c r="AS120" i="34" s="1"/>
  <c r="AW57" i="34"/>
  <c r="DI57" i="34" s="1"/>
  <c r="AW120" i="34" s="1"/>
  <c r="BA57" i="34"/>
  <c r="DM57" i="34" s="1"/>
  <c r="BA120" i="34" s="1"/>
  <c r="AR57" i="34"/>
  <c r="DD57" i="34" s="1"/>
  <c r="AR120" i="34" s="1"/>
  <c r="AV57" i="34"/>
  <c r="DH57" i="34" s="1"/>
  <c r="AV120" i="34" s="1"/>
  <c r="AZ57" i="34"/>
  <c r="DL57" i="34" s="1"/>
  <c r="AZ120" i="34" s="1"/>
  <c r="AN57" i="34"/>
  <c r="CZ57" i="34" s="1"/>
  <c r="AN120" i="34" s="1"/>
  <c r="BG54" i="34"/>
  <c r="DS54" i="34" s="1"/>
  <c r="BG117" i="34" s="1"/>
  <c r="BK54" i="34"/>
  <c r="DW54" i="34" s="1"/>
  <c r="BK117" i="34" s="1"/>
  <c r="BO54" i="34"/>
  <c r="EA54" i="34" s="1"/>
  <c r="BO117" i="34" s="1"/>
  <c r="BD54" i="34"/>
  <c r="DP54" i="34" s="1"/>
  <c r="BD117" i="34" s="1"/>
  <c r="BH54" i="34"/>
  <c r="DT54" i="34" s="1"/>
  <c r="BH117" i="34" s="1"/>
  <c r="BL54" i="34"/>
  <c r="DX54" i="34" s="1"/>
  <c r="BL117" i="34" s="1"/>
  <c r="BP54" i="34"/>
  <c r="EB54" i="34" s="1"/>
  <c r="BP117" i="34" s="1"/>
  <c r="BE54" i="34"/>
  <c r="DQ54" i="34" s="1"/>
  <c r="BE117" i="34" s="1"/>
  <c r="BI54" i="34"/>
  <c r="DU54" i="34" s="1"/>
  <c r="BI117" i="34" s="1"/>
  <c r="BM54" i="34"/>
  <c r="DY54" i="34" s="1"/>
  <c r="BM117" i="34" s="1"/>
  <c r="BQ54" i="34"/>
  <c r="EC54" i="34" s="1"/>
  <c r="BQ117" i="34" s="1"/>
  <c r="BN54" i="34"/>
  <c r="DZ54" i="34" s="1"/>
  <c r="BN117" i="34" s="1"/>
  <c r="BF54" i="34"/>
  <c r="DR54" i="34" s="1"/>
  <c r="BF117" i="34" s="1"/>
  <c r="BC54" i="34"/>
  <c r="DO54" i="34" s="1"/>
  <c r="BC117" i="34" s="1"/>
  <c r="AP54" i="34"/>
  <c r="DB54" i="34" s="1"/>
  <c r="AP117" i="34" s="1"/>
  <c r="AT54" i="34"/>
  <c r="DF54" i="34" s="1"/>
  <c r="AT117" i="34" s="1"/>
  <c r="AX54" i="34"/>
  <c r="DJ54" i="34" s="1"/>
  <c r="AX117" i="34" s="1"/>
  <c r="BB54" i="34"/>
  <c r="DN54" i="34" s="1"/>
  <c r="BB117" i="34" s="1"/>
  <c r="BJ54" i="34"/>
  <c r="DV54" i="34" s="1"/>
  <c r="BJ117" i="34" s="1"/>
  <c r="AQ54" i="34"/>
  <c r="DC54" i="34" s="1"/>
  <c r="AU54" i="34"/>
  <c r="DG54" i="34" s="1"/>
  <c r="AU117" i="34" s="1"/>
  <c r="AY54" i="34"/>
  <c r="DK54" i="34" s="1"/>
  <c r="AY117" i="34" s="1"/>
  <c r="AO54" i="34"/>
  <c r="DA54" i="34" s="1"/>
  <c r="AO117" i="34" s="1"/>
  <c r="AS54" i="34"/>
  <c r="DE54" i="34" s="1"/>
  <c r="AS117" i="34" s="1"/>
  <c r="AW54" i="34"/>
  <c r="DI54" i="34" s="1"/>
  <c r="AW117" i="34" s="1"/>
  <c r="BA54" i="34"/>
  <c r="DM54" i="34" s="1"/>
  <c r="BA117" i="34" s="1"/>
  <c r="AZ54" i="34"/>
  <c r="DL54" i="34" s="1"/>
  <c r="AZ117" i="34" s="1"/>
  <c r="AR54" i="34"/>
  <c r="DD54" i="34" s="1"/>
  <c r="AR117" i="34" s="1"/>
  <c r="AN54" i="34"/>
  <c r="CZ54" i="34" s="1"/>
  <c r="AN117" i="34" s="1"/>
  <c r="AV54" i="34"/>
  <c r="DH54" i="34" s="1"/>
  <c r="AV117" i="34" s="1"/>
  <c r="BE59" i="34"/>
  <c r="DQ59" i="34" s="1"/>
  <c r="BE122" i="34" s="1"/>
  <c r="BI59" i="34"/>
  <c r="DU59" i="34" s="1"/>
  <c r="BI122" i="34" s="1"/>
  <c r="BM59" i="34"/>
  <c r="DY59" i="34" s="1"/>
  <c r="BM122" i="34" s="1"/>
  <c r="BQ59" i="34"/>
  <c r="EC59" i="34" s="1"/>
  <c r="BQ122" i="34" s="1"/>
  <c r="BF59" i="34"/>
  <c r="DR59" i="34" s="1"/>
  <c r="BF122" i="34" s="1"/>
  <c r="BJ59" i="34"/>
  <c r="DV59" i="34" s="1"/>
  <c r="BJ122" i="34" s="1"/>
  <c r="BN59" i="34"/>
  <c r="DZ59" i="34" s="1"/>
  <c r="BN122" i="34" s="1"/>
  <c r="BG59" i="34"/>
  <c r="DS59" i="34" s="1"/>
  <c r="BG122" i="34" s="1"/>
  <c r="BK59" i="34"/>
  <c r="DW59" i="34" s="1"/>
  <c r="BK122" i="34" s="1"/>
  <c r="BO59" i="34"/>
  <c r="EA59" i="34" s="1"/>
  <c r="BO122" i="34" s="1"/>
  <c r="BL59" i="34"/>
  <c r="DX59" i="34" s="1"/>
  <c r="BL122" i="34" s="1"/>
  <c r="BP59" i="34"/>
  <c r="EB59" i="34" s="1"/>
  <c r="BP122" i="34" s="1"/>
  <c r="BC59" i="34"/>
  <c r="DO59" i="34" s="1"/>
  <c r="BC122" i="34" s="1"/>
  <c r="BD59" i="34"/>
  <c r="DP59" i="34" s="1"/>
  <c r="BD122" i="34" s="1"/>
  <c r="AR59" i="34"/>
  <c r="DD59" i="34" s="1"/>
  <c r="AR122" i="34" s="1"/>
  <c r="AV59" i="34"/>
  <c r="DH59" i="34" s="1"/>
  <c r="AV122" i="34" s="1"/>
  <c r="AZ59" i="34"/>
  <c r="DL59" i="34" s="1"/>
  <c r="AZ122" i="34" s="1"/>
  <c r="AO59" i="34"/>
  <c r="DA59" i="34" s="1"/>
  <c r="AO122" i="34" s="1"/>
  <c r="AS59" i="34"/>
  <c r="DE59" i="34" s="1"/>
  <c r="AS122" i="34" s="1"/>
  <c r="AW59" i="34"/>
  <c r="DI59" i="34" s="1"/>
  <c r="AW122" i="34" s="1"/>
  <c r="BA59" i="34"/>
  <c r="DM59" i="34" s="1"/>
  <c r="BA122" i="34" s="1"/>
  <c r="BH59" i="34"/>
  <c r="DT59" i="34" s="1"/>
  <c r="BH122" i="34" s="1"/>
  <c r="AQ59" i="34"/>
  <c r="DC59" i="34" s="1"/>
  <c r="AQ122" i="34" s="1"/>
  <c r="AU59" i="34"/>
  <c r="DG59" i="34" s="1"/>
  <c r="AU122" i="34" s="1"/>
  <c r="AY59" i="34"/>
  <c r="DK59" i="34" s="1"/>
  <c r="AY122" i="34" s="1"/>
  <c r="AX59" i="34"/>
  <c r="DJ59" i="34" s="1"/>
  <c r="AX122" i="34" s="1"/>
  <c r="BB59" i="34"/>
  <c r="DN59" i="34" s="1"/>
  <c r="BB122" i="34" s="1"/>
  <c r="AP59" i="34"/>
  <c r="DB59" i="34" s="1"/>
  <c r="AP122" i="34" s="1"/>
  <c r="AT59" i="34"/>
  <c r="DF59" i="34" s="1"/>
  <c r="AT122" i="34" s="1"/>
  <c r="AN59" i="34"/>
  <c r="CZ59" i="34" s="1"/>
  <c r="AN122" i="34" s="1"/>
  <c r="BE56" i="34"/>
  <c r="DQ56" i="34" s="1"/>
  <c r="BE119" i="34" s="1"/>
  <c r="BI56" i="34"/>
  <c r="DU56" i="34" s="1"/>
  <c r="BI119" i="34" s="1"/>
  <c r="BM56" i="34"/>
  <c r="DY56" i="34" s="1"/>
  <c r="BM119" i="34" s="1"/>
  <c r="BQ56" i="34"/>
  <c r="EC56" i="34" s="1"/>
  <c r="BQ119" i="34" s="1"/>
  <c r="BF56" i="34"/>
  <c r="DR56" i="34" s="1"/>
  <c r="BF119" i="34" s="1"/>
  <c r="BJ56" i="34"/>
  <c r="DV56" i="34" s="1"/>
  <c r="BJ119" i="34" s="1"/>
  <c r="BN56" i="34"/>
  <c r="DZ56" i="34" s="1"/>
  <c r="BN119" i="34" s="1"/>
  <c r="BG56" i="34"/>
  <c r="DS56" i="34" s="1"/>
  <c r="BG119" i="34" s="1"/>
  <c r="BK56" i="34"/>
  <c r="DW56" i="34" s="1"/>
  <c r="BK119" i="34" s="1"/>
  <c r="BO56" i="34"/>
  <c r="EA56" i="34" s="1"/>
  <c r="BO119" i="34" s="1"/>
  <c r="BD56" i="34"/>
  <c r="DP56" i="34" s="1"/>
  <c r="BD119" i="34" s="1"/>
  <c r="BH56" i="34"/>
  <c r="DT56" i="34" s="1"/>
  <c r="BH119" i="34" s="1"/>
  <c r="BC56" i="34"/>
  <c r="DO56" i="34" s="1"/>
  <c r="BC119" i="34" s="1"/>
  <c r="BL56" i="34"/>
  <c r="DX56" i="34" s="1"/>
  <c r="BL119" i="34" s="1"/>
  <c r="BP56" i="34"/>
  <c r="EB56" i="34" s="1"/>
  <c r="BP119" i="34" s="1"/>
  <c r="AR56" i="34"/>
  <c r="DD56" i="34" s="1"/>
  <c r="AR119" i="34" s="1"/>
  <c r="AV56" i="34"/>
  <c r="DH56" i="34" s="1"/>
  <c r="AV119" i="34" s="1"/>
  <c r="AZ56" i="34"/>
  <c r="DL56" i="34" s="1"/>
  <c r="AZ119" i="34" s="1"/>
  <c r="AO56" i="34"/>
  <c r="DA56" i="34" s="1"/>
  <c r="AO119" i="34" s="1"/>
  <c r="AS56" i="34"/>
  <c r="DE56" i="34" s="1"/>
  <c r="AS119" i="34" s="1"/>
  <c r="AW56" i="34"/>
  <c r="DI56" i="34" s="1"/>
  <c r="AW119" i="34" s="1"/>
  <c r="BA56" i="34"/>
  <c r="DM56" i="34" s="1"/>
  <c r="BA119" i="34" s="1"/>
  <c r="AQ56" i="34"/>
  <c r="DC56" i="34" s="1"/>
  <c r="AQ119" i="34" s="1"/>
  <c r="AU56" i="34"/>
  <c r="DG56" i="34" s="1"/>
  <c r="AU119" i="34" s="1"/>
  <c r="AY56" i="34"/>
  <c r="DK56" i="34" s="1"/>
  <c r="AY119" i="34" s="1"/>
  <c r="AP56" i="34"/>
  <c r="DB56" i="34" s="1"/>
  <c r="AP119" i="34" s="1"/>
  <c r="AT56" i="34"/>
  <c r="DF56" i="34" s="1"/>
  <c r="AT119" i="34" s="1"/>
  <c r="AX56" i="34"/>
  <c r="DJ56" i="34" s="1"/>
  <c r="AX119" i="34" s="1"/>
  <c r="AN56" i="34"/>
  <c r="CZ56" i="34" s="1"/>
  <c r="AN119" i="34" s="1"/>
  <c r="BB56" i="34"/>
  <c r="DN56" i="34" s="1"/>
  <c r="BB119" i="34" s="1"/>
  <c r="BE53" i="34"/>
  <c r="DQ53" i="34" s="1"/>
  <c r="BE116" i="34" s="1"/>
  <c r="BI53" i="34"/>
  <c r="DU53" i="34" s="1"/>
  <c r="BI116" i="34" s="1"/>
  <c r="BM53" i="34"/>
  <c r="DY53" i="34" s="1"/>
  <c r="BM116" i="34" s="1"/>
  <c r="BQ53" i="34"/>
  <c r="EC53" i="34" s="1"/>
  <c r="BQ116" i="34" s="1"/>
  <c r="BF53" i="34"/>
  <c r="DR53" i="34" s="1"/>
  <c r="BF116" i="34" s="1"/>
  <c r="BJ53" i="34"/>
  <c r="DV53" i="34" s="1"/>
  <c r="BJ116" i="34" s="1"/>
  <c r="BN53" i="34"/>
  <c r="DZ53" i="34" s="1"/>
  <c r="BN116" i="34" s="1"/>
  <c r="BG53" i="34"/>
  <c r="DS53" i="34" s="1"/>
  <c r="BG116" i="34" s="1"/>
  <c r="BK53" i="34"/>
  <c r="DW53" i="34" s="1"/>
  <c r="BK116" i="34" s="1"/>
  <c r="BO53" i="34"/>
  <c r="EA53" i="34" s="1"/>
  <c r="BO116" i="34" s="1"/>
  <c r="BL53" i="34"/>
  <c r="DX53" i="34" s="1"/>
  <c r="BL116" i="34" s="1"/>
  <c r="AQ53" i="34"/>
  <c r="DC53" i="34" s="1"/>
  <c r="AQ116" i="34" s="1"/>
  <c r="AU53" i="34"/>
  <c r="DG53" i="34" s="1"/>
  <c r="AU116" i="34" s="1"/>
  <c r="AY53" i="34"/>
  <c r="DK53" i="34" s="1"/>
  <c r="AY116" i="34" s="1"/>
  <c r="BP53" i="34"/>
  <c r="EB53" i="34" s="1"/>
  <c r="BP116" i="34" s="1"/>
  <c r="BC53" i="34"/>
  <c r="DO53" i="34" s="1"/>
  <c r="BC116" i="34" s="1"/>
  <c r="AR53" i="34"/>
  <c r="DD53" i="34" s="1"/>
  <c r="AR116" i="34" s="1"/>
  <c r="BD53" i="34"/>
  <c r="DP53" i="34" s="1"/>
  <c r="BD116" i="34" s="1"/>
  <c r="AO53" i="34"/>
  <c r="DA53" i="34" s="1"/>
  <c r="AO116" i="34" s="1"/>
  <c r="AS53" i="34"/>
  <c r="DE53" i="34" s="1"/>
  <c r="AS116" i="34" s="1"/>
  <c r="BH53" i="34"/>
  <c r="DT53" i="34" s="1"/>
  <c r="BH116" i="34" s="1"/>
  <c r="AT53" i="34"/>
  <c r="DF53" i="34" s="1"/>
  <c r="AT116" i="34" s="1"/>
  <c r="AZ53" i="34"/>
  <c r="DL53" i="34" s="1"/>
  <c r="AZ116" i="34" s="1"/>
  <c r="AV53" i="34"/>
  <c r="DH53" i="34" s="1"/>
  <c r="AV116" i="34" s="1"/>
  <c r="BA53" i="34"/>
  <c r="DM53" i="34" s="1"/>
  <c r="BA116" i="34" s="1"/>
  <c r="AP53" i="34"/>
  <c r="DB53" i="34" s="1"/>
  <c r="AP116" i="34" s="1"/>
  <c r="AX53" i="34"/>
  <c r="DJ53" i="34" s="1"/>
  <c r="AX116" i="34" s="1"/>
  <c r="AW53" i="34"/>
  <c r="DI53" i="34" s="1"/>
  <c r="AW116" i="34" s="1"/>
  <c r="BB53" i="34"/>
  <c r="DN53" i="34" s="1"/>
  <c r="BB116" i="34" s="1"/>
  <c r="AN53" i="34"/>
  <c r="CZ53" i="34" s="1"/>
  <c r="AN116" i="34" s="1"/>
  <c r="BD43" i="34"/>
  <c r="DP43" i="34" s="1"/>
  <c r="BD106" i="34" s="1"/>
  <c r="BH43" i="34"/>
  <c r="DT43" i="34" s="1"/>
  <c r="BH106" i="34" s="1"/>
  <c r="BL43" i="34"/>
  <c r="DX43" i="34" s="1"/>
  <c r="BL106" i="34" s="1"/>
  <c r="BP43" i="34"/>
  <c r="EB43" i="34" s="1"/>
  <c r="BP106" i="34" s="1"/>
  <c r="BE43" i="34"/>
  <c r="DQ43" i="34" s="1"/>
  <c r="BE106" i="34" s="1"/>
  <c r="BI43" i="34"/>
  <c r="DU43" i="34" s="1"/>
  <c r="BI106" i="34" s="1"/>
  <c r="BM43" i="34"/>
  <c r="DY43" i="34" s="1"/>
  <c r="BM106" i="34" s="1"/>
  <c r="BQ43" i="34"/>
  <c r="EC43" i="34" s="1"/>
  <c r="BQ106" i="34" s="1"/>
  <c r="BF43" i="34"/>
  <c r="DR43" i="34" s="1"/>
  <c r="BF106" i="34" s="1"/>
  <c r="BJ43" i="34"/>
  <c r="DV43" i="34" s="1"/>
  <c r="BJ106" i="34" s="1"/>
  <c r="BN43" i="34"/>
  <c r="DZ43" i="34" s="1"/>
  <c r="BN106" i="34" s="1"/>
  <c r="BO43" i="34"/>
  <c r="EA43" i="34" s="1"/>
  <c r="BO106" i="34" s="1"/>
  <c r="AR43" i="34"/>
  <c r="DD43" i="34" s="1"/>
  <c r="AR106" i="34" s="1"/>
  <c r="AV43" i="34"/>
  <c r="DH43" i="34" s="1"/>
  <c r="AV106" i="34" s="1"/>
  <c r="AZ43" i="34"/>
  <c r="DL43" i="34" s="1"/>
  <c r="AZ106" i="34" s="1"/>
  <c r="AO43" i="34"/>
  <c r="DA43" i="34" s="1"/>
  <c r="AO106" i="34" s="1"/>
  <c r="AS43" i="34"/>
  <c r="DE43" i="34" s="1"/>
  <c r="AS106" i="34" s="1"/>
  <c r="AW43" i="34"/>
  <c r="DI43" i="34" s="1"/>
  <c r="AW106" i="34" s="1"/>
  <c r="BK43" i="34"/>
  <c r="DW43" i="34" s="1"/>
  <c r="BK106" i="34" s="1"/>
  <c r="BC43" i="34"/>
  <c r="DO43" i="34" s="1"/>
  <c r="BC106" i="34" s="1"/>
  <c r="AP43" i="34"/>
  <c r="DB43" i="34" s="1"/>
  <c r="AP106" i="34" s="1"/>
  <c r="AX43" i="34"/>
  <c r="DJ43" i="34" s="1"/>
  <c r="AX106" i="34" s="1"/>
  <c r="AQ43" i="34"/>
  <c r="DC43" i="34" s="1"/>
  <c r="AQ106" i="34" s="1"/>
  <c r="AY43" i="34"/>
  <c r="DK43" i="34" s="1"/>
  <c r="AY106" i="34" s="1"/>
  <c r="AN43" i="34"/>
  <c r="CZ43" i="34" s="1"/>
  <c r="AN106" i="34" s="1"/>
  <c r="AT43" i="34"/>
  <c r="DF43" i="34" s="1"/>
  <c r="AT106" i="34" s="1"/>
  <c r="BA43" i="34"/>
  <c r="DM43" i="34" s="1"/>
  <c r="BA106" i="34" s="1"/>
  <c r="AU43" i="34"/>
  <c r="DG43" i="34" s="1"/>
  <c r="AU106" i="34" s="1"/>
  <c r="BB43" i="34"/>
  <c r="DN43" i="34" s="1"/>
  <c r="BB106" i="34" s="1"/>
  <c r="BG43" i="34"/>
  <c r="DS43" i="34" s="1"/>
  <c r="BG106" i="34" s="1"/>
  <c r="BF51" i="34"/>
  <c r="DR51" i="34" s="1"/>
  <c r="BF114" i="34" s="1"/>
  <c r="BJ51" i="34"/>
  <c r="DV51" i="34" s="1"/>
  <c r="BJ114" i="34" s="1"/>
  <c r="BN51" i="34"/>
  <c r="DZ51" i="34" s="1"/>
  <c r="BN114" i="34" s="1"/>
  <c r="BG51" i="34"/>
  <c r="DS51" i="34" s="1"/>
  <c r="BG114" i="34" s="1"/>
  <c r="BK51" i="34"/>
  <c r="DW51" i="34" s="1"/>
  <c r="BK114" i="34" s="1"/>
  <c r="BO51" i="34"/>
  <c r="EA51" i="34" s="1"/>
  <c r="BO114" i="34" s="1"/>
  <c r="BD51" i="34"/>
  <c r="DP51" i="34" s="1"/>
  <c r="BD114" i="34" s="1"/>
  <c r="BH51" i="34"/>
  <c r="DT51" i="34" s="1"/>
  <c r="BH114" i="34" s="1"/>
  <c r="BL51" i="34"/>
  <c r="DX51" i="34" s="1"/>
  <c r="BL114" i="34" s="1"/>
  <c r="BP51" i="34"/>
  <c r="EB51" i="34" s="1"/>
  <c r="BP114" i="34" s="1"/>
  <c r="BC51" i="34"/>
  <c r="DO51" i="34" s="1"/>
  <c r="BC114" i="34" s="1"/>
  <c r="BM51" i="34"/>
  <c r="DY51" i="34" s="1"/>
  <c r="BM114" i="34" s="1"/>
  <c r="AP51" i="34"/>
  <c r="DB51" i="34" s="1"/>
  <c r="AP114" i="34" s="1"/>
  <c r="AT51" i="34"/>
  <c r="DF51" i="34" s="1"/>
  <c r="AT114" i="34" s="1"/>
  <c r="AX51" i="34"/>
  <c r="DJ51" i="34" s="1"/>
  <c r="AX114" i="34" s="1"/>
  <c r="BB51" i="34"/>
  <c r="DN51" i="34" s="1"/>
  <c r="BB114" i="34" s="1"/>
  <c r="BQ51" i="34"/>
  <c r="EC51" i="34" s="1"/>
  <c r="BQ114" i="34" s="1"/>
  <c r="AQ51" i="34"/>
  <c r="DC51" i="34" s="1"/>
  <c r="AQ114" i="34" s="1"/>
  <c r="AU51" i="34"/>
  <c r="DG51" i="34" s="1"/>
  <c r="AU114" i="34" s="1"/>
  <c r="AY51" i="34"/>
  <c r="DK51" i="34" s="1"/>
  <c r="AY114" i="34" s="1"/>
  <c r="BI51" i="34"/>
  <c r="DU51" i="34" s="1"/>
  <c r="BI114" i="34" s="1"/>
  <c r="AV51" i="34"/>
  <c r="DH51" i="34" s="1"/>
  <c r="AV114" i="34" s="1"/>
  <c r="AO51" i="34"/>
  <c r="DA51" i="34" s="1"/>
  <c r="AO114" i="34" s="1"/>
  <c r="AW51" i="34"/>
  <c r="DI51" i="34" s="1"/>
  <c r="AW114" i="34" s="1"/>
  <c r="BE51" i="34"/>
  <c r="DQ51" i="34" s="1"/>
  <c r="BE114" i="34" s="1"/>
  <c r="AR51" i="34"/>
  <c r="DD51" i="34" s="1"/>
  <c r="AR114" i="34" s="1"/>
  <c r="AZ51" i="34"/>
  <c r="DL51" i="34" s="1"/>
  <c r="AZ114" i="34" s="1"/>
  <c r="AN51" i="34"/>
  <c r="CZ51" i="34" s="1"/>
  <c r="AN114" i="34" s="1"/>
  <c r="AS51" i="34"/>
  <c r="DE51" i="34" s="1"/>
  <c r="AS114" i="34" s="1"/>
  <c r="BA51" i="34"/>
  <c r="DM51" i="34" s="1"/>
  <c r="BA114" i="34" s="1"/>
  <c r="BD45" i="34"/>
  <c r="DP45" i="34" s="1"/>
  <c r="BD108" i="34" s="1"/>
  <c r="BH45" i="34"/>
  <c r="DT45" i="34" s="1"/>
  <c r="BH108" i="34" s="1"/>
  <c r="BL45" i="34"/>
  <c r="DX45" i="34" s="1"/>
  <c r="BL108" i="34" s="1"/>
  <c r="BP45" i="34"/>
  <c r="EB45" i="34" s="1"/>
  <c r="BP108" i="34" s="1"/>
  <c r="BE45" i="34"/>
  <c r="DQ45" i="34" s="1"/>
  <c r="BE108" i="34" s="1"/>
  <c r="BI45" i="34"/>
  <c r="DU45" i="34" s="1"/>
  <c r="BI108" i="34" s="1"/>
  <c r="BM45" i="34"/>
  <c r="DY45" i="34" s="1"/>
  <c r="BM108" i="34" s="1"/>
  <c r="BQ45" i="34"/>
  <c r="EC45" i="34" s="1"/>
  <c r="BQ108" i="34" s="1"/>
  <c r="BC45" i="34"/>
  <c r="DO45" i="34" s="1"/>
  <c r="BC108" i="34" s="1"/>
  <c r="BF45" i="34"/>
  <c r="DR45" i="34" s="1"/>
  <c r="BF108" i="34" s="1"/>
  <c r="BJ45" i="34"/>
  <c r="DV45" i="34" s="1"/>
  <c r="BJ108" i="34" s="1"/>
  <c r="BN45" i="34"/>
  <c r="DZ45" i="34" s="1"/>
  <c r="BN108" i="34" s="1"/>
  <c r="BK45" i="34"/>
  <c r="DW45" i="34" s="1"/>
  <c r="BK108" i="34" s="1"/>
  <c r="AR45" i="34"/>
  <c r="DD45" i="34" s="1"/>
  <c r="AR108" i="34" s="1"/>
  <c r="AV45" i="34"/>
  <c r="DH45" i="34" s="1"/>
  <c r="AV108" i="34" s="1"/>
  <c r="AZ45" i="34"/>
  <c r="DL45" i="34" s="1"/>
  <c r="AZ108" i="34" s="1"/>
  <c r="BO45" i="34"/>
  <c r="EA45" i="34" s="1"/>
  <c r="BO108" i="34" s="1"/>
  <c r="AO45" i="34"/>
  <c r="DA45" i="34" s="1"/>
  <c r="AO108" i="34" s="1"/>
  <c r="AS45" i="34"/>
  <c r="DE45" i="34" s="1"/>
  <c r="AS108" i="34" s="1"/>
  <c r="AW45" i="34"/>
  <c r="DI45" i="34" s="1"/>
  <c r="AW108" i="34" s="1"/>
  <c r="BA45" i="34"/>
  <c r="DM45" i="34" s="1"/>
  <c r="BA108" i="34" s="1"/>
  <c r="BG45" i="34"/>
  <c r="DS45" i="34" s="1"/>
  <c r="BG108" i="34" s="1"/>
  <c r="AT45" i="34"/>
  <c r="DF45" i="34" s="1"/>
  <c r="AT108" i="34" s="1"/>
  <c r="BB45" i="34"/>
  <c r="DN45" i="34" s="1"/>
  <c r="BB108" i="34" s="1"/>
  <c r="AU45" i="34"/>
  <c r="DG45" i="34" s="1"/>
  <c r="AU108" i="34" s="1"/>
  <c r="AP45" i="34"/>
  <c r="DB45" i="34" s="1"/>
  <c r="AP108" i="34" s="1"/>
  <c r="AX45" i="34"/>
  <c r="DJ45" i="34" s="1"/>
  <c r="AX108" i="34" s="1"/>
  <c r="AQ45" i="34"/>
  <c r="DC45" i="34" s="1"/>
  <c r="AQ108" i="34" s="1"/>
  <c r="AY45" i="34"/>
  <c r="DK45" i="34" s="1"/>
  <c r="AY108" i="34" s="1"/>
  <c r="AN45" i="34"/>
  <c r="CZ45" i="34" s="1"/>
  <c r="AN108" i="34" s="1"/>
  <c r="BF47" i="34"/>
  <c r="DR47" i="34" s="1"/>
  <c r="BF110" i="34" s="1"/>
  <c r="BJ47" i="34"/>
  <c r="DV47" i="34" s="1"/>
  <c r="BJ110" i="34" s="1"/>
  <c r="BN47" i="34"/>
  <c r="DZ47" i="34" s="1"/>
  <c r="BN110" i="34" s="1"/>
  <c r="BC47" i="34"/>
  <c r="DO47" i="34" s="1"/>
  <c r="BC110" i="34" s="1"/>
  <c r="BG47" i="34"/>
  <c r="DS47" i="34" s="1"/>
  <c r="BG110" i="34" s="1"/>
  <c r="BK47" i="34"/>
  <c r="DW47" i="34" s="1"/>
  <c r="BK110" i="34" s="1"/>
  <c r="BO47" i="34"/>
  <c r="EA47" i="34" s="1"/>
  <c r="BO110" i="34" s="1"/>
  <c r="BD47" i="34"/>
  <c r="DP47" i="34" s="1"/>
  <c r="BD110" i="34" s="1"/>
  <c r="BH47" i="34"/>
  <c r="DT47" i="34" s="1"/>
  <c r="BH110" i="34" s="1"/>
  <c r="BL47" i="34"/>
  <c r="DX47" i="34" s="1"/>
  <c r="BL110" i="34" s="1"/>
  <c r="BP47" i="34"/>
  <c r="EB47" i="34" s="1"/>
  <c r="BP110" i="34" s="1"/>
  <c r="BI47" i="34"/>
  <c r="DU47" i="34" s="1"/>
  <c r="BI110" i="34" s="1"/>
  <c r="AP47" i="34"/>
  <c r="DB47" i="34" s="1"/>
  <c r="AP110" i="34" s="1"/>
  <c r="AT47" i="34"/>
  <c r="DF47" i="34" s="1"/>
  <c r="AT110" i="34" s="1"/>
  <c r="AX47" i="34"/>
  <c r="DJ47" i="34" s="1"/>
  <c r="AX110" i="34" s="1"/>
  <c r="BB47" i="34"/>
  <c r="DN47" i="34" s="1"/>
  <c r="BB110" i="34" s="1"/>
  <c r="BM47" i="34"/>
  <c r="DY47" i="34" s="1"/>
  <c r="BM110" i="34" s="1"/>
  <c r="AQ47" i="34"/>
  <c r="DC47" i="34" s="1"/>
  <c r="AQ110" i="34" s="1"/>
  <c r="AU47" i="34"/>
  <c r="DG47" i="34" s="1"/>
  <c r="AU110" i="34" s="1"/>
  <c r="AY47" i="34"/>
  <c r="DK47" i="34" s="1"/>
  <c r="AY110" i="34" s="1"/>
  <c r="BE47" i="34"/>
  <c r="DQ47" i="34" s="1"/>
  <c r="BE110" i="34" s="1"/>
  <c r="AO47" i="34"/>
  <c r="DA47" i="34" s="1"/>
  <c r="AO110" i="34" s="1"/>
  <c r="AS47" i="34"/>
  <c r="DE47" i="34" s="1"/>
  <c r="AS110" i="34" s="1"/>
  <c r="AW47" i="34"/>
  <c r="DI47" i="34" s="1"/>
  <c r="AW110" i="34" s="1"/>
  <c r="BA47" i="34"/>
  <c r="DM47" i="34" s="1"/>
  <c r="BA110" i="34" s="1"/>
  <c r="AV47" i="34"/>
  <c r="DH47" i="34" s="1"/>
  <c r="AV110" i="34" s="1"/>
  <c r="BQ47" i="34"/>
  <c r="EC47" i="34" s="1"/>
  <c r="BQ110" i="34" s="1"/>
  <c r="AZ47" i="34"/>
  <c r="DL47" i="34" s="1"/>
  <c r="AZ110" i="34" s="1"/>
  <c r="AN47" i="34"/>
  <c r="CZ47" i="34" s="1"/>
  <c r="AN110" i="34" s="1"/>
  <c r="AR47" i="34"/>
  <c r="DD47" i="34" s="1"/>
  <c r="AR110" i="34" s="1"/>
  <c r="BE50" i="34"/>
  <c r="DQ50" i="34" s="1"/>
  <c r="BE113" i="34" s="1"/>
  <c r="BF50" i="34"/>
  <c r="DR50" i="34" s="1"/>
  <c r="BF113" i="34" s="1"/>
  <c r="BG50" i="34"/>
  <c r="DS50" i="34" s="1"/>
  <c r="BG113" i="34" s="1"/>
  <c r="BH50" i="34"/>
  <c r="DT50" i="34" s="1"/>
  <c r="BH113" i="34" s="1"/>
  <c r="BL50" i="34"/>
  <c r="DX50" i="34" s="1"/>
  <c r="BL113" i="34" s="1"/>
  <c r="BP50" i="34"/>
  <c r="EB50" i="34" s="1"/>
  <c r="BP113" i="34" s="1"/>
  <c r="BI50" i="34"/>
  <c r="DU50" i="34" s="1"/>
  <c r="BI113" i="34" s="1"/>
  <c r="BM50" i="34"/>
  <c r="DY50" i="34" s="1"/>
  <c r="BM113" i="34" s="1"/>
  <c r="BQ50" i="34"/>
  <c r="EC50" i="34" s="1"/>
  <c r="BQ113" i="34" s="1"/>
  <c r="BJ50" i="34"/>
  <c r="DV50" i="34" s="1"/>
  <c r="BJ113" i="34" s="1"/>
  <c r="BN50" i="34"/>
  <c r="DZ50" i="34" s="1"/>
  <c r="BN113" i="34" s="1"/>
  <c r="BD50" i="34"/>
  <c r="DP50" i="34" s="1"/>
  <c r="BD113" i="34" s="1"/>
  <c r="AR50" i="34"/>
  <c r="DD50" i="34" s="1"/>
  <c r="AR113" i="34" s="1"/>
  <c r="AV50" i="34"/>
  <c r="DH50" i="34" s="1"/>
  <c r="AV113" i="34" s="1"/>
  <c r="AZ50" i="34"/>
  <c r="DL50" i="34" s="1"/>
  <c r="AZ113" i="34" s="1"/>
  <c r="BK50" i="34"/>
  <c r="DW50" i="34" s="1"/>
  <c r="BK113" i="34" s="1"/>
  <c r="AO50" i="34"/>
  <c r="DA50" i="34" s="1"/>
  <c r="AO113" i="34" s="1"/>
  <c r="AS50" i="34"/>
  <c r="DE50" i="34" s="1"/>
  <c r="AS113" i="34" s="1"/>
  <c r="AW50" i="34"/>
  <c r="DI50" i="34" s="1"/>
  <c r="AW113" i="34" s="1"/>
  <c r="BA50" i="34"/>
  <c r="DM50" i="34" s="1"/>
  <c r="BA113" i="34" s="1"/>
  <c r="AQ50" i="34"/>
  <c r="DC50" i="34" s="1"/>
  <c r="AQ113" i="34" s="1"/>
  <c r="AU50" i="34"/>
  <c r="DG50" i="34" s="1"/>
  <c r="AU113" i="34" s="1"/>
  <c r="AY50" i="34"/>
  <c r="DK50" i="34" s="1"/>
  <c r="AY113" i="34" s="1"/>
  <c r="BO50" i="34"/>
  <c r="EA50" i="34" s="1"/>
  <c r="BO113" i="34" s="1"/>
  <c r="AT50" i="34"/>
  <c r="DF50" i="34" s="1"/>
  <c r="AT113" i="34" s="1"/>
  <c r="AX50" i="34"/>
  <c r="DJ50" i="34" s="1"/>
  <c r="AX113" i="34" s="1"/>
  <c r="AN50" i="34"/>
  <c r="CZ50" i="34" s="1"/>
  <c r="AN113" i="34" s="1"/>
  <c r="BC50" i="34"/>
  <c r="DO50" i="34" s="1"/>
  <c r="BC113" i="34" s="1"/>
  <c r="BB50" i="34"/>
  <c r="DN50" i="34" s="1"/>
  <c r="BB113" i="34" s="1"/>
  <c r="AP50" i="34"/>
  <c r="DB50" i="34" s="1"/>
  <c r="AP113" i="34" s="1"/>
  <c r="BG61" i="34"/>
  <c r="DS61" i="34" s="1"/>
  <c r="BG124" i="34" s="1"/>
  <c r="BK61" i="34"/>
  <c r="DW61" i="34" s="1"/>
  <c r="BK124" i="34" s="1"/>
  <c r="BO61" i="34"/>
  <c r="EA61" i="34" s="1"/>
  <c r="BO124" i="34" s="1"/>
  <c r="BD61" i="34"/>
  <c r="DP61" i="34" s="1"/>
  <c r="BD124" i="34" s="1"/>
  <c r="BH61" i="34"/>
  <c r="DT61" i="34" s="1"/>
  <c r="BH124" i="34" s="1"/>
  <c r="BL61" i="34"/>
  <c r="DX61" i="34" s="1"/>
  <c r="BL124" i="34" s="1"/>
  <c r="BP61" i="34"/>
  <c r="EB61" i="34" s="1"/>
  <c r="BP124" i="34" s="1"/>
  <c r="BE61" i="34"/>
  <c r="DQ61" i="34" s="1"/>
  <c r="BE124" i="34" s="1"/>
  <c r="BI61" i="34"/>
  <c r="DU61" i="34" s="1"/>
  <c r="BI124" i="34" s="1"/>
  <c r="BM61" i="34"/>
  <c r="DY61" i="34" s="1"/>
  <c r="BM124" i="34" s="1"/>
  <c r="BQ61" i="34"/>
  <c r="EC61" i="34" s="1"/>
  <c r="BQ124" i="34" s="1"/>
  <c r="BF61" i="34"/>
  <c r="DR61" i="34" s="1"/>
  <c r="BF124" i="34" s="1"/>
  <c r="BJ61" i="34"/>
  <c r="DV61" i="34" s="1"/>
  <c r="BJ124" i="34" s="1"/>
  <c r="BN61" i="34"/>
  <c r="DZ61" i="34" s="1"/>
  <c r="BN124" i="34" s="1"/>
  <c r="BC61" i="34"/>
  <c r="DO61" i="34" s="1"/>
  <c r="BC124" i="34" s="1"/>
  <c r="AP61" i="34"/>
  <c r="DB61" i="34" s="1"/>
  <c r="AP124" i="34" s="1"/>
  <c r="AT61" i="34"/>
  <c r="DF61" i="34" s="1"/>
  <c r="AT124" i="34" s="1"/>
  <c r="AX61" i="34"/>
  <c r="DJ61" i="34" s="1"/>
  <c r="AX124" i="34" s="1"/>
  <c r="BB61" i="34"/>
  <c r="DN61" i="34" s="1"/>
  <c r="BB124" i="34" s="1"/>
  <c r="AQ61" i="34"/>
  <c r="DC61" i="34" s="1"/>
  <c r="AQ124" i="34" s="1"/>
  <c r="AU61" i="34"/>
  <c r="DG61" i="34" s="1"/>
  <c r="AU124" i="34" s="1"/>
  <c r="AY61" i="34"/>
  <c r="DK61" i="34" s="1"/>
  <c r="AY124" i="34" s="1"/>
  <c r="AO61" i="34"/>
  <c r="DA61" i="34" s="1"/>
  <c r="AO124" i="34" s="1"/>
  <c r="AS61" i="34"/>
  <c r="DE61" i="34" s="1"/>
  <c r="AS124" i="34" s="1"/>
  <c r="AW61" i="34"/>
  <c r="DI61" i="34" s="1"/>
  <c r="AW124" i="34" s="1"/>
  <c r="BA61" i="34"/>
  <c r="DM61" i="34" s="1"/>
  <c r="BA124" i="34" s="1"/>
  <c r="AR61" i="34"/>
  <c r="DD61" i="34" s="1"/>
  <c r="AR124" i="34" s="1"/>
  <c r="AV61" i="34"/>
  <c r="DH61" i="34" s="1"/>
  <c r="AV124" i="34" s="1"/>
  <c r="AZ61" i="34"/>
  <c r="DL61" i="34" s="1"/>
  <c r="AZ124" i="34" s="1"/>
  <c r="AN61" i="34"/>
  <c r="CZ61" i="34" s="1"/>
  <c r="AN124" i="34" s="1"/>
  <c r="BE62" i="34"/>
  <c r="DQ62" i="34" s="1"/>
  <c r="BE125" i="34" s="1"/>
  <c r="BI62" i="34"/>
  <c r="DU62" i="34" s="1"/>
  <c r="BI125" i="34" s="1"/>
  <c r="BM62" i="34"/>
  <c r="DY62" i="34" s="1"/>
  <c r="BM125" i="34" s="1"/>
  <c r="BQ62" i="34"/>
  <c r="EC62" i="34" s="1"/>
  <c r="BQ125" i="34" s="1"/>
  <c r="BF62" i="34"/>
  <c r="DR62" i="34" s="1"/>
  <c r="BF125" i="34" s="1"/>
  <c r="BJ62" i="34"/>
  <c r="DV62" i="34" s="1"/>
  <c r="BJ125" i="34" s="1"/>
  <c r="BN62" i="34"/>
  <c r="DZ62" i="34" s="1"/>
  <c r="BN125" i="34" s="1"/>
  <c r="BG62" i="34"/>
  <c r="DS62" i="34" s="1"/>
  <c r="BG125" i="34" s="1"/>
  <c r="BK62" i="34"/>
  <c r="DW62" i="34" s="1"/>
  <c r="BK125" i="34" s="1"/>
  <c r="BO62" i="34"/>
  <c r="EA62" i="34" s="1"/>
  <c r="BO125" i="34" s="1"/>
  <c r="BD62" i="34"/>
  <c r="DP62" i="34" s="1"/>
  <c r="BD125" i="34" s="1"/>
  <c r="BH62" i="34"/>
  <c r="DT62" i="34" s="1"/>
  <c r="BH125" i="34" s="1"/>
  <c r="BC62" i="34"/>
  <c r="DO62" i="34" s="1"/>
  <c r="BC125" i="34" s="1"/>
  <c r="BL62" i="34"/>
  <c r="DX62" i="34" s="1"/>
  <c r="BL125" i="34" s="1"/>
  <c r="AR62" i="34"/>
  <c r="DD62" i="34" s="1"/>
  <c r="AR125" i="34" s="1"/>
  <c r="AV62" i="34"/>
  <c r="DH62" i="34" s="1"/>
  <c r="AV125" i="34" s="1"/>
  <c r="AZ62" i="34"/>
  <c r="DL62" i="34" s="1"/>
  <c r="AZ125" i="34" s="1"/>
  <c r="AO62" i="34"/>
  <c r="DA62" i="34" s="1"/>
  <c r="AO125" i="34" s="1"/>
  <c r="AS62" i="34"/>
  <c r="DE62" i="34" s="1"/>
  <c r="AS125" i="34" s="1"/>
  <c r="AW62" i="34"/>
  <c r="DI62" i="34" s="1"/>
  <c r="AW125" i="34" s="1"/>
  <c r="BA62" i="34"/>
  <c r="DM62" i="34" s="1"/>
  <c r="BA125" i="34" s="1"/>
  <c r="BP62" i="34"/>
  <c r="EB62" i="34" s="1"/>
  <c r="BP125" i="34" s="1"/>
  <c r="AQ62" i="34"/>
  <c r="DC62" i="34" s="1"/>
  <c r="AQ125" i="34" s="1"/>
  <c r="AU62" i="34"/>
  <c r="DG62" i="34" s="1"/>
  <c r="AU125" i="34" s="1"/>
  <c r="AY62" i="34"/>
  <c r="DK62" i="34" s="1"/>
  <c r="AY125" i="34" s="1"/>
  <c r="AP62" i="34"/>
  <c r="DB62" i="34" s="1"/>
  <c r="AP125" i="34" s="1"/>
  <c r="AT62" i="34"/>
  <c r="DF62" i="34" s="1"/>
  <c r="AT125" i="34" s="1"/>
  <c r="AX62" i="34"/>
  <c r="DJ62" i="34" s="1"/>
  <c r="AX125" i="34" s="1"/>
  <c r="AN62" i="34"/>
  <c r="CZ62" i="34" s="1"/>
  <c r="AN125" i="34" s="1"/>
  <c r="BB62" i="34"/>
  <c r="DN62" i="34" s="1"/>
  <c r="BB125" i="34" s="1"/>
  <c r="AI55" i="33"/>
  <c r="AJ55" i="33"/>
  <c r="AK55" i="33"/>
  <c r="AL55" i="33"/>
  <c r="AM55" i="33"/>
  <c r="AN55" i="33"/>
  <c r="AO55" i="33"/>
  <c r="AP55" i="33"/>
  <c r="AQ55" i="33"/>
  <c r="AR55" i="33"/>
  <c r="AS55" i="33"/>
  <c r="AT55" i="33"/>
  <c r="AU55" i="33"/>
  <c r="AV55" i="33"/>
  <c r="AW55" i="33"/>
  <c r="AI56" i="33"/>
  <c r="AJ56" i="33"/>
  <c r="AK56" i="33"/>
  <c r="AL56" i="33"/>
  <c r="AM56" i="33"/>
  <c r="AN56" i="33"/>
  <c r="AO56" i="33"/>
  <c r="AP56" i="33"/>
  <c r="AQ56" i="33"/>
  <c r="AR56" i="33"/>
  <c r="AS56" i="33"/>
  <c r="AT56" i="33"/>
  <c r="AU56" i="33"/>
  <c r="AV56" i="33"/>
  <c r="AW56" i="33"/>
  <c r="AI57" i="33"/>
  <c r="AJ57" i="33"/>
  <c r="AK57" i="33"/>
  <c r="AL57" i="33"/>
  <c r="AM57" i="33"/>
  <c r="AN57" i="33"/>
  <c r="AO57" i="33"/>
  <c r="AP57" i="33"/>
  <c r="AQ57" i="33"/>
  <c r="AR57" i="33"/>
  <c r="AS57" i="33"/>
  <c r="AT57" i="33"/>
  <c r="AU57" i="33"/>
  <c r="AV57" i="33"/>
  <c r="AW57" i="33"/>
  <c r="AI58" i="33"/>
  <c r="AJ58" i="33"/>
  <c r="AK58" i="33"/>
  <c r="AL58" i="33"/>
  <c r="AM58" i="33"/>
  <c r="AN58" i="33"/>
  <c r="AO58" i="33"/>
  <c r="AP58" i="33"/>
  <c r="AQ58" i="33"/>
  <c r="AR58" i="33"/>
  <c r="AS58" i="33"/>
  <c r="AT58" i="33"/>
  <c r="AU58" i="33"/>
  <c r="AV58" i="33"/>
  <c r="AW58" i="33"/>
  <c r="AI59" i="33"/>
  <c r="AJ59" i="33"/>
  <c r="AK59" i="33"/>
  <c r="AL59" i="33"/>
  <c r="AM59" i="33"/>
  <c r="AN59" i="33"/>
  <c r="AO59" i="33"/>
  <c r="AP59" i="33"/>
  <c r="AQ59" i="33"/>
  <c r="AR59" i="33"/>
  <c r="AS59" i="33"/>
  <c r="AT59" i="33"/>
  <c r="AU59" i="33"/>
  <c r="AV59" i="33"/>
  <c r="AW59" i="33"/>
  <c r="AI60" i="33"/>
  <c r="AJ60" i="33"/>
  <c r="AK60" i="33"/>
  <c r="AL60" i="33"/>
  <c r="AM60" i="33"/>
  <c r="AN60" i="33"/>
  <c r="AO60" i="33"/>
  <c r="AP60" i="33"/>
  <c r="AQ60" i="33"/>
  <c r="AR60" i="33"/>
  <c r="AS60" i="33"/>
  <c r="AT60" i="33"/>
  <c r="AU60" i="33"/>
  <c r="AV60" i="33"/>
  <c r="AW60" i="33"/>
  <c r="AI61" i="33"/>
  <c r="AJ61" i="33"/>
  <c r="AK61" i="33"/>
  <c r="AL61" i="33"/>
  <c r="AM61" i="33"/>
  <c r="AN61" i="33"/>
  <c r="AO61" i="33"/>
  <c r="AP61" i="33"/>
  <c r="AQ61" i="33"/>
  <c r="AR61" i="33"/>
  <c r="AS61" i="33"/>
  <c r="AT61" i="33"/>
  <c r="AU61" i="33"/>
  <c r="AV61" i="33"/>
  <c r="AW61" i="33"/>
  <c r="AI62" i="33"/>
  <c r="AJ62" i="33"/>
  <c r="AK62" i="33"/>
  <c r="AL62" i="33"/>
  <c r="AM62" i="33"/>
  <c r="AN62" i="33"/>
  <c r="AO62" i="33"/>
  <c r="AP62" i="33"/>
  <c r="AQ62" i="33"/>
  <c r="AR62" i="33"/>
  <c r="AS62" i="33"/>
  <c r="AT62" i="33"/>
  <c r="AU62" i="33"/>
  <c r="AV62" i="33"/>
  <c r="AW62" i="33"/>
  <c r="AI63" i="33"/>
  <c r="AJ63" i="33"/>
  <c r="AK63" i="33"/>
  <c r="AL63" i="33"/>
  <c r="AM63" i="33"/>
  <c r="AN63" i="33"/>
  <c r="AO63" i="33"/>
  <c r="AP63" i="33"/>
  <c r="AQ63" i="33"/>
  <c r="AR63" i="33"/>
  <c r="AS63" i="33"/>
  <c r="AT63" i="33"/>
  <c r="AU63" i="33"/>
  <c r="AV63" i="33"/>
  <c r="AW63" i="33"/>
  <c r="AI64" i="33"/>
  <c r="AJ64" i="33"/>
  <c r="AK64" i="33"/>
  <c r="AL64" i="33"/>
  <c r="AM64" i="33"/>
  <c r="AN64" i="33"/>
  <c r="AO64" i="33"/>
  <c r="AP64" i="33"/>
  <c r="AQ64" i="33"/>
  <c r="AR64" i="33"/>
  <c r="AS64" i="33"/>
  <c r="AT64" i="33"/>
  <c r="AU64" i="33"/>
  <c r="AV64" i="33"/>
  <c r="AW64" i="33"/>
  <c r="AI65" i="33"/>
  <c r="AJ65" i="33"/>
  <c r="AK65" i="33"/>
  <c r="AL65" i="33"/>
  <c r="AM65" i="33"/>
  <c r="AN65" i="33"/>
  <c r="AO65" i="33"/>
  <c r="AP65" i="33"/>
  <c r="AQ65" i="33"/>
  <c r="AR65" i="33"/>
  <c r="AS65" i="33"/>
  <c r="AT65" i="33"/>
  <c r="AU65" i="33"/>
  <c r="AV65" i="33"/>
  <c r="AW65" i="33"/>
  <c r="AI66" i="33"/>
  <c r="AJ66" i="33"/>
  <c r="AK66" i="33"/>
  <c r="AL66" i="33"/>
  <c r="AM66" i="33"/>
  <c r="AN66" i="33"/>
  <c r="AO66" i="33"/>
  <c r="AP66" i="33"/>
  <c r="AQ66" i="33"/>
  <c r="AR66" i="33"/>
  <c r="AS66" i="33"/>
  <c r="AT66" i="33"/>
  <c r="AU66" i="33"/>
  <c r="AV66" i="33"/>
  <c r="AW66" i="33"/>
  <c r="AI67" i="33"/>
  <c r="AJ67" i="33"/>
  <c r="AK67" i="33"/>
  <c r="AL67" i="33"/>
  <c r="AM67" i="33"/>
  <c r="AN67" i="33"/>
  <c r="AO67" i="33"/>
  <c r="AP67" i="33"/>
  <c r="AQ67" i="33"/>
  <c r="AR67" i="33"/>
  <c r="AS67" i="33"/>
  <c r="AT67" i="33"/>
  <c r="AU67" i="33"/>
  <c r="AV67" i="33"/>
  <c r="AW67" i="33"/>
  <c r="AI68" i="33"/>
  <c r="AJ68" i="33"/>
  <c r="AK68" i="33"/>
  <c r="AL68" i="33"/>
  <c r="AM68" i="33"/>
  <c r="AN68" i="33"/>
  <c r="AO68" i="33"/>
  <c r="AP68" i="33"/>
  <c r="AQ68" i="33"/>
  <c r="AR68" i="33"/>
  <c r="AS68" i="33"/>
  <c r="AT68" i="33"/>
  <c r="AU68" i="33"/>
  <c r="AV68" i="33"/>
  <c r="AW68" i="33"/>
  <c r="AI69" i="33"/>
  <c r="AJ69" i="33"/>
  <c r="AK69" i="33"/>
  <c r="AL69" i="33"/>
  <c r="AM69" i="33"/>
  <c r="AN69" i="33"/>
  <c r="AO69" i="33"/>
  <c r="AP69" i="33"/>
  <c r="AQ69" i="33"/>
  <c r="AR69" i="33"/>
  <c r="AS69" i="33"/>
  <c r="AT69" i="33"/>
  <c r="AU69" i="33"/>
  <c r="AV69" i="33"/>
  <c r="AW69" i="33"/>
  <c r="AI70" i="33"/>
  <c r="AJ70" i="33"/>
  <c r="AK70" i="33"/>
  <c r="AL70" i="33"/>
  <c r="AM70" i="33"/>
  <c r="AN70" i="33"/>
  <c r="AO70" i="33"/>
  <c r="AP70" i="33"/>
  <c r="AQ70" i="33"/>
  <c r="AR70" i="33"/>
  <c r="AS70" i="33"/>
  <c r="AT70" i="33"/>
  <c r="AU70" i="33"/>
  <c r="AV70" i="33"/>
  <c r="AW70" i="33"/>
  <c r="AI71" i="33"/>
  <c r="AJ71" i="33"/>
  <c r="AK71" i="33"/>
  <c r="AL71" i="33"/>
  <c r="AM71" i="33"/>
  <c r="AN71" i="33"/>
  <c r="AO71" i="33"/>
  <c r="AP71" i="33"/>
  <c r="AQ71" i="33"/>
  <c r="AR71" i="33"/>
  <c r="AS71" i="33"/>
  <c r="AT71" i="33"/>
  <c r="AU71" i="33"/>
  <c r="AV71" i="33"/>
  <c r="AW71" i="33"/>
  <c r="AI72" i="33"/>
  <c r="AJ72" i="33"/>
  <c r="AK72" i="33"/>
  <c r="AL72" i="33"/>
  <c r="AM72" i="33"/>
  <c r="AN72" i="33"/>
  <c r="AO72" i="33"/>
  <c r="AP72" i="33"/>
  <c r="AQ72" i="33"/>
  <c r="AR72" i="33"/>
  <c r="AS72" i="33"/>
  <c r="AT72" i="33"/>
  <c r="AU72" i="33"/>
  <c r="AV72" i="33"/>
  <c r="AW72" i="33"/>
  <c r="AI73" i="33"/>
  <c r="AJ73" i="33"/>
  <c r="AK73" i="33"/>
  <c r="AL73" i="33"/>
  <c r="AM73" i="33"/>
  <c r="AN73" i="33"/>
  <c r="AO73" i="33"/>
  <c r="AP73" i="33"/>
  <c r="AQ73" i="33"/>
  <c r="AR73" i="33"/>
  <c r="AS73" i="33"/>
  <c r="AT73" i="33"/>
  <c r="AU73" i="33"/>
  <c r="AV73" i="33"/>
  <c r="AW73" i="33"/>
  <c r="AI74" i="33"/>
  <c r="AJ74" i="33"/>
  <c r="AK74" i="33"/>
  <c r="AL74" i="33"/>
  <c r="AM74" i="33"/>
  <c r="AN74" i="33"/>
  <c r="AO74" i="33"/>
  <c r="AP74" i="33"/>
  <c r="AQ74" i="33"/>
  <c r="AR74" i="33"/>
  <c r="AS74" i="33"/>
  <c r="AT74" i="33"/>
  <c r="AU74" i="33"/>
  <c r="AV74" i="33"/>
  <c r="AW74" i="33"/>
  <c r="AI75" i="33"/>
  <c r="AJ75" i="33"/>
  <c r="AK75" i="33"/>
  <c r="AL75" i="33"/>
  <c r="AM75" i="33"/>
  <c r="AN75" i="33"/>
  <c r="AO75" i="33"/>
  <c r="AP75" i="33"/>
  <c r="AQ75" i="33"/>
  <c r="AR75" i="33"/>
  <c r="AS75" i="33"/>
  <c r="AT75" i="33"/>
  <c r="AU75" i="33"/>
  <c r="AV75" i="33"/>
  <c r="AW75" i="33"/>
  <c r="AI76" i="33"/>
  <c r="AJ76" i="33"/>
  <c r="AK76" i="33"/>
  <c r="AL76" i="33"/>
  <c r="AM76" i="33"/>
  <c r="AN76" i="33"/>
  <c r="AO76" i="33"/>
  <c r="AP76" i="33"/>
  <c r="AQ76" i="33"/>
  <c r="AR76" i="33"/>
  <c r="AS76" i="33"/>
  <c r="AT76" i="33"/>
  <c r="AU76" i="33"/>
  <c r="AV76" i="33"/>
  <c r="AW76" i="33"/>
  <c r="AI77" i="33"/>
  <c r="AJ77" i="33"/>
  <c r="AK77" i="33"/>
  <c r="AL77" i="33"/>
  <c r="AM77" i="33"/>
  <c r="AN77" i="33"/>
  <c r="AO77" i="33"/>
  <c r="AP77" i="33"/>
  <c r="AQ77" i="33"/>
  <c r="AR77" i="33"/>
  <c r="AS77" i="33"/>
  <c r="AT77" i="33"/>
  <c r="AU77" i="33"/>
  <c r="AV77" i="33"/>
  <c r="AW77" i="33"/>
  <c r="AI78" i="33"/>
  <c r="AJ78" i="33"/>
  <c r="AK78" i="33"/>
  <c r="AL78" i="33"/>
  <c r="AM78" i="33"/>
  <c r="AN78" i="33"/>
  <c r="AO78" i="33"/>
  <c r="AP78" i="33"/>
  <c r="AQ78" i="33"/>
  <c r="AR78" i="33"/>
  <c r="AS78" i="33"/>
  <c r="AT78" i="33"/>
  <c r="AU78" i="33"/>
  <c r="AV78" i="33"/>
  <c r="AW78" i="33"/>
  <c r="AI79" i="33"/>
  <c r="AJ79" i="33"/>
  <c r="AK79" i="33"/>
  <c r="AL79" i="33"/>
  <c r="AM79" i="33"/>
  <c r="AN79" i="33"/>
  <c r="AO79" i="33"/>
  <c r="AP79" i="33"/>
  <c r="AQ79" i="33"/>
  <c r="AR79" i="33"/>
  <c r="AS79" i="33"/>
  <c r="AT79" i="33"/>
  <c r="AU79" i="33"/>
  <c r="AV79" i="33"/>
  <c r="AW79" i="33"/>
  <c r="AI80" i="33"/>
  <c r="AJ80" i="33"/>
  <c r="AK80" i="33"/>
  <c r="AL80" i="33"/>
  <c r="AM80" i="33"/>
  <c r="AN80" i="33"/>
  <c r="AO80" i="33"/>
  <c r="AP80" i="33"/>
  <c r="AQ80" i="33"/>
  <c r="AR80" i="33"/>
  <c r="AS80" i="33"/>
  <c r="AT80" i="33"/>
  <c r="AU80" i="33"/>
  <c r="AV80" i="33"/>
  <c r="AW80" i="33"/>
  <c r="AI81" i="33"/>
  <c r="AJ81" i="33"/>
  <c r="AK81" i="33"/>
  <c r="AL81" i="33"/>
  <c r="AM81" i="33"/>
  <c r="AN81" i="33"/>
  <c r="AO81" i="33"/>
  <c r="AP81" i="33"/>
  <c r="AQ81" i="33"/>
  <c r="AR81" i="33"/>
  <c r="AS81" i="33"/>
  <c r="AT81" i="33"/>
  <c r="AU81" i="33"/>
  <c r="AV81" i="33"/>
  <c r="AW81" i="33"/>
  <c r="AI82" i="33"/>
  <c r="AJ82" i="33"/>
  <c r="AK82" i="33"/>
  <c r="AL82" i="33"/>
  <c r="AM82" i="33"/>
  <c r="AN82" i="33"/>
  <c r="AO82" i="33"/>
  <c r="AP82" i="33"/>
  <c r="AQ82" i="33"/>
  <c r="AR82" i="33"/>
  <c r="AS82" i="33"/>
  <c r="AT82" i="33"/>
  <c r="AU82" i="33"/>
  <c r="AV82" i="33"/>
  <c r="AW82" i="33"/>
  <c r="AI83" i="33"/>
  <c r="AJ83" i="33"/>
  <c r="AK83" i="33"/>
  <c r="AL83" i="33"/>
  <c r="AM83" i="33"/>
  <c r="AN83" i="33"/>
  <c r="AO83" i="33"/>
  <c r="AP83" i="33"/>
  <c r="AQ83" i="33"/>
  <c r="AR83" i="33"/>
  <c r="AS83" i="33"/>
  <c r="AT83" i="33"/>
  <c r="AU83" i="33"/>
  <c r="AV83" i="33"/>
  <c r="AW83" i="33"/>
  <c r="AI84" i="33"/>
  <c r="AJ84" i="33"/>
  <c r="AK84" i="33"/>
  <c r="AL84" i="33"/>
  <c r="AM84" i="33"/>
  <c r="AN84" i="33"/>
  <c r="AO84" i="33"/>
  <c r="AP84" i="33"/>
  <c r="AQ84" i="33"/>
  <c r="AR84" i="33"/>
  <c r="AS84" i="33"/>
  <c r="AT84" i="33"/>
  <c r="AU84" i="33"/>
  <c r="AV84" i="33"/>
  <c r="AW84" i="33"/>
  <c r="AI85" i="33"/>
  <c r="AJ85" i="33"/>
  <c r="AK85" i="33"/>
  <c r="AL85" i="33"/>
  <c r="AM85" i="33"/>
  <c r="AN85" i="33"/>
  <c r="AO85" i="33"/>
  <c r="AP85" i="33"/>
  <c r="AQ85" i="33"/>
  <c r="AR85" i="33"/>
  <c r="AS85" i="33"/>
  <c r="AT85" i="33"/>
  <c r="AU85" i="33"/>
  <c r="AV85" i="33"/>
  <c r="AW85" i="33"/>
  <c r="AI86" i="33"/>
  <c r="AJ86" i="33"/>
  <c r="AK86" i="33"/>
  <c r="AL86" i="33"/>
  <c r="AM86" i="33"/>
  <c r="AN86" i="33"/>
  <c r="AO86" i="33"/>
  <c r="AP86" i="33"/>
  <c r="AQ86" i="33"/>
  <c r="AR86" i="33"/>
  <c r="AS86" i="33"/>
  <c r="AT86" i="33"/>
  <c r="AU86" i="33"/>
  <c r="AV86" i="33"/>
  <c r="AW86" i="33"/>
  <c r="AI87" i="33"/>
  <c r="AJ87" i="33"/>
  <c r="AK87" i="33"/>
  <c r="AL87" i="33"/>
  <c r="AM87" i="33"/>
  <c r="AN87" i="33"/>
  <c r="AO87" i="33"/>
  <c r="AP87" i="33"/>
  <c r="AQ87" i="33"/>
  <c r="AR87" i="33"/>
  <c r="AS87" i="33"/>
  <c r="AT87" i="33"/>
  <c r="AU87" i="33"/>
  <c r="AV87" i="33"/>
  <c r="AW87" i="33"/>
  <c r="AI88" i="33"/>
  <c r="AJ88" i="33"/>
  <c r="AK88" i="33"/>
  <c r="AL88" i="33"/>
  <c r="AM88" i="33"/>
  <c r="AN88" i="33"/>
  <c r="AO88" i="33"/>
  <c r="AP88" i="33"/>
  <c r="AQ88" i="33"/>
  <c r="AR88" i="33"/>
  <c r="AS88" i="33"/>
  <c r="AT88" i="33"/>
  <c r="AU88" i="33"/>
  <c r="AV88" i="33"/>
  <c r="AW88" i="33"/>
  <c r="AI89" i="33"/>
  <c r="AJ89" i="33"/>
  <c r="AK89" i="33"/>
  <c r="AL89" i="33"/>
  <c r="AM89" i="33"/>
  <c r="AN89" i="33"/>
  <c r="AO89" i="33"/>
  <c r="AP89" i="33"/>
  <c r="AQ89" i="33"/>
  <c r="AR89" i="33"/>
  <c r="AS89" i="33"/>
  <c r="AT89" i="33"/>
  <c r="AU89" i="33"/>
  <c r="AV89" i="33"/>
  <c r="AW89" i="33"/>
  <c r="AI90" i="33"/>
  <c r="AJ90" i="33"/>
  <c r="AK90" i="33"/>
  <c r="AL90" i="33"/>
  <c r="AM90" i="33"/>
  <c r="AN90" i="33"/>
  <c r="AO90" i="33"/>
  <c r="AP90" i="33"/>
  <c r="AQ90" i="33"/>
  <c r="AR90" i="33"/>
  <c r="AS90" i="33"/>
  <c r="AT90" i="33"/>
  <c r="AU90" i="33"/>
  <c r="AV90" i="33"/>
  <c r="AW90" i="33"/>
  <c r="AI53" i="33"/>
  <c r="AJ53" i="33"/>
  <c r="AK53" i="33"/>
  <c r="AL53" i="33"/>
  <c r="AM53" i="33"/>
  <c r="AN53" i="33"/>
  <c r="AO53" i="33"/>
  <c r="AP53" i="33"/>
  <c r="AQ53" i="33"/>
  <c r="AR53" i="33"/>
  <c r="AS53" i="33"/>
  <c r="AT53" i="33"/>
  <c r="AU53" i="33"/>
  <c r="AV53" i="33"/>
  <c r="AW53" i="33"/>
  <c r="AI54" i="33"/>
  <c r="AJ54" i="33"/>
  <c r="AK54" i="33"/>
  <c r="AL54" i="33"/>
  <c r="AM54" i="33"/>
  <c r="AN54" i="33"/>
  <c r="AO54" i="33"/>
  <c r="AP54" i="33"/>
  <c r="AQ54" i="33"/>
  <c r="AR54" i="33"/>
  <c r="AS54" i="33"/>
  <c r="AT54" i="33"/>
  <c r="AU54" i="33"/>
  <c r="AV54" i="33"/>
  <c r="AW54" i="33"/>
  <c r="AW9" i="33"/>
  <c r="AW10" i="33"/>
  <c r="AW11" i="33"/>
  <c r="AW12" i="33"/>
  <c r="AW13" i="33"/>
  <c r="AW14" i="33"/>
  <c r="AW15" i="33"/>
  <c r="AW16" i="33"/>
  <c r="AW17" i="33"/>
  <c r="AW18" i="33"/>
  <c r="AW19" i="33"/>
  <c r="AW20" i="33"/>
  <c r="AW21" i="33"/>
  <c r="AW22" i="33"/>
  <c r="AW23" i="33"/>
  <c r="AW24" i="33"/>
  <c r="AW25" i="33"/>
  <c r="AW26" i="33"/>
  <c r="AW27" i="33"/>
  <c r="AW28" i="33"/>
  <c r="AW29" i="33"/>
  <c r="AW30" i="33"/>
  <c r="AW31" i="33"/>
  <c r="AW32" i="33"/>
  <c r="AW33" i="33"/>
  <c r="AW34" i="33"/>
  <c r="AW35" i="33"/>
  <c r="AW36" i="33"/>
  <c r="AW37" i="33"/>
  <c r="AW38" i="33"/>
  <c r="AW39" i="33"/>
  <c r="AW40" i="33"/>
  <c r="AW41" i="33"/>
  <c r="AW42" i="33"/>
  <c r="AW43" i="33"/>
  <c r="AW44" i="33"/>
  <c r="AW45" i="33"/>
  <c r="AW8" i="33"/>
  <c r="AJ8" i="33"/>
  <c r="AK8" i="33"/>
  <c r="AL8" i="33"/>
  <c r="AM8" i="33"/>
  <c r="AN8" i="33"/>
  <c r="AO8" i="33"/>
  <c r="AP8" i="33"/>
  <c r="AQ8" i="33"/>
  <c r="AR8" i="33"/>
  <c r="AS8" i="33"/>
  <c r="AT8" i="33"/>
  <c r="AU8" i="33"/>
  <c r="AV8" i="33"/>
  <c r="AJ9" i="33"/>
  <c r="AK9" i="33"/>
  <c r="AL9" i="33"/>
  <c r="AM9" i="33"/>
  <c r="AN9" i="33"/>
  <c r="AO9" i="33"/>
  <c r="AP9" i="33"/>
  <c r="AQ9" i="33"/>
  <c r="AR9" i="33"/>
  <c r="AS9" i="33"/>
  <c r="AT9" i="33"/>
  <c r="AU9" i="33"/>
  <c r="AV9" i="33"/>
  <c r="AJ10" i="33"/>
  <c r="AK10" i="33"/>
  <c r="AL10" i="33"/>
  <c r="AM10" i="33"/>
  <c r="AN10" i="33"/>
  <c r="AO10" i="33"/>
  <c r="AP10" i="33"/>
  <c r="AQ10" i="33"/>
  <c r="AR10" i="33"/>
  <c r="AS10" i="33"/>
  <c r="AT10" i="33"/>
  <c r="AU10" i="33"/>
  <c r="AV10" i="33"/>
  <c r="AJ11" i="33"/>
  <c r="AK11" i="33"/>
  <c r="AL11" i="33"/>
  <c r="AM11" i="33"/>
  <c r="AN11" i="33"/>
  <c r="AO11" i="33"/>
  <c r="AP11" i="33"/>
  <c r="AQ11" i="33"/>
  <c r="AR11" i="33"/>
  <c r="AS11" i="33"/>
  <c r="AT11" i="33"/>
  <c r="AU11" i="33"/>
  <c r="AV11" i="33"/>
  <c r="AJ12" i="33"/>
  <c r="AK12" i="33"/>
  <c r="AL12" i="33"/>
  <c r="AM12" i="33"/>
  <c r="AN12" i="33"/>
  <c r="AO12" i="33"/>
  <c r="AP12" i="33"/>
  <c r="AQ12" i="33"/>
  <c r="AR12" i="33"/>
  <c r="AS12" i="33"/>
  <c r="AT12" i="33"/>
  <c r="AU12" i="33"/>
  <c r="AV12" i="33"/>
  <c r="AJ13" i="33"/>
  <c r="AK13" i="33"/>
  <c r="AL13" i="33"/>
  <c r="AM13" i="33"/>
  <c r="AN13" i="33"/>
  <c r="AO13" i="33"/>
  <c r="AP13" i="33"/>
  <c r="AQ13" i="33"/>
  <c r="AR13" i="33"/>
  <c r="AS13" i="33"/>
  <c r="AT13" i="33"/>
  <c r="AU13" i="33"/>
  <c r="AV13" i="33"/>
  <c r="AJ14" i="33"/>
  <c r="AK14" i="33"/>
  <c r="AL14" i="33"/>
  <c r="AM14" i="33"/>
  <c r="AN14" i="33"/>
  <c r="AO14" i="33"/>
  <c r="AP14" i="33"/>
  <c r="AQ14" i="33"/>
  <c r="AR14" i="33"/>
  <c r="AS14" i="33"/>
  <c r="AT14" i="33"/>
  <c r="AU14" i="33"/>
  <c r="AV14" i="33"/>
  <c r="AJ15" i="33"/>
  <c r="AK15" i="33"/>
  <c r="AL15" i="33"/>
  <c r="AM15" i="33"/>
  <c r="AN15" i="33"/>
  <c r="AO15" i="33"/>
  <c r="AP15" i="33"/>
  <c r="AQ15" i="33"/>
  <c r="AR15" i="33"/>
  <c r="AS15" i="33"/>
  <c r="AT15" i="33"/>
  <c r="AU15" i="33"/>
  <c r="AV15" i="33"/>
  <c r="AJ16" i="33"/>
  <c r="AK16" i="33"/>
  <c r="AL16" i="33"/>
  <c r="AM16" i="33"/>
  <c r="AN16" i="33"/>
  <c r="AO16" i="33"/>
  <c r="AP16" i="33"/>
  <c r="AQ16" i="33"/>
  <c r="AR16" i="33"/>
  <c r="AS16" i="33"/>
  <c r="AT16" i="33"/>
  <c r="AU16" i="33"/>
  <c r="AV16" i="33"/>
  <c r="AJ17" i="33"/>
  <c r="AK17" i="33"/>
  <c r="AL17" i="33"/>
  <c r="AM17" i="33"/>
  <c r="AN17" i="33"/>
  <c r="AO17" i="33"/>
  <c r="AP17" i="33"/>
  <c r="AQ17" i="33"/>
  <c r="AR17" i="33"/>
  <c r="AS17" i="33"/>
  <c r="AT17" i="33"/>
  <c r="AU17" i="33"/>
  <c r="AV17" i="33"/>
  <c r="AJ18" i="33"/>
  <c r="AK18" i="33"/>
  <c r="AL18" i="33"/>
  <c r="AM18" i="33"/>
  <c r="AN18" i="33"/>
  <c r="AO18" i="33"/>
  <c r="AP18" i="33"/>
  <c r="AQ18" i="33"/>
  <c r="AR18" i="33"/>
  <c r="AS18" i="33"/>
  <c r="AT18" i="33"/>
  <c r="AU18" i="33"/>
  <c r="AV18" i="33"/>
  <c r="AJ19" i="33"/>
  <c r="AK19" i="33"/>
  <c r="AL19" i="33"/>
  <c r="AM19" i="33"/>
  <c r="AN19" i="33"/>
  <c r="AO19" i="33"/>
  <c r="AP19" i="33"/>
  <c r="AQ19" i="33"/>
  <c r="AR19" i="33"/>
  <c r="AS19" i="33"/>
  <c r="AT19" i="33"/>
  <c r="AU19" i="33"/>
  <c r="AV19" i="33"/>
  <c r="AJ20" i="33"/>
  <c r="AK20" i="33"/>
  <c r="AL20" i="33"/>
  <c r="AM20" i="33"/>
  <c r="AN20" i="33"/>
  <c r="AO20" i="33"/>
  <c r="AP20" i="33"/>
  <c r="AQ20" i="33"/>
  <c r="AR20" i="33"/>
  <c r="AS20" i="33"/>
  <c r="AT20" i="33"/>
  <c r="AU20" i="33"/>
  <c r="AV20" i="33"/>
  <c r="AJ21" i="33"/>
  <c r="AK21" i="33"/>
  <c r="AL21" i="33"/>
  <c r="AM21" i="33"/>
  <c r="AN21" i="33"/>
  <c r="AO21" i="33"/>
  <c r="AP21" i="33"/>
  <c r="AQ21" i="33"/>
  <c r="AR21" i="33"/>
  <c r="AS21" i="33"/>
  <c r="AT21" i="33"/>
  <c r="AU21" i="33"/>
  <c r="AV21" i="33"/>
  <c r="AJ22" i="33"/>
  <c r="AK22" i="33"/>
  <c r="AL22" i="33"/>
  <c r="AM22" i="33"/>
  <c r="AN22" i="33"/>
  <c r="AO22" i="33"/>
  <c r="AP22" i="33"/>
  <c r="AQ22" i="33"/>
  <c r="AR22" i="33"/>
  <c r="AS22" i="33"/>
  <c r="AT22" i="33"/>
  <c r="AU22" i="33"/>
  <c r="AV22" i="33"/>
  <c r="AJ23" i="33"/>
  <c r="AK23" i="33"/>
  <c r="AL23" i="33"/>
  <c r="AM23" i="33"/>
  <c r="AN23" i="33"/>
  <c r="AO23" i="33"/>
  <c r="AP23" i="33"/>
  <c r="AQ23" i="33"/>
  <c r="AR23" i="33"/>
  <c r="AS23" i="33"/>
  <c r="AT23" i="33"/>
  <c r="AU23" i="33"/>
  <c r="AV23" i="33"/>
  <c r="AJ24" i="33"/>
  <c r="AK24" i="33"/>
  <c r="AL24" i="33"/>
  <c r="AM24" i="33"/>
  <c r="AN24" i="33"/>
  <c r="AO24" i="33"/>
  <c r="AP24" i="33"/>
  <c r="AQ24" i="33"/>
  <c r="AR24" i="33"/>
  <c r="AS24" i="33"/>
  <c r="AT24" i="33"/>
  <c r="AU24" i="33"/>
  <c r="AV24" i="33"/>
  <c r="AJ25" i="33"/>
  <c r="AK25" i="33"/>
  <c r="AL25" i="33"/>
  <c r="AM25" i="33"/>
  <c r="AN25" i="33"/>
  <c r="AO25" i="33"/>
  <c r="AP25" i="33"/>
  <c r="AQ25" i="33"/>
  <c r="AR25" i="33"/>
  <c r="AS25" i="33"/>
  <c r="AT25" i="33"/>
  <c r="AU25" i="33"/>
  <c r="AV25" i="33"/>
  <c r="AJ26" i="33"/>
  <c r="AK26" i="33"/>
  <c r="AL26" i="33"/>
  <c r="AM26" i="33"/>
  <c r="AN26" i="33"/>
  <c r="AO26" i="33"/>
  <c r="AP26" i="33"/>
  <c r="AQ26" i="33"/>
  <c r="AR26" i="33"/>
  <c r="AS26" i="33"/>
  <c r="AT26" i="33"/>
  <c r="AU26" i="33"/>
  <c r="AV26" i="33"/>
  <c r="AJ27" i="33"/>
  <c r="AK27" i="33"/>
  <c r="AL27" i="33"/>
  <c r="AM27" i="33"/>
  <c r="AN27" i="33"/>
  <c r="AO27" i="33"/>
  <c r="AP27" i="33"/>
  <c r="AQ27" i="33"/>
  <c r="AR27" i="33"/>
  <c r="AS27" i="33"/>
  <c r="AT27" i="33"/>
  <c r="AU27" i="33"/>
  <c r="AV27" i="33"/>
  <c r="AJ28" i="33"/>
  <c r="AK28" i="33"/>
  <c r="AL28" i="33"/>
  <c r="AM28" i="33"/>
  <c r="AN28" i="33"/>
  <c r="AO28" i="33"/>
  <c r="AP28" i="33"/>
  <c r="AQ28" i="33"/>
  <c r="AR28" i="33"/>
  <c r="AS28" i="33"/>
  <c r="AT28" i="33"/>
  <c r="AU28" i="33"/>
  <c r="AV28" i="33"/>
  <c r="AJ29" i="33"/>
  <c r="AK29" i="33"/>
  <c r="AL29" i="33"/>
  <c r="AM29" i="33"/>
  <c r="AN29" i="33"/>
  <c r="AO29" i="33"/>
  <c r="AP29" i="33"/>
  <c r="AQ29" i="33"/>
  <c r="AR29" i="33"/>
  <c r="AS29" i="33"/>
  <c r="AT29" i="33"/>
  <c r="AU29" i="33"/>
  <c r="AV29" i="33"/>
  <c r="AJ30" i="33"/>
  <c r="AK30" i="33"/>
  <c r="AL30" i="33"/>
  <c r="AM30" i="33"/>
  <c r="AN30" i="33"/>
  <c r="AO30" i="33"/>
  <c r="AP30" i="33"/>
  <c r="AQ30" i="33"/>
  <c r="AR30" i="33"/>
  <c r="AS30" i="33"/>
  <c r="AT30" i="33"/>
  <c r="AU30" i="33"/>
  <c r="AV30" i="33"/>
  <c r="AJ31" i="33"/>
  <c r="AK31" i="33"/>
  <c r="AL31" i="33"/>
  <c r="AM31" i="33"/>
  <c r="AN31" i="33"/>
  <c r="AO31" i="33"/>
  <c r="AP31" i="33"/>
  <c r="AQ31" i="33"/>
  <c r="AR31" i="33"/>
  <c r="AS31" i="33"/>
  <c r="AT31" i="33"/>
  <c r="AU31" i="33"/>
  <c r="AV31" i="33"/>
  <c r="AJ32" i="33"/>
  <c r="AK32" i="33"/>
  <c r="AL32" i="33"/>
  <c r="AM32" i="33"/>
  <c r="AN32" i="33"/>
  <c r="AO32" i="33"/>
  <c r="AP32" i="33"/>
  <c r="AQ32" i="33"/>
  <c r="AR32" i="33"/>
  <c r="AS32" i="33"/>
  <c r="AT32" i="33"/>
  <c r="AU32" i="33"/>
  <c r="AV32" i="33"/>
  <c r="AJ33" i="33"/>
  <c r="AK33" i="33"/>
  <c r="AL33" i="33"/>
  <c r="AM33" i="33"/>
  <c r="AN33" i="33"/>
  <c r="AO33" i="33"/>
  <c r="AP33" i="33"/>
  <c r="AQ33" i="33"/>
  <c r="AR33" i="33"/>
  <c r="AS33" i="33"/>
  <c r="AT33" i="33"/>
  <c r="AU33" i="33"/>
  <c r="AV33" i="33"/>
  <c r="AJ34" i="33"/>
  <c r="AK34" i="33"/>
  <c r="AL34" i="33"/>
  <c r="AM34" i="33"/>
  <c r="AN34" i="33"/>
  <c r="AO34" i="33"/>
  <c r="AP34" i="33"/>
  <c r="AQ34" i="33"/>
  <c r="AR34" i="33"/>
  <c r="AS34" i="33"/>
  <c r="AT34" i="33"/>
  <c r="AU34" i="33"/>
  <c r="AV34" i="33"/>
  <c r="AJ35" i="33"/>
  <c r="AK35" i="33"/>
  <c r="AL35" i="33"/>
  <c r="AM35" i="33"/>
  <c r="AN35" i="33"/>
  <c r="AO35" i="33"/>
  <c r="AP35" i="33"/>
  <c r="AQ35" i="33"/>
  <c r="AR35" i="33"/>
  <c r="AS35" i="33"/>
  <c r="AT35" i="33"/>
  <c r="AU35" i="33"/>
  <c r="AV35" i="33"/>
  <c r="AJ36" i="33"/>
  <c r="AK36" i="33"/>
  <c r="AL36" i="33"/>
  <c r="AM36" i="33"/>
  <c r="AN36" i="33"/>
  <c r="AO36" i="33"/>
  <c r="AP36" i="33"/>
  <c r="AQ36" i="33"/>
  <c r="AR36" i="33"/>
  <c r="AS36" i="33"/>
  <c r="AT36" i="33"/>
  <c r="AU36" i="33"/>
  <c r="AV36" i="33"/>
  <c r="AJ37" i="33"/>
  <c r="AK37" i="33"/>
  <c r="AL37" i="33"/>
  <c r="AM37" i="33"/>
  <c r="AN37" i="33"/>
  <c r="AO37" i="33"/>
  <c r="AP37" i="33"/>
  <c r="AQ37" i="33"/>
  <c r="AR37" i="33"/>
  <c r="AS37" i="33"/>
  <c r="AT37" i="33"/>
  <c r="AU37" i="33"/>
  <c r="AV37" i="33"/>
  <c r="AJ38" i="33"/>
  <c r="AK38" i="33"/>
  <c r="AL38" i="33"/>
  <c r="AM38" i="33"/>
  <c r="AN38" i="33"/>
  <c r="AO38" i="33"/>
  <c r="AP38" i="33"/>
  <c r="AQ38" i="33"/>
  <c r="AR38" i="33"/>
  <c r="AS38" i="33"/>
  <c r="AT38" i="33"/>
  <c r="AU38" i="33"/>
  <c r="AV38" i="33"/>
  <c r="AJ39" i="33"/>
  <c r="AK39" i="33"/>
  <c r="AL39" i="33"/>
  <c r="AM39" i="33"/>
  <c r="AN39" i="33"/>
  <c r="AO39" i="33"/>
  <c r="AP39" i="33"/>
  <c r="AQ39" i="33"/>
  <c r="AR39" i="33"/>
  <c r="AS39" i="33"/>
  <c r="AT39" i="33"/>
  <c r="AU39" i="33"/>
  <c r="AV39" i="33"/>
  <c r="AJ40" i="33"/>
  <c r="AK40" i="33"/>
  <c r="AL40" i="33"/>
  <c r="AM40" i="33"/>
  <c r="AN40" i="33"/>
  <c r="AO40" i="33"/>
  <c r="AP40" i="33"/>
  <c r="AQ40" i="33"/>
  <c r="AR40" i="33"/>
  <c r="AS40" i="33"/>
  <c r="AT40" i="33"/>
  <c r="AU40" i="33"/>
  <c r="AV40" i="33"/>
  <c r="AJ41" i="33"/>
  <c r="AK41" i="33"/>
  <c r="AL41" i="33"/>
  <c r="AM41" i="33"/>
  <c r="AN41" i="33"/>
  <c r="AO41" i="33"/>
  <c r="AP41" i="33"/>
  <c r="AQ41" i="33"/>
  <c r="AR41" i="33"/>
  <c r="AS41" i="33"/>
  <c r="AT41" i="33"/>
  <c r="AU41" i="33"/>
  <c r="AV41" i="33"/>
  <c r="AJ42" i="33"/>
  <c r="AK42" i="33"/>
  <c r="AL42" i="33"/>
  <c r="AM42" i="33"/>
  <c r="AN42" i="33"/>
  <c r="AO42" i="33"/>
  <c r="AP42" i="33"/>
  <c r="AQ42" i="33"/>
  <c r="AR42" i="33"/>
  <c r="AS42" i="33"/>
  <c r="AT42" i="33"/>
  <c r="AU42" i="33"/>
  <c r="AV42" i="33"/>
  <c r="AJ43" i="33"/>
  <c r="AK43" i="33"/>
  <c r="AL43" i="33"/>
  <c r="AM43" i="33"/>
  <c r="AN43" i="33"/>
  <c r="AO43" i="33"/>
  <c r="AP43" i="33"/>
  <c r="AQ43" i="33"/>
  <c r="AR43" i="33"/>
  <c r="AS43" i="33"/>
  <c r="AT43" i="33"/>
  <c r="AU43" i="33"/>
  <c r="AV43" i="33"/>
  <c r="AJ44" i="33"/>
  <c r="AK44" i="33"/>
  <c r="AL44" i="33"/>
  <c r="AM44" i="33"/>
  <c r="AN44" i="33"/>
  <c r="AO44" i="33"/>
  <c r="AP44" i="33"/>
  <c r="AQ44" i="33"/>
  <c r="AR44" i="33"/>
  <c r="AS44" i="33"/>
  <c r="AT44" i="33"/>
  <c r="AU44" i="33"/>
  <c r="AV44" i="33"/>
  <c r="AJ45" i="33"/>
  <c r="AK45" i="33"/>
  <c r="AL45" i="33"/>
  <c r="AM45" i="33"/>
  <c r="AN45" i="33"/>
  <c r="AO45" i="33"/>
  <c r="AP45" i="33"/>
  <c r="AQ45" i="33"/>
  <c r="AR45" i="33"/>
  <c r="AS45" i="33"/>
  <c r="AT45" i="33"/>
  <c r="AU45" i="33"/>
  <c r="AV45" i="33"/>
  <c r="AI9" i="33"/>
  <c r="AI10" i="33"/>
  <c r="AI11" i="33"/>
  <c r="AI12" i="33"/>
  <c r="AI13" i="33"/>
  <c r="AI14" i="33"/>
  <c r="AI15" i="33"/>
  <c r="AI16" i="33"/>
  <c r="AI17" i="33"/>
  <c r="AI18" i="33"/>
  <c r="AI19" i="33"/>
  <c r="AI20" i="33"/>
  <c r="AI21" i="33"/>
  <c r="AI22" i="33"/>
  <c r="AI23" i="33"/>
  <c r="AI24" i="33"/>
  <c r="AI25" i="33"/>
  <c r="AI26" i="33"/>
  <c r="AI27" i="33"/>
  <c r="AI28" i="33"/>
  <c r="AI29" i="33"/>
  <c r="AI30" i="33"/>
  <c r="AI31" i="33"/>
  <c r="AI32" i="33"/>
  <c r="AI33" i="33"/>
  <c r="AI34" i="33"/>
  <c r="AI35" i="33"/>
  <c r="AI36" i="33"/>
  <c r="AI37" i="33"/>
  <c r="AI38" i="33"/>
  <c r="AI39" i="33"/>
  <c r="AI40" i="33"/>
  <c r="AI41" i="33"/>
  <c r="AI42" i="33"/>
  <c r="AI43" i="33"/>
  <c r="AI44" i="33"/>
  <c r="AI45" i="33"/>
  <c r="AI8" i="33"/>
  <c r="AK4" i="33" s="1"/>
  <c r="B2" i="32"/>
  <c r="B4" i="33"/>
  <c r="J5" i="33"/>
  <c r="J50" i="33" s="1"/>
  <c r="J95" i="33" s="1"/>
  <c r="J140" i="33" s="1"/>
  <c r="B5" i="33"/>
  <c r="B50" i="33" s="1"/>
  <c r="B95" i="33" s="1"/>
  <c r="B140" i="33" s="1"/>
  <c r="R4" i="33"/>
  <c r="R49" i="33" s="1"/>
  <c r="R94" i="33" s="1"/>
  <c r="R139" i="33" s="1"/>
  <c r="E10" i="34"/>
  <c r="F10" i="34"/>
  <c r="G10" i="34"/>
  <c r="E5" i="34"/>
  <c r="F5" i="34"/>
  <c r="EG5" i="34" s="1"/>
  <c r="G5" i="34"/>
  <c r="E11" i="34"/>
  <c r="F11" i="34"/>
  <c r="G11" i="34"/>
  <c r="E16" i="34"/>
  <c r="F16" i="34"/>
  <c r="EG16" i="34" s="1"/>
  <c r="G16" i="34"/>
  <c r="E12" i="34"/>
  <c r="F12" i="34"/>
  <c r="G12" i="34"/>
  <c r="E14" i="34"/>
  <c r="F14" i="34"/>
  <c r="G14" i="34"/>
  <c r="C14" i="34"/>
  <c r="C12" i="34"/>
  <c r="C16" i="34"/>
  <c r="C11" i="34"/>
  <c r="C5" i="34"/>
  <c r="C10" i="34"/>
  <c r="E23" i="34"/>
  <c r="F23" i="34"/>
  <c r="G23" i="34"/>
  <c r="E20" i="34"/>
  <c r="F20" i="34"/>
  <c r="G20" i="34"/>
  <c r="E9" i="34"/>
  <c r="F9" i="34"/>
  <c r="G9" i="34"/>
  <c r="E15" i="34"/>
  <c r="F15" i="34"/>
  <c r="G15" i="34"/>
  <c r="E19" i="34"/>
  <c r="F19" i="34"/>
  <c r="EG19" i="34" s="1"/>
  <c r="G19" i="34"/>
  <c r="E18" i="34"/>
  <c r="F18" i="34"/>
  <c r="G18" i="34"/>
  <c r="E27" i="34"/>
  <c r="F27" i="34"/>
  <c r="G27" i="34"/>
  <c r="E26" i="34"/>
  <c r="F26" i="34"/>
  <c r="G26" i="34"/>
  <c r="E25" i="34"/>
  <c r="F25" i="34"/>
  <c r="G25" i="34"/>
  <c r="C25" i="34"/>
  <c r="C26" i="34"/>
  <c r="C27" i="34"/>
  <c r="C18" i="34"/>
  <c r="C19" i="34"/>
  <c r="C15" i="34"/>
  <c r="C9" i="34"/>
  <c r="C20" i="34"/>
  <c r="C23" i="34"/>
  <c r="E24" i="34"/>
  <c r="F24" i="34"/>
  <c r="GV24" i="34" s="1"/>
  <c r="GW24" i="34" s="1"/>
  <c r="G24" i="34"/>
  <c r="E13" i="34"/>
  <c r="F13" i="34"/>
  <c r="EG13" i="34" s="1"/>
  <c r="G13" i="34"/>
  <c r="E8" i="34"/>
  <c r="F8" i="34"/>
  <c r="G8" i="34"/>
  <c r="E6" i="34"/>
  <c r="F6" i="34"/>
  <c r="G6" i="34"/>
  <c r="E21" i="34"/>
  <c r="F21" i="34"/>
  <c r="G21" i="34"/>
  <c r="C21" i="34"/>
  <c r="C6" i="34"/>
  <c r="C8" i="34"/>
  <c r="C13" i="34"/>
  <c r="C24" i="34"/>
  <c r="E22" i="34"/>
  <c r="F22" i="34"/>
  <c r="G22" i="34"/>
  <c r="E7" i="34"/>
  <c r="F7" i="34"/>
  <c r="G7" i="34"/>
  <c r="C7" i="34"/>
  <c r="C22" i="34"/>
  <c r="E17" i="34"/>
  <c r="F17" i="34"/>
  <c r="G17" i="34"/>
  <c r="C17" i="34"/>
  <c r="E32" i="34"/>
  <c r="F32" i="34"/>
  <c r="EG32" i="34" s="1"/>
  <c r="G32" i="34"/>
  <c r="E41" i="34"/>
  <c r="F41" i="34"/>
  <c r="G41" i="34"/>
  <c r="E31" i="34"/>
  <c r="F31" i="34"/>
  <c r="EG31" i="34" s="1"/>
  <c r="G31" i="34"/>
  <c r="E36" i="34"/>
  <c r="F36" i="34"/>
  <c r="EG36" i="34" s="1"/>
  <c r="G36" i="34"/>
  <c r="E49" i="34"/>
  <c r="F49" i="34"/>
  <c r="EG49" i="34" s="1"/>
  <c r="G49" i="34"/>
  <c r="C49" i="34"/>
  <c r="C36" i="34"/>
  <c r="C31" i="34"/>
  <c r="C41" i="34"/>
  <c r="E33" i="34"/>
  <c r="F33" i="34"/>
  <c r="G33" i="34"/>
  <c r="C32" i="34"/>
  <c r="C33" i="34"/>
  <c r="E35" i="34"/>
  <c r="F35" i="34"/>
  <c r="G35" i="34"/>
  <c r="C35" i="34"/>
  <c r="E29" i="34"/>
  <c r="F29" i="34"/>
  <c r="G29" i="34"/>
  <c r="C29" i="34"/>
  <c r="E30" i="34"/>
  <c r="F30" i="34"/>
  <c r="EG30" i="34" s="1"/>
  <c r="G30" i="34"/>
  <c r="E37" i="34"/>
  <c r="F37" i="34"/>
  <c r="G37" i="34"/>
  <c r="C37" i="34"/>
  <c r="C30" i="34"/>
  <c r="E39" i="34"/>
  <c r="F39" i="34"/>
  <c r="G39" i="34"/>
  <c r="E38" i="34"/>
  <c r="F38" i="34"/>
  <c r="G38" i="34"/>
  <c r="E40" i="34"/>
  <c r="F40" i="34"/>
  <c r="G40" i="34"/>
  <c r="E34" i="34"/>
  <c r="F34" i="34"/>
  <c r="G34" i="34"/>
  <c r="C34" i="34"/>
  <c r="C40" i="34"/>
  <c r="C38" i="34"/>
  <c r="C39" i="34"/>
  <c r="C28" i="34"/>
  <c r="E28" i="34"/>
  <c r="F28" i="34"/>
  <c r="EG28" i="34" s="1"/>
  <c r="G28" i="34"/>
  <c r="E4" i="34"/>
  <c r="F4" i="34"/>
  <c r="G4" i="34"/>
  <c r="C4" i="34"/>
  <c r="AA39" i="34"/>
  <c r="CM39" i="34" s="1"/>
  <c r="AA102" i="34" s="1"/>
  <c r="W39" i="34"/>
  <c r="CI39" i="34" s="1"/>
  <c r="W102" i="34" s="1"/>
  <c r="AD39" i="34"/>
  <c r="CP39" i="34" s="1"/>
  <c r="AD102" i="34" s="1"/>
  <c r="AC39" i="34"/>
  <c r="CO39" i="34" s="1"/>
  <c r="AC102" i="34" s="1"/>
  <c r="Y39" i="34"/>
  <c r="CK39" i="34" s="1"/>
  <c r="Y102" i="34" s="1"/>
  <c r="AB39" i="34"/>
  <c r="CN39" i="34" s="1"/>
  <c r="AB102" i="34" s="1"/>
  <c r="X39" i="34"/>
  <c r="CJ39" i="34" s="1"/>
  <c r="X102" i="34" s="1"/>
  <c r="Z39" i="34"/>
  <c r="CL39" i="34" s="1"/>
  <c r="Z102" i="34" s="1"/>
  <c r="V39" i="34"/>
  <c r="CH39" i="34" s="1"/>
  <c r="V102" i="34" s="1"/>
  <c r="AB35" i="34"/>
  <c r="CN35" i="34" s="1"/>
  <c r="AB98" i="34" s="1"/>
  <c r="X35" i="34"/>
  <c r="CJ35" i="34" s="1"/>
  <c r="X98" i="34" s="1"/>
  <c r="AA35" i="34"/>
  <c r="CM35" i="34" s="1"/>
  <c r="AA98" i="34" s="1"/>
  <c r="AD35" i="34"/>
  <c r="CP35" i="34" s="1"/>
  <c r="AD98" i="34" s="1"/>
  <c r="Z35" i="34"/>
  <c r="CL35" i="34" s="1"/>
  <c r="Z98" i="34" s="1"/>
  <c r="V35" i="34"/>
  <c r="CH35" i="34" s="1"/>
  <c r="V98" i="34" s="1"/>
  <c r="AC35" i="34"/>
  <c r="CO35" i="34" s="1"/>
  <c r="AC98" i="34" s="1"/>
  <c r="Y35" i="34"/>
  <c r="CK35" i="34" s="1"/>
  <c r="Y98" i="34" s="1"/>
  <c r="W35" i="34"/>
  <c r="CI35" i="34" s="1"/>
  <c r="W98" i="34" s="1"/>
  <c r="AD32" i="34"/>
  <c r="CP32" i="34" s="1"/>
  <c r="AD95" i="34" s="1"/>
  <c r="Z32" i="34"/>
  <c r="CL32" i="34" s="1"/>
  <c r="Z95" i="34" s="1"/>
  <c r="V32" i="34"/>
  <c r="CH32" i="34" s="1"/>
  <c r="V95" i="34" s="1"/>
  <c r="AC32" i="34"/>
  <c r="CO32" i="34" s="1"/>
  <c r="AC95" i="34" s="1"/>
  <c r="AB32" i="34"/>
  <c r="CN32" i="34" s="1"/>
  <c r="AB95" i="34" s="1"/>
  <c r="X32" i="34"/>
  <c r="CJ32" i="34" s="1"/>
  <c r="X95" i="34" s="1"/>
  <c r="AA32" i="34"/>
  <c r="CM32" i="34" s="1"/>
  <c r="AA95" i="34" s="1"/>
  <c r="W32" i="34"/>
  <c r="CI32" i="34" s="1"/>
  <c r="W95" i="34" s="1"/>
  <c r="Y32" i="34"/>
  <c r="CK32" i="34" s="1"/>
  <c r="Y95" i="34" s="1"/>
  <c r="AB31" i="34"/>
  <c r="CN31" i="34" s="1"/>
  <c r="AB94" i="34" s="1"/>
  <c r="X31" i="34"/>
  <c r="CJ31" i="34" s="1"/>
  <c r="X94" i="34" s="1"/>
  <c r="W31" i="34"/>
  <c r="CI31" i="34" s="1"/>
  <c r="W94" i="34" s="1"/>
  <c r="AD31" i="34"/>
  <c r="CP31" i="34" s="1"/>
  <c r="AD94" i="34" s="1"/>
  <c r="Z31" i="34"/>
  <c r="CL31" i="34" s="1"/>
  <c r="Z94" i="34" s="1"/>
  <c r="V31" i="34"/>
  <c r="CH31" i="34" s="1"/>
  <c r="V94" i="34" s="1"/>
  <c r="AC31" i="34"/>
  <c r="CO31" i="34" s="1"/>
  <c r="AC94" i="34" s="1"/>
  <c r="Y31" i="34"/>
  <c r="CK31" i="34" s="1"/>
  <c r="Y94" i="34" s="1"/>
  <c r="AA31" i="34"/>
  <c r="CM31" i="34" s="1"/>
  <c r="AA94" i="34" s="1"/>
  <c r="AC36" i="34"/>
  <c r="CO36" i="34" s="1"/>
  <c r="AC99" i="34" s="1"/>
  <c r="Y36" i="34"/>
  <c r="CK36" i="34" s="1"/>
  <c r="Y99" i="34" s="1"/>
  <c r="AB36" i="34"/>
  <c r="CN36" i="34" s="1"/>
  <c r="AB99" i="34" s="1"/>
  <c r="AA36" i="34"/>
  <c r="CM36" i="34" s="1"/>
  <c r="AA99" i="34" s="1"/>
  <c r="W36" i="34"/>
  <c r="CI36" i="34" s="1"/>
  <c r="W99" i="34" s="1"/>
  <c r="AD36" i="34"/>
  <c r="CP36" i="34" s="1"/>
  <c r="AD99" i="34" s="1"/>
  <c r="Z36" i="34"/>
  <c r="CL36" i="34" s="1"/>
  <c r="Z99" i="34" s="1"/>
  <c r="V36" i="34"/>
  <c r="CH36" i="34" s="1"/>
  <c r="V99" i="34" s="1"/>
  <c r="X36" i="34"/>
  <c r="CJ36" i="34" s="1"/>
  <c r="X99" i="34" s="1"/>
  <c r="AC38" i="34"/>
  <c r="CO38" i="34" s="1"/>
  <c r="AC101" i="34" s="1"/>
  <c r="Y38" i="34"/>
  <c r="CK38" i="34" s="1"/>
  <c r="Y101" i="34" s="1"/>
  <c r="X38" i="34"/>
  <c r="CJ38" i="34" s="1"/>
  <c r="X101" i="34" s="1"/>
  <c r="AA38" i="34"/>
  <c r="CM38" i="34" s="1"/>
  <c r="AA101" i="34" s="1"/>
  <c r="AD38" i="34"/>
  <c r="CP38" i="34" s="1"/>
  <c r="AD101" i="34" s="1"/>
  <c r="Z38" i="34"/>
  <c r="CL38" i="34" s="1"/>
  <c r="Z101" i="34" s="1"/>
  <c r="V38" i="34"/>
  <c r="CH38" i="34" s="1"/>
  <c r="V101" i="34" s="1"/>
  <c r="AB38" i="34"/>
  <c r="CN38" i="34" s="1"/>
  <c r="AB101" i="34" s="1"/>
  <c r="W38" i="34"/>
  <c r="CI38" i="34" s="1"/>
  <c r="W101" i="34" s="1"/>
  <c r="AC33" i="34"/>
  <c r="CO33" i="34" s="1"/>
  <c r="AC96" i="34" s="1"/>
  <c r="Y33" i="34"/>
  <c r="CK33" i="34" s="1"/>
  <c r="Y96" i="34" s="1"/>
  <c r="X33" i="34"/>
  <c r="CJ33" i="34" s="1"/>
  <c r="X96" i="34" s="1"/>
  <c r="AA33" i="34"/>
  <c r="CM33" i="34" s="1"/>
  <c r="AA96" i="34" s="1"/>
  <c r="W33" i="34"/>
  <c r="CI33" i="34" s="1"/>
  <c r="W96" i="34" s="1"/>
  <c r="AD33" i="34"/>
  <c r="CP33" i="34" s="1"/>
  <c r="AD96" i="34" s="1"/>
  <c r="Z33" i="34"/>
  <c r="CL33" i="34" s="1"/>
  <c r="Z96" i="34" s="1"/>
  <c r="V33" i="34"/>
  <c r="CH33" i="34" s="1"/>
  <c r="V96" i="34" s="1"/>
  <c r="AB33" i="34"/>
  <c r="CN33" i="34" s="1"/>
  <c r="AB96" i="34" s="1"/>
  <c r="AA41" i="34"/>
  <c r="CM41" i="34" s="1"/>
  <c r="AA104" i="34" s="1"/>
  <c r="W41" i="34"/>
  <c r="CI41" i="34" s="1"/>
  <c r="W104" i="34" s="1"/>
  <c r="Z41" i="34"/>
  <c r="CL41" i="34" s="1"/>
  <c r="Z104" i="34" s="1"/>
  <c r="V41" i="34"/>
  <c r="CH41" i="34" s="1"/>
  <c r="V104" i="34" s="1"/>
  <c r="AC41" i="34"/>
  <c r="CO41" i="34" s="1"/>
  <c r="AC104" i="34" s="1"/>
  <c r="Y41" i="34"/>
  <c r="CK41" i="34" s="1"/>
  <c r="Y104" i="34" s="1"/>
  <c r="AB41" i="34"/>
  <c r="CN41" i="34" s="1"/>
  <c r="AB104" i="34" s="1"/>
  <c r="X41" i="34"/>
  <c r="CJ41" i="34" s="1"/>
  <c r="X104" i="34" s="1"/>
  <c r="AD41" i="34"/>
  <c r="CP41" i="34" s="1"/>
  <c r="AD104" i="34" s="1"/>
  <c r="BE15" i="34"/>
  <c r="DQ15" i="34" s="1"/>
  <c r="BI15" i="34"/>
  <c r="DU15" i="34" s="1"/>
  <c r="BM15" i="34"/>
  <c r="DY15" i="34" s="1"/>
  <c r="BQ15" i="34"/>
  <c r="EC15" i="34" s="1"/>
  <c r="BF15" i="34"/>
  <c r="DR15" i="34" s="1"/>
  <c r="BJ15" i="34"/>
  <c r="DV15" i="34" s="1"/>
  <c r="BN15" i="34"/>
  <c r="DZ15" i="34" s="1"/>
  <c r="BK15" i="34"/>
  <c r="DW15" i="34" s="1"/>
  <c r="BD15" i="34"/>
  <c r="DP15" i="34" s="1"/>
  <c r="BL15" i="34"/>
  <c r="DX15" i="34" s="1"/>
  <c r="BP15" i="34"/>
  <c r="EB15" i="34" s="1"/>
  <c r="BC15" i="34"/>
  <c r="DO15" i="34" s="1"/>
  <c r="AP15" i="34"/>
  <c r="DB15" i="34" s="1"/>
  <c r="AT15" i="34"/>
  <c r="DF15" i="34" s="1"/>
  <c r="AX15" i="34"/>
  <c r="DJ15" i="34" s="1"/>
  <c r="BB15" i="34"/>
  <c r="DN15" i="34" s="1"/>
  <c r="AZ15" i="34"/>
  <c r="DL15" i="34" s="1"/>
  <c r="BG15" i="34"/>
  <c r="DS15" i="34" s="1"/>
  <c r="AQ15" i="34"/>
  <c r="DC15" i="34" s="1"/>
  <c r="AU15" i="34"/>
  <c r="DG15" i="34" s="1"/>
  <c r="AY15" i="34"/>
  <c r="DK15" i="34" s="1"/>
  <c r="AR15" i="34"/>
  <c r="DD15" i="34" s="1"/>
  <c r="BO15" i="34"/>
  <c r="EA15" i="34" s="1"/>
  <c r="AO15" i="34"/>
  <c r="DA15" i="34" s="1"/>
  <c r="AS15" i="34"/>
  <c r="DE15" i="34" s="1"/>
  <c r="AW15" i="34"/>
  <c r="DI15" i="34" s="1"/>
  <c r="BA15" i="34"/>
  <c r="DM15" i="34" s="1"/>
  <c r="BH15" i="34"/>
  <c r="DT15" i="34" s="1"/>
  <c r="AV15" i="34"/>
  <c r="DH15" i="34" s="1"/>
  <c r="AN15" i="34"/>
  <c r="CZ15" i="34" s="1"/>
  <c r="BE16" i="34"/>
  <c r="DQ16" i="34" s="1"/>
  <c r="BI16" i="34"/>
  <c r="DU16" i="34" s="1"/>
  <c r="BM16" i="34"/>
  <c r="DY16" i="34" s="1"/>
  <c r="BQ16" i="34"/>
  <c r="EC16" i="34" s="1"/>
  <c r="BF16" i="34"/>
  <c r="DR16" i="34" s="1"/>
  <c r="BJ16" i="34"/>
  <c r="DV16" i="34" s="1"/>
  <c r="BN16" i="34"/>
  <c r="DZ16" i="34" s="1"/>
  <c r="BK16" i="34"/>
  <c r="DW16" i="34" s="1"/>
  <c r="BD16" i="34"/>
  <c r="DP16" i="34" s="1"/>
  <c r="BL16" i="34"/>
  <c r="DX16" i="34" s="1"/>
  <c r="BH16" i="34"/>
  <c r="DT16" i="34" s="1"/>
  <c r="AP16" i="34"/>
  <c r="DB16" i="34" s="1"/>
  <c r="AT16" i="34"/>
  <c r="DF16" i="34" s="1"/>
  <c r="AX16" i="34"/>
  <c r="DJ16" i="34" s="1"/>
  <c r="BB16" i="34"/>
  <c r="DN16" i="34" s="1"/>
  <c r="BP16" i="34"/>
  <c r="EB16" i="34" s="1"/>
  <c r="AR16" i="34"/>
  <c r="DD16" i="34" s="1"/>
  <c r="BO16" i="34"/>
  <c r="EA16" i="34" s="1"/>
  <c r="BC16" i="34"/>
  <c r="DO16" i="34" s="1"/>
  <c r="AQ16" i="34"/>
  <c r="DC16" i="34" s="1"/>
  <c r="AU16" i="34"/>
  <c r="DG16" i="34" s="1"/>
  <c r="AY16" i="34"/>
  <c r="DK16" i="34" s="1"/>
  <c r="AV16" i="34"/>
  <c r="DH16" i="34" s="1"/>
  <c r="AV78" i="34" s="1"/>
  <c r="BG16" i="34"/>
  <c r="DS16" i="34" s="1"/>
  <c r="BG78" i="34" s="1"/>
  <c r="AO16" i="34"/>
  <c r="DA16" i="34" s="1"/>
  <c r="AS16" i="34"/>
  <c r="DE16" i="34" s="1"/>
  <c r="AW16" i="34"/>
  <c r="DI16" i="34" s="1"/>
  <c r="BA16" i="34"/>
  <c r="DM16" i="34" s="1"/>
  <c r="AZ16" i="34"/>
  <c r="DL16" i="34" s="1"/>
  <c r="AN16" i="34"/>
  <c r="CZ16" i="34" s="1"/>
  <c r="BG36" i="34"/>
  <c r="DS36" i="34" s="1"/>
  <c r="BG99" i="34" s="1"/>
  <c r="BK36" i="34"/>
  <c r="DW36" i="34" s="1"/>
  <c r="BK99" i="34" s="1"/>
  <c r="BO36" i="34"/>
  <c r="EA36" i="34" s="1"/>
  <c r="BO99" i="34" s="1"/>
  <c r="BD36" i="34"/>
  <c r="DP36" i="34" s="1"/>
  <c r="BD99" i="34" s="1"/>
  <c r="BH36" i="34"/>
  <c r="DT36" i="34" s="1"/>
  <c r="BH99" i="34" s="1"/>
  <c r="BL36" i="34"/>
  <c r="DX36" i="34" s="1"/>
  <c r="BL99" i="34" s="1"/>
  <c r="BP36" i="34"/>
  <c r="EB36" i="34" s="1"/>
  <c r="BP99" i="34" s="1"/>
  <c r="BE36" i="34"/>
  <c r="DQ36" i="34" s="1"/>
  <c r="BE99" i="34" s="1"/>
  <c r="BI36" i="34"/>
  <c r="DU36" i="34" s="1"/>
  <c r="BI99" i="34" s="1"/>
  <c r="BM36" i="34"/>
  <c r="DY36" i="34" s="1"/>
  <c r="BM99" i="34" s="1"/>
  <c r="BQ36" i="34"/>
  <c r="EC36" i="34" s="1"/>
  <c r="BQ99" i="34" s="1"/>
  <c r="BF36" i="34"/>
  <c r="DR36" i="34" s="1"/>
  <c r="BF99" i="34" s="1"/>
  <c r="AO36" i="34"/>
  <c r="DA36" i="34" s="1"/>
  <c r="AO99" i="34" s="1"/>
  <c r="AS36" i="34"/>
  <c r="DE36" i="34" s="1"/>
  <c r="AS99" i="34" s="1"/>
  <c r="AW36" i="34"/>
  <c r="DI36" i="34" s="1"/>
  <c r="AW99" i="34" s="1"/>
  <c r="BA36" i="34"/>
  <c r="DM36" i="34" s="1"/>
  <c r="BA99" i="34" s="1"/>
  <c r="BJ36" i="34"/>
  <c r="DV36" i="34" s="1"/>
  <c r="BJ99" i="34" s="1"/>
  <c r="AP36" i="34"/>
  <c r="DB36" i="34" s="1"/>
  <c r="AP99" i="34" s="1"/>
  <c r="AT36" i="34"/>
  <c r="DF36" i="34" s="1"/>
  <c r="AT99" i="34" s="1"/>
  <c r="AX36" i="34"/>
  <c r="DJ36" i="34" s="1"/>
  <c r="AX99" i="34" s="1"/>
  <c r="BB36" i="34"/>
  <c r="DN36" i="34" s="1"/>
  <c r="BB99" i="34" s="1"/>
  <c r="BN36" i="34"/>
  <c r="DZ36" i="34" s="1"/>
  <c r="BN99" i="34" s="1"/>
  <c r="BC36" i="34"/>
  <c r="DO36" i="34" s="1"/>
  <c r="BC99" i="34" s="1"/>
  <c r="AQ36" i="34"/>
  <c r="DC36" i="34" s="1"/>
  <c r="AQ99" i="34" s="1"/>
  <c r="AU36" i="34"/>
  <c r="DG36" i="34" s="1"/>
  <c r="AU99" i="34" s="1"/>
  <c r="AY36" i="34"/>
  <c r="DK36" i="34" s="1"/>
  <c r="AY99" i="34" s="1"/>
  <c r="AR36" i="34"/>
  <c r="DD36" i="34" s="1"/>
  <c r="AR99" i="34" s="1"/>
  <c r="AZ36" i="34"/>
  <c r="DL36" i="34" s="1"/>
  <c r="AZ99" i="34" s="1"/>
  <c r="AV36" i="34"/>
  <c r="DH36" i="34" s="1"/>
  <c r="AV99" i="34" s="1"/>
  <c r="AN36" i="34"/>
  <c r="CZ36" i="34" s="1"/>
  <c r="AN99" i="34" s="1"/>
  <c r="BE4" i="34"/>
  <c r="DQ4" i="34" s="1"/>
  <c r="BI4" i="34"/>
  <c r="DU4" i="34" s="1"/>
  <c r="BM4" i="34"/>
  <c r="DY4" i="34" s="1"/>
  <c r="BQ4" i="34"/>
  <c r="EC4" i="34" s="1"/>
  <c r="BF4" i="34"/>
  <c r="DR4" i="34" s="1"/>
  <c r="BJ4" i="34"/>
  <c r="DV4" i="34" s="1"/>
  <c r="BN4" i="34"/>
  <c r="DZ4" i="34" s="1"/>
  <c r="AO4" i="34"/>
  <c r="DA4" i="34" s="1"/>
  <c r="AS4" i="34"/>
  <c r="DE4" i="34" s="1"/>
  <c r="AW4" i="34"/>
  <c r="DI4" i="34" s="1"/>
  <c r="BA4" i="34"/>
  <c r="DM4" i="34" s="1"/>
  <c r="BK4" i="34"/>
  <c r="DW4" i="34" s="1"/>
  <c r="BC4" i="34"/>
  <c r="DO4" i="34" s="1"/>
  <c r="AT4" i="34"/>
  <c r="DF4" i="34" s="1"/>
  <c r="AY4" i="34"/>
  <c r="DK4" i="34" s="1"/>
  <c r="BD4" i="34"/>
  <c r="DP4" i="34" s="1"/>
  <c r="BL4" i="34"/>
  <c r="DX4" i="34" s="1"/>
  <c r="AP4" i="34"/>
  <c r="DB4" i="34" s="1"/>
  <c r="AU4" i="34"/>
  <c r="DG4" i="34" s="1"/>
  <c r="AZ4" i="34"/>
  <c r="DL4" i="34" s="1"/>
  <c r="BP4" i="34"/>
  <c r="EB4" i="34" s="1"/>
  <c r="AX4" i="34"/>
  <c r="DJ4" i="34" s="1"/>
  <c r="AN4" i="34"/>
  <c r="CZ4" i="34" s="1"/>
  <c r="BG4" i="34"/>
  <c r="DS4" i="34" s="1"/>
  <c r="AQ4" i="34"/>
  <c r="DC4" i="34" s="1"/>
  <c r="BB4" i="34"/>
  <c r="DN4" i="34" s="1"/>
  <c r="BH4" i="34"/>
  <c r="DT4" i="34" s="1"/>
  <c r="AR4" i="34"/>
  <c r="DD4" i="34" s="1"/>
  <c r="BO4" i="34"/>
  <c r="EA4" i="34" s="1"/>
  <c r="AV4" i="34"/>
  <c r="DH4" i="34" s="1"/>
  <c r="BG39" i="34"/>
  <c r="DS39" i="34" s="1"/>
  <c r="BG102" i="34" s="1"/>
  <c r="BK39" i="34"/>
  <c r="DW39" i="34" s="1"/>
  <c r="BK102" i="34" s="1"/>
  <c r="BO39" i="34"/>
  <c r="EA39" i="34" s="1"/>
  <c r="BO102" i="34" s="1"/>
  <c r="BD39" i="34"/>
  <c r="DP39" i="34" s="1"/>
  <c r="BD102" i="34" s="1"/>
  <c r="BH39" i="34"/>
  <c r="DT39" i="34" s="1"/>
  <c r="BH102" i="34" s="1"/>
  <c r="BL39" i="34"/>
  <c r="DX39" i="34" s="1"/>
  <c r="BL102" i="34" s="1"/>
  <c r="BP39" i="34"/>
  <c r="EB39" i="34" s="1"/>
  <c r="BP102" i="34" s="1"/>
  <c r="BE39" i="34"/>
  <c r="DQ39" i="34" s="1"/>
  <c r="BE102" i="34" s="1"/>
  <c r="BI39" i="34"/>
  <c r="DU39" i="34" s="1"/>
  <c r="BI102" i="34" s="1"/>
  <c r="BM39" i="34"/>
  <c r="DY39" i="34" s="1"/>
  <c r="BM102" i="34" s="1"/>
  <c r="BQ39" i="34"/>
  <c r="EC39" i="34" s="1"/>
  <c r="BQ102" i="34" s="1"/>
  <c r="BJ39" i="34"/>
  <c r="DV39" i="34" s="1"/>
  <c r="BJ102" i="34" s="1"/>
  <c r="BC39" i="34"/>
  <c r="DO39" i="34" s="1"/>
  <c r="BC102" i="34" s="1"/>
  <c r="AO39" i="34"/>
  <c r="DA39" i="34" s="1"/>
  <c r="AO102" i="34" s="1"/>
  <c r="AS39" i="34"/>
  <c r="DE39" i="34" s="1"/>
  <c r="AS102" i="34" s="1"/>
  <c r="AW39" i="34"/>
  <c r="DI39" i="34" s="1"/>
  <c r="AW102" i="34" s="1"/>
  <c r="BA39" i="34"/>
  <c r="DM39" i="34" s="1"/>
  <c r="BA102" i="34" s="1"/>
  <c r="BN39" i="34"/>
  <c r="DZ39" i="34" s="1"/>
  <c r="BN102" i="34" s="1"/>
  <c r="AP39" i="34"/>
  <c r="DB39" i="34" s="1"/>
  <c r="AP102" i="34" s="1"/>
  <c r="AT39" i="34"/>
  <c r="DF39" i="34" s="1"/>
  <c r="AT102" i="34" s="1"/>
  <c r="AX39" i="34"/>
  <c r="DJ39" i="34" s="1"/>
  <c r="AX102" i="34" s="1"/>
  <c r="BB39" i="34"/>
  <c r="DN39" i="34" s="1"/>
  <c r="BB102" i="34" s="1"/>
  <c r="AQ39" i="34"/>
  <c r="DC39" i="34" s="1"/>
  <c r="AQ102" i="34" s="1"/>
  <c r="AU39" i="34"/>
  <c r="DG39" i="34" s="1"/>
  <c r="AU102" i="34" s="1"/>
  <c r="AY39" i="34"/>
  <c r="DK39" i="34" s="1"/>
  <c r="AY102" i="34" s="1"/>
  <c r="BF39" i="34"/>
  <c r="DR39" i="34" s="1"/>
  <c r="BF102" i="34" s="1"/>
  <c r="AR39" i="34"/>
  <c r="DD39" i="34" s="1"/>
  <c r="AR102" i="34" s="1"/>
  <c r="AV39" i="34"/>
  <c r="DH39" i="34" s="1"/>
  <c r="AV102" i="34" s="1"/>
  <c r="AZ39" i="34"/>
  <c r="DL39" i="34" s="1"/>
  <c r="AZ102" i="34" s="1"/>
  <c r="AN39" i="34"/>
  <c r="CZ39" i="34" s="1"/>
  <c r="AN102" i="34" s="1"/>
  <c r="BD30" i="34"/>
  <c r="DP30" i="34" s="1"/>
  <c r="BD93" i="34" s="1"/>
  <c r="BH30" i="34"/>
  <c r="DT30" i="34" s="1"/>
  <c r="BH93" i="34" s="1"/>
  <c r="BL30" i="34"/>
  <c r="DX30" i="34" s="1"/>
  <c r="BL93" i="34" s="1"/>
  <c r="BP30" i="34"/>
  <c r="EB30" i="34" s="1"/>
  <c r="BP93" i="34" s="1"/>
  <c r="BC30" i="34"/>
  <c r="DO30" i="34" s="1"/>
  <c r="BC93" i="34" s="1"/>
  <c r="BF30" i="34"/>
  <c r="DR30" i="34" s="1"/>
  <c r="BF93" i="34" s="1"/>
  <c r="BK30" i="34"/>
  <c r="DW30" i="34" s="1"/>
  <c r="BK93" i="34" s="1"/>
  <c r="BQ30" i="34"/>
  <c r="EC30" i="34" s="1"/>
  <c r="BQ93" i="34" s="1"/>
  <c r="BG30" i="34"/>
  <c r="DS30" i="34" s="1"/>
  <c r="BG93" i="34" s="1"/>
  <c r="BM30" i="34"/>
  <c r="DY30" i="34" s="1"/>
  <c r="BM93" i="34" s="1"/>
  <c r="BJ30" i="34"/>
  <c r="DV30" i="34" s="1"/>
  <c r="BJ93" i="34" s="1"/>
  <c r="AR30" i="34"/>
  <c r="DD30" i="34" s="1"/>
  <c r="AR93" i="34" s="1"/>
  <c r="AV30" i="34"/>
  <c r="DH30" i="34" s="1"/>
  <c r="AV93" i="34" s="1"/>
  <c r="AZ30" i="34"/>
  <c r="DL30" i="34" s="1"/>
  <c r="AZ93" i="34" s="1"/>
  <c r="BE30" i="34"/>
  <c r="DQ30" i="34" s="1"/>
  <c r="BE93" i="34" s="1"/>
  <c r="BN30" i="34"/>
  <c r="DZ30" i="34" s="1"/>
  <c r="BN93" i="34" s="1"/>
  <c r="AO30" i="34"/>
  <c r="DA30" i="34" s="1"/>
  <c r="AO93" i="34" s="1"/>
  <c r="AS30" i="34"/>
  <c r="DE30" i="34" s="1"/>
  <c r="AS93" i="34" s="1"/>
  <c r="AW30" i="34"/>
  <c r="DI30" i="34" s="1"/>
  <c r="AW93" i="34" s="1"/>
  <c r="BA30" i="34"/>
  <c r="DM30" i="34" s="1"/>
  <c r="BA93" i="34" s="1"/>
  <c r="AN30" i="34"/>
  <c r="CZ30" i="34" s="1"/>
  <c r="AN93" i="34" s="1"/>
  <c r="BO30" i="34"/>
  <c r="EA30" i="34" s="1"/>
  <c r="BO93" i="34" s="1"/>
  <c r="BI30" i="34"/>
  <c r="DU30" i="34" s="1"/>
  <c r="BI93" i="34" s="1"/>
  <c r="AQ30" i="34"/>
  <c r="DC30" i="34" s="1"/>
  <c r="AQ93" i="34" s="1"/>
  <c r="AU30" i="34"/>
  <c r="DG30" i="34" s="1"/>
  <c r="AU93" i="34" s="1"/>
  <c r="AY30" i="34"/>
  <c r="DK30" i="34" s="1"/>
  <c r="AY93" i="34" s="1"/>
  <c r="AX30" i="34"/>
  <c r="DJ30" i="34" s="1"/>
  <c r="AX93" i="34" s="1"/>
  <c r="BB30" i="34"/>
  <c r="DN30" i="34" s="1"/>
  <c r="BB93" i="34" s="1"/>
  <c r="AP30" i="34"/>
  <c r="DB30" i="34" s="1"/>
  <c r="AP93" i="34" s="1"/>
  <c r="AT30" i="34"/>
  <c r="DF30" i="34" s="1"/>
  <c r="AT93" i="34" s="1"/>
  <c r="BD29" i="34"/>
  <c r="DP29" i="34" s="1"/>
  <c r="BD92" i="34" s="1"/>
  <c r="BH29" i="34"/>
  <c r="DT29" i="34" s="1"/>
  <c r="BH92" i="34" s="1"/>
  <c r="BL29" i="34"/>
  <c r="DX29" i="34" s="1"/>
  <c r="BL92" i="34" s="1"/>
  <c r="BP29" i="34"/>
  <c r="EB29" i="34" s="1"/>
  <c r="BP92" i="34" s="1"/>
  <c r="BG29" i="34"/>
  <c r="DS29" i="34" s="1"/>
  <c r="BG92" i="34" s="1"/>
  <c r="BM29" i="34"/>
  <c r="DY29" i="34" s="1"/>
  <c r="BM92" i="34" s="1"/>
  <c r="BC29" i="34"/>
  <c r="DO29" i="34" s="1"/>
  <c r="BC92" i="34" s="1"/>
  <c r="BI29" i="34"/>
  <c r="DU29" i="34" s="1"/>
  <c r="BI92" i="34" s="1"/>
  <c r="BN29" i="34"/>
  <c r="DZ29" i="34" s="1"/>
  <c r="BN92" i="34" s="1"/>
  <c r="BF29" i="34"/>
  <c r="DR29" i="34" s="1"/>
  <c r="BF92" i="34" s="1"/>
  <c r="BQ29" i="34"/>
  <c r="EC29" i="34" s="1"/>
  <c r="BQ92" i="34" s="1"/>
  <c r="AR29" i="34"/>
  <c r="DD29" i="34" s="1"/>
  <c r="AR92" i="34" s="1"/>
  <c r="AV29" i="34"/>
  <c r="DH29" i="34" s="1"/>
  <c r="AV92" i="34" s="1"/>
  <c r="AZ29" i="34"/>
  <c r="DL29" i="34" s="1"/>
  <c r="AZ92" i="34" s="1"/>
  <c r="BJ29" i="34"/>
  <c r="DV29" i="34" s="1"/>
  <c r="BJ92" i="34" s="1"/>
  <c r="AO29" i="34"/>
  <c r="DA29" i="34" s="1"/>
  <c r="AO92" i="34" s="1"/>
  <c r="AS29" i="34"/>
  <c r="DE29" i="34" s="1"/>
  <c r="AS92" i="34" s="1"/>
  <c r="AW29" i="34"/>
  <c r="DI29" i="34" s="1"/>
  <c r="AW92" i="34" s="1"/>
  <c r="BA29" i="34"/>
  <c r="DM29" i="34" s="1"/>
  <c r="BA92" i="34" s="1"/>
  <c r="BK29" i="34"/>
  <c r="DW29" i="34" s="1"/>
  <c r="BK92" i="34" s="1"/>
  <c r="BE29" i="34"/>
  <c r="DQ29" i="34" s="1"/>
  <c r="BE92" i="34" s="1"/>
  <c r="BO29" i="34"/>
  <c r="EA29" i="34" s="1"/>
  <c r="BO92" i="34" s="1"/>
  <c r="AQ29" i="34"/>
  <c r="DC29" i="34" s="1"/>
  <c r="AQ92" i="34" s="1"/>
  <c r="AU29" i="34"/>
  <c r="DG29" i="34" s="1"/>
  <c r="AU92" i="34" s="1"/>
  <c r="AY29" i="34"/>
  <c r="DK29" i="34" s="1"/>
  <c r="AY92" i="34" s="1"/>
  <c r="AN29" i="34"/>
  <c r="CZ29" i="34" s="1"/>
  <c r="AN92" i="34" s="1"/>
  <c r="AT29" i="34"/>
  <c r="DF29" i="34" s="1"/>
  <c r="AT92" i="34" s="1"/>
  <c r="AX29" i="34"/>
  <c r="DJ29" i="34" s="1"/>
  <c r="AX92" i="34" s="1"/>
  <c r="BB29" i="34"/>
  <c r="DN29" i="34" s="1"/>
  <c r="BB92" i="34" s="1"/>
  <c r="AP29" i="34"/>
  <c r="DB29" i="34" s="1"/>
  <c r="AP92" i="34" s="1"/>
  <c r="BE35" i="34"/>
  <c r="DQ35" i="34" s="1"/>
  <c r="BE98" i="34" s="1"/>
  <c r="BI35" i="34"/>
  <c r="DU35" i="34" s="1"/>
  <c r="BI98" i="34" s="1"/>
  <c r="BM35" i="34"/>
  <c r="DY35" i="34" s="1"/>
  <c r="BM98" i="34" s="1"/>
  <c r="BQ35" i="34"/>
  <c r="EC35" i="34" s="1"/>
  <c r="BQ98" i="34" s="1"/>
  <c r="BF35" i="34"/>
  <c r="DR35" i="34" s="1"/>
  <c r="BF98" i="34" s="1"/>
  <c r="BJ35" i="34"/>
  <c r="DV35" i="34" s="1"/>
  <c r="BJ98" i="34" s="1"/>
  <c r="BN35" i="34"/>
  <c r="DZ35" i="34" s="1"/>
  <c r="BN98" i="34" s="1"/>
  <c r="BG35" i="34"/>
  <c r="DS35" i="34" s="1"/>
  <c r="BG98" i="34" s="1"/>
  <c r="BK35" i="34"/>
  <c r="DW35" i="34" s="1"/>
  <c r="BK98" i="34" s="1"/>
  <c r="BO35" i="34"/>
  <c r="EA35" i="34" s="1"/>
  <c r="BO98" i="34" s="1"/>
  <c r="BL35" i="34"/>
  <c r="DX35" i="34" s="1"/>
  <c r="BL98" i="34" s="1"/>
  <c r="AQ35" i="34"/>
  <c r="DC35" i="34" s="1"/>
  <c r="AQ98" i="34" s="1"/>
  <c r="AU35" i="34"/>
  <c r="DG35" i="34" s="1"/>
  <c r="AU98" i="34" s="1"/>
  <c r="AY35" i="34"/>
  <c r="DK35" i="34" s="1"/>
  <c r="AY98" i="34" s="1"/>
  <c r="BP35" i="34"/>
  <c r="EB35" i="34" s="1"/>
  <c r="BP98" i="34" s="1"/>
  <c r="BC35" i="34"/>
  <c r="DO35" i="34" s="1"/>
  <c r="BC98" i="34" s="1"/>
  <c r="AR35" i="34"/>
  <c r="DD35" i="34" s="1"/>
  <c r="AR98" i="34" s="1"/>
  <c r="AV35" i="34"/>
  <c r="DH35" i="34" s="1"/>
  <c r="AV98" i="34" s="1"/>
  <c r="AZ35" i="34"/>
  <c r="DL35" i="34" s="1"/>
  <c r="AZ98" i="34" s="1"/>
  <c r="BD35" i="34"/>
  <c r="DP35" i="34" s="1"/>
  <c r="BD98" i="34" s="1"/>
  <c r="AO35" i="34"/>
  <c r="DA35" i="34" s="1"/>
  <c r="AO98" i="34" s="1"/>
  <c r="AS35" i="34"/>
  <c r="DE35" i="34" s="1"/>
  <c r="AW35" i="34"/>
  <c r="DI35" i="34" s="1"/>
  <c r="AW98" i="34" s="1"/>
  <c r="BA35" i="34"/>
  <c r="DM35" i="34" s="1"/>
  <c r="BA98" i="34" s="1"/>
  <c r="AT35" i="34"/>
  <c r="DF35" i="34" s="1"/>
  <c r="AT98" i="34" s="1"/>
  <c r="BH35" i="34"/>
  <c r="DT35" i="34" s="1"/>
  <c r="BH98" i="34" s="1"/>
  <c r="AX35" i="34"/>
  <c r="DJ35" i="34" s="1"/>
  <c r="AX98" i="34" s="1"/>
  <c r="AP35" i="34"/>
  <c r="DB35" i="34" s="1"/>
  <c r="AP98" i="34" s="1"/>
  <c r="BB35" i="34"/>
  <c r="DN35" i="34" s="1"/>
  <c r="BB98" i="34" s="1"/>
  <c r="AN35" i="34"/>
  <c r="CZ35" i="34" s="1"/>
  <c r="AN98" i="34" s="1"/>
  <c r="BE49" i="34"/>
  <c r="DQ49" i="34" s="1"/>
  <c r="BE112" i="34" s="1"/>
  <c r="BI49" i="34"/>
  <c r="DU49" i="34" s="1"/>
  <c r="BI112" i="34" s="1"/>
  <c r="BM49" i="34"/>
  <c r="DY49" i="34" s="1"/>
  <c r="BM112" i="34" s="1"/>
  <c r="BQ49" i="34"/>
  <c r="EC49" i="34" s="1"/>
  <c r="BQ112" i="34" s="1"/>
  <c r="BF49" i="34"/>
  <c r="DR49" i="34" s="1"/>
  <c r="BF112" i="34" s="1"/>
  <c r="BJ49" i="34"/>
  <c r="DV49" i="34" s="1"/>
  <c r="BJ112" i="34" s="1"/>
  <c r="BN49" i="34"/>
  <c r="DZ49" i="34" s="1"/>
  <c r="BN112" i="34" s="1"/>
  <c r="BG49" i="34"/>
  <c r="DS49" i="34" s="1"/>
  <c r="BG112" i="34" s="1"/>
  <c r="BK49" i="34"/>
  <c r="DW49" i="34" s="1"/>
  <c r="BK112" i="34" s="1"/>
  <c r="BO49" i="34"/>
  <c r="EA49" i="34" s="1"/>
  <c r="BO112" i="34" s="1"/>
  <c r="BH49" i="34"/>
  <c r="DT49" i="34" s="1"/>
  <c r="BH112" i="34" s="1"/>
  <c r="AQ49" i="34"/>
  <c r="DC49" i="34" s="1"/>
  <c r="AQ112" i="34" s="1"/>
  <c r="AU49" i="34"/>
  <c r="DG49" i="34" s="1"/>
  <c r="AU112" i="34" s="1"/>
  <c r="AY49" i="34"/>
  <c r="DK49" i="34" s="1"/>
  <c r="AY112" i="34" s="1"/>
  <c r="BL49" i="34"/>
  <c r="DX49" i="34" s="1"/>
  <c r="BL112" i="34" s="1"/>
  <c r="AR49" i="34"/>
  <c r="DD49" i="34" s="1"/>
  <c r="AR112" i="34" s="1"/>
  <c r="AV49" i="34"/>
  <c r="DH49" i="34" s="1"/>
  <c r="AV112" i="34" s="1"/>
  <c r="AZ49" i="34"/>
  <c r="DL49" i="34" s="1"/>
  <c r="AZ112" i="34" s="1"/>
  <c r="BP49" i="34"/>
  <c r="EB49" i="34" s="1"/>
  <c r="BP112" i="34" s="1"/>
  <c r="AO49" i="34"/>
  <c r="DA49" i="34" s="1"/>
  <c r="AO112" i="34" s="1"/>
  <c r="AS49" i="34"/>
  <c r="DE49" i="34" s="1"/>
  <c r="AS112" i="34" s="1"/>
  <c r="AW49" i="34"/>
  <c r="DI49" i="34" s="1"/>
  <c r="AW112" i="34" s="1"/>
  <c r="BA49" i="34"/>
  <c r="DM49" i="34" s="1"/>
  <c r="BA112" i="34" s="1"/>
  <c r="AP49" i="34"/>
  <c r="DB49" i="34" s="1"/>
  <c r="AP112" i="34" s="1"/>
  <c r="AT49" i="34"/>
  <c r="DF49" i="34" s="1"/>
  <c r="AT112" i="34" s="1"/>
  <c r="BB49" i="34"/>
  <c r="DN49" i="34" s="1"/>
  <c r="BB112" i="34" s="1"/>
  <c r="BD49" i="34"/>
  <c r="DP49" i="34" s="1"/>
  <c r="BD112" i="34" s="1"/>
  <c r="BC49" i="34"/>
  <c r="DO49" i="34" s="1"/>
  <c r="BC112" i="34" s="1"/>
  <c r="AN49" i="34"/>
  <c r="CZ49" i="34" s="1"/>
  <c r="AN112" i="34" s="1"/>
  <c r="AX49" i="34"/>
  <c r="DJ49" i="34" s="1"/>
  <c r="AX112" i="34" s="1"/>
  <c r="BE32" i="34"/>
  <c r="DQ32" i="34" s="1"/>
  <c r="BE95" i="34" s="1"/>
  <c r="BI32" i="34"/>
  <c r="DU32" i="34" s="1"/>
  <c r="BI95" i="34" s="1"/>
  <c r="BM32" i="34"/>
  <c r="DY32" i="34" s="1"/>
  <c r="BM95" i="34" s="1"/>
  <c r="BQ32" i="34"/>
  <c r="EC32" i="34" s="1"/>
  <c r="BQ95" i="34" s="1"/>
  <c r="BF32" i="34"/>
  <c r="DR32" i="34" s="1"/>
  <c r="BF95" i="34" s="1"/>
  <c r="BJ32" i="34"/>
  <c r="DV32" i="34" s="1"/>
  <c r="BJ95" i="34" s="1"/>
  <c r="BN32" i="34"/>
  <c r="DZ32" i="34" s="1"/>
  <c r="BN95" i="34" s="1"/>
  <c r="BG32" i="34"/>
  <c r="DS32" i="34" s="1"/>
  <c r="BG95" i="34" s="1"/>
  <c r="BK32" i="34"/>
  <c r="DW32" i="34" s="1"/>
  <c r="BK95" i="34" s="1"/>
  <c r="BO32" i="34"/>
  <c r="EA32" i="34" s="1"/>
  <c r="BO95" i="34" s="1"/>
  <c r="BP32" i="34"/>
  <c r="EB32" i="34" s="1"/>
  <c r="BP95" i="34" s="1"/>
  <c r="AQ32" i="34"/>
  <c r="DC32" i="34" s="1"/>
  <c r="AQ95" i="34" s="1"/>
  <c r="AU32" i="34"/>
  <c r="DG32" i="34" s="1"/>
  <c r="AU95" i="34" s="1"/>
  <c r="AY32" i="34"/>
  <c r="DK32" i="34" s="1"/>
  <c r="AY95" i="34" s="1"/>
  <c r="BD32" i="34"/>
  <c r="DP32" i="34" s="1"/>
  <c r="BD95" i="34" s="1"/>
  <c r="AR32" i="34"/>
  <c r="DD32" i="34" s="1"/>
  <c r="AR95" i="34" s="1"/>
  <c r="AV32" i="34"/>
  <c r="DH32" i="34" s="1"/>
  <c r="AV95" i="34" s="1"/>
  <c r="AZ32" i="34"/>
  <c r="DL32" i="34" s="1"/>
  <c r="AZ95" i="34" s="1"/>
  <c r="BH32" i="34"/>
  <c r="DT32" i="34" s="1"/>
  <c r="BH95" i="34" s="1"/>
  <c r="AO32" i="34"/>
  <c r="DA32" i="34" s="1"/>
  <c r="AO95" i="34" s="1"/>
  <c r="AS32" i="34"/>
  <c r="DE32" i="34" s="1"/>
  <c r="AS95" i="34" s="1"/>
  <c r="AW32" i="34"/>
  <c r="DI32" i="34" s="1"/>
  <c r="AW95" i="34" s="1"/>
  <c r="BA32" i="34"/>
  <c r="DM32" i="34" s="1"/>
  <c r="BA95" i="34" s="1"/>
  <c r="AX32" i="34"/>
  <c r="DJ32" i="34" s="1"/>
  <c r="AX95" i="34" s="1"/>
  <c r="BC32" i="34"/>
  <c r="DO32" i="34" s="1"/>
  <c r="BC95" i="34" s="1"/>
  <c r="BB32" i="34"/>
  <c r="DN32" i="34" s="1"/>
  <c r="BB95" i="34" s="1"/>
  <c r="BL32" i="34"/>
  <c r="DX32" i="34" s="1"/>
  <c r="BL95" i="34" s="1"/>
  <c r="AT32" i="34"/>
  <c r="DF32" i="34" s="1"/>
  <c r="AT95" i="34" s="1"/>
  <c r="AN32" i="34"/>
  <c r="CZ32" i="34" s="1"/>
  <c r="AN95" i="34" s="1"/>
  <c r="AP32" i="34"/>
  <c r="DB32" i="34" s="1"/>
  <c r="AP95" i="34" s="1"/>
  <c r="BD17" i="34"/>
  <c r="DP17" i="34" s="1"/>
  <c r="BD80" i="34" s="1"/>
  <c r="BH17" i="34"/>
  <c r="DT17" i="34" s="1"/>
  <c r="BH80" i="34" s="1"/>
  <c r="BL17" i="34"/>
  <c r="DX17" i="34" s="1"/>
  <c r="BL80" i="34" s="1"/>
  <c r="BP17" i="34"/>
  <c r="EB17" i="34" s="1"/>
  <c r="BP80" i="34" s="1"/>
  <c r="BC17" i="34"/>
  <c r="DO17" i="34" s="1"/>
  <c r="BC80" i="34" s="1"/>
  <c r="BI17" i="34"/>
  <c r="DU17" i="34" s="1"/>
  <c r="BI80" i="34" s="1"/>
  <c r="BN17" i="34"/>
  <c r="DZ17" i="34" s="1"/>
  <c r="BN80" i="34" s="1"/>
  <c r="BE17" i="34"/>
  <c r="DQ17" i="34" s="1"/>
  <c r="BE80" i="34" s="1"/>
  <c r="BJ17" i="34"/>
  <c r="DV17" i="34" s="1"/>
  <c r="BJ80" i="34" s="1"/>
  <c r="BO17" i="34"/>
  <c r="EA17" i="34" s="1"/>
  <c r="BO80" i="34" s="1"/>
  <c r="BM17" i="34"/>
  <c r="DY17" i="34" s="1"/>
  <c r="BM80" i="34" s="1"/>
  <c r="AR17" i="34"/>
  <c r="DD17" i="34" s="1"/>
  <c r="AR80" i="34" s="1"/>
  <c r="AV17" i="34"/>
  <c r="DH17" i="34" s="1"/>
  <c r="AV80" i="34" s="1"/>
  <c r="AZ17" i="34"/>
  <c r="DL17" i="34" s="1"/>
  <c r="AZ80" i="34" s="1"/>
  <c r="BF17" i="34"/>
  <c r="DR17" i="34" s="1"/>
  <c r="BF80" i="34" s="1"/>
  <c r="BQ17" i="34"/>
  <c r="EC17" i="34" s="1"/>
  <c r="BQ80" i="34" s="1"/>
  <c r="AO17" i="34"/>
  <c r="DA17" i="34" s="1"/>
  <c r="AO80" i="34" s="1"/>
  <c r="AS17" i="34"/>
  <c r="DE17" i="34" s="1"/>
  <c r="AS80" i="34" s="1"/>
  <c r="AW17" i="34"/>
  <c r="DI17" i="34" s="1"/>
  <c r="AW80" i="34" s="1"/>
  <c r="BA17" i="34"/>
  <c r="DM17" i="34" s="1"/>
  <c r="BA80" i="34" s="1"/>
  <c r="AN17" i="34"/>
  <c r="CZ17" i="34" s="1"/>
  <c r="AN80" i="34" s="1"/>
  <c r="BG17" i="34"/>
  <c r="DS17" i="34" s="1"/>
  <c r="BG80" i="34" s="1"/>
  <c r="BK17" i="34"/>
  <c r="DW17" i="34" s="1"/>
  <c r="BK80" i="34" s="1"/>
  <c r="AQ17" i="34"/>
  <c r="DC17" i="34" s="1"/>
  <c r="AQ80" i="34" s="1"/>
  <c r="AU17" i="34"/>
  <c r="DG17" i="34" s="1"/>
  <c r="AU80" i="34" s="1"/>
  <c r="AY17" i="34"/>
  <c r="DK17" i="34" s="1"/>
  <c r="AY80" i="34" s="1"/>
  <c r="AP17" i="34"/>
  <c r="DB17" i="34" s="1"/>
  <c r="AP80" i="34" s="1"/>
  <c r="BB17" i="34"/>
  <c r="DN17" i="34" s="1"/>
  <c r="BB80" i="34" s="1"/>
  <c r="AT17" i="34"/>
  <c r="DF17" i="34" s="1"/>
  <c r="AT80" i="34" s="1"/>
  <c r="AX17" i="34"/>
  <c r="DJ17" i="34" s="1"/>
  <c r="AX80" i="34" s="1"/>
  <c r="BD22" i="34"/>
  <c r="DP22" i="34" s="1"/>
  <c r="BD85" i="34" s="1"/>
  <c r="BH22" i="34"/>
  <c r="DT22" i="34" s="1"/>
  <c r="BH85" i="34" s="1"/>
  <c r="BL22" i="34"/>
  <c r="DX22" i="34" s="1"/>
  <c r="BL85" i="34" s="1"/>
  <c r="BP22" i="34"/>
  <c r="EB22" i="34" s="1"/>
  <c r="BP85" i="34" s="1"/>
  <c r="BE22" i="34"/>
  <c r="DQ22" i="34" s="1"/>
  <c r="BE85" i="34" s="1"/>
  <c r="BJ22" i="34"/>
  <c r="DV22" i="34" s="1"/>
  <c r="BJ85" i="34" s="1"/>
  <c r="BO22" i="34"/>
  <c r="EA22" i="34" s="1"/>
  <c r="BO85" i="34" s="1"/>
  <c r="BF22" i="34"/>
  <c r="DR22" i="34" s="1"/>
  <c r="BF85" i="34" s="1"/>
  <c r="BK22" i="34"/>
  <c r="DW22" i="34" s="1"/>
  <c r="BK85" i="34" s="1"/>
  <c r="BQ22" i="34"/>
  <c r="EC22" i="34" s="1"/>
  <c r="BQ85" i="34" s="1"/>
  <c r="BC22" i="34"/>
  <c r="DO22" i="34" s="1"/>
  <c r="BC85" i="34" s="1"/>
  <c r="BI22" i="34"/>
  <c r="DU22" i="34" s="1"/>
  <c r="BI85" i="34" s="1"/>
  <c r="AR22" i="34"/>
  <c r="DD22" i="34" s="1"/>
  <c r="AR85" i="34" s="1"/>
  <c r="AV22" i="34"/>
  <c r="DH22" i="34" s="1"/>
  <c r="AV85" i="34" s="1"/>
  <c r="AZ22" i="34"/>
  <c r="DL22" i="34" s="1"/>
  <c r="AZ85" i="34" s="1"/>
  <c r="BM22" i="34"/>
  <c r="DY22" i="34" s="1"/>
  <c r="BM85" i="34" s="1"/>
  <c r="AO22" i="34"/>
  <c r="DA22" i="34" s="1"/>
  <c r="AO85" i="34" s="1"/>
  <c r="AS22" i="34"/>
  <c r="DE22" i="34" s="1"/>
  <c r="AS85" i="34" s="1"/>
  <c r="AW22" i="34"/>
  <c r="DI22" i="34" s="1"/>
  <c r="AW85" i="34" s="1"/>
  <c r="BA22" i="34"/>
  <c r="DM22" i="34" s="1"/>
  <c r="BA85" i="34" s="1"/>
  <c r="BG22" i="34"/>
  <c r="DS22" i="34" s="1"/>
  <c r="BG85" i="34" s="1"/>
  <c r="AQ22" i="34"/>
  <c r="DC22" i="34" s="1"/>
  <c r="AQ85" i="34" s="1"/>
  <c r="AU22" i="34"/>
  <c r="DG22" i="34" s="1"/>
  <c r="AU85" i="34" s="1"/>
  <c r="AY22" i="34"/>
  <c r="DK22" i="34" s="1"/>
  <c r="AY85" i="34" s="1"/>
  <c r="AN22" i="34"/>
  <c r="CZ22" i="34" s="1"/>
  <c r="AN85" i="34" s="1"/>
  <c r="BN22" i="34"/>
  <c r="DZ22" i="34" s="1"/>
  <c r="BN85" i="34" s="1"/>
  <c r="BB22" i="34"/>
  <c r="DN22" i="34" s="1"/>
  <c r="BB85" i="34" s="1"/>
  <c r="AP22" i="34"/>
  <c r="DB22" i="34" s="1"/>
  <c r="AP85" i="34" s="1"/>
  <c r="AT22" i="34"/>
  <c r="DF22" i="34" s="1"/>
  <c r="AT85" i="34" s="1"/>
  <c r="AX22" i="34"/>
  <c r="DJ22" i="34" s="1"/>
  <c r="AX85" i="34" s="1"/>
  <c r="BG21" i="34"/>
  <c r="DS21" i="34" s="1"/>
  <c r="BG84" i="34" s="1"/>
  <c r="BK21" i="34"/>
  <c r="DW21" i="34" s="1"/>
  <c r="BK84" i="34" s="1"/>
  <c r="BO21" i="34"/>
  <c r="EA21" i="34" s="1"/>
  <c r="BO84" i="34" s="1"/>
  <c r="BD21" i="34"/>
  <c r="DP21" i="34" s="1"/>
  <c r="BD84" i="34" s="1"/>
  <c r="BH21" i="34"/>
  <c r="DT21" i="34" s="1"/>
  <c r="BH84" i="34" s="1"/>
  <c r="BL21" i="34"/>
  <c r="DX21" i="34" s="1"/>
  <c r="BL84" i="34" s="1"/>
  <c r="BP21" i="34"/>
  <c r="EB21" i="34" s="1"/>
  <c r="BP84" i="34" s="1"/>
  <c r="BC21" i="34"/>
  <c r="DO21" i="34" s="1"/>
  <c r="BC84" i="34" s="1"/>
  <c r="BI21" i="34"/>
  <c r="DU21" i="34" s="1"/>
  <c r="BI84" i="34" s="1"/>
  <c r="BQ21" i="34"/>
  <c r="EC21" i="34" s="1"/>
  <c r="BQ84" i="34" s="1"/>
  <c r="BJ21" i="34"/>
  <c r="DV21" i="34" s="1"/>
  <c r="BJ84" i="34" s="1"/>
  <c r="BN21" i="34"/>
  <c r="DZ21" i="34" s="1"/>
  <c r="BN84" i="34" s="1"/>
  <c r="AR21" i="34"/>
  <c r="DD21" i="34" s="1"/>
  <c r="AR84" i="34" s="1"/>
  <c r="AV21" i="34"/>
  <c r="DH21" i="34" s="1"/>
  <c r="AV84" i="34" s="1"/>
  <c r="AZ21" i="34"/>
  <c r="DL21" i="34" s="1"/>
  <c r="AZ84" i="34" s="1"/>
  <c r="BF21" i="34"/>
  <c r="DR21" i="34" s="1"/>
  <c r="BF84" i="34" s="1"/>
  <c r="AX21" i="34"/>
  <c r="DJ21" i="34" s="1"/>
  <c r="AX84" i="34" s="1"/>
  <c r="BE21" i="34"/>
  <c r="DQ21" i="34" s="1"/>
  <c r="BE84" i="34" s="1"/>
  <c r="AO21" i="34"/>
  <c r="DA21" i="34" s="1"/>
  <c r="AO84" i="34" s="1"/>
  <c r="AS21" i="34"/>
  <c r="DE21" i="34" s="1"/>
  <c r="AS84" i="34" s="1"/>
  <c r="AW21" i="34"/>
  <c r="DI21" i="34" s="1"/>
  <c r="AW84" i="34" s="1"/>
  <c r="BA21" i="34"/>
  <c r="DM21" i="34" s="1"/>
  <c r="BA84" i="34" s="1"/>
  <c r="AN21" i="34"/>
  <c r="CZ21" i="34" s="1"/>
  <c r="AN84" i="34" s="1"/>
  <c r="AP21" i="34"/>
  <c r="DB21" i="34" s="1"/>
  <c r="AP84" i="34" s="1"/>
  <c r="BB21" i="34"/>
  <c r="DN21" i="34" s="1"/>
  <c r="BB84" i="34" s="1"/>
  <c r="BM21" i="34"/>
  <c r="DY21" i="34" s="1"/>
  <c r="BM84" i="34" s="1"/>
  <c r="AQ21" i="34"/>
  <c r="DC21" i="34" s="1"/>
  <c r="AQ84" i="34" s="1"/>
  <c r="AU21" i="34"/>
  <c r="DG21" i="34" s="1"/>
  <c r="AU84" i="34" s="1"/>
  <c r="AY21" i="34"/>
  <c r="DK21" i="34" s="1"/>
  <c r="AY84" i="34" s="1"/>
  <c r="AT21" i="34"/>
  <c r="DF21" i="34" s="1"/>
  <c r="AT84" i="34" s="1"/>
  <c r="BG24" i="34"/>
  <c r="DS24" i="34" s="1"/>
  <c r="BG87" i="34" s="1"/>
  <c r="BK24" i="34"/>
  <c r="DW24" i="34" s="1"/>
  <c r="BK87" i="34" s="1"/>
  <c r="BO24" i="34"/>
  <c r="EA24" i="34" s="1"/>
  <c r="BO87" i="34" s="1"/>
  <c r="BD24" i="34"/>
  <c r="DP24" i="34" s="1"/>
  <c r="BD87" i="34" s="1"/>
  <c r="BH24" i="34"/>
  <c r="DT24" i="34" s="1"/>
  <c r="BH87" i="34" s="1"/>
  <c r="BL24" i="34"/>
  <c r="DX24" i="34" s="1"/>
  <c r="BL87" i="34" s="1"/>
  <c r="BP24" i="34"/>
  <c r="EB24" i="34" s="1"/>
  <c r="BP87" i="34" s="1"/>
  <c r="BE24" i="34"/>
  <c r="DQ24" i="34" s="1"/>
  <c r="BE87" i="34" s="1"/>
  <c r="BM24" i="34"/>
  <c r="DY24" i="34" s="1"/>
  <c r="BM87" i="34" s="1"/>
  <c r="BF24" i="34"/>
  <c r="DR24" i="34" s="1"/>
  <c r="BF87" i="34" s="1"/>
  <c r="BN24" i="34"/>
  <c r="DZ24" i="34" s="1"/>
  <c r="BN87" i="34" s="1"/>
  <c r="BJ24" i="34"/>
  <c r="DV24" i="34" s="1"/>
  <c r="BJ87" i="34" s="1"/>
  <c r="AR24" i="34"/>
  <c r="DD24" i="34" s="1"/>
  <c r="AR87" i="34" s="1"/>
  <c r="AV24" i="34"/>
  <c r="DH24" i="34" s="1"/>
  <c r="AV87" i="34" s="1"/>
  <c r="AZ24" i="34"/>
  <c r="DL24" i="34" s="1"/>
  <c r="AZ87" i="34" s="1"/>
  <c r="AP24" i="34"/>
  <c r="DB24" i="34" s="1"/>
  <c r="AP87" i="34" s="1"/>
  <c r="BB24" i="34"/>
  <c r="DN24" i="34" s="1"/>
  <c r="BB87" i="34" s="1"/>
  <c r="BQ24" i="34"/>
  <c r="EC24" i="34" s="1"/>
  <c r="BQ87" i="34" s="1"/>
  <c r="AO24" i="34"/>
  <c r="DA24" i="34" s="1"/>
  <c r="AO87" i="34" s="1"/>
  <c r="AS24" i="34"/>
  <c r="DE24" i="34" s="1"/>
  <c r="AS87" i="34" s="1"/>
  <c r="AW24" i="34"/>
  <c r="DI24" i="34" s="1"/>
  <c r="AW87" i="34" s="1"/>
  <c r="BA24" i="34"/>
  <c r="DM24" i="34" s="1"/>
  <c r="BA87" i="34" s="1"/>
  <c r="AT24" i="34"/>
  <c r="DF24" i="34" s="1"/>
  <c r="AT87" i="34" s="1"/>
  <c r="BI24" i="34"/>
  <c r="DU24" i="34" s="1"/>
  <c r="BI87" i="34" s="1"/>
  <c r="AQ24" i="34"/>
  <c r="DC24" i="34" s="1"/>
  <c r="AQ87" i="34" s="1"/>
  <c r="AU24" i="34"/>
  <c r="DG24" i="34" s="1"/>
  <c r="AU87" i="34" s="1"/>
  <c r="AY24" i="34"/>
  <c r="DK24" i="34" s="1"/>
  <c r="AY87" i="34" s="1"/>
  <c r="AN24" i="34"/>
  <c r="CZ24" i="34" s="1"/>
  <c r="AN87" i="34" s="1"/>
  <c r="BC24" i="34"/>
  <c r="DO24" i="34" s="1"/>
  <c r="BC87" i="34" s="1"/>
  <c r="AX24" i="34"/>
  <c r="DJ24" i="34" s="1"/>
  <c r="AX87" i="34" s="1"/>
  <c r="BG25" i="34"/>
  <c r="DS25" i="34" s="1"/>
  <c r="BG88" i="34" s="1"/>
  <c r="BK25" i="34"/>
  <c r="DW25" i="34" s="1"/>
  <c r="BK88" i="34" s="1"/>
  <c r="BO25" i="34"/>
  <c r="EA25" i="34" s="1"/>
  <c r="BO88" i="34" s="1"/>
  <c r="BD25" i="34"/>
  <c r="DP25" i="34" s="1"/>
  <c r="BD88" i="34" s="1"/>
  <c r="BH25" i="34"/>
  <c r="DT25" i="34" s="1"/>
  <c r="BH88" i="34" s="1"/>
  <c r="BL25" i="34"/>
  <c r="DX25" i="34" s="1"/>
  <c r="BL88" i="34" s="1"/>
  <c r="BP25" i="34"/>
  <c r="EB25" i="34" s="1"/>
  <c r="BP88" i="34" s="1"/>
  <c r="BC25" i="34"/>
  <c r="DO25" i="34" s="1"/>
  <c r="BC88" i="34" s="1"/>
  <c r="BI25" i="34"/>
  <c r="DU25" i="34" s="1"/>
  <c r="BI88" i="34" s="1"/>
  <c r="BQ25" i="34"/>
  <c r="EC25" i="34" s="1"/>
  <c r="BQ88" i="34" s="1"/>
  <c r="BJ25" i="34"/>
  <c r="DV25" i="34" s="1"/>
  <c r="BJ88" i="34" s="1"/>
  <c r="BF25" i="34"/>
  <c r="DR25" i="34" s="1"/>
  <c r="BF88" i="34" s="1"/>
  <c r="AR25" i="34"/>
  <c r="DD25" i="34" s="1"/>
  <c r="AR88" i="34" s="1"/>
  <c r="AV25" i="34"/>
  <c r="DH25" i="34" s="1"/>
  <c r="AV88" i="34" s="1"/>
  <c r="AZ25" i="34"/>
  <c r="DL25" i="34" s="1"/>
  <c r="AZ88" i="34" s="1"/>
  <c r="BM25" i="34"/>
  <c r="DY25" i="34" s="1"/>
  <c r="BM88" i="34" s="1"/>
  <c r="AO25" i="34"/>
  <c r="DA25" i="34" s="1"/>
  <c r="AO88" i="34" s="1"/>
  <c r="AS25" i="34"/>
  <c r="DE25" i="34" s="1"/>
  <c r="AS88" i="34" s="1"/>
  <c r="AW25" i="34"/>
  <c r="DI25" i="34" s="1"/>
  <c r="AW88" i="34" s="1"/>
  <c r="BA25" i="34"/>
  <c r="DM25" i="34" s="1"/>
  <c r="BA88" i="34" s="1"/>
  <c r="AN25" i="34"/>
  <c r="CZ25" i="34" s="1"/>
  <c r="AN88" i="34" s="1"/>
  <c r="BE25" i="34"/>
  <c r="DQ25" i="34" s="1"/>
  <c r="BE88" i="34" s="1"/>
  <c r="AQ25" i="34"/>
  <c r="DC25" i="34" s="1"/>
  <c r="AQ88" i="34" s="1"/>
  <c r="AU25" i="34"/>
  <c r="DG25" i="34" s="1"/>
  <c r="AU88" i="34" s="1"/>
  <c r="AY25" i="34"/>
  <c r="DK25" i="34" s="1"/>
  <c r="AY88" i="34" s="1"/>
  <c r="BN25" i="34"/>
  <c r="DZ25" i="34" s="1"/>
  <c r="BN88" i="34" s="1"/>
  <c r="AX25" i="34"/>
  <c r="DJ25" i="34" s="1"/>
  <c r="AX88" i="34" s="1"/>
  <c r="BB25" i="34"/>
  <c r="DN25" i="34" s="1"/>
  <c r="BB88" i="34" s="1"/>
  <c r="AT25" i="34"/>
  <c r="DF25" i="34" s="1"/>
  <c r="AT88" i="34" s="1"/>
  <c r="AP25" i="34"/>
  <c r="DB25" i="34" s="1"/>
  <c r="AP88" i="34" s="1"/>
  <c r="BG19" i="34"/>
  <c r="DS19" i="34" s="1"/>
  <c r="BG82" i="34" s="1"/>
  <c r="BK19" i="34"/>
  <c r="DW19" i="34" s="1"/>
  <c r="BK82" i="34" s="1"/>
  <c r="BO19" i="34"/>
  <c r="EA19" i="34" s="1"/>
  <c r="BO82" i="34" s="1"/>
  <c r="BD19" i="34"/>
  <c r="DP19" i="34" s="1"/>
  <c r="BD82" i="34" s="1"/>
  <c r="BH19" i="34"/>
  <c r="DT19" i="34" s="1"/>
  <c r="BH82" i="34" s="1"/>
  <c r="BL19" i="34"/>
  <c r="DX19" i="34" s="1"/>
  <c r="BL82" i="34" s="1"/>
  <c r="BP19" i="34"/>
  <c r="EB19" i="34" s="1"/>
  <c r="BP82" i="34" s="1"/>
  <c r="BE19" i="34"/>
  <c r="DQ19" i="34" s="1"/>
  <c r="BE82" i="34" s="1"/>
  <c r="BM19" i="34"/>
  <c r="DY19" i="34" s="1"/>
  <c r="BM82" i="34" s="1"/>
  <c r="BF19" i="34"/>
  <c r="DR19" i="34" s="1"/>
  <c r="BF82" i="34" s="1"/>
  <c r="BN19" i="34"/>
  <c r="DZ19" i="34" s="1"/>
  <c r="BN82" i="34" s="1"/>
  <c r="AR19" i="34"/>
  <c r="DD19" i="34" s="1"/>
  <c r="AR82" i="34" s="1"/>
  <c r="AV19" i="34"/>
  <c r="DH19" i="34" s="1"/>
  <c r="AV82" i="34" s="1"/>
  <c r="AZ19" i="34"/>
  <c r="DL19" i="34" s="1"/>
  <c r="AZ82" i="34" s="1"/>
  <c r="BI19" i="34"/>
  <c r="DU19" i="34" s="1"/>
  <c r="BI82" i="34" s="1"/>
  <c r="AO19" i="34"/>
  <c r="DA19" i="34" s="1"/>
  <c r="AO82" i="34" s="1"/>
  <c r="AS19" i="34"/>
  <c r="DE19" i="34" s="1"/>
  <c r="AS82" i="34" s="1"/>
  <c r="AW19" i="34"/>
  <c r="DI19" i="34" s="1"/>
  <c r="AW82" i="34" s="1"/>
  <c r="BA19" i="34"/>
  <c r="DM19" i="34" s="1"/>
  <c r="BA82" i="34" s="1"/>
  <c r="BJ19" i="34"/>
  <c r="DV19" i="34" s="1"/>
  <c r="BJ82" i="34" s="1"/>
  <c r="BQ19" i="34"/>
  <c r="EC19" i="34" s="1"/>
  <c r="BQ82" i="34" s="1"/>
  <c r="BC19" i="34"/>
  <c r="DO19" i="34" s="1"/>
  <c r="BC82" i="34" s="1"/>
  <c r="AQ19" i="34"/>
  <c r="DC19" i="34" s="1"/>
  <c r="AQ82" i="34" s="1"/>
  <c r="AU19" i="34"/>
  <c r="DG19" i="34" s="1"/>
  <c r="AU82" i="34" s="1"/>
  <c r="AY19" i="34"/>
  <c r="DK19" i="34" s="1"/>
  <c r="AY82" i="34" s="1"/>
  <c r="AN19" i="34"/>
  <c r="CZ19" i="34" s="1"/>
  <c r="AN82" i="34" s="1"/>
  <c r="AT19" i="34"/>
  <c r="DF19" i="34" s="1"/>
  <c r="AT82" i="34" s="1"/>
  <c r="AX19" i="34"/>
  <c r="DJ19" i="34" s="1"/>
  <c r="AX82" i="34" s="1"/>
  <c r="BB19" i="34"/>
  <c r="DN19" i="34" s="1"/>
  <c r="BB82" i="34" s="1"/>
  <c r="AP19" i="34"/>
  <c r="DB19" i="34" s="1"/>
  <c r="AP82" i="34" s="1"/>
  <c r="BE23" i="34"/>
  <c r="DQ23" i="34" s="1"/>
  <c r="BE86" i="34" s="1"/>
  <c r="BI23" i="34"/>
  <c r="DU23" i="34" s="1"/>
  <c r="BI86" i="34" s="1"/>
  <c r="BM23" i="34"/>
  <c r="DY23" i="34" s="1"/>
  <c r="BM86" i="34" s="1"/>
  <c r="BQ23" i="34"/>
  <c r="EC23" i="34" s="1"/>
  <c r="BQ86" i="34" s="1"/>
  <c r="BF23" i="34"/>
  <c r="DR23" i="34" s="1"/>
  <c r="BF86" i="34" s="1"/>
  <c r="BJ23" i="34"/>
  <c r="DV23" i="34" s="1"/>
  <c r="BJ86" i="34" s="1"/>
  <c r="BN23" i="34"/>
  <c r="DZ23" i="34" s="1"/>
  <c r="BN86" i="34" s="1"/>
  <c r="BK23" i="34"/>
  <c r="DW23" i="34" s="1"/>
  <c r="BK86" i="34" s="1"/>
  <c r="BD23" i="34"/>
  <c r="DP23" i="34" s="1"/>
  <c r="BD86" i="34" s="1"/>
  <c r="BL23" i="34"/>
  <c r="DX23" i="34" s="1"/>
  <c r="BL86" i="34" s="1"/>
  <c r="BC23" i="34"/>
  <c r="DO23" i="34" s="1"/>
  <c r="BC86" i="34" s="1"/>
  <c r="BP23" i="34"/>
  <c r="EB23" i="34" s="1"/>
  <c r="BP86" i="34" s="1"/>
  <c r="AP23" i="34"/>
  <c r="DB23" i="34" s="1"/>
  <c r="AP86" i="34" s="1"/>
  <c r="AT23" i="34"/>
  <c r="DF23" i="34" s="1"/>
  <c r="AT86" i="34" s="1"/>
  <c r="AX23" i="34"/>
  <c r="DJ23" i="34" s="1"/>
  <c r="AX86" i="34" s="1"/>
  <c r="BB23" i="34"/>
  <c r="DN23" i="34" s="1"/>
  <c r="BB86" i="34" s="1"/>
  <c r="AV23" i="34"/>
  <c r="DH23" i="34" s="1"/>
  <c r="AV86" i="34" s="1"/>
  <c r="BG23" i="34"/>
  <c r="DS23" i="34" s="1"/>
  <c r="BG86" i="34" s="1"/>
  <c r="AQ23" i="34"/>
  <c r="DC23" i="34" s="1"/>
  <c r="AQ86" i="34" s="1"/>
  <c r="AU23" i="34"/>
  <c r="DG23" i="34" s="1"/>
  <c r="AU86" i="34" s="1"/>
  <c r="AY23" i="34"/>
  <c r="DK23" i="34" s="1"/>
  <c r="AY86" i="34" s="1"/>
  <c r="AZ23" i="34"/>
  <c r="DL23" i="34" s="1"/>
  <c r="AZ86" i="34" s="1"/>
  <c r="BO23" i="34"/>
  <c r="EA23" i="34" s="1"/>
  <c r="BO86" i="34" s="1"/>
  <c r="AO23" i="34"/>
  <c r="DA23" i="34" s="1"/>
  <c r="AO86" i="34" s="1"/>
  <c r="AS23" i="34"/>
  <c r="DE23" i="34" s="1"/>
  <c r="AS86" i="34" s="1"/>
  <c r="AW23" i="34"/>
  <c r="DI23" i="34" s="1"/>
  <c r="AW86" i="34" s="1"/>
  <c r="BA23" i="34"/>
  <c r="DM23" i="34" s="1"/>
  <c r="BA86" i="34" s="1"/>
  <c r="BH23" i="34"/>
  <c r="DT23" i="34" s="1"/>
  <c r="BH86" i="34" s="1"/>
  <c r="AR23" i="34"/>
  <c r="DD23" i="34" s="1"/>
  <c r="AR86" i="34" s="1"/>
  <c r="AN23" i="34"/>
  <c r="CZ23" i="34" s="1"/>
  <c r="AN86" i="34" s="1"/>
  <c r="BE12" i="34"/>
  <c r="DQ12" i="34" s="1"/>
  <c r="BI12" i="34"/>
  <c r="DU12" i="34" s="1"/>
  <c r="BM12" i="34"/>
  <c r="DY12" i="34" s="1"/>
  <c r="BQ12" i="34"/>
  <c r="EC12" i="34" s="1"/>
  <c r="BF12" i="34"/>
  <c r="DR12" i="34" s="1"/>
  <c r="BJ12" i="34"/>
  <c r="DV12" i="34" s="1"/>
  <c r="BN12" i="34"/>
  <c r="DZ12" i="34" s="1"/>
  <c r="AO12" i="34"/>
  <c r="DA12" i="34" s="1"/>
  <c r="AS12" i="34"/>
  <c r="DE12" i="34" s="1"/>
  <c r="AW12" i="34"/>
  <c r="DI12" i="34" s="1"/>
  <c r="BA12" i="34"/>
  <c r="DM12" i="34" s="1"/>
  <c r="BG12" i="34"/>
  <c r="DS12" i="34" s="1"/>
  <c r="BO12" i="34"/>
  <c r="EA12" i="34" s="1"/>
  <c r="AR12" i="34"/>
  <c r="DD12" i="34" s="1"/>
  <c r="AX12" i="34"/>
  <c r="DJ12" i="34" s="1"/>
  <c r="BH12" i="34"/>
  <c r="DT12" i="34" s="1"/>
  <c r="BP12" i="34"/>
  <c r="EB12" i="34" s="1"/>
  <c r="AT12" i="34"/>
  <c r="DF12" i="34" s="1"/>
  <c r="AY12" i="34"/>
  <c r="DK12" i="34" s="1"/>
  <c r="BD12" i="34"/>
  <c r="DP12" i="34" s="1"/>
  <c r="AQ12" i="34"/>
  <c r="DC12" i="34" s="1"/>
  <c r="BB12" i="34"/>
  <c r="DN12" i="34" s="1"/>
  <c r="AN12" i="34"/>
  <c r="CZ12" i="34" s="1"/>
  <c r="BL12" i="34"/>
  <c r="DX12" i="34" s="1"/>
  <c r="BC12" i="34"/>
  <c r="DO12" i="34" s="1"/>
  <c r="BK12" i="34"/>
  <c r="DW12" i="34" s="1"/>
  <c r="AU12" i="34"/>
  <c r="DG12" i="34" s="1"/>
  <c r="AV12" i="34"/>
  <c r="DH12" i="34" s="1"/>
  <c r="AP12" i="34"/>
  <c r="DB12" i="34" s="1"/>
  <c r="AZ12" i="34"/>
  <c r="DL12" i="34" s="1"/>
  <c r="BG10" i="34"/>
  <c r="DS10" i="34" s="1"/>
  <c r="BK10" i="34"/>
  <c r="DW10" i="34" s="1"/>
  <c r="BO10" i="34"/>
  <c r="EA10" i="34" s="1"/>
  <c r="BD10" i="34"/>
  <c r="DP10" i="34" s="1"/>
  <c r="BH10" i="34"/>
  <c r="DT10" i="34" s="1"/>
  <c r="BL10" i="34"/>
  <c r="DX10" i="34" s="1"/>
  <c r="BP10" i="34"/>
  <c r="EB10" i="34" s="1"/>
  <c r="BC10" i="34"/>
  <c r="DO10" i="34" s="1"/>
  <c r="BI10" i="34"/>
  <c r="DU10" i="34" s="1"/>
  <c r="BQ10" i="34"/>
  <c r="EC10" i="34" s="1"/>
  <c r="BJ10" i="34"/>
  <c r="DV10" i="34" s="1"/>
  <c r="BF10" i="34"/>
  <c r="DR10" i="34" s="1"/>
  <c r="AR10" i="34"/>
  <c r="DD10" i="34" s="1"/>
  <c r="AV10" i="34"/>
  <c r="DH10" i="34" s="1"/>
  <c r="AZ10" i="34"/>
  <c r="DL10" i="34" s="1"/>
  <c r="AT10" i="34"/>
  <c r="DF10" i="34" s="1"/>
  <c r="BM10" i="34"/>
  <c r="DY10" i="34" s="1"/>
  <c r="AO10" i="34"/>
  <c r="DA10" i="34" s="1"/>
  <c r="AS10" i="34"/>
  <c r="DE10" i="34" s="1"/>
  <c r="AW10" i="34"/>
  <c r="DI10" i="34" s="1"/>
  <c r="BA10" i="34"/>
  <c r="DM10" i="34" s="1"/>
  <c r="AN10" i="34"/>
  <c r="CZ10" i="34" s="1"/>
  <c r="AX10" i="34"/>
  <c r="DJ10" i="34" s="1"/>
  <c r="BE10" i="34"/>
  <c r="DQ10" i="34" s="1"/>
  <c r="AQ10" i="34"/>
  <c r="DC10" i="34" s="1"/>
  <c r="AU10" i="34"/>
  <c r="DG10" i="34" s="1"/>
  <c r="AY10" i="34"/>
  <c r="DK10" i="34" s="1"/>
  <c r="BN10" i="34"/>
  <c r="DZ10" i="34" s="1"/>
  <c r="AP10" i="34"/>
  <c r="DB10" i="34" s="1"/>
  <c r="BB10" i="34"/>
  <c r="DN10" i="34" s="1"/>
  <c r="BE38" i="34"/>
  <c r="DQ38" i="34" s="1"/>
  <c r="BE101" i="34" s="1"/>
  <c r="BI38" i="34"/>
  <c r="DU38" i="34" s="1"/>
  <c r="BI101" i="34" s="1"/>
  <c r="BM38" i="34"/>
  <c r="DY38" i="34" s="1"/>
  <c r="BM101" i="34" s="1"/>
  <c r="BQ38" i="34"/>
  <c r="EC38" i="34" s="1"/>
  <c r="BQ101" i="34" s="1"/>
  <c r="BF38" i="34"/>
  <c r="DR38" i="34" s="1"/>
  <c r="BF101" i="34" s="1"/>
  <c r="BJ38" i="34"/>
  <c r="DV38" i="34" s="1"/>
  <c r="BJ101" i="34" s="1"/>
  <c r="BN38" i="34"/>
  <c r="DZ38" i="34" s="1"/>
  <c r="BN101" i="34" s="1"/>
  <c r="BG38" i="34"/>
  <c r="DS38" i="34" s="1"/>
  <c r="BG101" i="34" s="1"/>
  <c r="BK38" i="34"/>
  <c r="DW38" i="34" s="1"/>
  <c r="BK101" i="34" s="1"/>
  <c r="BO38" i="34"/>
  <c r="EA38" i="34" s="1"/>
  <c r="BO101" i="34" s="1"/>
  <c r="BH38" i="34"/>
  <c r="DT38" i="34" s="1"/>
  <c r="BH101" i="34" s="1"/>
  <c r="AQ38" i="34"/>
  <c r="DC38" i="34" s="1"/>
  <c r="AQ101" i="34" s="1"/>
  <c r="AU38" i="34"/>
  <c r="DG38" i="34" s="1"/>
  <c r="AU101" i="34" s="1"/>
  <c r="AY38" i="34"/>
  <c r="DK38" i="34" s="1"/>
  <c r="AY101" i="34" s="1"/>
  <c r="BL38" i="34"/>
  <c r="DX38" i="34" s="1"/>
  <c r="BL101" i="34" s="1"/>
  <c r="BC38" i="34"/>
  <c r="DO38" i="34" s="1"/>
  <c r="BC101" i="34" s="1"/>
  <c r="AR38" i="34"/>
  <c r="DD38" i="34" s="1"/>
  <c r="AR101" i="34" s="1"/>
  <c r="AV38" i="34"/>
  <c r="DH38" i="34" s="1"/>
  <c r="AV101" i="34" s="1"/>
  <c r="AZ38" i="34"/>
  <c r="DL38" i="34" s="1"/>
  <c r="AZ101" i="34" s="1"/>
  <c r="BP38" i="34"/>
  <c r="EB38" i="34" s="1"/>
  <c r="BP101" i="34" s="1"/>
  <c r="AO38" i="34"/>
  <c r="DA38" i="34" s="1"/>
  <c r="AO101" i="34" s="1"/>
  <c r="AS38" i="34"/>
  <c r="DE38" i="34" s="1"/>
  <c r="AS101" i="34" s="1"/>
  <c r="AW38" i="34"/>
  <c r="DI38" i="34" s="1"/>
  <c r="AW101" i="34" s="1"/>
  <c r="BA38" i="34"/>
  <c r="DM38" i="34" s="1"/>
  <c r="BA101" i="34" s="1"/>
  <c r="AP38" i="34"/>
  <c r="DB38" i="34" s="1"/>
  <c r="AP101" i="34" s="1"/>
  <c r="AT38" i="34"/>
  <c r="DF38" i="34" s="1"/>
  <c r="AT101" i="34" s="1"/>
  <c r="BD38" i="34"/>
  <c r="DP38" i="34" s="1"/>
  <c r="BD101" i="34" s="1"/>
  <c r="BB38" i="34"/>
  <c r="DN38" i="34" s="1"/>
  <c r="BB101" i="34" s="1"/>
  <c r="AX38" i="34"/>
  <c r="DJ38" i="34" s="1"/>
  <c r="AX101" i="34" s="1"/>
  <c r="AN38" i="34"/>
  <c r="CZ38" i="34" s="1"/>
  <c r="AN101" i="34" s="1"/>
  <c r="BD37" i="34"/>
  <c r="DP37" i="34" s="1"/>
  <c r="BD100" i="34" s="1"/>
  <c r="BH37" i="34"/>
  <c r="DT37" i="34" s="1"/>
  <c r="BH100" i="34" s="1"/>
  <c r="BL37" i="34"/>
  <c r="DX37" i="34" s="1"/>
  <c r="BL100" i="34" s="1"/>
  <c r="BP37" i="34"/>
  <c r="EB37" i="34" s="1"/>
  <c r="BP100" i="34" s="1"/>
  <c r="BE37" i="34"/>
  <c r="DQ37" i="34" s="1"/>
  <c r="BE100" i="34" s="1"/>
  <c r="BJ37" i="34"/>
  <c r="DV37" i="34" s="1"/>
  <c r="BJ100" i="34" s="1"/>
  <c r="BO37" i="34"/>
  <c r="EA37" i="34" s="1"/>
  <c r="BO100" i="34" s="1"/>
  <c r="BF37" i="34"/>
  <c r="DR37" i="34" s="1"/>
  <c r="BF100" i="34" s="1"/>
  <c r="BK37" i="34"/>
  <c r="DW37" i="34" s="1"/>
  <c r="BK100" i="34" s="1"/>
  <c r="BQ37" i="34"/>
  <c r="EC37" i="34" s="1"/>
  <c r="BQ100" i="34" s="1"/>
  <c r="BN37" i="34"/>
  <c r="DZ37" i="34" s="1"/>
  <c r="BN100" i="34" s="1"/>
  <c r="BC37" i="34"/>
  <c r="DO37" i="34" s="1"/>
  <c r="BC100" i="34" s="1"/>
  <c r="AR37" i="34"/>
  <c r="DD37" i="34" s="1"/>
  <c r="AR100" i="34" s="1"/>
  <c r="AV37" i="34"/>
  <c r="DH37" i="34" s="1"/>
  <c r="AV100" i="34" s="1"/>
  <c r="AZ37" i="34"/>
  <c r="DL37" i="34" s="1"/>
  <c r="AZ100" i="34" s="1"/>
  <c r="BG37" i="34"/>
  <c r="DS37" i="34" s="1"/>
  <c r="BG100" i="34" s="1"/>
  <c r="AO37" i="34"/>
  <c r="DA37" i="34" s="1"/>
  <c r="AO100" i="34" s="1"/>
  <c r="AS37" i="34"/>
  <c r="DE37" i="34" s="1"/>
  <c r="AS100" i="34" s="1"/>
  <c r="AW37" i="34"/>
  <c r="DI37" i="34" s="1"/>
  <c r="AW100" i="34" s="1"/>
  <c r="BA37" i="34"/>
  <c r="DM37" i="34" s="1"/>
  <c r="BA100" i="34" s="1"/>
  <c r="BI37" i="34"/>
  <c r="DU37" i="34" s="1"/>
  <c r="BI100" i="34" s="1"/>
  <c r="BM37" i="34"/>
  <c r="DY37" i="34" s="1"/>
  <c r="BM100" i="34" s="1"/>
  <c r="AQ37" i="34"/>
  <c r="DC37" i="34" s="1"/>
  <c r="AQ100" i="34" s="1"/>
  <c r="AU37" i="34"/>
  <c r="DG37" i="34" s="1"/>
  <c r="AU100" i="34" s="1"/>
  <c r="AY37" i="34"/>
  <c r="DK37" i="34" s="1"/>
  <c r="AY100" i="34" s="1"/>
  <c r="AN37" i="34"/>
  <c r="CZ37" i="34" s="1"/>
  <c r="AN100" i="34" s="1"/>
  <c r="BB37" i="34"/>
  <c r="DN37" i="34" s="1"/>
  <c r="BB100" i="34" s="1"/>
  <c r="AP37" i="34"/>
  <c r="DB37" i="34" s="1"/>
  <c r="AP100" i="34" s="1"/>
  <c r="AX37" i="34"/>
  <c r="DJ37" i="34" s="1"/>
  <c r="AX100" i="34" s="1"/>
  <c r="AT37" i="34"/>
  <c r="DF37" i="34" s="1"/>
  <c r="AT100" i="34" s="1"/>
  <c r="BG33" i="34"/>
  <c r="DS33" i="34" s="1"/>
  <c r="BG96" i="34" s="1"/>
  <c r="BK33" i="34"/>
  <c r="DW33" i="34" s="1"/>
  <c r="BK96" i="34" s="1"/>
  <c r="BO33" i="34"/>
  <c r="EA33" i="34" s="1"/>
  <c r="BO96" i="34" s="1"/>
  <c r="BD33" i="34"/>
  <c r="DP33" i="34" s="1"/>
  <c r="BD96" i="34" s="1"/>
  <c r="BH33" i="34"/>
  <c r="DT33" i="34" s="1"/>
  <c r="BH96" i="34" s="1"/>
  <c r="BL33" i="34"/>
  <c r="DX33" i="34" s="1"/>
  <c r="BL96" i="34" s="1"/>
  <c r="BP33" i="34"/>
  <c r="EB33" i="34" s="1"/>
  <c r="BP96" i="34" s="1"/>
  <c r="BE33" i="34"/>
  <c r="DQ33" i="34" s="1"/>
  <c r="BE96" i="34" s="1"/>
  <c r="BI33" i="34"/>
  <c r="DU33" i="34" s="1"/>
  <c r="BI96" i="34" s="1"/>
  <c r="BM33" i="34"/>
  <c r="DY33" i="34" s="1"/>
  <c r="BM96" i="34" s="1"/>
  <c r="BQ33" i="34"/>
  <c r="EC33" i="34" s="1"/>
  <c r="BQ96" i="34" s="1"/>
  <c r="BN33" i="34"/>
  <c r="DZ33" i="34" s="1"/>
  <c r="BN96" i="34" s="1"/>
  <c r="AO33" i="34"/>
  <c r="DA33" i="34" s="1"/>
  <c r="AO96" i="34" s="1"/>
  <c r="AS33" i="34"/>
  <c r="DE33" i="34" s="1"/>
  <c r="AS96" i="34" s="1"/>
  <c r="AW33" i="34"/>
  <c r="DI33" i="34" s="1"/>
  <c r="AW96" i="34" s="1"/>
  <c r="BA33" i="34"/>
  <c r="DM33" i="34" s="1"/>
  <c r="BA96" i="34" s="1"/>
  <c r="AP33" i="34"/>
  <c r="DB33" i="34" s="1"/>
  <c r="AP96" i="34" s="1"/>
  <c r="AT33" i="34"/>
  <c r="DF33" i="34" s="1"/>
  <c r="AT96" i="34" s="1"/>
  <c r="AX33" i="34"/>
  <c r="DJ33" i="34" s="1"/>
  <c r="AX96" i="34" s="1"/>
  <c r="BB33" i="34"/>
  <c r="DN33" i="34" s="1"/>
  <c r="BB96" i="34" s="1"/>
  <c r="BF33" i="34"/>
  <c r="DR33" i="34" s="1"/>
  <c r="BF96" i="34" s="1"/>
  <c r="BC33" i="34"/>
  <c r="DO33" i="34" s="1"/>
  <c r="BC96" i="34" s="1"/>
  <c r="AQ33" i="34"/>
  <c r="DC33" i="34" s="1"/>
  <c r="AQ96" i="34" s="1"/>
  <c r="AU33" i="34"/>
  <c r="DG33" i="34" s="1"/>
  <c r="AU96" i="34" s="1"/>
  <c r="AY33" i="34"/>
  <c r="DK33" i="34" s="1"/>
  <c r="AY96" i="34" s="1"/>
  <c r="AV33" i="34"/>
  <c r="DH33" i="34" s="1"/>
  <c r="AV96" i="34" s="1"/>
  <c r="AZ33" i="34"/>
  <c r="DL33" i="34" s="1"/>
  <c r="AZ96" i="34" s="1"/>
  <c r="AR33" i="34"/>
  <c r="DD33" i="34" s="1"/>
  <c r="AR96" i="34" s="1"/>
  <c r="BJ33" i="34"/>
  <c r="DV33" i="34" s="1"/>
  <c r="BJ96" i="34" s="1"/>
  <c r="AN33" i="34"/>
  <c r="CZ33" i="34" s="1"/>
  <c r="AN96" i="34" s="1"/>
  <c r="BG41" i="34"/>
  <c r="DS41" i="34" s="1"/>
  <c r="BG104" i="34" s="1"/>
  <c r="BK41" i="34"/>
  <c r="DW41" i="34" s="1"/>
  <c r="BK104" i="34" s="1"/>
  <c r="BO41" i="34"/>
  <c r="EA41" i="34" s="1"/>
  <c r="BO104" i="34" s="1"/>
  <c r="BD41" i="34"/>
  <c r="DP41" i="34" s="1"/>
  <c r="BD104" i="34" s="1"/>
  <c r="BH41" i="34"/>
  <c r="DT41" i="34" s="1"/>
  <c r="BH104" i="34" s="1"/>
  <c r="BL41" i="34"/>
  <c r="DX41" i="34" s="1"/>
  <c r="BL104" i="34" s="1"/>
  <c r="BP41" i="34"/>
  <c r="EB41" i="34" s="1"/>
  <c r="BP104" i="34" s="1"/>
  <c r="BE41" i="34"/>
  <c r="DQ41" i="34" s="1"/>
  <c r="BE104" i="34" s="1"/>
  <c r="BI41" i="34"/>
  <c r="DU41" i="34" s="1"/>
  <c r="BI104" i="34" s="1"/>
  <c r="BM41" i="34"/>
  <c r="DY41" i="34" s="1"/>
  <c r="BM104" i="34" s="1"/>
  <c r="BQ41" i="34"/>
  <c r="EC41" i="34" s="1"/>
  <c r="BQ104" i="34" s="1"/>
  <c r="BC41" i="34"/>
  <c r="DO41" i="34" s="1"/>
  <c r="BC104" i="34" s="1"/>
  <c r="AO41" i="34"/>
  <c r="DA41" i="34" s="1"/>
  <c r="AO104" i="34" s="1"/>
  <c r="AS41" i="34"/>
  <c r="DE41" i="34" s="1"/>
  <c r="AS104" i="34" s="1"/>
  <c r="AW41" i="34"/>
  <c r="DI41" i="34" s="1"/>
  <c r="AW104" i="34" s="1"/>
  <c r="BA41" i="34"/>
  <c r="DM41" i="34" s="1"/>
  <c r="BA104" i="34" s="1"/>
  <c r="BF41" i="34"/>
  <c r="DR41" i="34" s="1"/>
  <c r="BF104" i="34" s="1"/>
  <c r="AP41" i="34"/>
  <c r="DB41" i="34" s="1"/>
  <c r="AP104" i="34" s="1"/>
  <c r="AT41" i="34"/>
  <c r="DF41" i="34" s="1"/>
  <c r="AT104" i="34" s="1"/>
  <c r="AX41" i="34"/>
  <c r="DJ41" i="34" s="1"/>
  <c r="AX104" i="34" s="1"/>
  <c r="BB41" i="34"/>
  <c r="DN41" i="34" s="1"/>
  <c r="BB104" i="34" s="1"/>
  <c r="BJ41" i="34"/>
  <c r="DV41" i="34" s="1"/>
  <c r="BJ104" i="34" s="1"/>
  <c r="AQ41" i="34"/>
  <c r="DC41" i="34" s="1"/>
  <c r="AQ104" i="34" s="1"/>
  <c r="AU41" i="34"/>
  <c r="DG41" i="34" s="1"/>
  <c r="AU104" i="34" s="1"/>
  <c r="AY41" i="34"/>
  <c r="DK41" i="34" s="1"/>
  <c r="AY104" i="34" s="1"/>
  <c r="BN41" i="34"/>
  <c r="DZ41" i="34" s="1"/>
  <c r="BN104" i="34" s="1"/>
  <c r="AZ41" i="34"/>
  <c r="DL41" i="34" s="1"/>
  <c r="AZ104" i="34" s="1"/>
  <c r="AV41" i="34"/>
  <c r="DH41" i="34" s="1"/>
  <c r="AV104" i="34" s="1"/>
  <c r="AN41" i="34"/>
  <c r="CZ41" i="34" s="1"/>
  <c r="AN104" i="34" s="1"/>
  <c r="AR41" i="34"/>
  <c r="DD41" i="34" s="1"/>
  <c r="AR104" i="34" s="1"/>
  <c r="BG7" i="34"/>
  <c r="DS7" i="34" s="1"/>
  <c r="BK7" i="34"/>
  <c r="DW7" i="34" s="1"/>
  <c r="BO7" i="34"/>
  <c r="EA7" i="34" s="1"/>
  <c r="BD7" i="34"/>
  <c r="DP7" i="34" s="1"/>
  <c r="BH7" i="34"/>
  <c r="DT7" i="34" s="1"/>
  <c r="BL7" i="34"/>
  <c r="DX7" i="34" s="1"/>
  <c r="BP7" i="34"/>
  <c r="EB7" i="34" s="1"/>
  <c r="AQ7" i="34"/>
  <c r="DC7" i="34" s="1"/>
  <c r="AU7" i="34"/>
  <c r="DG7" i="34" s="1"/>
  <c r="AY7" i="34"/>
  <c r="DK7" i="34" s="1"/>
  <c r="BE7" i="34"/>
  <c r="DQ7" i="34" s="1"/>
  <c r="BM7" i="34"/>
  <c r="DY7" i="34" s="1"/>
  <c r="BF7" i="34"/>
  <c r="DR7" i="34" s="1"/>
  <c r="BN7" i="34"/>
  <c r="DZ7" i="34" s="1"/>
  <c r="BC7" i="34"/>
  <c r="DO7" i="34" s="1"/>
  <c r="BJ7" i="34"/>
  <c r="DV7" i="34" s="1"/>
  <c r="AR7" i="34"/>
  <c r="DD7" i="34" s="1"/>
  <c r="AW7" i="34"/>
  <c r="DI7" i="34" s="1"/>
  <c r="BB7" i="34"/>
  <c r="DN7" i="34" s="1"/>
  <c r="AO7" i="34"/>
  <c r="DA7" i="34" s="1"/>
  <c r="BQ7" i="34"/>
  <c r="EC7" i="34" s="1"/>
  <c r="AS7" i="34"/>
  <c r="DE7" i="34" s="1"/>
  <c r="AX7" i="34"/>
  <c r="DJ7" i="34" s="1"/>
  <c r="AT7" i="34"/>
  <c r="DF7" i="34" s="1"/>
  <c r="BI7" i="34"/>
  <c r="DU7" i="34" s="1"/>
  <c r="AP7" i="34"/>
  <c r="DB7" i="34" s="1"/>
  <c r="AV7" i="34"/>
  <c r="DH7" i="34" s="1"/>
  <c r="BA7" i="34"/>
  <c r="DM7" i="34" s="1"/>
  <c r="AN7" i="34"/>
  <c r="CZ7" i="34" s="1"/>
  <c r="AZ7" i="34"/>
  <c r="DL7" i="34" s="1"/>
  <c r="BG13" i="34"/>
  <c r="DS13" i="34" s="1"/>
  <c r="BK13" i="34"/>
  <c r="DW13" i="34" s="1"/>
  <c r="BO13" i="34"/>
  <c r="EA13" i="34" s="1"/>
  <c r="BO73" i="34" s="1"/>
  <c r="BD13" i="34"/>
  <c r="DP13" i="34" s="1"/>
  <c r="BH13" i="34"/>
  <c r="DT13" i="34" s="1"/>
  <c r="BL13" i="34"/>
  <c r="DX13" i="34" s="1"/>
  <c r="BL73" i="34" s="1"/>
  <c r="BP13" i="34"/>
  <c r="EB13" i="34" s="1"/>
  <c r="BP73" i="34" s="1"/>
  <c r="BC13" i="34"/>
  <c r="DO13" i="34" s="1"/>
  <c r="AQ13" i="34"/>
  <c r="DC13" i="34" s="1"/>
  <c r="AU13" i="34"/>
  <c r="DG13" i="34" s="1"/>
  <c r="AY13" i="34"/>
  <c r="DK13" i="34" s="1"/>
  <c r="BI13" i="34"/>
  <c r="DU13" i="34" s="1"/>
  <c r="BQ13" i="34"/>
  <c r="EC13" i="34" s="1"/>
  <c r="AO13" i="34"/>
  <c r="DA13" i="34" s="1"/>
  <c r="AO73" i="34" s="1"/>
  <c r="AT13" i="34"/>
  <c r="DF13" i="34" s="1"/>
  <c r="AZ13" i="34"/>
  <c r="DL13" i="34" s="1"/>
  <c r="BJ13" i="34"/>
  <c r="DV13" i="34" s="1"/>
  <c r="BF13" i="34"/>
  <c r="DR13" i="34" s="1"/>
  <c r="AV13" i="34"/>
  <c r="DH13" i="34" s="1"/>
  <c r="BB13" i="34"/>
  <c r="DN13" i="34" s="1"/>
  <c r="AX13" i="34"/>
  <c r="DJ13" i="34" s="1"/>
  <c r="BM13" i="34"/>
  <c r="DY13" i="34" s="1"/>
  <c r="AP13" i="34"/>
  <c r="DB13" i="34" s="1"/>
  <c r="AW13" i="34"/>
  <c r="DI13" i="34" s="1"/>
  <c r="AW73" i="34" s="1"/>
  <c r="AN13" i="34"/>
  <c r="CZ13" i="34" s="1"/>
  <c r="BE13" i="34"/>
  <c r="DQ13" i="34" s="1"/>
  <c r="AS13" i="34"/>
  <c r="DE13" i="34" s="1"/>
  <c r="AS73" i="34" s="1"/>
  <c r="BA13" i="34"/>
  <c r="DM13" i="34" s="1"/>
  <c r="BN13" i="34"/>
  <c r="DZ13" i="34" s="1"/>
  <c r="AR13" i="34"/>
  <c r="DD13" i="34" s="1"/>
  <c r="BE18" i="34"/>
  <c r="DQ18" i="34" s="1"/>
  <c r="BE81" i="34" s="1"/>
  <c r="BI18" i="34"/>
  <c r="DU18" i="34" s="1"/>
  <c r="BI81" i="34" s="1"/>
  <c r="BM18" i="34"/>
  <c r="DY18" i="34" s="1"/>
  <c r="BM81" i="34" s="1"/>
  <c r="BQ18" i="34"/>
  <c r="EC18" i="34" s="1"/>
  <c r="BQ81" i="34" s="1"/>
  <c r="BF18" i="34"/>
  <c r="DR18" i="34" s="1"/>
  <c r="BF81" i="34" s="1"/>
  <c r="BJ18" i="34"/>
  <c r="DV18" i="34" s="1"/>
  <c r="BJ81" i="34" s="1"/>
  <c r="BN18" i="34"/>
  <c r="DZ18" i="34" s="1"/>
  <c r="BN81" i="34" s="1"/>
  <c r="BG18" i="34"/>
  <c r="DS18" i="34" s="1"/>
  <c r="BG81" i="34" s="1"/>
  <c r="BO18" i="34"/>
  <c r="EA18" i="34" s="1"/>
  <c r="BO81" i="34" s="1"/>
  <c r="BC18" i="34"/>
  <c r="DO18" i="34" s="1"/>
  <c r="BC81" i="34" s="1"/>
  <c r="BH18" i="34"/>
  <c r="DT18" i="34" s="1"/>
  <c r="BH81" i="34" s="1"/>
  <c r="BP18" i="34"/>
  <c r="EB18" i="34" s="1"/>
  <c r="BP81" i="34" s="1"/>
  <c r="BL18" i="34"/>
  <c r="DX18" i="34" s="1"/>
  <c r="BL81" i="34" s="1"/>
  <c r="AP18" i="34"/>
  <c r="DB18" i="34" s="1"/>
  <c r="AP81" i="34" s="1"/>
  <c r="AT18" i="34"/>
  <c r="DF18" i="34" s="1"/>
  <c r="AT81" i="34" s="1"/>
  <c r="AX18" i="34"/>
  <c r="DJ18" i="34" s="1"/>
  <c r="AX81" i="34" s="1"/>
  <c r="BB18" i="34"/>
  <c r="DN18" i="34" s="1"/>
  <c r="BB81" i="34" s="1"/>
  <c r="AN18" i="34"/>
  <c r="CZ18" i="34" s="1"/>
  <c r="AN81" i="34" s="1"/>
  <c r="AZ18" i="34"/>
  <c r="DL18" i="34" s="1"/>
  <c r="AZ81" i="34" s="1"/>
  <c r="AQ18" i="34"/>
  <c r="DC18" i="34" s="1"/>
  <c r="AQ81" i="34" s="1"/>
  <c r="AU18" i="34"/>
  <c r="DG18" i="34" s="1"/>
  <c r="AU81" i="34" s="1"/>
  <c r="AY18" i="34"/>
  <c r="DK18" i="34" s="1"/>
  <c r="AY81" i="34" s="1"/>
  <c r="BD18" i="34"/>
  <c r="DP18" i="34" s="1"/>
  <c r="BD81" i="34" s="1"/>
  <c r="AR18" i="34"/>
  <c r="DD18" i="34" s="1"/>
  <c r="AR81" i="34" s="1"/>
  <c r="BK18" i="34"/>
  <c r="DW18" i="34" s="1"/>
  <c r="BK81" i="34" s="1"/>
  <c r="AO18" i="34"/>
  <c r="DA18" i="34" s="1"/>
  <c r="AO81" i="34" s="1"/>
  <c r="AS18" i="34"/>
  <c r="DE18" i="34" s="1"/>
  <c r="AS81" i="34" s="1"/>
  <c r="AW18" i="34"/>
  <c r="DI18" i="34" s="1"/>
  <c r="AW81" i="34" s="1"/>
  <c r="BA18" i="34"/>
  <c r="DM18" i="34" s="1"/>
  <c r="BA81" i="34" s="1"/>
  <c r="AV18" i="34"/>
  <c r="DH18" i="34" s="1"/>
  <c r="AV81" i="34" s="1"/>
  <c r="BE20" i="34"/>
  <c r="DQ20" i="34" s="1"/>
  <c r="BE83" i="34" s="1"/>
  <c r="BI20" i="34"/>
  <c r="DU20" i="34" s="1"/>
  <c r="BI83" i="34" s="1"/>
  <c r="BM20" i="34"/>
  <c r="DY20" i="34" s="1"/>
  <c r="BM83" i="34" s="1"/>
  <c r="BQ20" i="34"/>
  <c r="EC20" i="34" s="1"/>
  <c r="BQ83" i="34" s="1"/>
  <c r="BF20" i="34"/>
  <c r="DR20" i="34" s="1"/>
  <c r="BF83" i="34" s="1"/>
  <c r="BJ20" i="34"/>
  <c r="DV20" i="34" s="1"/>
  <c r="BJ83" i="34" s="1"/>
  <c r="BN20" i="34"/>
  <c r="DZ20" i="34" s="1"/>
  <c r="BN83" i="34" s="1"/>
  <c r="BK20" i="34"/>
  <c r="DW20" i="34" s="1"/>
  <c r="BK83" i="34" s="1"/>
  <c r="BC20" i="34"/>
  <c r="DO20" i="34" s="1"/>
  <c r="BC83" i="34" s="1"/>
  <c r="BD20" i="34"/>
  <c r="DP20" i="34" s="1"/>
  <c r="BD83" i="34" s="1"/>
  <c r="BL20" i="34"/>
  <c r="DX20" i="34" s="1"/>
  <c r="BL83" i="34" s="1"/>
  <c r="BH20" i="34"/>
  <c r="DT20" i="34" s="1"/>
  <c r="BH83" i="34" s="1"/>
  <c r="AP20" i="34"/>
  <c r="DB20" i="34" s="1"/>
  <c r="AP83" i="34" s="1"/>
  <c r="AT20" i="34"/>
  <c r="DF20" i="34" s="1"/>
  <c r="AT83" i="34" s="1"/>
  <c r="AX20" i="34"/>
  <c r="DJ20" i="34" s="1"/>
  <c r="AX83" i="34" s="1"/>
  <c r="BB20" i="34"/>
  <c r="DN20" i="34" s="1"/>
  <c r="BB83" i="34" s="1"/>
  <c r="BO20" i="34"/>
  <c r="EA20" i="34" s="1"/>
  <c r="BO83" i="34" s="1"/>
  <c r="AQ20" i="34"/>
  <c r="DC20" i="34" s="1"/>
  <c r="AQ83" i="34" s="1"/>
  <c r="AU20" i="34"/>
  <c r="DG20" i="34" s="1"/>
  <c r="AU83" i="34" s="1"/>
  <c r="AY20" i="34"/>
  <c r="DK20" i="34" s="1"/>
  <c r="AY83" i="34" s="1"/>
  <c r="BP20" i="34"/>
  <c r="EB20" i="34" s="1"/>
  <c r="BP83" i="34" s="1"/>
  <c r="BG20" i="34"/>
  <c r="DS20" i="34" s="1"/>
  <c r="BG83" i="34" s="1"/>
  <c r="AO20" i="34"/>
  <c r="DA20" i="34" s="1"/>
  <c r="AO83" i="34" s="1"/>
  <c r="AS20" i="34"/>
  <c r="DE20" i="34" s="1"/>
  <c r="AS83" i="34" s="1"/>
  <c r="AW20" i="34"/>
  <c r="DI20" i="34" s="1"/>
  <c r="AW83" i="34" s="1"/>
  <c r="BA20" i="34"/>
  <c r="DM20" i="34" s="1"/>
  <c r="BA83" i="34" s="1"/>
  <c r="AZ20" i="34"/>
  <c r="DL20" i="34" s="1"/>
  <c r="AZ83" i="34" s="1"/>
  <c r="AN20" i="34"/>
  <c r="CZ20" i="34" s="1"/>
  <c r="AN83" i="34" s="1"/>
  <c r="AV20" i="34"/>
  <c r="DH20" i="34" s="1"/>
  <c r="AV83" i="34" s="1"/>
  <c r="AR20" i="34"/>
  <c r="DD20" i="34" s="1"/>
  <c r="AR83" i="34" s="1"/>
  <c r="BG14" i="34"/>
  <c r="DS14" i="34" s="1"/>
  <c r="BK14" i="34"/>
  <c r="DW14" i="34" s="1"/>
  <c r="BO14" i="34"/>
  <c r="EA14" i="34" s="1"/>
  <c r="BD14" i="34"/>
  <c r="DP14" i="34" s="1"/>
  <c r="BH14" i="34"/>
  <c r="DT14" i="34" s="1"/>
  <c r="BL14" i="34"/>
  <c r="DX14" i="34" s="1"/>
  <c r="BP14" i="34"/>
  <c r="EB14" i="34" s="1"/>
  <c r="BE14" i="34"/>
  <c r="DQ14" i="34" s="1"/>
  <c r="BM14" i="34"/>
  <c r="DY14" i="34" s="1"/>
  <c r="BC14" i="34"/>
  <c r="DO14" i="34" s="1"/>
  <c r="BF14" i="34"/>
  <c r="DR14" i="34" s="1"/>
  <c r="BN14" i="34"/>
  <c r="DZ14" i="34" s="1"/>
  <c r="AR14" i="34"/>
  <c r="DD14" i="34" s="1"/>
  <c r="AV14" i="34"/>
  <c r="DH14" i="34" s="1"/>
  <c r="AZ14" i="34"/>
  <c r="DL14" i="34" s="1"/>
  <c r="BJ14" i="34"/>
  <c r="DV14" i="34" s="1"/>
  <c r="AX14" i="34"/>
  <c r="DJ14" i="34" s="1"/>
  <c r="BI14" i="34"/>
  <c r="DU14" i="34" s="1"/>
  <c r="BI75" i="34" s="1"/>
  <c r="AO14" i="34"/>
  <c r="DA14" i="34" s="1"/>
  <c r="AS14" i="34"/>
  <c r="DE14" i="34" s="1"/>
  <c r="AW14" i="34"/>
  <c r="DI14" i="34" s="1"/>
  <c r="BA14" i="34"/>
  <c r="DM14" i="34" s="1"/>
  <c r="AP14" i="34"/>
  <c r="DB14" i="34" s="1"/>
  <c r="BB14" i="34"/>
  <c r="DN14" i="34" s="1"/>
  <c r="BQ14" i="34"/>
  <c r="EC14" i="34" s="1"/>
  <c r="AQ14" i="34"/>
  <c r="DC14" i="34" s="1"/>
  <c r="AU14" i="34"/>
  <c r="DG14" i="34" s="1"/>
  <c r="AY14" i="34"/>
  <c r="DK14" i="34" s="1"/>
  <c r="AN14" i="34"/>
  <c r="CZ14" i="34" s="1"/>
  <c r="AT14" i="34"/>
  <c r="DF14" i="34" s="1"/>
  <c r="BE5" i="34"/>
  <c r="DQ5" i="34" s="1"/>
  <c r="BI5" i="34"/>
  <c r="DU5" i="34" s="1"/>
  <c r="BM5" i="34"/>
  <c r="DY5" i="34" s="1"/>
  <c r="BQ5" i="34"/>
  <c r="EC5" i="34" s="1"/>
  <c r="BF5" i="34"/>
  <c r="DR5" i="34" s="1"/>
  <c r="BJ5" i="34"/>
  <c r="DV5" i="34" s="1"/>
  <c r="BN5" i="34"/>
  <c r="DZ5" i="34" s="1"/>
  <c r="BG5" i="34"/>
  <c r="DS5" i="34" s="1"/>
  <c r="BO5" i="34"/>
  <c r="EA5" i="34" s="1"/>
  <c r="BH5" i="34"/>
  <c r="DT5" i="34" s="1"/>
  <c r="BP5" i="34"/>
  <c r="EB5" i="34" s="1"/>
  <c r="BC5" i="34"/>
  <c r="DO5" i="34" s="1"/>
  <c r="BD5" i="34"/>
  <c r="DP5" i="34" s="1"/>
  <c r="AP5" i="34"/>
  <c r="DB5" i="34" s="1"/>
  <c r="AP79" i="34" s="1"/>
  <c r="AT5" i="34"/>
  <c r="DF5" i="34" s="1"/>
  <c r="AT79" i="34" s="1"/>
  <c r="AX5" i="34"/>
  <c r="DJ5" i="34" s="1"/>
  <c r="AX79" i="34" s="1"/>
  <c r="BB5" i="34"/>
  <c r="DN5" i="34" s="1"/>
  <c r="BB79" i="34" s="1"/>
  <c r="AN5" i="34"/>
  <c r="CZ5" i="34" s="1"/>
  <c r="AV5" i="34"/>
  <c r="DH5" i="34" s="1"/>
  <c r="BK5" i="34"/>
  <c r="DW5" i="34" s="1"/>
  <c r="AQ5" i="34"/>
  <c r="DC5" i="34" s="1"/>
  <c r="AU5" i="34"/>
  <c r="DG5" i="34" s="1"/>
  <c r="AY5" i="34"/>
  <c r="DK5" i="34" s="1"/>
  <c r="BL5" i="34"/>
  <c r="DX5" i="34" s="1"/>
  <c r="BL79" i="34" s="1"/>
  <c r="AZ5" i="34"/>
  <c r="DL5" i="34" s="1"/>
  <c r="AO5" i="34"/>
  <c r="DA5" i="34" s="1"/>
  <c r="AS5" i="34"/>
  <c r="DE5" i="34" s="1"/>
  <c r="AW5" i="34"/>
  <c r="DI5" i="34" s="1"/>
  <c r="BA5" i="34"/>
  <c r="DM5" i="34" s="1"/>
  <c r="AR5" i="34"/>
  <c r="DD5" i="34" s="1"/>
  <c r="BF28" i="34"/>
  <c r="DR28" i="34" s="1"/>
  <c r="BF91" i="34" s="1"/>
  <c r="BJ28" i="34"/>
  <c r="DV28" i="34" s="1"/>
  <c r="BJ91" i="34" s="1"/>
  <c r="BN28" i="34"/>
  <c r="DZ28" i="34" s="1"/>
  <c r="BN91" i="34" s="1"/>
  <c r="BE28" i="34"/>
  <c r="DQ28" i="34" s="1"/>
  <c r="BE91" i="34" s="1"/>
  <c r="BK28" i="34"/>
  <c r="DW28" i="34" s="1"/>
  <c r="BK91" i="34" s="1"/>
  <c r="BP28" i="34"/>
  <c r="EB28" i="34" s="1"/>
  <c r="BP91" i="34" s="1"/>
  <c r="BG28" i="34"/>
  <c r="DS28" i="34" s="1"/>
  <c r="BG91" i="34" s="1"/>
  <c r="BL28" i="34"/>
  <c r="DX28" i="34" s="1"/>
  <c r="BL91" i="34" s="1"/>
  <c r="BQ28" i="34"/>
  <c r="EC28" i="34" s="1"/>
  <c r="BQ91" i="34" s="1"/>
  <c r="BI28" i="34"/>
  <c r="DU28" i="34" s="1"/>
  <c r="BI91" i="34" s="1"/>
  <c r="AP28" i="34"/>
  <c r="DB28" i="34" s="1"/>
  <c r="AP91" i="34" s="1"/>
  <c r="AT28" i="34"/>
  <c r="DF28" i="34" s="1"/>
  <c r="AT91" i="34" s="1"/>
  <c r="AX28" i="34"/>
  <c r="DJ28" i="34" s="1"/>
  <c r="AX91" i="34" s="1"/>
  <c r="BB28" i="34"/>
  <c r="DN28" i="34" s="1"/>
  <c r="BB91" i="34" s="1"/>
  <c r="BO28" i="34"/>
  <c r="EA28" i="34" s="1"/>
  <c r="BO91" i="34" s="1"/>
  <c r="BC28" i="34"/>
  <c r="DO28" i="34" s="1"/>
  <c r="BC91" i="34" s="1"/>
  <c r="BM28" i="34"/>
  <c r="DY28" i="34" s="1"/>
  <c r="BM91" i="34" s="1"/>
  <c r="AQ28" i="34"/>
  <c r="DC28" i="34" s="1"/>
  <c r="AQ91" i="34" s="1"/>
  <c r="AU28" i="34"/>
  <c r="DG28" i="34" s="1"/>
  <c r="AU91" i="34" s="1"/>
  <c r="AY28" i="34"/>
  <c r="DK28" i="34" s="1"/>
  <c r="AY91" i="34" s="1"/>
  <c r="BH28" i="34"/>
  <c r="DT28" i="34" s="1"/>
  <c r="BH91" i="34" s="1"/>
  <c r="AO28" i="34"/>
  <c r="DA28" i="34" s="1"/>
  <c r="AO91" i="34" s="1"/>
  <c r="AS28" i="34"/>
  <c r="DE28" i="34" s="1"/>
  <c r="AS91" i="34" s="1"/>
  <c r="AW28" i="34"/>
  <c r="DI28" i="34" s="1"/>
  <c r="AW91" i="34" s="1"/>
  <c r="BA28" i="34"/>
  <c r="DM28" i="34" s="1"/>
  <c r="BA91" i="34" s="1"/>
  <c r="BD28" i="34"/>
  <c r="DP28" i="34" s="1"/>
  <c r="BD91" i="34" s="1"/>
  <c r="AR28" i="34"/>
  <c r="DD28" i="34" s="1"/>
  <c r="AR91" i="34" s="1"/>
  <c r="AV28" i="34"/>
  <c r="DH28" i="34" s="1"/>
  <c r="AV91" i="34" s="1"/>
  <c r="AZ28" i="34"/>
  <c r="DL28" i="34" s="1"/>
  <c r="AZ91" i="34" s="1"/>
  <c r="AN28" i="34"/>
  <c r="CZ28" i="34" s="1"/>
  <c r="AN91" i="34" s="1"/>
  <c r="BF34" i="34"/>
  <c r="DR34" i="34" s="1"/>
  <c r="BF97" i="34" s="1"/>
  <c r="BJ34" i="34"/>
  <c r="DV34" i="34" s="1"/>
  <c r="BJ97" i="34" s="1"/>
  <c r="BN34" i="34"/>
  <c r="DZ34" i="34" s="1"/>
  <c r="BN97" i="34" s="1"/>
  <c r="BH34" i="34"/>
  <c r="DT34" i="34" s="1"/>
  <c r="BH97" i="34" s="1"/>
  <c r="BM34" i="34"/>
  <c r="DY34" i="34" s="1"/>
  <c r="BM97" i="34" s="1"/>
  <c r="BD34" i="34"/>
  <c r="DP34" i="34" s="1"/>
  <c r="BD97" i="34" s="1"/>
  <c r="BI34" i="34"/>
  <c r="DU34" i="34" s="1"/>
  <c r="BI97" i="34" s="1"/>
  <c r="BO34" i="34"/>
  <c r="EA34" i="34" s="1"/>
  <c r="BO97" i="34" s="1"/>
  <c r="BG34" i="34"/>
  <c r="DS34" i="34" s="1"/>
  <c r="BG97" i="34" s="1"/>
  <c r="BQ34" i="34"/>
  <c r="EC34" i="34" s="1"/>
  <c r="BQ97" i="34" s="1"/>
  <c r="AP34" i="34"/>
  <c r="DB34" i="34" s="1"/>
  <c r="AP97" i="34" s="1"/>
  <c r="AT34" i="34"/>
  <c r="DF34" i="34" s="1"/>
  <c r="AT97" i="34" s="1"/>
  <c r="AX34" i="34"/>
  <c r="DJ34" i="34" s="1"/>
  <c r="AX97" i="34" s="1"/>
  <c r="BB34" i="34"/>
  <c r="DN34" i="34" s="1"/>
  <c r="BB97" i="34" s="1"/>
  <c r="BK34" i="34"/>
  <c r="DW34" i="34" s="1"/>
  <c r="BK97" i="34" s="1"/>
  <c r="AQ34" i="34"/>
  <c r="DC34" i="34" s="1"/>
  <c r="AU34" i="34"/>
  <c r="DG34" i="34" s="1"/>
  <c r="AU97" i="34" s="1"/>
  <c r="AY34" i="34"/>
  <c r="DK34" i="34" s="1"/>
  <c r="AY97" i="34" s="1"/>
  <c r="BE34" i="34"/>
  <c r="DQ34" i="34" s="1"/>
  <c r="BE97" i="34" s="1"/>
  <c r="BP34" i="34"/>
  <c r="EB34" i="34" s="1"/>
  <c r="BP97" i="34" s="1"/>
  <c r="BC34" i="34"/>
  <c r="DO34" i="34" s="1"/>
  <c r="BC97" i="34" s="1"/>
  <c r="AO34" i="34"/>
  <c r="DA34" i="34" s="1"/>
  <c r="AO97" i="34" s="1"/>
  <c r="AS34" i="34"/>
  <c r="DE34" i="34" s="1"/>
  <c r="AS97" i="34" s="1"/>
  <c r="AW34" i="34"/>
  <c r="DI34" i="34" s="1"/>
  <c r="AW97" i="34" s="1"/>
  <c r="BA34" i="34"/>
  <c r="DM34" i="34" s="1"/>
  <c r="BA97" i="34" s="1"/>
  <c r="BL34" i="34"/>
  <c r="DX34" i="34" s="1"/>
  <c r="BL97" i="34" s="1"/>
  <c r="AZ34" i="34"/>
  <c r="DL34" i="34" s="1"/>
  <c r="AZ97" i="34" s="1"/>
  <c r="AV34" i="34"/>
  <c r="DH34" i="34" s="1"/>
  <c r="AV97" i="34" s="1"/>
  <c r="AN34" i="34"/>
  <c r="CZ34" i="34" s="1"/>
  <c r="AN97" i="34" s="1"/>
  <c r="AR34" i="34"/>
  <c r="DD34" i="34" s="1"/>
  <c r="AR97" i="34" s="1"/>
  <c r="BE6" i="34"/>
  <c r="DQ6" i="34" s="1"/>
  <c r="BI6" i="34"/>
  <c r="DU6" i="34" s="1"/>
  <c r="BM6" i="34"/>
  <c r="DY6" i="34" s="1"/>
  <c r="BQ6" i="34"/>
  <c r="EC6" i="34" s="1"/>
  <c r="BF6" i="34"/>
  <c r="DR6" i="34" s="1"/>
  <c r="BJ6" i="34"/>
  <c r="DV6" i="34" s="1"/>
  <c r="BN6" i="34"/>
  <c r="DZ6" i="34" s="1"/>
  <c r="AO6" i="34"/>
  <c r="DA6" i="34" s="1"/>
  <c r="AO68" i="34" s="1"/>
  <c r="AS6" i="34"/>
  <c r="DE6" i="34" s="1"/>
  <c r="AW6" i="34"/>
  <c r="DI6" i="34" s="1"/>
  <c r="AW68" i="34" s="1"/>
  <c r="BA6" i="34"/>
  <c r="DM6" i="34" s="1"/>
  <c r="BK6" i="34"/>
  <c r="DW6" i="34" s="1"/>
  <c r="BC6" i="34"/>
  <c r="DO6" i="34" s="1"/>
  <c r="AQ6" i="34"/>
  <c r="DC6" i="34" s="1"/>
  <c r="BD6" i="34"/>
  <c r="DP6" i="34" s="1"/>
  <c r="BL6" i="34"/>
  <c r="DX6" i="34" s="1"/>
  <c r="BH6" i="34"/>
  <c r="DT6" i="34" s="1"/>
  <c r="AU6" i="34"/>
  <c r="DG6" i="34" s="1"/>
  <c r="AZ6" i="34"/>
  <c r="DL6" i="34" s="1"/>
  <c r="BO6" i="34"/>
  <c r="EA6" i="34" s="1"/>
  <c r="AP6" i="34"/>
  <c r="DB6" i="34" s="1"/>
  <c r="AV6" i="34"/>
  <c r="DH6" i="34" s="1"/>
  <c r="BB6" i="34"/>
  <c r="DN6" i="34" s="1"/>
  <c r="AR6" i="34"/>
  <c r="DD6" i="34" s="1"/>
  <c r="BG6" i="34"/>
  <c r="DS6" i="34" s="1"/>
  <c r="AT6" i="34"/>
  <c r="DF6" i="34" s="1"/>
  <c r="AY6" i="34"/>
  <c r="DK6" i="34" s="1"/>
  <c r="BP6" i="34"/>
  <c r="EB6" i="34" s="1"/>
  <c r="AX6" i="34"/>
  <c r="DJ6" i="34" s="1"/>
  <c r="AN6" i="34"/>
  <c r="CZ6" i="34" s="1"/>
  <c r="BE26" i="34"/>
  <c r="DQ26" i="34" s="1"/>
  <c r="BE89" i="34" s="1"/>
  <c r="BI26" i="34"/>
  <c r="DU26" i="34" s="1"/>
  <c r="BI89" i="34" s="1"/>
  <c r="BM26" i="34"/>
  <c r="DY26" i="34" s="1"/>
  <c r="BM89" i="34" s="1"/>
  <c r="BQ26" i="34"/>
  <c r="EC26" i="34" s="1"/>
  <c r="BQ89" i="34" s="1"/>
  <c r="BF26" i="34"/>
  <c r="DR26" i="34" s="1"/>
  <c r="BF89" i="34" s="1"/>
  <c r="BJ26" i="34"/>
  <c r="DV26" i="34" s="1"/>
  <c r="BJ89" i="34" s="1"/>
  <c r="BN26" i="34"/>
  <c r="DZ26" i="34" s="1"/>
  <c r="BN89" i="34" s="1"/>
  <c r="BG26" i="34"/>
  <c r="DS26" i="34" s="1"/>
  <c r="BG89" i="34" s="1"/>
  <c r="BO26" i="34"/>
  <c r="EA26" i="34" s="1"/>
  <c r="BO89" i="34" s="1"/>
  <c r="BH26" i="34"/>
  <c r="DT26" i="34" s="1"/>
  <c r="BH89" i="34" s="1"/>
  <c r="BP26" i="34"/>
  <c r="EB26" i="34" s="1"/>
  <c r="BP89" i="34" s="1"/>
  <c r="BD26" i="34"/>
  <c r="DP26" i="34" s="1"/>
  <c r="BD89" i="34" s="1"/>
  <c r="BC26" i="34"/>
  <c r="DO26" i="34" s="1"/>
  <c r="BC89" i="34" s="1"/>
  <c r="AP26" i="34"/>
  <c r="DB26" i="34" s="1"/>
  <c r="AP89" i="34" s="1"/>
  <c r="AT26" i="34"/>
  <c r="DF26" i="34" s="1"/>
  <c r="AT89" i="34" s="1"/>
  <c r="AX26" i="34"/>
  <c r="DJ26" i="34" s="1"/>
  <c r="AX89" i="34" s="1"/>
  <c r="BB26" i="34"/>
  <c r="DN26" i="34" s="1"/>
  <c r="BB89" i="34" s="1"/>
  <c r="AN26" i="34"/>
  <c r="CZ26" i="34" s="1"/>
  <c r="AN89" i="34" s="1"/>
  <c r="BL26" i="34"/>
  <c r="DX26" i="34" s="1"/>
  <c r="BL89" i="34" s="1"/>
  <c r="BK26" i="34"/>
  <c r="DW26" i="34" s="1"/>
  <c r="BK89" i="34" s="1"/>
  <c r="AQ26" i="34"/>
  <c r="DC26" i="34" s="1"/>
  <c r="AQ89" i="34" s="1"/>
  <c r="AU26" i="34"/>
  <c r="DG26" i="34" s="1"/>
  <c r="AU89" i="34" s="1"/>
  <c r="AY26" i="34"/>
  <c r="DK26" i="34" s="1"/>
  <c r="AY89" i="34" s="1"/>
  <c r="AO26" i="34"/>
  <c r="DA26" i="34" s="1"/>
  <c r="AO89" i="34" s="1"/>
  <c r="AS26" i="34"/>
  <c r="DE26" i="34" s="1"/>
  <c r="AS89" i="34" s="1"/>
  <c r="AW26" i="34"/>
  <c r="DI26" i="34" s="1"/>
  <c r="AW89" i="34" s="1"/>
  <c r="BA26" i="34"/>
  <c r="DM26" i="34" s="1"/>
  <c r="BA89" i="34" s="1"/>
  <c r="AV26" i="34"/>
  <c r="DH26" i="34" s="1"/>
  <c r="AV89" i="34" s="1"/>
  <c r="AR26" i="34"/>
  <c r="DD26" i="34" s="1"/>
  <c r="AR89" i="34" s="1"/>
  <c r="AZ26" i="34"/>
  <c r="DL26" i="34" s="1"/>
  <c r="AZ89" i="34" s="1"/>
  <c r="BF40" i="34"/>
  <c r="DR40" i="34" s="1"/>
  <c r="BF103" i="34" s="1"/>
  <c r="BJ40" i="34"/>
  <c r="DV40" i="34" s="1"/>
  <c r="BJ103" i="34" s="1"/>
  <c r="BN40" i="34"/>
  <c r="DZ40" i="34" s="1"/>
  <c r="BN103" i="34" s="1"/>
  <c r="BD40" i="34"/>
  <c r="DP40" i="34" s="1"/>
  <c r="BD103" i="34" s="1"/>
  <c r="BI40" i="34"/>
  <c r="DU40" i="34" s="1"/>
  <c r="BI103" i="34" s="1"/>
  <c r="BO40" i="34"/>
  <c r="EA40" i="34" s="1"/>
  <c r="BO103" i="34" s="1"/>
  <c r="BE40" i="34"/>
  <c r="DQ40" i="34" s="1"/>
  <c r="BE103" i="34" s="1"/>
  <c r="BK40" i="34"/>
  <c r="DW40" i="34" s="1"/>
  <c r="BK103" i="34" s="1"/>
  <c r="BP40" i="34"/>
  <c r="EB40" i="34" s="1"/>
  <c r="BP103" i="34" s="1"/>
  <c r="BC40" i="34"/>
  <c r="DO40" i="34" s="1"/>
  <c r="BC103" i="34" s="1"/>
  <c r="BM40" i="34"/>
  <c r="DY40" i="34" s="1"/>
  <c r="BM103" i="34" s="1"/>
  <c r="AP40" i="34"/>
  <c r="DB40" i="34" s="1"/>
  <c r="AP103" i="34" s="1"/>
  <c r="AT40" i="34"/>
  <c r="DF40" i="34" s="1"/>
  <c r="AT103" i="34" s="1"/>
  <c r="AX40" i="34"/>
  <c r="DJ40" i="34" s="1"/>
  <c r="AX103" i="34" s="1"/>
  <c r="BB40" i="34"/>
  <c r="DN40" i="34" s="1"/>
  <c r="BB103" i="34" s="1"/>
  <c r="AN40" i="34"/>
  <c r="CZ40" i="34" s="1"/>
  <c r="AN103" i="34" s="1"/>
  <c r="BG40" i="34"/>
  <c r="DS40" i="34" s="1"/>
  <c r="BG103" i="34" s="1"/>
  <c r="BQ40" i="34"/>
  <c r="EC40" i="34" s="1"/>
  <c r="BQ103" i="34" s="1"/>
  <c r="AQ40" i="34"/>
  <c r="DC40" i="34" s="1"/>
  <c r="AQ103" i="34" s="1"/>
  <c r="AU40" i="34"/>
  <c r="DG40" i="34" s="1"/>
  <c r="AU103" i="34" s="1"/>
  <c r="AY40" i="34"/>
  <c r="DK40" i="34" s="1"/>
  <c r="AY103" i="34" s="1"/>
  <c r="BL40" i="34"/>
  <c r="DX40" i="34" s="1"/>
  <c r="BL103" i="34" s="1"/>
  <c r="AO40" i="34"/>
  <c r="DA40" i="34" s="1"/>
  <c r="AO103" i="34" s="1"/>
  <c r="AS40" i="34"/>
  <c r="DE40" i="34" s="1"/>
  <c r="AS103" i="34" s="1"/>
  <c r="AW40" i="34"/>
  <c r="DI40" i="34" s="1"/>
  <c r="AW103" i="34" s="1"/>
  <c r="BA40" i="34"/>
  <c r="DM40" i="34" s="1"/>
  <c r="BA103" i="34" s="1"/>
  <c r="BH40" i="34"/>
  <c r="DT40" i="34" s="1"/>
  <c r="BH103" i="34" s="1"/>
  <c r="AV40" i="34"/>
  <c r="DH40" i="34" s="1"/>
  <c r="AV103" i="34" s="1"/>
  <c r="AZ40" i="34"/>
  <c r="DL40" i="34" s="1"/>
  <c r="AZ103" i="34" s="1"/>
  <c r="AR40" i="34"/>
  <c r="DD40" i="34" s="1"/>
  <c r="AR103" i="34" s="1"/>
  <c r="BE31" i="34"/>
  <c r="DQ31" i="34" s="1"/>
  <c r="BE94" i="34" s="1"/>
  <c r="BI31" i="34"/>
  <c r="DU31" i="34" s="1"/>
  <c r="BI94" i="34" s="1"/>
  <c r="BM31" i="34"/>
  <c r="DY31" i="34" s="1"/>
  <c r="BM94" i="34" s="1"/>
  <c r="BQ31" i="34"/>
  <c r="EC31" i="34" s="1"/>
  <c r="BQ94" i="34" s="1"/>
  <c r="BF31" i="34"/>
  <c r="DR31" i="34" s="1"/>
  <c r="BF94" i="34" s="1"/>
  <c r="BJ31" i="34"/>
  <c r="DV31" i="34" s="1"/>
  <c r="BJ94" i="34" s="1"/>
  <c r="BN31" i="34"/>
  <c r="DZ31" i="34" s="1"/>
  <c r="BN94" i="34" s="1"/>
  <c r="BG31" i="34"/>
  <c r="DS31" i="34" s="1"/>
  <c r="BG94" i="34" s="1"/>
  <c r="BK31" i="34"/>
  <c r="DW31" i="34" s="1"/>
  <c r="BK94" i="34" s="1"/>
  <c r="BO31" i="34"/>
  <c r="EA31" i="34" s="1"/>
  <c r="BO94" i="34" s="1"/>
  <c r="BD31" i="34"/>
  <c r="DP31" i="34" s="1"/>
  <c r="BD94" i="34" s="1"/>
  <c r="AQ31" i="34"/>
  <c r="DC31" i="34" s="1"/>
  <c r="AQ94" i="34" s="1"/>
  <c r="AU31" i="34"/>
  <c r="DG31" i="34" s="1"/>
  <c r="AU94" i="34" s="1"/>
  <c r="AY31" i="34"/>
  <c r="DK31" i="34" s="1"/>
  <c r="AY94" i="34" s="1"/>
  <c r="BH31" i="34"/>
  <c r="DT31" i="34" s="1"/>
  <c r="BH94" i="34" s="1"/>
  <c r="BC31" i="34"/>
  <c r="DO31" i="34" s="1"/>
  <c r="BC94" i="34" s="1"/>
  <c r="AR31" i="34"/>
  <c r="DD31" i="34" s="1"/>
  <c r="AR94" i="34" s="1"/>
  <c r="AV31" i="34"/>
  <c r="DH31" i="34" s="1"/>
  <c r="AV94" i="34" s="1"/>
  <c r="AZ31" i="34"/>
  <c r="DL31" i="34" s="1"/>
  <c r="AZ94" i="34" s="1"/>
  <c r="BL31" i="34"/>
  <c r="DX31" i="34" s="1"/>
  <c r="BL94" i="34" s="1"/>
  <c r="AO31" i="34"/>
  <c r="DA31" i="34" s="1"/>
  <c r="AO94" i="34" s="1"/>
  <c r="AS31" i="34"/>
  <c r="DE31" i="34" s="1"/>
  <c r="AS94" i="34" s="1"/>
  <c r="AW31" i="34"/>
  <c r="DI31" i="34" s="1"/>
  <c r="AW94" i="34" s="1"/>
  <c r="BA31" i="34"/>
  <c r="DM31" i="34" s="1"/>
  <c r="BA94" i="34" s="1"/>
  <c r="BB31" i="34"/>
  <c r="DN31" i="34" s="1"/>
  <c r="BB94" i="34" s="1"/>
  <c r="BP31" i="34"/>
  <c r="EB31" i="34" s="1"/>
  <c r="BP94" i="34" s="1"/>
  <c r="AP31" i="34"/>
  <c r="DB31" i="34" s="1"/>
  <c r="AP94" i="34" s="1"/>
  <c r="AX31" i="34"/>
  <c r="DJ31" i="34" s="1"/>
  <c r="AX94" i="34" s="1"/>
  <c r="AT31" i="34"/>
  <c r="DF31" i="34" s="1"/>
  <c r="AT94" i="34" s="1"/>
  <c r="AN31" i="34"/>
  <c r="CZ31" i="34" s="1"/>
  <c r="AN94" i="34" s="1"/>
  <c r="BG8" i="34"/>
  <c r="DS8" i="34" s="1"/>
  <c r="BK8" i="34"/>
  <c r="DW8" i="34" s="1"/>
  <c r="BO8" i="34"/>
  <c r="EA8" i="34" s="1"/>
  <c r="BD8" i="34"/>
  <c r="DP8" i="34" s="1"/>
  <c r="BH8" i="34"/>
  <c r="DT8" i="34" s="1"/>
  <c r="BL8" i="34"/>
  <c r="DX8" i="34" s="1"/>
  <c r="BP8" i="34"/>
  <c r="EB8" i="34" s="1"/>
  <c r="AQ8" i="34"/>
  <c r="DC8" i="34" s="1"/>
  <c r="AU8" i="34"/>
  <c r="DG8" i="34" s="1"/>
  <c r="AY8" i="34"/>
  <c r="DK8" i="34" s="1"/>
  <c r="BE8" i="34"/>
  <c r="DQ8" i="34" s="1"/>
  <c r="BM8" i="34"/>
  <c r="DY8" i="34" s="1"/>
  <c r="AP8" i="34"/>
  <c r="DB8" i="34" s="1"/>
  <c r="AV8" i="34"/>
  <c r="DH8" i="34" s="1"/>
  <c r="BA8" i="34"/>
  <c r="DM8" i="34" s="1"/>
  <c r="BF8" i="34"/>
  <c r="DR8" i="34" s="1"/>
  <c r="BN8" i="34"/>
  <c r="DZ8" i="34" s="1"/>
  <c r="AR8" i="34"/>
  <c r="DD8" i="34" s="1"/>
  <c r="AW8" i="34"/>
  <c r="DI8" i="34" s="1"/>
  <c r="BB8" i="34"/>
  <c r="DN8" i="34" s="1"/>
  <c r="AT8" i="34"/>
  <c r="DF8" i="34" s="1"/>
  <c r="AZ8" i="34"/>
  <c r="DL8" i="34" s="1"/>
  <c r="BI8" i="34"/>
  <c r="DU8" i="34" s="1"/>
  <c r="BC8" i="34"/>
  <c r="DO8" i="34" s="1"/>
  <c r="AX8" i="34"/>
  <c r="DJ8" i="34" s="1"/>
  <c r="BJ8" i="34"/>
  <c r="DV8" i="34" s="1"/>
  <c r="BQ8" i="34"/>
  <c r="EC8" i="34" s="1"/>
  <c r="AS8" i="34"/>
  <c r="DE8" i="34" s="1"/>
  <c r="AN8" i="34"/>
  <c r="CZ8" i="34" s="1"/>
  <c r="AO8" i="34"/>
  <c r="DA8" i="34" s="1"/>
  <c r="BF27" i="34"/>
  <c r="DR27" i="34" s="1"/>
  <c r="BF90" i="34" s="1"/>
  <c r="BJ27" i="34"/>
  <c r="DV27" i="34" s="1"/>
  <c r="BJ90" i="34" s="1"/>
  <c r="BN27" i="34"/>
  <c r="DZ27" i="34" s="1"/>
  <c r="BN90" i="34" s="1"/>
  <c r="BG27" i="34"/>
  <c r="DS27" i="34" s="1"/>
  <c r="BG90" i="34" s="1"/>
  <c r="BL27" i="34"/>
  <c r="DX27" i="34" s="1"/>
  <c r="BL90" i="34" s="1"/>
  <c r="BQ27" i="34"/>
  <c r="EC27" i="34" s="1"/>
  <c r="BQ90" i="34" s="1"/>
  <c r="BH27" i="34"/>
  <c r="DT27" i="34" s="1"/>
  <c r="BH90" i="34" s="1"/>
  <c r="BM27" i="34"/>
  <c r="DY27" i="34" s="1"/>
  <c r="BM90" i="34" s="1"/>
  <c r="BE27" i="34"/>
  <c r="DQ27" i="34" s="1"/>
  <c r="BE90" i="34" s="1"/>
  <c r="BP27" i="34"/>
  <c r="EB27" i="34" s="1"/>
  <c r="BP90" i="34" s="1"/>
  <c r="AP27" i="34"/>
  <c r="DB27" i="34" s="1"/>
  <c r="AP90" i="34" s="1"/>
  <c r="AT27" i="34"/>
  <c r="DF27" i="34" s="1"/>
  <c r="AT90" i="34" s="1"/>
  <c r="AX27" i="34"/>
  <c r="DJ27" i="34" s="1"/>
  <c r="AX90" i="34" s="1"/>
  <c r="BB27" i="34"/>
  <c r="DN27" i="34" s="1"/>
  <c r="BB90" i="34" s="1"/>
  <c r="AN27" i="34"/>
  <c r="CZ27" i="34" s="1"/>
  <c r="AN90" i="34" s="1"/>
  <c r="BK27" i="34"/>
  <c r="DW27" i="34" s="1"/>
  <c r="BK90" i="34" s="1"/>
  <c r="BI27" i="34"/>
  <c r="DU27" i="34" s="1"/>
  <c r="BI90" i="34" s="1"/>
  <c r="BC27" i="34"/>
  <c r="DO27" i="34" s="1"/>
  <c r="BC90" i="34" s="1"/>
  <c r="AQ27" i="34"/>
  <c r="DC27" i="34" s="1"/>
  <c r="AQ90" i="34" s="1"/>
  <c r="AU27" i="34"/>
  <c r="DG27" i="34" s="1"/>
  <c r="AU90" i="34" s="1"/>
  <c r="AY27" i="34"/>
  <c r="DK27" i="34" s="1"/>
  <c r="AY90" i="34" s="1"/>
  <c r="BD27" i="34"/>
  <c r="DP27" i="34" s="1"/>
  <c r="BD90" i="34" s="1"/>
  <c r="BO27" i="34"/>
  <c r="EA27" i="34" s="1"/>
  <c r="BO90" i="34" s="1"/>
  <c r="AO27" i="34"/>
  <c r="DA27" i="34" s="1"/>
  <c r="AO90" i="34" s="1"/>
  <c r="AS27" i="34"/>
  <c r="DE27" i="34" s="1"/>
  <c r="AS90" i="34" s="1"/>
  <c r="AW27" i="34"/>
  <c r="DI27" i="34" s="1"/>
  <c r="AW90" i="34" s="1"/>
  <c r="BA27" i="34"/>
  <c r="DM27" i="34" s="1"/>
  <c r="BA90" i="34" s="1"/>
  <c r="AR27" i="34"/>
  <c r="DD27" i="34" s="1"/>
  <c r="AR90" i="34" s="1"/>
  <c r="AZ27" i="34"/>
  <c r="DL27" i="34" s="1"/>
  <c r="AZ90" i="34" s="1"/>
  <c r="AV27" i="34"/>
  <c r="DH27" i="34" s="1"/>
  <c r="AV90" i="34" s="1"/>
  <c r="BE9" i="34"/>
  <c r="DQ9" i="34" s="1"/>
  <c r="BI9" i="34"/>
  <c r="DU9" i="34" s="1"/>
  <c r="BM9" i="34"/>
  <c r="DY9" i="34" s="1"/>
  <c r="BQ9" i="34"/>
  <c r="EC9" i="34" s="1"/>
  <c r="BF9" i="34"/>
  <c r="DR9" i="34" s="1"/>
  <c r="BJ9" i="34"/>
  <c r="DV9" i="34" s="1"/>
  <c r="BN9" i="34"/>
  <c r="DZ9" i="34" s="1"/>
  <c r="AO9" i="34"/>
  <c r="DA9" i="34" s="1"/>
  <c r="AS9" i="34"/>
  <c r="DE9" i="34" s="1"/>
  <c r="BG9" i="34"/>
  <c r="DS9" i="34" s="1"/>
  <c r="BO9" i="34"/>
  <c r="EA9" i="34" s="1"/>
  <c r="BH9" i="34"/>
  <c r="DT9" i="34" s="1"/>
  <c r="BP9" i="34"/>
  <c r="EB9" i="34" s="1"/>
  <c r="BL9" i="34"/>
  <c r="DX9" i="34" s="1"/>
  <c r="AT9" i="34"/>
  <c r="DF9" i="34" s="1"/>
  <c r="AX9" i="34"/>
  <c r="DJ9" i="34" s="1"/>
  <c r="BB9" i="34"/>
  <c r="DN9" i="34" s="1"/>
  <c r="AN9" i="34"/>
  <c r="CZ9" i="34" s="1"/>
  <c r="BD9" i="34"/>
  <c r="DP9" i="34" s="1"/>
  <c r="AQ9" i="34"/>
  <c r="DC9" i="34" s="1"/>
  <c r="AZ9" i="34"/>
  <c r="DL9" i="34" s="1"/>
  <c r="AP9" i="34"/>
  <c r="DB9" i="34" s="1"/>
  <c r="AU9" i="34"/>
  <c r="DG9" i="34" s="1"/>
  <c r="AY9" i="34"/>
  <c r="DK9" i="34" s="1"/>
  <c r="AV9" i="34"/>
  <c r="DH9" i="34" s="1"/>
  <c r="BK9" i="34"/>
  <c r="DW9" i="34" s="1"/>
  <c r="BC9" i="34"/>
  <c r="DO9" i="34" s="1"/>
  <c r="AR9" i="34"/>
  <c r="DD9" i="34" s="1"/>
  <c r="AW9" i="34"/>
  <c r="DI9" i="34" s="1"/>
  <c r="BA9" i="34"/>
  <c r="DM9" i="34" s="1"/>
  <c r="BG11" i="34"/>
  <c r="DS11" i="34" s="1"/>
  <c r="BK11" i="34"/>
  <c r="DW11" i="34" s="1"/>
  <c r="BO11" i="34"/>
  <c r="EA11" i="34" s="1"/>
  <c r="BD11" i="34"/>
  <c r="DP11" i="34" s="1"/>
  <c r="BH11" i="34"/>
  <c r="DT11" i="34" s="1"/>
  <c r="BL11" i="34"/>
  <c r="DX11" i="34" s="1"/>
  <c r="BP11" i="34"/>
  <c r="EB11" i="34" s="1"/>
  <c r="BC11" i="34"/>
  <c r="DO11" i="34" s="1"/>
  <c r="BI11" i="34"/>
  <c r="DU11" i="34" s="1"/>
  <c r="BQ11" i="34"/>
  <c r="EC11" i="34" s="1"/>
  <c r="BJ11" i="34"/>
  <c r="DV11" i="34" s="1"/>
  <c r="BN11" i="34"/>
  <c r="DZ11" i="34" s="1"/>
  <c r="BN74" i="34" s="1"/>
  <c r="AR11" i="34"/>
  <c r="DD11" i="34" s="1"/>
  <c r="AV11" i="34"/>
  <c r="DH11" i="34" s="1"/>
  <c r="AZ11" i="34"/>
  <c r="DL11" i="34" s="1"/>
  <c r="BB11" i="34"/>
  <c r="DN11" i="34" s="1"/>
  <c r="BE11" i="34"/>
  <c r="DQ11" i="34" s="1"/>
  <c r="BE74" i="34" s="1"/>
  <c r="AO11" i="34"/>
  <c r="DA11" i="34" s="1"/>
  <c r="AO74" i="34" s="1"/>
  <c r="AS11" i="34"/>
  <c r="DE11" i="34" s="1"/>
  <c r="AW11" i="34"/>
  <c r="DI11" i="34" s="1"/>
  <c r="AW74" i="34" s="1"/>
  <c r="BA11" i="34"/>
  <c r="DM11" i="34" s="1"/>
  <c r="AN11" i="34"/>
  <c r="CZ11" i="34" s="1"/>
  <c r="BF11" i="34"/>
  <c r="DR11" i="34" s="1"/>
  <c r="BF74" i="34" s="1"/>
  <c r="AT11" i="34"/>
  <c r="DF11" i="34" s="1"/>
  <c r="BM11" i="34"/>
  <c r="DY11" i="34" s="1"/>
  <c r="AQ11" i="34"/>
  <c r="DC11" i="34" s="1"/>
  <c r="AQ74" i="34" s="1"/>
  <c r="AU11" i="34"/>
  <c r="DG11" i="34" s="1"/>
  <c r="AU74" i="34" s="1"/>
  <c r="AY11" i="34"/>
  <c r="DK11" i="34" s="1"/>
  <c r="AY74" i="34" s="1"/>
  <c r="AP11" i="34"/>
  <c r="DB11" i="34" s="1"/>
  <c r="AX11" i="34"/>
  <c r="DJ11" i="34" s="1"/>
  <c r="AE19" i="34"/>
  <c r="CQ19" i="34" s="1"/>
  <c r="AE82" i="34" s="1"/>
  <c r="Y23" i="34"/>
  <c r="CK23" i="34" s="1"/>
  <c r="Y86" i="34" s="1"/>
  <c r="AE7" i="34"/>
  <c r="CQ7" i="34" s="1"/>
  <c r="AE20" i="34"/>
  <c r="CQ20" i="34" s="1"/>
  <c r="AE83" i="34" s="1"/>
  <c r="AG5" i="34"/>
  <c r="CS5" i="34" s="1"/>
  <c r="AM15" i="34"/>
  <c r="CY15" i="34" s="1"/>
  <c r="AE40" i="34"/>
  <c r="CQ40" i="34" s="1"/>
  <c r="AE103" i="34" s="1"/>
  <c r="AC8" i="34"/>
  <c r="CO8" i="34" s="1"/>
  <c r="AD27" i="34"/>
  <c r="CP27" i="34" s="1"/>
  <c r="AD90" i="34" s="1"/>
  <c r="AB9" i="34"/>
  <c r="CN9" i="34" s="1"/>
  <c r="AH11" i="34"/>
  <c r="CT11" i="34" s="1"/>
  <c r="V19" i="34"/>
  <c r="CH19" i="34" s="1"/>
  <c r="V82" i="34" s="1"/>
  <c r="W15" i="34"/>
  <c r="CI15" i="34" s="1"/>
  <c r="X5" i="34"/>
  <c r="CJ5" i="34" s="1"/>
  <c r="W5" i="34"/>
  <c r="CI5" i="34" s="1"/>
  <c r="X37" i="34"/>
  <c r="CJ37" i="34" s="1"/>
  <c r="X100" i="34" s="1"/>
  <c r="X40" i="34"/>
  <c r="CJ40" i="34" s="1"/>
  <c r="X103" i="34" s="1"/>
  <c r="V11" i="34"/>
  <c r="CH11" i="34" s="1"/>
  <c r="T7" i="34"/>
  <c r="CF7" i="34" s="1"/>
  <c r="U9" i="34"/>
  <c r="CG9" i="34" s="1"/>
  <c r="U37" i="34"/>
  <c r="CG37" i="34" s="1"/>
  <c r="U100" i="34" s="1"/>
  <c r="T29" i="34"/>
  <c r="CF29" i="34" s="1"/>
  <c r="T92" i="34" s="1"/>
  <c r="U11" i="34"/>
  <c r="CG11" i="34" s="1"/>
  <c r="S28" i="34"/>
  <c r="CE28" i="34" s="1"/>
  <c r="S91" i="34" s="1"/>
  <c r="P27" i="34"/>
  <c r="CB27" i="34" s="1"/>
  <c r="P90" i="34" s="1"/>
  <c r="Q40" i="34"/>
  <c r="CC40" i="34" s="1"/>
  <c r="Q103" i="34" s="1"/>
  <c r="P15" i="34"/>
  <c r="CB15" i="34" s="1"/>
  <c r="Q18" i="34"/>
  <c r="CC18" i="34" s="1"/>
  <c r="Q81" i="34" s="1"/>
  <c r="P24" i="34"/>
  <c r="CB24" i="34" s="1"/>
  <c r="P87" i="34" s="1"/>
  <c r="U57" i="34"/>
  <c r="CG57" i="34" s="1"/>
  <c r="U120" i="34" s="1"/>
  <c r="P57" i="34"/>
  <c r="CB57" i="34" s="1"/>
  <c r="P120" i="34" s="1"/>
  <c r="S57" i="34"/>
  <c r="CE57" i="34" s="1"/>
  <c r="S120" i="34" s="1"/>
  <c r="Q57" i="34"/>
  <c r="CC57" i="34" s="1"/>
  <c r="Q120" i="34" s="1"/>
  <c r="R57" i="34"/>
  <c r="CD57" i="34" s="1"/>
  <c r="R120" i="34" s="1"/>
  <c r="T57" i="34"/>
  <c r="CF57" i="34" s="1"/>
  <c r="T120" i="34" s="1"/>
  <c r="U51" i="34"/>
  <c r="CG51" i="34" s="1"/>
  <c r="U114" i="34" s="1"/>
  <c r="P51" i="34"/>
  <c r="CB51" i="34" s="1"/>
  <c r="P114" i="34" s="1"/>
  <c r="S51" i="34"/>
  <c r="CE51" i="34" s="1"/>
  <c r="S114" i="34" s="1"/>
  <c r="Q51" i="34"/>
  <c r="CC51" i="34" s="1"/>
  <c r="Q114" i="34" s="1"/>
  <c r="R51" i="34"/>
  <c r="CD51" i="34" s="1"/>
  <c r="R114" i="34" s="1"/>
  <c r="T51" i="34"/>
  <c r="CF51" i="34" s="1"/>
  <c r="T114" i="34" s="1"/>
  <c r="T40" i="34"/>
  <c r="CF40" i="34" s="1"/>
  <c r="T103" i="34" s="1"/>
  <c r="O24" i="34"/>
  <c r="CA24" i="34" s="1"/>
  <c r="O87" i="34" s="1"/>
  <c r="R55" i="34"/>
  <c r="CD55" i="34" s="1"/>
  <c r="R118" i="34" s="1"/>
  <c r="T55" i="34"/>
  <c r="CF55" i="34" s="1"/>
  <c r="T118" i="34" s="1"/>
  <c r="S55" i="34"/>
  <c r="CE55" i="34" s="1"/>
  <c r="S118" i="34" s="1"/>
  <c r="Q55" i="34"/>
  <c r="CC55" i="34" s="1"/>
  <c r="Q118" i="34" s="1"/>
  <c r="U55" i="34"/>
  <c r="CG55" i="34" s="1"/>
  <c r="U118" i="34" s="1"/>
  <c r="P55" i="34"/>
  <c r="CB55" i="34" s="1"/>
  <c r="P118" i="34" s="1"/>
  <c r="O27" i="34"/>
  <c r="CA27" i="34" s="1"/>
  <c r="O90" i="34" s="1"/>
  <c r="S58" i="34"/>
  <c r="CE58" i="34" s="1"/>
  <c r="S121" i="34" s="1"/>
  <c r="Q58" i="34"/>
  <c r="CC58" i="34" s="1"/>
  <c r="Q121" i="34" s="1"/>
  <c r="U58" i="34"/>
  <c r="CG58" i="34" s="1"/>
  <c r="U121" i="34" s="1"/>
  <c r="P58" i="34"/>
  <c r="CB58" i="34" s="1"/>
  <c r="P121" i="34" s="1"/>
  <c r="T58" i="34"/>
  <c r="CF58" i="34" s="1"/>
  <c r="T121" i="34" s="1"/>
  <c r="R58" i="34"/>
  <c r="CD58" i="34" s="1"/>
  <c r="R121" i="34" s="1"/>
  <c r="S41" i="34"/>
  <c r="CE41" i="34" s="1"/>
  <c r="S104" i="34" s="1"/>
  <c r="Q41" i="34"/>
  <c r="CC41" i="34" s="1"/>
  <c r="Q104" i="34" s="1"/>
  <c r="U41" i="34"/>
  <c r="CG41" i="34" s="1"/>
  <c r="U104" i="34" s="1"/>
  <c r="P41" i="34"/>
  <c r="CB41" i="34" s="1"/>
  <c r="T41" i="34"/>
  <c r="CF41" i="34" s="1"/>
  <c r="T104" i="34" s="1"/>
  <c r="R41" i="34"/>
  <c r="CD41" i="34" s="1"/>
  <c r="R104" i="34" s="1"/>
  <c r="T59" i="34"/>
  <c r="CF59" i="34" s="1"/>
  <c r="T122" i="34" s="1"/>
  <c r="R59" i="34"/>
  <c r="CD59" i="34" s="1"/>
  <c r="R122" i="34" s="1"/>
  <c r="U59" i="34"/>
  <c r="CG59" i="34" s="1"/>
  <c r="U122" i="34" s="1"/>
  <c r="S59" i="34"/>
  <c r="CE59" i="34" s="1"/>
  <c r="S122" i="34" s="1"/>
  <c r="Q59" i="34"/>
  <c r="CC59" i="34" s="1"/>
  <c r="Q122" i="34" s="1"/>
  <c r="P59" i="34"/>
  <c r="CB59" i="34" s="1"/>
  <c r="P122" i="34" s="1"/>
  <c r="T56" i="34"/>
  <c r="CF56" i="34" s="1"/>
  <c r="T119" i="34" s="1"/>
  <c r="R56" i="34"/>
  <c r="CD56" i="34" s="1"/>
  <c r="R119" i="34" s="1"/>
  <c r="U56" i="34"/>
  <c r="CG56" i="34" s="1"/>
  <c r="U119" i="34" s="1"/>
  <c r="S56" i="34"/>
  <c r="CE56" i="34" s="1"/>
  <c r="S119" i="34" s="1"/>
  <c r="Q56" i="34"/>
  <c r="CC56" i="34" s="1"/>
  <c r="Q119" i="34" s="1"/>
  <c r="P56" i="34"/>
  <c r="CB56" i="34" s="1"/>
  <c r="P119" i="34" s="1"/>
  <c r="R42" i="34"/>
  <c r="CD42" i="34" s="1"/>
  <c r="R105" i="34" s="1"/>
  <c r="T42" i="34"/>
  <c r="CF42" i="34" s="1"/>
  <c r="T105" i="34" s="1"/>
  <c r="S42" i="34"/>
  <c r="CE42" i="34" s="1"/>
  <c r="S105" i="34" s="1"/>
  <c r="Q42" i="34"/>
  <c r="CC42" i="34" s="1"/>
  <c r="Q105" i="34" s="1"/>
  <c r="P42" i="34"/>
  <c r="CB42" i="34" s="1"/>
  <c r="P105" i="34" s="1"/>
  <c r="U42" i="34"/>
  <c r="CG42" i="34" s="1"/>
  <c r="U105" i="34" s="1"/>
  <c r="S46" i="34"/>
  <c r="CE46" i="34" s="1"/>
  <c r="S109" i="34" s="1"/>
  <c r="Q46" i="34"/>
  <c r="CC46" i="34" s="1"/>
  <c r="Q109" i="34" s="1"/>
  <c r="U46" i="34"/>
  <c r="CG46" i="34" s="1"/>
  <c r="U109" i="34" s="1"/>
  <c r="P46" i="34"/>
  <c r="CB46" i="34" s="1"/>
  <c r="P109" i="34" s="1"/>
  <c r="T46" i="34"/>
  <c r="CF46" i="34" s="1"/>
  <c r="T109" i="34" s="1"/>
  <c r="R46" i="34"/>
  <c r="CD46" i="34" s="1"/>
  <c r="R109" i="34" s="1"/>
  <c r="R50" i="34"/>
  <c r="CD50" i="34" s="1"/>
  <c r="R113" i="34" s="1"/>
  <c r="T50" i="34"/>
  <c r="CF50" i="34" s="1"/>
  <c r="T113" i="34" s="1"/>
  <c r="S50" i="34"/>
  <c r="CE50" i="34" s="1"/>
  <c r="S113" i="34" s="1"/>
  <c r="Q50" i="34"/>
  <c r="CC50" i="34" s="1"/>
  <c r="Q113" i="34" s="1"/>
  <c r="P50" i="34"/>
  <c r="CB50" i="34" s="1"/>
  <c r="P113" i="34" s="1"/>
  <c r="U50" i="34"/>
  <c r="CG50" i="34" s="1"/>
  <c r="U113" i="34" s="1"/>
  <c r="Q27" i="34"/>
  <c r="CC27" i="34" s="1"/>
  <c r="Q90" i="34" s="1"/>
  <c r="R40" i="34"/>
  <c r="CD40" i="34" s="1"/>
  <c r="R103" i="34" s="1"/>
  <c r="U60" i="34"/>
  <c r="CG60" i="34" s="1"/>
  <c r="U123" i="34" s="1"/>
  <c r="P60" i="34"/>
  <c r="CB60" i="34" s="1"/>
  <c r="P123" i="34" s="1"/>
  <c r="S60" i="34"/>
  <c r="CE60" i="34" s="1"/>
  <c r="S123" i="34" s="1"/>
  <c r="Q60" i="34"/>
  <c r="CC60" i="34" s="1"/>
  <c r="Q123" i="34" s="1"/>
  <c r="R60" i="34"/>
  <c r="CD60" i="34" s="1"/>
  <c r="R123" i="34" s="1"/>
  <c r="T60" i="34"/>
  <c r="CF60" i="34" s="1"/>
  <c r="T123" i="34" s="1"/>
  <c r="R32" i="34"/>
  <c r="CD32" i="34" s="1"/>
  <c r="R95" i="34" s="1"/>
  <c r="T32" i="34"/>
  <c r="CF32" i="34" s="1"/>
  <c r="T95" i="34" s="1"/>
  <c r="S32" i="34"/>
  <c r="CE32" i="34" s="1"/>
  <c r="S95" i="34" s="1"/>
  <c r="Q32" i="34"/>
  <c r="CC32" i="34" s="1"/>
  <c r="Q95" i="34" s="1"/>
  <c r="U32" i="34"/>
  <c r="CG32" i="34" s="1"/>
  <c r="U95" i="34" s="1"/>
  <c r="P32" i="34"/>
  <c r="CB32" i="34" s="1"/>
  <c r="P95" i="34" s="1"/>
  <c r="P40" i="34"/>
  <c r="CB40" i="34" s="1"/>
  <c r="P103" i="34" s="1"/>
  <c r="P5" i="34"/>
  <c r="CB5" i="34" s="1"/>
  <c r="R48" i="34"/>
  <c r="CD48" i="34" s="1"/>
  <c r="R111" i="34" s="1"/>
  <c r="T48" i="34"/>
  <c r="CF48" i="34" s="1"/>
  <c r="T111" i="34" s="1"/>
  <c r="S48" i="34"/>
  <c r="CE48" i="34" s="1"/>
  <c r="S111" i="34" s="1"/>
  <c r="Q48" i="34"/>
  <c r="CC48" i="34" s="1"/>
  <c r="Q111" i="34" s="1"/>
  <c r="U48" i="34"/>
  <c r="CG48" i="34" s="1"/>
  <c r="U111" i="34" s="1"/>
  <c r="P48" i="34"/>
  <c r="CB48" i="34" s="1"/>
  <c r="P111" i="34" s="1"/>
  <c r="U36" i="34"/>
  <c r="CG36" i="34" s="1"/>
  <c r="U99" i="34" s="1"/>
  <c r="P36" i="34"/>
  <c r="CB36" i="34" s="1"/>
  <c r="P99" i="34" s="1"/>
  <c r="S36" i="34"/>
  <c r="CE36" i="34" s="1"/>
  <c r="S99" i="34" s="1"/>
  <c r="Q36" i="34"/>
  <c r="CC36" i="34" s="1"/>
  <c r="Q99" i="34" s="1"/>
  <c r="R36" i="34"/>
  <c r="CD36" i="34" s="1"/>
  <c r="R99" i="34" s="1"/>
  <c r="T36" i="34"/>
  <c r="CF36" i="34" s="1"/>
  <c r="T99" i="34" s="1"/>
  <c r="S47" i="34"/>
  <c r="CE47" i="34" s="1"/>
  <c r="S110" i="34" s="1"/>
  <c r="Q47" i="34"/>
  <c r="CC47" i="34" s="1"/>
  <c r="Q110" i="34" s="1"/>
  <c r="U47" i="34"/>
  <c r="CG47" i="34" s="1"/>
  <c r="U110" i="34" s="1"/>
  <c r="P47" i="34"/>
  <c r="CB47" i="34" s="1"/>
  <c r="P110" i="34" s="1"/>
  <c r="T47" i="34"/>
  <c r="CF47" i="34" s="1"/>
  <c r="T110" i="34" s="1"/>
  <c r="R47" i="34"/>
  <c r="CD47" i="34" s="1"/>
  <c r="R110" i="34" s="1"/>
  <c r="S63" i="34"/>
  <c r="CE63" i="34" s="1"/>
  <c r="S126" i="34" s="1"/>
  <c r="Q63" i="34"/>
  <c r="CC63" i="34" s="1"/>
  <c r="Q126" i="34" s="1"/>
  <c r="U63" i="34"/>
  <c r="CG63" i="34" s="1"/>
  <c r="U126" i="34" s="1"/>
  <c r="P63" i="34"/>
  <c r="CB63" i="34" s="1"/>
  <c r="P126" i="34" s="1"/>
  <c r="T63" i="34"/>
  <c r="CF63" i="34" s="1"/>
  <c r="T126" i="34" s="1"/>
  <c r="R63" i="34"/>
  <c r="CD63" i="34" s="1"/>
  <c r="R126" i="34" s="1"/>
  <c r="R43" i="34"/>
  <c r="CD43" i="34" s="1"/>
  <c r="R106" i="34" s="1"/>
  <c r="T43" i="34"/>
  <c r="CF43" i="34" s="1"/>
  <c r="T106" i="34" s="1"/>
  <c r="S43" i="34"/>
  <c r="CE43" i="34" s="1"/>
  <c r="S106" i="34" s="1"/>
  <c r="Q43" i="34"/>
  <c r="CC43" i="34" s="1"/>
  <c r="Q106" i="34" s="1"/>
  <c r="U43" i="34"/>
  <c r="CG43" i="34" s="1"/>
  <c r="U106" i="34" s="1"/>
  <c r="P43" i="34"/>
  <c r="CB43" i="34" s="1"/>
  <c r="T8" i="34"/>
  <c r="CF8" i="34" s="1"/>
  <c r="U40" i="34"/>
  <c r="CG40" i="34" s="1"/>
  <c r="U103" i="34" s="1"/>
  <c r="U33" i="34"/>
  <c r="CG33" i="34" s="1"/>
  <c r="U96" i="34" s="1"/>
  <c r="P33" i="34"/>
  <c r="CB33" i="34" s="1"/>
  <c r="P96" i="34" s="1"/>
  <c r="S33" i="34"/>
  <c r="CE33" i="34" s="1"/>
  <c r="S96" i="34" s="1"/>
  <c r="Q33" i="34"/>
  <c r="CC33" i="34" s="1"/>
  <c r="Q96" i="34" s="1"/>
  <c r="R33" i="34"/>
  <c r="CD33" i="34" s="1"/>
  <c r="R96" i="34" s="1"/>
  <c r="T33" i="34"/>
  <c r="CF33" i="34" s="1"/>
  <c r="T96" i="34" s="1"/>
  <c r="U54" i="34"/>
  <c r="CG54" i="34" s="1"/>
  <c r="U117" i="34" s="1"/>
  <c r="P54" i="34"/>
  <c r="CB54" i="34" s="1"/>
  <c r="P117" i="34" s="1"/>
  <c r="S54" i="34"/>
  <c r="CE54" i="34" s="1"/>
  <c r="S117" i="34" s="1"/>
  <c r="Q54" i="34"/>
  <c r="CC54" i="34" s="1"/>
  <c r="Q117" i="34" s="1"/>
  <c r="R54" i="34"/>
  <c r="CD54" i="34" s="1"/>
  <c r="R117" i="34" s="1"/>
  <c r="T54" i="34"/>
  <c r="CF54" i="34" s="1"/>
  <c r="T117" i="34" s="1"/>
  <c r="O28" i="34"/>
  <c r="CA28" i="34" s="1"/>
  <c r="O91" i="34" s="1"/>
  <c r="T45" i="34"/>
  <c r="CF45" i="34" s="1"/>
  <c r="T108" i="34" s="1"/>
  <c r="R45" i="34"/>
  <c r="CD45" i="34" s="1"/>
  <c r="R108" i="34" s="1"/>
  <c r="U45" i="34"/>
  <c r="CG45" i="34" s="1"/>
  <c r="U108" i="34" s="1"/>
  <c r="Q45" i="34"/>
  <c r="CC45" i="34" s="1"/>
  <c r="Q108" i="34" s="1"/>
  <c r="P45" i="34"/>
  <c r="CB45" i="34" s="1"/>
  <c r="P108" i="34" s="1"/>
  <c r="S45" i="34"/>
  <c r="CE45" i="34" s="1"/>
  <c r="S108" i="34" s="1"/>
  <c r="T35" i="34"/>
  <c r="CF35" i="34" s="1"/>
  <c r="T98" i="34" s="1"/>
  <c r="R35" i="34"/>
  <c r="CD35" i="34" s="1"/>
  <c r="R98" i="34" s="1"/>
  <c r="U35" i="34"/>
  <c r="CG35" i="34" s="1"/>
  <c r="U98" i="34" s="1"/>
  <c r="P35" i="34"/>
  <c r="CB35" i="34" s="1"/>
  <c r="P98" i="34" s="1"/>
  <c r="S35" i="34"/>
  <c r="CE35" i="34" s="1"/>
  <c r="S98" i="34" s="1"/>
  <c r="Q35" i="34"/>
  <c r="CC35" i="34" s="1"/>
  <c r="Q98" i="34" s="1"/>
  <c r="U38" i="34"/>
  <c r="CG38" i="34" s="1"/>
  <c r="U101" i="34" s="1"/>
  <c r="S38" i="34"/>
  <c r="CE38" i="34" s="1"/>
  <c r="S101" i="34" s="1"/>
  <c r="R38" i="34"/>
  <c r="CD38" i="34" s="1"/>
  <c r="R101" i="34" s="1"/>
  <c r="T38" i="34"/>
  <c r="CF38" i="34" s="1"/>
  <c r="T101" i="34" s="1"/>
  <c r="Q38" i="34"/>
  <c r="CC38" i="34" s="1"/>
  <c r="Q101" i="34" s="1"/>
  <c r="P38" i="34"/>
  <c r="CB38" i="34" s="1"/>
  <c r="P101" i="34" s="1"/>
  <c r="S39" i="34"/>
  <c r="CE39" i="34" s="1"/>
  <c r="S102" i="34" s="1"/>
  <c r="Q39" i="34"/>
  <c r="CC39" i="34" s="1"/>
  <c r="Q102" i="34" s="1"/>
  <c r="U39" i="34"/>
  <c r="CG39" i="34" s="1"/>
  <c r="U102" i="34" s="1"/>
  <c r="P39" i="34"/>
  <c r="CB39" i="34" s="1"/>
  <c r="P102" i="34" s="1"/>
  <c r="T39" i="34"/>
  <c r="CF39" i="34" s="1"/>
  <c r="T102" i="34" s="1"/>
  <c r="R39" i="34"/>
  <c r="CD39" i="34" s="1"/>
  <c r="R102" i="34" s="1"/>
  <c r="S52" i="34"/>
  <c r="CE52" i="34" s="1"/>
  <c r="S115" i="34" s="1"/>
  <c r="Q52" i="34"/>
  <c r="CC52" i="34" s="1"/>
  <c r="Q115" i="34" s="1"/>
  <c r="U52" i="34"/>
  <c r="CG52" i="34" s="1"/>
  <c r="U115" i="34" s="1"/>
  <c r="P52" i="34"/>
  <c r="CB52" i="34" s="1"/>
  <c r="P115" i="34" s="1"/>
  <c r="T52" i="34"/>
  <c r="CF52" i="34" s="1"/>
  <c r="T115" i="34" s="1"/>
  <c r="R52" i="34"/>
  <c r="CD52" i="34" s="1"/>
  <c r="R115" i="34" s="1"/>
  <c r="S44" i="34"/>
  <c r="CE44" i="34" s="1"/>
  <c r="S107" i="34" s="1"/>
  <c r="Q44" i="34"/>
  <c r="CC44" i="34" s="1"/>
  <c r="Q107" i="34" s="1"/>
  <c r="U44" i="34"/>
  <c r="CG44" i="34" s="1"/>
  <c r="U107" i="34" s="1"/>
  <c r="P44" i="34"/>
  <c r="CB44" i="34" s="1"/>
  <c r="P107" i="34" s="1"/>
  <c r="T44" i="34"/>
  <c r="CF44" i="34" s="1"/>
  <c r="T107" i="34" s="1"/>
  <c r="R44" i="34"/>
  <c r="CD44" i="34" s="1"/>
  <c r="R107" i="34" s="1"/>
  <c r="R49" i="34"/>
  <c r="CD49" i="34" s="1"/>
  <c r="R112" i="34" s="1"/>
  <c r="T49" i="34"/>
  <c r="CF49" i="34" s="1"/>
  <c r="T112" i="34" s="1"/>
  <c r="S49" i="34"/>
  <c r="CE49" i="34" s="1"/>
  <c r="S112" i="34" s="1"/>
  <c r="Q49" i="34"/>
  <c r="CC49" i="34" s="1"/>
  <c r="Q112" i="34" s="1"/>
  <c r="U49" i="34"/>
  <c r="CG49" i="34" s="1"/>
  <c r="U112" i="34" s="1"/>
  <c r="P49" i="34"/>
  <c r="CB49" i="34" s="1"/>
  <c r="P112" i="34" s="1"/>
  <c r="T31" i="34"/>
  <c r="CF31" i="34" s="1"/>
  <c r="T94" i="34" s="1"/>
  <c r="R31" i="34"/>
  <c r="CD31" i="34" s="1"/>
  <c r="R94" i="34" s="1"/>
  <c r="U31" i="34"/>
  <c r="CG31" i="34" s="1"/>
  <c r="U94" i="34" s="1"/>
  <c r="P31" i="34"/>
  <c r="CB31" i="34" s="1"/>
  <c r="P94" i="34" s="1"/>
  <c r="S31" i="34"/>
  <c r="CE31" i="34" s="1"/>
  <c r="S94" i="34" s="1"/>
  <c r="Q31" i="34"/>
  <c r="CC31" i="34" s="1"/>
  <c r="Q94" i="34" s="1"/>
  <c r="T53" i="34"/>
  <c r="CF53" i="34" s="1"/>
  <c r="T116" i="34" s="1"/>
  <c r="R53" i="34"/>
  <c r="CD53" i="34" s="1"/>
  <c r="R116" i="34" s="1"/>
  <c r="U53" i="34"/>
  <c r="CG53" i="34" s="1"/>
  <c r="U116" i="34" s="1"/>
  <c r="P53" i="34"/>
  <c r="CB53" i="34" s="1"/>
  <c r="P116" i="34" s="1"/>
  <c r="Q53" i="34"/>
  <c r="CC53" i="34" s="1"/>
  <c r="Q116" i="34" s="1"/>
  <c r="S53" i="34"/>
  <c r="CE53" i="34" s="1"/>
  <c r="S116" i="34" s="1"/>
  <c r="U61" i="34"/>
  <c r="CG61" i="34" s="1"/>
  <c r="U124" i="34" s="1"/>
  <c r="P61" i="34"/>
  <c r="CB61" i="34" s="1"/>
  <c r="P124" i="34" s="1"/>
  <c r="S61" i="34"/>
  <c r="CE61" i="34" s="1"/>
  <c r="S124" i="34" s="1"/>
  <c r="Q61" i="34"/>
  <c r="CC61" i="34" s="1"/>
  <c r="Q124" i="34" s="1"/>
  <c r="R61" i="34"/>
  <c r="CD61" i="34" s="1"/>
  <c r="R124" i="34" s="1"/>
  <c r="T61" i="34"/>
  <c r="CF61" i="34" s="1"/>
  <c r="T124" i="34" s="1"/>
  <c r="O40" i="34"/>
  <c r="CA40" i="34" s="1"/>
  <c r="O103" i="34" s="1"/>
  <c r="T62" i="34"/>
  <c r="CF62" i="34" s="1"/>
  <c r="T125" i="34" s="1"/>
  <c r="R62" i="34"/>
  <c r="CD62" i="34" s="1"/>
  <c r="R125" i="34" s="1"/>
  <c r="U62" i="34"/>
  <c r="CG62" i="34" s="1"/>
  <c r="U125" i="34" s="1"/>
  <c r="S62" i="34"/>
  <c r="CE62" i="34" s="1"/>
  <c r="S125" i="34" s="1"/>
  <c r="P62" i="34"/>
  <c r="CB62" i="34" s="1"/>
  <c r="P125" i="34" s="1"/>
  <c r="Q62" i="34"/>
  <c r="CC62" i="34" s="1"/>
  <c r="Q125" i="34" s="1"/>
  <c r="U8" i="34"/>
  <c r="CG8" i="34" s="1"/>
  <c r="O58" i="34"/>
  <c r="CA58" i="34" s="1"/>
  <c r="M58" i="34"/>
  <c r="BY58" i="34" s="1"/>
  <c r="M121" i="34" s="1"/>
  <c r="N58" i="34"/>
  <c r="BZ58" i="34" s="1"/>
  <c r="N121" i="34" s="1"/>
  <c r="O46" i="34"/>
  <c r="CA46" i="34" s="1"/>
  <c r="O109" i="34" s="1"/>
  <c r="M46" i="34"/>
  <c r="BY46" i="34" s="1"/>
  <c r="M109" i="34" s="1"/>
  <c r="N46" i="34"/>
  <c r="BZ46" i="34" s="1"/>
  <c r="M34" i="34"/>
  <c r="BY34" i="34" s="1"/>
  <c r="M97" i="34" s="1"/>
  <c r="N34" i="34"/>
  <c r="BZ34" i="34" s="1"/>
  <c r="N97" i="34" s="1"/>
  <c r="N38" i="34"/>
  <c r="BZ38" i="34" s="1"/>
  <c r="N101" i="34" s="1"/>
  <c r="O38" i="34"/>
  <c r="CA38" i="34" s="1"/>
  <c r="O101" i="34" s="1"/>
  <c r="M38" i="34"/>
  <c r="BY38" i="34" s="1"/>
  <c r="M101" i="34" s="1"/>
  <c r="N53" i="34"/>
  <c r="BZ53" i="34" s="1"/>
  <c r="N116" i="34" s="1"/>
  <c r="O53" i="34"/>
  <c r="CA53" i="34" s="1"/>
  <c r="O116" i="34" s="1"/>
  <c r="M53" i="34"/>
  <c r="BY53" i="34" s="1"/>
  <c r="M116" i="34" s="1"/>
  <c r="N51" i="34"/>
  <c r="BZ51" i="34" s="1"/>
  <c r="N114" i="34" s="1"/>
  <c r="O51" i="34"/>
  <c r="CA51" i="34" s="1"/>
  <c r="O114" i="34" s="1"/>
  <c r="M51" i="34"/>
  <c r="BY51" i="34" s="1"/>
  <c r="M114" i="34" s="1"/>
  <c r="N36" i="34"/>
  <c r="BZ36" i="34" s="1"/>
  <c r="N99" i="34" s="1"/>
  <c r="O36" i="34"/>
  <c r="CA36" i="34" s="1"/>
  <c r="O99" i="34" s="1"/>
  <c r="M36" i="34"/>
  <c r="BY36" i="34" s="1"/>
  <c r="M99" i="34" s="1"/>
  <c r="N59" i="34"/>
  <c r="BZ59" i="34" s="1"/>
  <c r="N122" i="34" s="1"/>
  <c r="O59" i="34"/>
  <c r="CA59" i="34" s="1"/>
  <c r="O122" i="34" s="1"/>
  <c r="M59" i="34"/>
  <c r="BY59" i="34" s="1"/>
  <c r="M122" i="34" s="1"/>
  <c r="O41" i="34"/>
  <c r="CA41" i="34" s="1"/>
  <c r="O104" i="34" s="1"/>
  <c r="M41" i="34"/>
  <c r="BY41" i="34" s="1"/>
  <c r="M104" i="34" s="1"/>
  <c r="N41" i="34"/>
  <c r="BZ41" i="34" s="1"/>
  <c r="N104" i="34" s="1"/>
  <c r="O32" i="34"/>
  <c r="CA32" i="34" s="1"/>
  <c r="O95" i="34" s="1"/>
  <c r="M32" i="34"/>
  <c r="BY32" i="34" s="1"/>
  <c r="N32" i="34"/>
  <c r="BZ32" i="34" s="1"/>
  <c r="N95" i="34" s="1"/>
  <c r="O63" i="34"/>
  <c r="CA63" i="34" s="1"/>
  <c r="O126" i="34" s="1"/>
  <c r="M63" i="34"/>
  <c r="BY63" i="34" s="1"/>
  <c r="M126" i="34" s="1"/>
  <c r="N63" i="34"/>
  <c r="BZ63" i="34" s="1"/>
  <c r="N126" i="34" s="1"/>
  <c r="N49" i="34"/>
  <c r="BZ49" i="34" s="1"/>
  <c r="N112" i="34" s="1"/>
  <c r="O49" i="34"/>
  <c r="CA49" i="34" s="1"/>
  <c r="O112" i="34" s="1"/>
  <c r="M49" i="34"/>
  <c r="BY49" i="34" s="1"/>
  <c r="M112" i="34" s="1"/>
  <c r="M40" i="34"/>
  <c r="BY40" i="34" s="1"/>
  <c r="M103" i="34" s="1"/>
  <c r="N40" i="34"/>
  <c r="BZ40" i="34" s="1"/>
  <c r="N103" i="34" s="1"/>
  <c r="M18" i="34"/>
  <c r="BY18" i="34" s="1"/>
  <c r="M81" i="34" s="1"/>
  <c r="N18" i="34"/>
  <c r="BZ18" i="34" s="1"/>
  <c r="N81" i="34" s="1"/>
  <c r="M28" i="34"/>
  <c r="BY28" i="34" s="1"/>
  <c r="M91" i="34" s="1"/>
  <c r="N28" i="34"/>
  <c r="BZ28" i="34" s="1"/>
  <c r="N91" i="34" s="1"/>
  <c r="N19" i="34"/>
  <c r="BZ19" i="34" s="1"/>
  <c r="N82" i="34" s="1"/>
  <c r="M19" i="34"/>
  <c r="BY19" i="34" s="1"/>
  <c r="M82" i="34" s="1"/>
  <c r="O45" i="34"/>
  <c r="CA45" i="34" s="1"/>
  <c r="O108" i="34" s="1"/>
  <c r="N45" i="34"/>
  <c r="BZ45" i="34" s="1"/>
  <c r="N108" i="34" s="1"/>
  <c r="M45" i="34"/>
  <c r="BY45" i="34" s="1"/>
  <c r="M108" i="34" s="1"/>
  <c r="N33" i="34"/>
  <c r="BZ33" i="34" s="1"/>
  <c r="N96" i="34" s="1"/>
  <c r="O33" i="34"/>
  <c r="CA33" i="34" s="1"/>
  <c r="O96" i="34" s="1"/>
  <c r="M33" i="34"/>
  <c r="BY33" i="34" s="1"/>
  <c r="M96" i="34" s="1"/>
  <c r="N61" i="34"/>
  <c r="BZ61" i="34" s="1"/>
  <c r="N124" i="34" s="1"/>
  <c r="O61" i="34"/>
  <c r="CA61" i="34" s="1"/>
  <c r="O124" i="34" s="1"/>
  <c r="M61" i="34"/>
  <c r="BY61" i="34" s="1"/>
  <c r="M124" i="34" s="1"/>
  <c r="N43" i="34"/>
  <c r="BZ43" i="34" s="1"/>
  <c r="N106" i="34" s="1"/>
  <c r="O43" i="34"/>
  <c r="CA43" i="34" s="1"/>
  <c r="O106" i="34" s="1"/>
  <c r="M43" i="34"/>
  <c r="BY43" i="34" s="1"/>
  <c r="M106" i="34" s="1"/>
  <c r="N57" i="34"/>
  <c r="BZ57" i="34" s="1"/>
  <c r="N120" i="34" s="1"/>
  <c r="O57" i="34"/>
  <c r="CA57" i="34" s="1"/>
  <c r="O120" i="34" s="1"/>
  <c r="M57" i="34"/>
  <c r="BY57" i="34" s="1"/>
  <c r="M120" i="34" s="1"/>
  <c r="N30" i="34"/>
  <c r="BZ30" i="34" s="1"/>
  <c r="N93" i="34" s="1"/>
  <c r="M30" i="34"/>
  <c r="BY30" i="34" s="1"/>
  <c r="M93" i="34" s="1"/>
  <c r="N42" i="34"/>
  <c r="BZ42" i="34" s="1"/>
  <c r="O42" i="34"/>
  <c r="CA42" i="34" s="1"/>
  <c r="O105" i="34" s="1"/>
  <c r="M42" i="34"/>
  <c r="BY42" i="34" s="1"/>
  <c r="M105" i="34" s="1"/>
  <c r="N31" i="34"/>
  <c r="BZ31" i="34" s="1"/>
  <c r="O31" i="34"/>
  <c r="CA31" i="34" s="1"/>
  <c r="O94" i="34" s="1"/>
  <c r="M31" i="34"/>
  <c r="BY31" i="34" s="1"/>
  <c r="M94" i="34" s="1"/>
  <c r="N17" i="34"/>
  <c r="BZ17" i="34" s="1"/>
  <c r="N80" i="34" s="1"/>
  <c r="M17" i="34"/>
  <c r="BY17" i="34" s="1"/>
  <c r="M80" i="34" s="1"/>
  <c r="N54" i="34"/>
  <c r="BZ54" i="34" s="1"/>
  <c r="N117" i="34" s="1"/>
  <c r="O54" i="34"/>
  <c r="CA54" i="34" s="1"/>
  <c r="O117" i="34" s="1"/>
  <c r="M54" i="34"/>
  <c r="BY54" i="34" s="1"/>
  <c r="M117" i="34" s="1"/>
  <c r="O50" i="34"/>
  <c r="CA50" i="34" s="1"/>
  <c r="O113" i="34" s="1"/>
  <c r="M50" i="34"/>
  <c r="BY50" i="34" s="1"/>
  <c r="M113" i="34" s="1"/>
  <c r="N50" i="34"/>
  <c r="BZ50" i="34" s="1"/>
  <c r="N113" i="34" s="1"/>
  <c r="N29" i="34"/>
  <c r="BZ29" i="34" s="1"/>
  <c r="N92" i="34" s="1"/>
  <c r="M29" i="34"/>
  <c r="BY29" i="34" s="1"/>
  <c r="M92" i="34" s="1"/>
  <c r="N21" i="34"/>
  <c r="BZ21" i="34" s="1"/>
  <c r="N84" i="34" s="1"/>
  <c r="M21" i="34"/>
  <c r="BY21" i="34" s="1"/>
  <c r="M84" i="34" s="1"/>
  <c r="N60" i="34"/>
  <c r="BZ60" i="34" s="1"/>
  <c r="N123" i="34" s="1"/>
  <c r="O60" i="34"/>
  <c r="CA60" i="34" s="1"/>
  <c r="O123" i="34" s="1"/>
  <c r="M60" i="34"/>
  <c r="BY60" i="34" s="1"/>
  <c r="M123" i="34" s="1"/>
  <c r="O52" i="34"/>
  <c r="CA52" i="34" s="1"/>
  <c r="O115" i="34" s="1"/>
  <c r="M52" i="34"/>
  <c r="BY52" i="34" s="1"/>
  <c r="M115" i="34" s="1"/>
  <c r="N52" i="34"/>
  <c r="BZ52" i="34" s="1"/>
  <c r="N115" i="34" s="1"/>
  <c r="O55" i="34"/>
  <c r="CA55" i="34" s="1"/>
  <c r="O118" i="34" s="1"/>
  <c r="M55" i="34"/>
  <c r="BY55" i="34" s="1"/>
  <c r="M118" i="34" s="1"/>
  <c r="N55" i="34"/>
  <c r="BZ55" i="34" s="1"/>
  <c r="N118" i="34" s="1"/>
  <c r="O44" i="34"/>
  <c r="CA44" i="34" s="1"/>
  <c r="O107" i="34" s="1"/>
  <c r="M44" i="34"/>
  <c r="BY44" i="34" s="1"/>
  <c r="M107" i="34" s="1"/>
  <c r="N44" i="34"/>
  <c r="BZ44" i="34" s="1"/>
  <c r="N107" i="34" s="1"/>
  <c r="N22" i="34"/>
  <c r="BZ22" i="34" s="1"/>
  <c r="N85" i="34" s="1"/>
  <c r="M22" i="34"/>
  <c r="BY22" i="34" s="1"/>
  <c r="M85" i="34" s="1"/>
  <c r="N35" i="34"/>
  <c r="BZ35" i="34" s="1"/>
  <c r="N98" i="34" s="1"/>
  <c r="O35" i="34"/>
  <c r="CA35" i="34" s="1"/>
  <c r="O98" i="34" s="1"/>
  <c r="M35" i="34"/>
  <c r="BY35" i="34" s="1"/>
  <c r="M98" i="34" s="1"/>
  <c r="N24" i="34"/>
  <c r="BZ24" i="34" s="1"/>
  <c r="N87" i="34" s="1"/>
  <c r="M24" i="34"/>
  <c r="BY24" i="34" s="1"/>
  <c r="M87" i="34" s="1"/>
  <c r="M27" i="34"/>
  <c r="BY27" i="34" s="1"/>
  <c r="M90" i="34" s="1"/>
  <c r="N27" i="34"/>
  <c r="BZ27" i="34" s="1"/>
  <c r="N90" i="34" s="1"/>
  <c r="O47" i="34"/>
  <c r="CA47" i="34" s="1"/>
  <c r="O110" i="34" s="1"/>
  <c r="M47" i="34"/>
  <c r="BY47" i="34" s="1"/>
  <c r="M110" i="34" s="1"/>
  <c r="N47" i="34"/>
  <c r="BZ47" i="34" s="1"/>
  <c r="N110" i="34" s="1"/>
  <c r="O56" i="34"/>
  <c r="CA56" i="34" s="1"/>
  <c r="O119" i="34" s="1"/>
  <c r="N56" i="34"/>
  <c r="BZ56" i="34" s="1"/>
  <c r="N119" i="34" s="1"/>
  <c r="M56" i="34"/>
  <c r="BY56" i="34" s="1"/>
  <c r="M119" i="34" s="1"/>
  <c r="O39" i="34"/>
  <c r="CA39" i="34" s="1"/>
  <c r="O102" i="34" s="1"/>
  <c r="M39" i="34"/>
  <c r="BY39" i="34" s="1"/>
  <c r="M102" i="34" s="1"/>
  <c r="N39" i="34"/>
  <c r="BZ39" i="34" s="1"/>
  <c r="N102" i="34" s="1"/>
  <c r="O48" i="34"/>
  <c r="CA48" i="34" s="1"/>
  <c r="O111" i="34" s="1"/>
  <c r="M48" i="34"/>
  <c r="BY48" i="34" s="1"/>
  <c r="M111" i="34" s="1"/>
  <c r="N48" i="34"/>
  <c r="BZ48" i="34" s="1"/>
  <c r="N111" i="34" s="1"/>
  <c r="N37" i="34"/>
  <c r="BZ37" i="34" s="1"/>
  <c r="M37" i="34"/>
  <c r="BY37" i="34" s="1"/>
  <c r="M100" i="34" s="1"/>
  <c r="N25" i="34"/>
  <c r="BZ25" i="34" s="1"/>
  <c r="N88" i="34" s="1"/>
  <c r="M25" i="34"/>
  <c r="BY25" i="34" s="1"/>
  <c r="M88" i="34" s="1"/>
  <c r="M23" i="34"/>
  <c r="BY23" i="34" s="1"/>
  <c r="M86" i="34" s="1"/>
  <c r="N23" i="34"/>
  <c r="BZ23" i="34" s="1"/>
  <c r="N86" i="34" s="1"/>
  <c r="M20" i="34"/>
  <c r="BY20" i="34" s="1"/>
  <c r="M83" i="34" s="1"/>
  <c r="N20" i="34"/>
  <c r="BZ20" i="34" s="1"/>
  <c r="N83" i="34" s="1"/>
  <c r="O20" i="34"/>
  <c r="CA20" i="34" s="1"/>
  <c r="O83" i="34" s="1"/>
  <c r="M26" i="34"/>
  <c r="BY26" i="34" s="1"/>
  <c r="M89" i="34" s="1"/>
  <c r="N26" i="34"/>
  <c r="BZ26" i="34" s="1"/>
  <c r="N89" i="34" s="1"/>
  <c r="N62" i="34"/>
  <c r="BZ62" i="34" s="1"/>
  <c r="N125" i="34" s="1"/>
  <c r="O62" i="34"/>
  <c r="CA62" i="34" s="1"/>
  <c r="O125" i="34" s="1"/>
  <c r="M62" i="34"/>
  <c r="BY62" i="34" s="1"/>
  <c r="M125" i="34" s="1"/>
  <c r="K32" i="34"/>
  <c r="BW32" i="34" s="1"/>
  <c r="L32" i="34"/>
  <c r="BX32" i="34" s="1"/>
  <c r="L95" i="34" s="1"/>
  <c r="J32" i="34"/>
  <c r="BV32" i="34" s="1"/>
  <c r="J95" i="34" s="1"/>
  <c r="K61" i="34"/>
  <c r="BW61" i="34" s="1"/>
  <c r="K124" i="34" s="1"/>
  <c r="L61" i="34"/>
  <c r="BX61" i="34" s="1"/>
  <c r="J61" i="34"/>
  <c r="BV61" i="34" s="1"/>
  <c r="J124" i="34" s="1"/>
  <c r="L22" i="34"/>
  <c r="BX22" i="34" s="1"/>
  <c r="L85" i="34" s="1"/>
  <c r="K22" i="34"/>
  <c r="BW22" i="34" s="1"/>
  <c r="K85" i="34" s="1"/>
  <c r="L63" i="34"/>
  <c r="BX63" i="34" s="1"/>
  <c r="L126" i="34" s="1"/>
  <c r="J63" i="34"/>
  <c r="BV63" i="34" s="1"/>
  <c r="K63" i="34"/>
  <c r="BW63" i="34" s="1"/>
  <c r="K126" i="34" s="1"/>
  <c r="K36" i="34"/>
  <c r="BW36" i="34" s="1"/>
  <c r="K99" i="34" s="1"/>
  <c r="L36" i="34"/>
  <c r="BX36" i="34" s="1"/>
  <c r="L99" i="34" s="1"/>
  <c r="J36" i="34"/>
  <c r="BV36" i="34" s="1"/>
  <c r="J99" i="34" s="1"/>
  <c r="L41" i="34"/>
  <c r="BX41" i="34" s="1"/>
  <c r="L104" i="34" s="1"/>
  <c r="J41" i="34"/>
  <c r="BV41" i="34" s="1"/>
  <c r="J104" i="34" s="1"/>
  <c r="K41" i="34"/>
  <c r="BW41" i="34" s="1"/>
  <c r="K104" i="34" s="1"/>
  <c r="K60" i="34"/>
  <c r="BW60" i="34" s="1"/>
  <c r="J60" i="34"/>
  <c r="BV60" i="34" s="1"/>
  <c r="J123" i="34" s="1"/>
  <c r="L60" i="34"/>
  <c r="BX60" i="34" s="1"/>
  <c r="L123" i="34" s="1"/>
  <c r="L35" i="34"/>
  <c r="BX35" i="34" s="1"/>
  <c r="L98" i="34" s="1"/>
  <c r="K35" i="34"/>
  <c r="BW35" i="34" s="1"/>
  <c r="K98" i="34" s="1"/>
  <c r="J35" i="34"/>
  <c r="BV35" i="34" s="1"/>
  <c r="J98" i="34" s="1"/>
  <c r="L46" i="34"/>
  <c r="BX46" i="34" s="1"/>
  <c r="J46" i="34"/>
  <c r="BV46" i="34" s="1"/>
  <c r="J109" i="34" s="1"/>
  <c r="K46" i="34"/>
  <c r="BW46" i="34" s="1"/>
  <c r="K109" i="34" s="1"/>
  <c r="L48" i="34"/>
  <c r="BX48" i="34" s="1"/>
  <c r="J48" i="34"/>
  <c r="BV48" i="34" s="1"/>
  <c r="J111" i="34" s="1"/>
  <c r="K48" i="34"/>
  <c r="BW48" i="34" s="1"/>
  <c r="K111" i="34" s="1"/>
  <c r="L58" i="34"/>
  <c r="BX58" i="34" s="1"/>
  <c r="L121" i="34" s="1"/>
  <c r="J58" i="34"/>
  <c r="BV58" i="34" s="1"/>
  <c r="J121" i="34" s="1"/>
  <c r="K58" i="34"/>
  <c r="BW58" i="34" s="1"/>
  <c r="K121" i="34" s="1"/>
  <c r="L34" i="34"/>
  <c r="BX34" i="34" s="1"/>
  <c r="L97" i="34" s="1"/>
  <c r="K34" i="34"/>
  <c r="BW34" i="34" s="1"/>
  <c r="K97" i="34" s="1"/>
  <c r="K29" i="34"/>
  <c r="BW29" i="34" s="1"/>
  <c r="K92" i="34" s="1"/>
  <c r="L29" i="34"/>
  <c r="BX29" i="34" s="1"/>
  <c r="L92" i="34" s="1"/>
  <c r="L23" i="34"/>
  <c r="BX23" i="34" s="1"/>
  <c r="L86" i="34" s="1"/>
  <c r="K23" i="34"/>
  <c r="BW23" i="34" s="1"/>
  <c r="K86" i="34" s="1"/>
  <c r="L30" i="34"/>
  <c r="BX30" i="34" s="1"/>
  <c r="L93" i="34" s="1"/>
  <c r="K30" i="34"/>
  <c r="BW30" i="34" s="1"/>
  <c r="L45" i="34"/>
  <c r="BX45" i="34" s="1"/>
  <c r="K45" i="34"/>
  <c r="BW45" i="34" s="1"/>
  <c r="K108" i="34" s="1"/>
  <c r="J45" i="34"/>
  <c r="BV45" i="34" s="1"/>
  <c r="J108" i="34" s="1"/>
  <c r="L31" i="34"/>
  <c r="BX31" i="34" s="1"/>
  <c r="L94" i="34" s="1"/>
  <c r="J31" i="34"/>
  <c r="BV31" i="34" s="1"/>
  <c r="J94" i="34" s="1"/>
  <c r="K31" i="34"/>
  <c r="BW31" i="34" s="1"/>
  <c r="K94" i="34" s="1"/>
  <c r="L49" i="34"/>
  <c r="BX49" i="34" s="1"/>
  <c r="L112" i="34" s="1"/>
  <c r="J49" i="34"/>
  <c r="BV49" i="34" s="1"/>
  <c r="J112" i="34" s="1"/>
  <c r="K49" i="34"/>
  <c r="BW49" i="34" s="1"/>
  <c r="K112" i="34" s="1"/>
  <c r="J19" i="34"/>
  <c r="BV19" i="34" s="1"/>
  <c r="J82" i="34" s="1"/>
  <c r="L52" i="34"/>
  <c r="BX52" i="34" s="1"/>
  <c r="L115" i="34" s="1"/>
  <c r="J52" i="34"/>
  <c r="BV52" i="34" s="1"/>
  <c r="J115" i="34" s="1"/>
  <c r="K52" i="34"/>
  <c r="BW52" i="34" s="1"/>
  <c r="L44" i="34"/>
  <c r="BX44" i="34" s="1"/>
  <c r="L107" i="34" s="1"/>
  <c r="J44" i="34"/>
  <c r="BV44" i="34" s="1"/>
  <c r="J107" i="34" s="1"/>
  <c r="K44" i="34"/>
  <c r="BW44" i="34" s="1"/>
  <c r="K107" i="34" s="1"/>
  <c r="L59" i="34"/>
  <c r="BX59" i="34" s="1"/>
  <c r="L122" i="34" s="1"/>
  <c r="K59" i="34"/>
  <c r="BW59" i="34" s="1"/>
  <c r="K122" i="34" s="1"/>
  <c r="J59" i="34"/>
  <c r="BV59" i="34" s="1"/>
  <c r="J122" i="34" s="1"/>
  <c r="K26" i="34"/>
  <c r="BW26" i="34" s="1"/>
  <c r="K89" i="34" s="1"/>
  <c r="L26" i="34"/>
  <c r="BX26" i="34" s="1"/>
  <c r="L25" i="34"/>
  <c r="BX25" i="34" s="1"/>
  <c r="L88" i="34" s="1"/>
  <c r="K25" i="34"/>
  <c r="BW25" i="34" s="1"/>
  <c r="K88" i="34" s="1"/>
  <c r="L17" i="34"/>
  <c r="BX17" i="34" s="1"/>
  <c r="L80" i="34" s="1"/>
  <c r="K17" i="34"/>
  <c r="BW17" i="34" s="1"/>
  <c r="K80" i="34" s="1"/>
  <c r="X12" i="34"/>
  <c r="CJ12" i="34" s="1"/>
  <c r="L47" i="34"/>
  <c r="BX47" i="34" s="1"/>
  <c r="L110" i="34" s="1"/>
  <c r="J47" i="34"/>
  <c r="BV47" i="34" s="1"/>
  <c r="K47" i="34"/>
  <c r="BW47" i="34" s="1"/>
  <c r="K110" i="34" s="1"/>
  <c r="K55" i="34"/>
  <c r="BW55" i="34" s="1"/>
  <c r="K118" i="34" s="1"/>
  <c r="L55" i="34"/>
  <c r="BX55" i="34" s="1"/>
  <c r="L118" i="34" s="1"/>
  <c r="J55" i="34"/>
  <c r="BV55" i="34" s="1"/>
  <c r="K27" i="34"/>
  <c r="BW27" i="34" s="1"/>
  <c r="K90" i="34" s="1"/>
  <c r="L27" i="34"/>
  <c r="BX27" i="34" s="1"/>
  <c r="L90" i="34" s="1"/>
  <c r="L20" i="34"/>
  <c r="BX20" i="34" s="1"/>
  <c r="L83" i="34" s="1"/>
  <c r="K20" i="34"/>
  <c r="BW20" i="34" s="1"/>
  <c r="K83" i="34" s="1"/>
  <c r="K33" i="34"/>
  <c r="BW33" i="34" s="1"/>
  <c r="J33" i="34"/>
  <c r="BV33" i="34" s="1"/>
  <c r="J96" i="34" s="1"/>
  <c r="L33" i="34"/>
  <c r="BX33" i="34" s="1"/>
  <c r="L96" i="34" s="1"/>
  <c r="L39" i="34"/>
  <c r="BX39" i="34" s="1"/>
  <c r="L102" i="34" s="1"/>
  <c r="J39" i="34"/>
  <c r="BV39" i="34" s="1"/>
  <c r="J102" i="34" s="1"/>
  <c r="K39" i="34"/>
  <c r="BW39" i="34" s="1"/>
  <c r="K102" i="34" s="1"/>
  <c r="AB11" i="34"/>
  <c r="CN11" i="34" s="1"/>
  <c r="L24" i="34"/>
  <c r="BX24" i="34" s="1"/>
  <c r="L87" i="34" s="1"/>
  <c r="K24" i="34"/>
  <c r="BW24" i="34" s="1"/>
  <c r="K87" i="34" s="1"/>
  <c r="L50" i="34"/>
  <c r="BX50" i="34" s="1"/>
  <c r="J50" i="34"/>
  <c r="BV50" i="34" s="1"/>
  <c r="J113" i="34" s="1"/>
  <c r="K50" i="34"/>
  <c r="BW50" i="34" s="1"/>
  <c r="K113" i="34" s="1"/>
  <c r="K43" i="34"/>
  <c r="BW43" i="34" s="1"/>
  <c r="K106" i="34" s="1"/>
  <c r="L43" i="34"/>
  <c r="BX43" i="34" s="1"/>
  <c r="L106" i="34" s="1"/>
  <c r="J43" i="34"/>
  <c r="BV43" i="34" s="1"/>
  <c r="J106" i="34" s="1"/>
  <c r="K51" i="34"/>
  <c r="BW51" i="34" s="1"/>
  <c r="K114" i="34" s="1"/>
  <c r="J51" i="34"/>
  <c r="BV51" i="34" s="1"/>
  <c r="J114" i="34" s="1"/>
  <c r="L51" i="34"/>
  <c r="BX51" i="34" s="1"/>
  <c r="L114" i="34" s="1"/>
  <c r="K19" i="34"/>
  <c r="BW19" i="34" s="1"/>
  <c r="K82" i="34" s="1"/>
  <c r="L19" i="34"/>
  <c r="BX19" i="34" s="1"/>
  <c r="L82" i="34" s="1"/>
  <c r="L28" i="34"/>
  <c r="BX28" i="34" s="1"/>
  <c r="L91" i="34" s="1"/>
  <c r="K28" i="34"/>
  <c r="BW28" i="34" s="1"/>
  <c r="K91" i="34" s="1"/>
  <c r="J38" i="34"/>
  <c r="BV38" i="34" s="1"/>
  <c r="J101" i="34" s="1"/>
  <c r="K38" i="34"/>
  <c r="BW38" i="34" s="1"/>
  <c r="L38" i="34"/>
  <c r="BX38" i="34" s="1"/>
  <c r="L101" i="34" s="1"/>
  <c r="L21" i="34"/>
  <c r="BX21" i="34" s="1"/>
  <c r="L84" i="34" s="1"/>
  <c r="K21" i="34"/>
  <c r="BW21" i="34" s="1"/>
  <c r="K84" i="34" s="1"/>
  <c r="K54" i="34"/>
  <c r="BW54" i="34" s="1"/>
  <c r="K117" i="34" s="1"/>
  <c r="J54" i="34"/>
  <c r="BV54" i="34" s="1"/>
  <c r="J117" i="34" s="1"/>
  <c r="L54" i="34"/>
  <c r="BX54" i="34" s="1"/>
  <c r="L117" i="34" s="1"/>
  <c r="L53" i="34"/>
  <c r="BX53" i="34" s="1"/>
  <c r="L116" i="34" s="1"/>
  <c r="K53" i="34"/>
  <c r="BW53" i="34" s="1"/>
  <c r="J53" i="34"/>
  <c r="BV53" i="34" s="1"/>
  <c r="J116" i="34" s="1"/>
  <c r="K42" i="34"/>
  <c r="BW42" i="34" s="1"/>
  <c r="K105" i="34" s="1"/>
  <c r="L42" i="34"/>
  <c r="BX42" i="34" s="1"/>
  <c r="L105" i="34" s="1"/>
  <c r="J42" i="34"/>
  <c r="BV42" i="34" s="1"/>
  <c r="K57" i="34"/>
  <c r="BW57" i="34" s="1"/>
  <c r="K120" i="34" s="1"/>
  <c r="L57" i="34"/>
  <c r="BX57" i="34" s="1"/>
  <c r="L120" i="34" s="1"/>
  <c r="J57" i="34"/>
  <c r="BV57" i="34" s="1"/>
  <c r="J120" i="34" s="1"/>
  <c r="J62" i="34"/>
  <c r="BV62" i="34" s="1"/>
  <c r="K62" i="34"/>
  <c r="BW62" i="34" s="1"/>
  <c r="K125" i="34" s="1"/>
  <c r="L62" i="34"/>
  <c r="BX62" i="34" s="1"/>
  <c r="L125" i="34" s="1"/>
  <c r="J56" i="34"/>
  <c r="BV56" i="34" s="1"/>
  <c r="J119" i="34" s="1"/>
  <c r="K56" i="34"/>
  <c r="BW56" i="34" s="1"/>
  <c r="K119" i="34" s="1"/>
  <c r="L56" i="34"/>
  <c r="BX56" i="34" s="1"/>
  <c r="L119" i="34" s="1"/>
  <c r="L37" i="34"/>
  <c r="BX37" i="34" s="1"/>
  <c r="L100" i="34" s="1"/>
  <c r="K37" i="34"/>
  <c r="BW37" i="34" s="1"/>
  <c r="K100" i="34" s="1"/>
  <c r="K18" i="34"/>
  <c r="BW18" i="34" s="1"/>
  <c r="K81" i="34" s="1"/>
  <c r="L18" i="34"/>
  <c r="BX18" i="34" s="1"/>
  <c r="L81" i="34" s="1"/>
  <c r="K40" i="34"/>
  <c r="BW40" i="34" s="1"/>
  <c r="K103" i="34" s="1"/>
  <c r="L40" i="34"/>
  <c r="BX40" i="34" s="1"/>
  <c r="L103" i="34" s="1"/>
  <c r="J22" i="34"/>
  <c r="BV22" i="34" s="1"/>
  <c r="J85" i="34" s="1"/>
  <c r="J27" i="34"/>
  <c r="BV27" i="34" s="1"/>
  <c r="J34" i="34"/>
  <c r="BV34" i="34" s="1"/>
  <c r="J30" i="34"/>
  <c r="BV30" i="34" s="1"/>
  <c r="J93" i="34" s="1"/>
  <c r="J21" i="34"/>
  <c r="BV21" i="34" s="1"/>
  <c r="J84" i="34" s="1"/>
  <c r="J24" i="34"/>
  <c r="BV24" i="34" s="1"/>
  <c r="J40" i="34"/>
  <c r="BV40" i="34" s="1"/>
  <c r="J28" i="34"/>
  <c r="BV28" i="34" s="1"/>
  <c r="J91" i="34" s="1"/>
  <c r="J17" i="34"/>
  <c r="BV17" i="34" s="1"/>
  <c r="J80" i="34" s="1"/>
  <c r="J37" i="34"/>
  <c r="BV37" i="34" s="1"/>
  <c r="J100" i="34" s="1"/>
  <c r="J25" i="34"/>
  <c r="BV25" i="34" s="1"/>
  <c r="J88" i="34" s="1"/>
  <c r="J29" i="34"/>
  <c r="BV29" i="34" s="1"/>
  <c r="J92" i="34" s="1"/>
  <c r="J20" i="34"/>
  <c r="BV20" i="34" s="1"/>
  <c r="J83" i="34" s="1"/>
  <c r="J18" i="34"/>
  <c r="BV18" i="34" s="1"/>
  <c r="J81" i="34" s="1"/>
  <c r="Y18" i="34"/>
  <c r="CK18" i="34" s="1"/>
  <c r="Y81" i="34" s="1"/>
  <c r="J23" i="34"/>
  <c r="BV23" i="34" s="1"/>
  <c r="J26" i="34"/>
  <c r="BV26" i="34" s="1"/>
  <c r="J89" i="34" s="1"/>
  <c r="AD21" i="34"/>
  <c r="CP21" i="34" s="1"/>
  <c r="AD84" i="34" s="1"/>
  <c r="U14" i="34"/>
  <c r="CG14" i="34" s="1"/>
  <c r="R37" i="34"/>
  <c r="CD37" i="34" s="1"/>
  <c r="R100" i="34" s="1"/>
  <c r="AJ6" i="34"/>
  <c r="CV6" i="34" s="1"/>
  <c r="R34" i="34"/>
  <c r="CD34" i="34" s="1"/>
  <c r="R97" i="34" s="1"/>
  <c r="AD16" i="34"/>
  <c r="CP16" i="34" s="1"/>
  <c r="R29" i="34"/>
  <c r="CD29" i="34" s="1"/>
  <c r="R92" i="34" s="1"/>
  <c r="AE4" i="34"/>
  <c r="CQ4" i="34" s="1"/>
  <c r="Y25" i="34"/>
  <c r="CK25" i="34" s="1"/>
  <c r="Y88" i="34" s="1"/>
  <c r="AI9" i="34"/>
  <c r="CU9" i="34" s="1"/>
  <c r="AF10" i="34"/>
  <c r="CR10" i="34" s="1"/>
  <c r="AG10" i="34"/>
  <c r="CS10" i="34" s="1"/>
  <c r="AC10" i="34"/>
  <c r="CO10" i="34" s="1"/>
  <c r="AL10" i="34"/>
  <c r="CX10" i="34" s="1"/>
  <c r="AM10" i="34"/>
  <c r="CY10" i="34" s="1"/>
  <c r="AE10" i="34"/>
  <c r="CQ10" i="34" s="1"/>
  <c r="Y10" i="34"/>
  <c r="CK10" i="34" s="1"/>
  <c r="AH10" i="34"/>
  <c r="CT10" i="34" s="1"/>
  <c r="AI10" i="34"/>
  <c r="CU10" i="34" s="1"/>
  <c r="AB10" i="34"/>
  <c r="CN10" i="34" s="1"/>
  <c r="Z10" i="34"/>
  <c r="CL10" i="34" s="1"/>
  <c r="AA10" i="34"/>
  <c r="CM10" i="34" s="1"/>
  <c r="X10" i="34"/>
  <c r="CJ10" i="34" s="1"/>
  <c r="U10" i="34"/>
  <c r="CG10" i="34" s="1"/>
  <c r="P10" i="34"/>
  <c r="CB10" i="34" s="1"/>
  <c r="AD10" i="34"/>
  <c r="CP10" i="34" s="1"/>
  <c r="V10" i="34"/>
  <c r="CH10" i="34" s="1"/>
  <c r="R10" i="34"/>
  <c r="CD10" i="34" s="1"/>
  <c r="AJ10" i="34"/>
  <c r="CV10" i="34" s="1"/>
  <c r="T10" i="34"/>
  <c r="CF10" i="34" s="1"/>
  <c r="S10" i="34"/>
  <c r="CE10" i="34" s="1"/>
  <c r="O21" i="34"/>
  <c r="CA21" i="34" s="1"/>
  <c r="O84" i="34" s="1"/>
  <c r="AF30" i="34"/>
  <c r="CR30" i="34" s="1"/>
  <c r="AF93" i="34" s="1"/>
  <c r="AG30" i="34"/>
  <c r="CS30" i="34" s="1"/>
  <c r="AG93" i="34" s="1"/>
  <c r="AC30" i="34"/>
  <c r="CO30" i="34" s="1"/>
  <c r="AC93" i="34" s="1"/>
  <c r="AL30" i="34"/>
  <c r="CX30" i="34" s="1"/>
  <c r="AL93" i="34" s="1"/>
  <c r="AM30" i="34"/>
  <c r="CY30" i="34" s="1"/>
  <c r="AM93" i="34" s="1"/>
  <c r="AE30" i="34"/>
  <c r="CQ30" i="34" s="1"/>
  <c r="AE93" i="34" s="1"/>
  <c r="Y30" i="34"/>
  <c r="CK30" i="34" s="1"/>
  <c r="Y93" i="34" s="1"/>
  <c r="AH30" i="34"/>
  <c r="CT30" i="34" s="1"/>
  <c r="AH93" i="34" s="1"/>
  <c r="AI30" i="34"/>
  <c r="CU30" i="34" s="1"/>
  <c r="AI93" i="34" s="1"/>
  <c r="AB30" i="34"/>
  <c r="CN30" i="34" s="1"/>
  <c r="AB93" i="34" s="1"/>
  <c r="Z30" i="34"/>
  <c r="CL30" i="34" s="1"/>
  <c r="Z93" i="34" s="1"/>
  <c r="AD30" i="34"/>
  <c r="CP30" i="34" s="1"/>
  <c r="AD93" i="34" s="1"/>
  <c r="V30" i="34"/>
  <c r="CH30" i="34" s="1"/>
  <c r="V93" i="34" s="1"/>
  <c r="R30" i="34"/>
  <c r="CD30" i="34" s="1"/>
  <c r="R93" i="34" s="1"/>
  <c r="O30" i="34"/>
  <c r="CA30" i="34" s="1"/>
  <c r="O93" i="34" s="1"/>
  <c r="AJ30" i="34"/>
  <c r="CV30" i="34" s="1"/>
  <c r="AJ93" i="34" s="1"/>
  <c r="T30" i="34"/>
  <c r="CF30" i="34" s="1"/>
  <c r="T93" i="34" s="1"/>
  <c r="W30" i="34"/>
  <c r="CI30" i="34" s="1"/>
  <c r="W93" i="34" s="1"/>
  <c r="AK30" i="34"/>
  <c r="CW30" i="34" s="1"/>
  <c r="AK93" i="34" s="1"/>
  <c r="Q30" i="34"/>
  <c r="CC30" i="34" s="1"/>
  <c r="Q93" i="34" s="1"/>
  <c r="S30" i="34"/>
  <c r="CE30" i="34" s="1"/>
  <c r="S93" i="34" s="1"/>
  <c r="Q4" i="34"/>
  <c r="CC4" i="34" s="1"/>
  <c r="V16" i="34"/>
  <c r="CH16" i="34" s="1"/>
  <c r="V21" i="34"/>
  <c r="CH21" i="34" s="1"/>
  <c r="V84" i="34" s="1"/>
  <c r="X30" i="34"/>
  <c r="CJ30" i="34" s="1"/>
  <c r="X93" i="34" s="1"/>
  <c r="AK16" i="34"/>
  <c r="CW16" i="34" s="1"/>
  <c r="AJ13" i="34"/>
  <c r="CV13" i="34" s="1"/>
  <c r="AK13" i="34"/>
  <c r="CW13" i="34" s="1"/>
  <c r="AA13" i="34"/>
  <c r="CM13" i="34" s="1"/>
  <c r="AD13" i="34"/>
  <c r="CP13" i="34" s="1"/>
  <c r="AH13" i="34"/>
  <c r="CT13" i="34" s="1"/>
  <c r="AG13" i="34"/>
  <c r="CS13" i="34" s="1"/>
  <c r="Y13" i="34"/>
  <c r="CK13" i="34" s="1"/>
  <c r="V13" i="34"/>
  <c r="CH13" i="34" s="1"/>
  <c r="R13" i="34"/>
  <c r="CD13" i="34" s="1"/>
  <c r="AF13" i="34"/>
  <c r="CR13" i="34" s="1"/>
  <c r="AE13" i="34"/>
  <c r="CQ13" i="34" s="1"/>
  <c r="Z13" i="34"/>
  <c r="CL13" i="34" s="1"/>
  <c r="T13" i="34"/>
  <c r="CF13" i="34" s="1"/>
  <c r="W13" i="34"/>
  <c r="CI13" i="34" s="1"/>
  <c r="AM13" i="34"/>
  <c r="CY13" i="34" s="1"/>
  <c r="AB13" i="34"/>
  <c r="CN13" i="34" s="1"/>
  <c r="Q13" i="34"/>
  <c r="CC13" i="34" s="1"/>
  <c r="S13" i="34"/>
  <c r="CE13" i="34" s="1"/>
  <c r="AG19" i="34"/>
  <c r="CS19" i="34" s="1"/>
  <c r="AG82" i="34" s="1"/>
  <c r="AF19" i="34"/>
  <c r="CR19" i="34" s="1"/>
  <c r="AF82" i="34" s="1"/>
  <c r="AD19" i="34"/>
  <c r="CP19" i="34" s="1"/>
  <c r="AD82" i="34" s="1"/>
  <c r="AM19" i="34"/>
  <c r="CY19" i="34" s="1"/>
  <c r="AM82" i="34" s="1"/>
  <c r="AL19" i="34"/>
  <c r="CX19" i="34" s="1"/>
  <c r="AL82" i="34" s="1"/>
  <c r="AB19" i="34"/>
  <c r="CN19" i="34" s="1"/>
  <c r="AB82" i="34" s="1"/>
  <c r="Z19" i="34"/>
  <c r="CL19" i="34" s="1"/>
  <c r="Z82" i="34" s="1"/>
  <c r="AI19" i="34"/>
  <c r="CU19" i="34" s="1"/>
  <c r="AI82" i="34" s="1"/>
  <c r="AH19" i="34"/>
  <c r="CT19" i="34" s="1"/>
  <c r="AH82" i="34" s="1"/>
  <c r="Y19" i="34"/>
  <c r="CK19" i="34" s="1"/>
  <c r="Y82" i="34" s="1"/>
  <c r="AA19" i="34"/>
  <c r="CM19" i="34" s="1"/>
  <c r="AA82" i="34" s="1"/>
  <c r="AK19" i="34"/>
  <c r="CW19" i="34" s="1"/>
  <c r="AK82" i="34" s="1"/>
  <c r="R19" i="34"/>
  <c r="CD19" i="34" s="1"/>
  <c r="R82" i="34" s="1"/>
  <c r="X19" i="34"/>
  <c r="CJ19" i="34" s="1"/>
  <c r="X82" i="34" s="1"/>
  <c r="AJ19" i="34"/>
  <c r="CV19" i="34" s="1"/>
  <c r="AJ82" i="34" s="1"/>
  <c r="W19" i="34"/>
  <c r="CI19" i="34" s="1"/>
  <c r="W82" i="34" s="1"/>
  <c r="T19" i="34"/>
  <c r="CF19" i="34" s="1"/>
  <c r="T82" i="34" s="1"/>
  <c r="P19" i="34"/>
  <c r="CB19" i="34" s="1"/>
  <c r="P82" i="34" s="1"/>
  <c r="AC19" i="34"/>
  <c r="CO19" i="34" s="1"/>
  <c r="AC82" i="34" s="1"/>
  <c r="U19" i="34"/>
  <c r="CG19" i="34" s="1"/>
  <c r="U82" i="34" s="1"/>
  <c r="Q19" i="34"/>
  <c r="CC19" i="34" s="1"/>
  <c r="Q82" i="34" s="1"/>
  <c r="AD26" i="34"/>
  <c r="CP26" i="34" s="1"/>
  <c r="AD89" i="34" s="1"/>
  <c r="AK26" i="34"/>
  <c r="CW26" i="34" s="1"/>
  <c r="AK89" i="34" s="1"/>
  <c r="AC26" i="34"/>
  <c r="CO26" i="34" s="1"/>
  <c r="AC89" i="34" s="1"/>
  <c r="AJ26" i="34"/>
  <c r="CV26" i="34" s="1"/>
  <c r="AJ89" i="34" s="1"/>
  <c r="AB26" i="34"/>
  <c r="CN26" i="34" s="1"/>
  <c r="AB89" i="34" s="1"/>
  <c r="AI26" i="34"/>
  <c r="CU26" i="34" s="1"/>
  <c r="AI89" i="34" s="1"/>
  <c r="AA26" i="34"/>
  <c r="CM26" i="34" s="1"/>
  <c r="AA89" i="34" s="1"/>
  <c r="AH26" i="34"/>
  <c r="CT26" i="34" s="1"/>
  <c r="AH89" i="34" s="1"/>
  <c r="AM26" i="34"/>
  <c r="CY26" i="34" s="1"/>
  <c r="AM89" i="34" s="1"/>
  <c r="AE26" i="34"/>
  <c r="CQ26" i="34" s="1"/>
  <c r="AE89" i="34" s="1"/>
  <c r="AL26" i="34"/>
  <c r="CX26" i="34" s="1"/>
  <c r="AL89" i="34" s="1"/>
  <c r="Y26" i="34"/>
  <c r="CK26" i="34" s="1"/>
  <c r="Y89" i="34" s="1"/>
  <c r="T26" i="34"/>
  <c r="CF26" i="34" s="1"/>
  <c r="T89" i="34" s="1"/>
  <c r="U26" i="34"/>
  <c r="CG26" i="34" s="1"/>
  <c r="U89" i="34" s="1"/>
  <c r="AF26" i="34"/>
  <c r="CR26" i="34" s="1"/>
  <c r="AF89" i="34" s="1"/>
  <c r="Q26" i="34"/>
  <c r="CC26" i="34" s="1"/>
  <c r="Q89" i="34" s="1"/>
  <c r="R26" i="34"/>
  <c r="CD26" i="34" s="1"/>
  <c r="R89" i="34" s="1"/>
  <c r="Z26" i="34"/>
  <c r="CL26" i="34" s="1"/>
  <c r="Z89" i="34" s="1"/>
  <c r="X26" i="34"/>
  <c r="CJ26" i="34" s="1"/>
  <c r="X89" i="34" s="1"/>
  <c r="W26" i="34"/>
  <c r="CI26" i="34" s="1"/>
  <c r="W89" i="34" s="1"/>
  <c r="P26" i="34"/>
  <c r="CB26" i="34" s="1"/>
  <c r="P89" i="34" s="1"/>
  <c r="AK22" i="34"/>
  <c r="CW22" i="34" s="1"/>
  <c r="AK85" i="34" s="1"/>
  <c r="AJ22" i="34"/>
  <c r="CV22" i="34" s="1"/>
  <c r="AJ85" i="34" s="1"/>
  <c r="Z22" i="34"/>
  <c r="CL22" i="34" s="1"/>
  <c r="Z85" i="34" s="1"/>
  <c r="AC22" i="34"/>
  <c r="CO22" i="34" s="1"/>
  <c r="AC85" i="34" s="1"/>
  <c r="AI22" i="34"/>
  <c r="CU22" i="34" s="1"/>
  <c r="AI85" i="34" s="1"/>
  <c r="AH22" i="34"/>
  <c r="CT22" i="34" s="1"/>
  <c r="AH85" i="34" s="1"/>
  <c r="AE22" i="34"/>
  <c r="CQ22" i="34" s="1"/>
  <c r="AE85" i="34" s="1"/>
  <c r="Y22" i="34"/>
  <c r="CK22" i="34" s="1"/>
  <c r="Y85" i="34" s="1"/>
  <c r="AM22" i="34"/>
  <c r="CY22" i="34" s="1"/>
  <c r="AM85" i="34" s="1"/>
  <c r="AL22" i="34"/>
  <c r="CX22" i="34" s="1"/>
  <c r="AL85" i="34" s="1"/>
  <c r="AD22" i="34"/>
  <c r="CP22" i="34" s="1"/>
  <c r="AD85" i="34" s="1"/>
  <c r="AB22" i="34"/>
  <c r="CN22" i="34" s="1"/>
  <c r="AB85" i="34" s="1"/>
  <c r="AG22" i="34"/>
  <c r="CS22" i="34" s="1"/>
  <c r="AG85" i="34" s="1"/>
  <c r="R22" i="34"/>
  <c r="CD22" i="34" s="1"/>
  <c r="R85" i="34" s="1"/>
  <c r="Q22" i="34"/>
  <c r="CC22" i="34" s="1"/>
  <c r="AF22" i="34"/>
  <c r="CR22" i="34" s="1"/>
  <c r="AF85" i="34" s="1"/>
  <c r="W22" i="34"/>
  <c r="CI22" i="34" s="1"/>
  <c r="W85" i="34" s="1"/>
  <c r="X22" i="34"/>
  <c r="CJ22" i="34" s="1"/>
  <c r="X85" i="34" s="1"/>
  <c r="P22" i="34"/>
  <c r="CB22" i="34" s="1"/>
  <c r="P85" i="34" s="1"/>
  <c r="AA22" i="34"/>
  <c r="CM22" i="34" s="1"/>
  <c r="AA85" i="34" s="1"/>
  <c r="U22" i="34"/>
  <c r="CG22" i="34" s="1"/>
  <c r="U85" i="34" s="1"/>
  <c r="T22" i="34"/>
  <c r="CF22" i="34" s="1"/>
  <c r="T85" i="34" s="1"/>
  <c r="AC23" i="34"/>
  <c r="CO23" i="34" s="1"/>
  <c r="AC86" i="34" s="1"/>
  <c r="AJ23" i="34"/>
  <c r="CV23" i="34" s="1"/>
  <c r="AJ86" i="34" s="1"/>
  <c r="AB23" i="34"/>
  <c r="CN23" i="34" s="1"/>
  <c r="AB86" i="34" s="1"/>
  <c r="AI23" i="34"/>
  <c r="CU23" i="34" s="1"/>
  <c r="AI86" i="34" s="1"/>
  <c r="AA23" i="34"/>
  <c r="CM23" i="34" s="1"/>
  <c r="AA86" i="34" s="1"/>
  <c r="AH23" i="34"/>
  <c r="CT23" i="34" s="1"/>
  <c r="AH86" i="34" s="1"/>
  <c r="Z23" i="34"/>
  <c r="CL23" i="34" s="1"/>
  <c r="Z86" i="34" s="1"/>
  <c r="AG23" i="34"/>
  <c r="CS23" i="34" s="1"/>
  <c r="AG86" i="34" s="1"/>
  <c r="AE23" i="34"/>
  <c r="CQ23" i="34" s="1"/>
  <c r="AE86" i="34" s="1"/>
  <c r="AL23" i="34"/>
  <c r="CX23" i="34" s="1"/>
  <c r="AL86" i="34" s="1"/>
  <c r="AD23" i="34"/>
  <c r="CP23" i="34" s="1"/>
  <c r="AD86" i="34" s="1"/>
  <c r="AK23" i="34"/>
  <c r="CW23" i="34" s="1"/>
  <c r="AK86" i="34" s="1"/>
  <c r="AF23" i="34"/>
  <c r="CR23" i="34" s="1"/>
  <c r="AF86" i="34" s="1"/>
  <c r="S23" i="34"/>
  <c r="CE23" i="34" s="1"/>
  <c r="S86" i="34" s="1"/>
  <c r="V23" i="34"/>
  <c r="CH23" i="34" s="1"/>
  <c r="V86" i="34" s="1"/>
  <c r="AM23" i="34"/>
  <c r="CY23" i="34" s="1"/>
  <c r="AM86" i="34" s="1"/>
  <c r="R23" i="34"/>
  <c r="CD23" i="34" s="1"/>
  <c r="R86" i="34" s="1"/>
  <c r="Q23" i="34"/>
  <c r="CC23" i="34" s="1"/>
  <c r="Q86" i="34" s="1"/>
  <c r="W23" i="34"/>
  <c r="CI23" i="34" s="1"/>
  <c r="W86" i="34" s="1"/>
  <c r="X23" i="34"/>
  <c r="CJ23" i="34" s="1"/>
  <c r="X86" i="34" s="1"/>
  <c r="P23" i="34"/>
  <c r="CB23" i="34" s="1"/>
  <c r="P86" i="34" s="1"/>
  <c r="AM7" i="34"/>
  <c r="CY7" i="34" s="1"/>
  <c r="AL7" i="34"/>
  <c r="CX7" i="34" s="1"/>
  <c r="AD7" i="34"/>
  <c r="CP7" i="34" s="1"/>
  <c r="AB7" i="34"/>
  <c r="CN7" i="34" s="1"/>
  <c r="AK7" i="34"/>
  <c r="CW7" i="34" s="1"/>
  <c r="AH7" i="34"/>
  <c r="CT7" i="34" s="1"/>
  <c r="AA7" i="34"/>
  <c r="CM7" i="34" s="1"/>
  <c r="S7" i="34"/>
  <c r="CE7" i="34" s="1"/>
  <c r="V7" i="34"/>
  <c r="CH7" i="34" s="1"/>
  <c r="AI7" i="34"/>
  <c r="CU7" i="34" s="1"/>
  <c r="AF7" i="34"/>
  <c r="CR7" i="34" s="1"/>
  <c r="AC7" i="34"/>
  <c r="CO7" i="34" s="1"/>
  <c r="R7" i="34"/>
  <c r="CD7" i="34" s="1"/>
  <c r="Q7" i="34"/>
  <c r="CC7" i="34" s="1"/>
  <c r="AG7" i="34"/>
  <c r="CS7" i="34" s="1"/>
  <c r="Z7" i="34"/>
  <c r="CL7" i="34" s="1"/>
  <c r="Y7" i="34"/>
  <c r="CK7" i="34" s="1"/>
  <c r="W7" i="34"/>
  <c r="CI7" i="34" s="1"/>
  <c r="X7" i="34"/>
  <c r="CJ7" i="34" s="1"/>
  <c r="P7" i="34"/>
  <c r="CB7" i="34" s="1"/>
  <c r="AB27" i="34"/>
  <c r="CN27" i="34" s="1"/>
  <c r="AB90" i="34" s="1"/>
  <c r="AI27" i="34"/>
  <c r="CU27" i="34" s="1"/>
  <c r="AI90" i="34" s="1"/>
  <c r="AA27" i="34"/>
  <c r="CM27" i="34" s="1"/>
  <c r="AA90" i="34" s="1"/>
  <c r="AH27" i="34"/>
  <c r="CT27" i="34" s="1"/>
  <c r="AH90" i="34" s="1"/>
  <c r="T27" i="34"/>
  <c r="CF27" i="34" s="1"/>
  <c r="T90" i="34" s="1"/>
  <c r="S27" i="34"/>
  <c r="CE27" i="34" s="1"/>
  <c r="S90" i="34" s="1"/>
  <c r="Z27" i="34"/>
  <c r="CL27" i="34" s="1"/>
  <c r="Z90" i="34" s="1"/>
  <c r="AG27" i="34"/>
  <c r="CS27" i="34" s="1"/>
  <c r="AG90" i="34" s="1"/>
  <c r="Y27" i="34"/>
  <c r="CK27" i="34" s="1"/>
  <c r="Y90" i="34" s="1"/>
  <c r="AF27" i="34"/>
  <c r="CR27" i="34" s="1"/>
  <c r="AF90" i="34" s="1"/>
  <c r="AM27" i="34"/>
  <c r="CY27" i="34" s="1"/>
  <c r="AM90" i="34" s="1"/>
  <c r="AE27" i="34"/>
  <c r="CQ27" i="34" s="1"/>
  <c r="AE90" i="34" s="1"/>
  <c r="AL27" i="34"/>
  <c r="CX27" i="34" s="1"/>
  <c r="AL90" i="34" s="1"/>
  <c r="AI8" i="34"/>
  <c r="CU8" i="34" s="1"/>
  <c r="AH8" i="34"/>
  <c r="CT8" i="34" s="1"/>
  <c r="Y8" i="34"/>
  <c r="CK8" i="34" s="1"/>
  <c r="AA8" i="34"/>
  <c r="CM8" i="34" s="1"/>
  <c r="R8" i="34"/>
  <c r="CD8" i="34" s="1"/>
  <c r="Q8" i="34"/>
  <c r="CC8" i="34" s="1"/>
  <c r="AG8" i="34"/>
  <c r="CS8" i="34" s="1"/>
  <c r="AF8" i="34"/>
  <c r="CR8" i="34" s="1"/>
  <c r="AD8" i="34"/>
  <c r="CP8" i="34" s="1"/>
  <c r="AM8" i="34"/>
  <c r="CY8" i="34" s="1"/>
  <c r="AL8" i="34"/>
  <c r="CX8" i="34" s="1"/>
  <c r="AB8" i="34"/>
  <c r="CN8" i="34" s="1"/>
  <c r="Z8" i="34"/>
  <c r="CL8" i="34" s="1"/>
  <c r="AC20" i="34"/>
  <c r="CO20" i="34" s="1"/>
  <c r="AC83" i="34" s="1"/>
  <c r="AJ20" i="34"/>
  <c r="CV20" i="34" s="1"/>
  <c r="AJ83" i="34" s="1"/>
  <c r="Z20" i="34"/>
  <c r="CL20" i="34" s="1"/>
  <c r="Z83" i="34" s="1"/>
  <c r="AG20" i="34"/>
  <c r="CS20" i="34" s="1"/>
  <c r="AG83" i="34" s="1"/>
  <c r="AA20" i="34"/>
  <c r="CM20" i="34" s="1"/>
  <c r="AA83" i="34" s="1"/>
  <c r="AD20" i="34"/>
  <c r="CP20" i="34" s="1"/>
  <c r="AD83" i="34" s="1"/>
  <c r="AI20" i="34"/>
  <c r="CU20" i="34" s="1"/>
  <c r="AI83" i="34" s="1"/>
  <c r="R20" i="34"/>
  <c r="CD20" i="34" s="1"/>
  <c r="R83" i="34" s="1"/>
  <c r="Q20" i="34"/>
  <c r="CC20" i="34" s="1"/>
  <c r="Y20" i="34"/>
  <c r="CK20" i="34" s="1"/>
  <c r="Y83" i="34" s="1"/>
  <c r="AB20" i="34"/>
  <c r="CN20" i="34" s="1"/>
  <c r="AB83" i="34" s="1"/>
  <c r="AF20" i="34"/>
  <c r="CR20" i="34" s="1"/>
  <c r="AF83" i="34" s="1"/>
  <c r="W20" i="34"/>
  <c r="CI20" i="34" s="1"/>
  <c r="W83" i="34" s="1"/>
  <c r="V20" i="34"/>
  <c r="CH20" i="34" s="1"/>
  <c r="V83" i="34" s="1"/>
  <c r="P20" i="34"/>
  <c r="CB20" i="34" s="1"/>
  <c r="P83" i="34" s="1"/>
  <c r="AL20" i="34"/>
  <c r="CX20" i="34" s="1"/>
  <c r="AL83" i="34" s="1"/>
  <c r="AM20" i="34"/>
  <c r="CY20" i="34" s="1"/>
  <c r="AM83" i="34" s="1"/>
  <c r="U20" i="34"/>
  <c r="CG20" i="34" s="1"/>
  <c r="U83" i="34" s="1"/>
  <c r="X20" i="34"/>
  <c r="CJ20" i="34" s="1"/>
  <c r="X83" i="34" s="1"/>
  <c r="AK24" i="34"/>
  <c r="CW24" i="34" s="1"/>
  <c r="AK87" i="34" s="1"/>
  <c r="AJ24" i="34"/>
  <c r="CV24" i="34" s="1"/>
  <c r="AJ87" i="34" s="1"/>
  <c r="Z24" i="34"/>
  <c r="CL24" i="34" s="1"/>
  <c r="Z87" i="34" s="1"/>
  <c r="AC24" i="34"/>
  <c r="CO24" i="34" s="1"/>
  <c r="AC87" i="34" s="1"/>
  <c r="AI24" i="34"/>
  <c r="CU24" i="34" s="1"/>
  <c r="AI87" i="34" s="1"/>
  <c r="AH24" i="34"/>
  <c r="CT24" i="34" s="1"/>
  <c r="AH87" i="34" s="1"/>
  <c r="AE24" i="34"/>
  <c r="CQ24" i="34" s="1"/>
  <c r="AE87" i="34" s="1"/>
  <c r="Y24" i="34"/>
  <c r="CK24" i="34" s="1"/>
  <c r="Y87" i="34" s="1"/>
  <c r="AM24" i="34"/>
  <c r="CY24" i="34" s="1"/>
  <c r="AM87" i="34" s="1"/>
  <c r="AL24" i="34"/>
  <c r="CX24" i="34" s="1"/>
  <c r="AL87" i="34" s="1"/>
  <c r="AD24" i="34"/>
  <c r="CP24" i="34" s="1"/>
  <c r="AD87" i="34" s="1"/>
  <c r="AB24" i="34"/>
  <c r="CN24" i="34" s="1"/>
  <c r="AB87" i="34" s="1"/>
  <c r="U24" i="34"/>
  <c r="CG24" i="34" s="1"/>
  <c r="U87" i="34" s="1"/>
  <c r="X24" i="34"/>
  <c r="CJ24" i="34" s="1"/>
  <c r="X87" i="34" s="1"/>
  <c r="AG24" i="34"/>
  <c r="CS24" i="34" s="1"/>
  <c r="AG87" i="34" s="1"/>
  <c r="S24" i="34"/>
  <c r="CE24" i="34" s="1"/>
  <c r="S87" i="34" s="1"/>
  <c r="Q24" i="34"/>
  <c r="CC24" i="34" s="1"/>
  <c r="Q87" i="34" s="1"/>
  <c r="AF24" i="34"/>
  <c r="CR24" i="34" s="1"/>
  <c r="AF87" i="34" s="1"/>
  <c r="R24" i="34"/>
  <c r="CD24" i="34" s="1"/>
  <c r="R87" i="34" s="1"/>
  <c r="V24" i="34"/>
  <c r="CH24" i="34" s="1"/>
  <c r="V87" i="34" s="1"/>
  <c r="AD40" i="34"/>
  <c r="CP40" i="34" s="1"/>
  <c r="AD103" i="34" s="1"/>
  <c r="AK40" i="34"/>
  <c r="CW40" i="34" s="1"/>
  <c r="AK103" i="34" s="1"/>
  <c r="AC40" i="34"/>
  <c r="CO40" i="34" s="1"/>
  <c r="AC103" i="34" s="1"/>
  <c r="AJ40" i="34"/>
  <c r="CV40" i="34" s="1"/>
  <c r="AJ103" i="34" s="1"/>
  <c r="V40" i="34"/>
  <c r="CH40" i="34" s="1"/>
  <c r="V103" i="34" s="1"/>
  <c r="S40" i="34"/>
  <c r="CE40" i="34" s="1"/>
  <c r="S103" i="34" s="1"/>
  <c r="AB40" i="34"/>
  <c r="CN40" i="34" s="1"/>
  <c r="AB103" i="34" s="1"/>
  <c r="AI40" i="34"/>
  <c r="CU40" i="34" s="1"/>
  <c r="AI103" i="34" s="1"/>
  <c r="AA40" i="34"/>
  <c r="CM40" i="34" s="1"/>
  <c r="AA103" i="34" s="1"/>
  <c r="AH40" i="34"/>
  <c r="CT40" i="34" s="1"/>
  <c r="AH103" i="34" s="1"/>
  <c r="Z40" i="34"/>
  <c r="CL40" i="34" s="1"/>
  <c r="Z103" i="34" s="1"/>
  <c r="AG40" i="34"/>
  <c r="CS40" i="34" s="1"/>
  <c r="AG103" i="34" s="1"/>
  <c r="Y40" i="34"/>
  <c r="CK40" i="34" s="1"/>
  <c r="AF40" i="34"/>
  <c r="CR40" i="34" s="1"/>
  <c r="AF103" i="34" s="1"/>
  <c r="AA15" i="34"/>
  <c r="CM15" i="34" s="1"/>
  <c r="AH15" i="34"/>
  <c r="CT15" i="34" s="1"/>
  <c r="Y15" i="34"/>
  <c r="CK15" i="34" s="1"/>
  <c r="AD15" i="34"/>
  <c r="CP15" i="34" s="1"/>
  <c r="AK15" i="34"/>
  <c r="CW15" i="34" s="1"/>
  <c r="U15" i="34"/>
  <c r="CG15" i="34" s="1"/>
  <c r="T15" i="34"/>
  <c r="CF15" i="34" s="1"/>
  <c r="AL15" i="34"/>
  <c r="CX15" i="34" s="1"/>
  <c r="AB15" i="34"/>
  <c r="CN15" i="34" s="1"/>
  <c r="AI15" i="34"/>
  <c r="CU15" i="34" s="1"/>
  <c r="S15" i="34"/>
  <c r="CE15" i="34" s="1"/>
  <c r="V15" i="34"/>
  <c r="CH15" i="34" s="1"/>
  <c r="AE15" i="34"/>
  <c r="CQ15" i="34" s="1"/>
  <c r="AJ15" i="34"/>
  <c r="CV15" i="34" s="1"/>
  <c r="Z15" i="34"/>
  <c r="CL15" i="34" s="1"/>
  <c r="AG15" i="34"/>
  <c r="CS15" i="34" s="1"/>
  <c r="R15" i="34"/>
  <c r="CD15" i="34" s="1"/>
  <c r="Q15" i="34"/>
  <c r="CC15" i="34" s="1"/>
  <c r="AB5" i="34"/>
  <c r="CN5" i="34" s="1"/>
  <c r="AI5" i="34"/>
  <c r="CU5" i="34" s="1"/>
  <c r="AA5" i="34"/>
  <c r="CM5" i="34" s="1"/>
  <c r="AH5" i="34"/>
  <c r="CT5" i="34" s="1"/>
  <c r="Z5" i="34"/>
  <c r="CL5" i="34" s="1"/>
  <c r="AE5" i="34"/>
  <c r="CQ5" i="34" s="1"/>
  <c r="AJ5" i="34"/>
  <c r="CV5" i="34" s="1"/>
  <c r="V5" i="34"/>
  <c r="CH5" i="34" s="1"/>
  <c r="S5" i="34"/>
  <c r="CE5" i="34" s="1"/>
  <c r="AM5" i="34"/>
  <c r="CY5" i="34" s="1"/>
  <c r="AC5" i="34"/>
  <c r="CO5" i="34" s="1"/>
  <c r="AF5" i="34"/>
  <c r="CR5" i="34" s="1"/>
  <c r="T5" i="34"/>
  <c r="CF5" i="34" s="1"/>
  <c r="R5" i="34"/>
  <c r="CD5" i="34" s="1"/>
  <c r="AK5" i="34"/>
  <c r="CW5" i="34" s="1"/>
  <c r="Y5" i="34"/>
  <c r="CK5" i="34" s="1"/>
  <c r="Q5" i="34"/>
  <c r="CC5" i="34" s="1"/>
  <c r="U5" i="34"/>
  <c r="CG5" i="34" s="1"/>
  <c r="O18" i="34"/>
  <c r="CA18" i="34" s="1"/>
  <c r="O81" i="34" s="1"/>
  <c r="O34" i="34"/>
  <c r="CA34" i="34" s="1"/>
  <c r="O97" i="34" s="1"/>
  <c r="O22" i="34"/>
  <c r="CA22" i="34" s="1"/>
  <c r="O85" i="34" s="1"/>
  <c r="R11" i="34"/>
  <c r="CD11" i="34" s="1"/>
  <c r="T11" i="34"/>
  <c r="CF11" i="34" s="1"/>
  <c r="T74" i="34" s="1"/>
  <c r="W9" i="34"/>
  <c r="CI9" i="34" s="1"/>
  <c r="X9" i="34"/>
  <c r="CJ9" i="34" s="1"/>
  <c r="U27" i="34"/>
  <c r="CG27" i="34" s="1"/>
  <c r="U90" i="34" s="1"/>
  <c r="P8" i="34"/>
  <c r="CB8" i="34" s="1"/>
  <c r="S8" i="34"/>
  <c r="CE8" i="34" s="1"/>
  <c r="W40" i="34"/>
  <c r="CI40" i="34" s="1"/>
  <c r="W103" i="34" s="1"/>
  <c r="P37" i="34"/>
  <c r="CB37" i="34" s="1"/>
  <c r="P100" i="34" s="1"/>
  <c r="W4" i="34"/>
  <c r="CI4" i="34" s="1"/>
  <c r="Q16" i="34"/>
  <c r="CC16" i="34" s="1"/>
  <c r="Q78" i="34" s="1"/>
  <c r="U6" i="34"/>
  <c r="CG6" i="34" s="1"/>
  <c r="T14" i="34"/>
  <c r="CF14" i="34" s="1"/>
  <c r="R18" i="34"/>
  <c r="CD18" i="34" s="1"/>
  <c r="R81" i="34" s="1"/>
  <c r="X13" i="34"/>
  <c r="CJ13" i="34" s="1"/>
  <c r="X15" i="34"/>
  <c r="CJ15" i="34" s="1"/>
  <c r="V28" i="34"/>
  <c r="CH28" i="34" s="1"/>
  <c r="V91" i="34" s="1"/>
  <c r="P12" i="34"/>
  <c r="CB12" i="34" s="1"/>
  <c r="U23" i="34"/>
  <c r="CG23" i="34" s="1"/>
  <c r="U86" i="34" s="1"/>
  <c r="Q25" i="34"/>
  <c r="CC25" i="34" s="1"/>
  <c r="Q88" i="34" s="1"/>
  <c r="U21" i="34"/>
  <c r="CG21" i="34" s="1"/>
  <c r="U84" i="34" s="1"/>
  <c r="U17" i="34"/>
  <c r="CG17" i="34" s="1"/>
  <c r="U80" i="34" s="1"/>
  <c r="U30" i="34"/>
  <c r="CG30" i="34" s="1"/>
  <c r="U93" i="34" s="1"/>
  <c r="AI11" i="34"/>
  <c r="CU11" i="34" s="1"/>
  <c r="AI74" i="34" s="1"/>
  <c r="AK27" i="34"/>
  <c r="CW27" i="34" s="1"/>
  <c r="AK90" i="34" s="1"/>
  <c r="AE8" i="34"/>
  <c r="CQ8" i="34" s="1"/>
  <c r="AL40" i="34"/>
  <c r="CX40" i="34" s="1"/>
  <c r="AL103" i="34" s="1"/>
  <c r="AE16" i="34"/>
  <c r="CQ16" i="34" s="1"/>
  <c r="AL5" i="34"/>
  <c r="CX5" i="34" s="1"/>
  <c r="AJ14" i="34"/>
  <c r="CV14" i="34" s="1"/>
  <c r="AH20" i="34"/>
  <c r="CT20" i="34" s="1"/>
  <c r="AH83" i="34" s="1"/>
  <c r="AL13" i="34"/>
  <c r="CX13" i="34" s="1"/>
  <c r="AK12" i="34"/>
  <c r="CW12" i="34" s="1"/>
  <c r="AA30" i="34"/>
  <c r="CM30" i="34" s="1"/>
  <c r="AA93" i="34" s="1"/>
  <c r="AL21" i="34"/>
  <c r="CX21" i="34" s="1"/>
  <c r="AL84" i="34" s="1"/>
  <c r="AM21" i="34"/>
  <c r="CY21" i="34" s="1"/>
  <c r="AM84" i="34" s="1"/>
  <c r="AC21" i="34"/>
  <c r="CO21" i="34" s="1"/>
  <c r="AC84" i="34" s="1"/>
  <c r="AE21" i="34"/>
  <c r="CQ21" i="34" s="1"/>
  <c r="AE84" i="34" s="1"/>
  <c r="AJ21" i="34"/>
  <c r="CV21" i="34" s="1"/>
  <c r="AJ84" i="34" s="1"/>
  <c r="AK21" i="34"/>
  <c r="CW21" i="34" s="1"/>
  <c r="AK84" i="34" s="1"/>
  <c r="Y21" i="34"/>
  <c r="CK21" i="34" s="1"/>
  <c r="Y84" i="34" s="1"/>
  <c r="AA21" i="34"/>
  <c r="CM21" i="34" s="1"/>
  <c r="AA84" i="34" s="1"/>
  <c r="AF21" i="34"/>
  <c r="CR21" i="34" s="1"/>
  <c r="AF84" i="34" s="1"/>
  <c r="AG21" i="34"/>
  <c r="CS21" i="34" s="1"/>
  <c r="AG84" i="34" s="1"/>
  <c r="Z21" i="34"/>
  <c r="CL21" i="34" s="1"/>
  <c r="Z84" i="34" s="1"/>
  <c r="AB21" i="34"/>
  <c r="CN21" i="34" s="1"/>
  <c r="AB84" i="34" s="1"/>
  <c r="T21" i="34"/>
  <c r="CF21" i="34" s="1"/>
  <c r="T84" i="34" s="1"/>
  <c r="R21" i="34"/>
  <c r="CD21" i="34" s="1"/>
  <c r="R84" i="34" s="1"/>
  <c r="AH21" i="34"/>
  <c r="CT21" i="34" s="1"/>
  <c r="AH84" i="34" s="1"/>
  <c r="Q21" i="34"/>
  <c r="CC21" i="34" s="1"/>
  <c r="Q84" i="34" s="1"/>
  <c r="W21" i="34"/>
  <c r="CI21" i="34" s="1"/>
  <c r="W84" i="34" s="1"/>
  <c r="AI21" i="34"/>
  <c r="CU21" i="34" s="1"/>
  <c r="AI84" i="34" s="1"/>
  <c r="X21" i="34"/>
  <c r="CJ21" i="34" s="1"/>
  <c r="X84" i="34" s="1"/>
  <c r="S21" i="34"/>
  <c r="CE21" i="34" s="1"/>
  <c r="S84" i="34" s="1"/>
  <c r="P21" i="34"/>
  <c r="CB21" i="34" s="1"/>
  <c r="P84" i="34" s="1"/>
  <c r="Q17" i="34"/>
  <c r="CC17" i="34" s="1"/>
  <c r="Q80" i="34" s="1"/>
  <c r="AG37" i="34"/>
  <c r="CS37" i="34" s="1"/>
  <c r="AG100" i="34" s="1"/>
  <c r="AF37" i="34"/>
  <c r="CR37" i="34" s="1"/>
  <c r="AF100" i="34" s="1"/>
  <c r="AM37" i="34"/>
  <c r="CY37" i="34" s="1"/>
  <c r="AM100" i="34" s="1"/>
  <c r="AL37" i="34"/>
  <c r="CX37" i="34" s="1"/>
  <c r="AL100" i="34" s="1"/>
  <c r="AI37" i="34"/>
  <c r="CU37" i="34" s="1"/>
  <c r="AI100" i="34" s="1"/>
  <c r="AH37" i="34"/>
  <c r="CT37" i="34" s="1"/>
  <c r="AH100" i="34" s="1"/>
  <c r="AE37" i="34"/>
  <c r="CQ37" i="34" s="1"/>
  <c r="AE100" i="34" s="1"/>
  <c r="Y37" i="34"/>
  <c r="CK37" i="34" s="1"/>
  <c r="Y100" i="34" s="1"/>
  <c r="Z37" i="34"/>
  <c r="CL37" i="34" s="1"/>
  <c r="Z100" i="34" s="1"/>
  <c r="S37" i="34"/>
  <c r="CE37" i="34" s="1"/>
  <c r="S100" i="34" s="1"/>
  <c r="V37" i="34"/>
  <c r="CH37" i="34" s="1"/>
  <c r="V100" i="34" s="1"/>
  <c r="AK37" i="34"/>
  <c r="CW37" i="34" s="1"/>
  <c r="AK100" i="34" s="1"/>
  <c r="AA37" i="34"/>
  <c r="CM37" i="34" s="1"/>
  <c r="AA100" i="34" s="1"/>
  <c r="AJ37" i="34"/>
  <c r="CV37" i="34" s="1"/>
  <c r="AJ100" i="34" s="1"/>
  <c r="AB37" i="34"/>
  <c r="CN37" i="34" s="1"/>
  <c r="AB100" i="34" s="1"/>
  <c r="Y6" i="34"/>
  <c r="CK6" i="34" s="1"/>
  <c r="AF6" i="34"/>
  <c r="CR6" i="34" s="1"/>
  <c r="AM6" i="34"/>
  <c r="CY6" i="34" s="1"/>
  <c r="AE6" i="34"/>
  <c r="CQ6" i="34" s="1"/>
  <c r="AL6" i="34"/>
  <c r="CX6" i="34" s="1"/>
  <c r="AD6" i="34"/>
  <c r="CP6" i="34" s="1"/>
  <c r="AK6" i="34"/>
  <c r="CW6" i="34" s="1"/>
  <c r="AA6" i="34"/>
  <c r="CM6" i="34" s="1"/>
  <c r="AH6" i="34"/>
  <c r="CT6" i="34" s="1"/>
  <c r="Z6" i="34"/>
  <c r="CL6" i="34" s="1"/>
  <c r="AG6" i="34"/>
  <c r="CS6" i="34" s="1"/>
  <c r="AB6" i="34"/>
  <c r="CN6" i="34" s="1"/>
  <c r="S6" i="34"/>
  <c r="CE6" i="34" s="1"/>
  <c r="T6" i="34"/>
  <c r="CF6" i="34" s="1"/>
  <c r="AI6" i="34"/>
  <c r="CU6" i="34" s="1"/>
  <c r="R6" i="34"/>
  <c r="CD6" i="34" s="1"/>
  <c r="Q6" i="34"/>
  <c r="CC6" i="34" s="1"/>
  <c r="AC6" i="34"/>
  <c r="CO6" i="34" s="1"/>
  <c r="W6" i="34"/>
  <c r="CI6" i="34" s="1"/>
  <c r="V6" i="34"/>
  <c r="CH6" i="34" s="1"/>
  <c r="P6" i="34"/>
  <c r="CB6" i="34" s="1"/>
  <c r="AE34" i="34"/>
  <c r="CQ34" i="34" s="1"/>
  <c r="AE97" i="34" s="1"/>
  <c r="AL34" i="34"/>
  <c r="CX34" i="34" s="1"/>
  <c r="AL97" i="34" s="1"/>
  <c r="AB34" i="34"/>
  <c r="CN34" i="34" s="1"/>
  <c r="AB97" i="34" s="1"/>
  <c r="AI34" i="34"/>
  <c r="CU34" i="34" s="1"/>
  <c r="AI97" i="34" s="1"/>
  <c r="AC34" i="34"/>
  <c r="CO34" i="34" s="1"/>
  <c r="AC97" i="34" s="1"/>
  <c r="AJ34" i="34"/>
  <c r="CV34" i="34" s="1"/>
  <c r="AJ97" i="34" s="1"/>
  <c r="Z34" i="34"/>
  <c r="CL34" i="34" s="1"/>
  <c r="Z97" i="34" s="1"/>
  <c r="AG34" i="34"/>
  <c r="CS34" i="34" s="1"/>
  <c r="AG97" i="34" s="1"/>
  <c r="Y34" i="34"/>
  <c r="CK34" i="34" s="1"/>
  <c r="Y97" i="34" s="1"/>
  <c r="AD34" i="34"/>
  <c r="CP34" i="34" s="1"/>
  <c r="AD97" i="34" s="1"/>
  <c r="AK34" i="34"/>
  <c r="CW34" i="34" s="1"/>
  <c r="AK97" i="34" s="1"/>
  <c r="AM34" i="34"/>
  <c r="CY34" i="34" s="1"/>
  <c r="AM97" i="34" s="1"/>
  <c r="W34" i="34"/>
  <c r="CI34" i="34" s="1"/>
  <c r="W97" i="34" s="1"/>
  <c r="V34" i="34"/>
  <c r="CH34" i="34" s="1"/>
  <c r="V97" i="34" s="1"/>
  <c r="P34" i="34"/>
  <c r="CB34" i="34" s="1"/>
  <c r="P97" i="34" s="1"/>
  <c r="AF34" i="34"/>
  <c r="CR34" i="34" s="1"/>
  <c r="AF97" i="34" s="1"/>
  <c r="U34" i="34"/>
  <c r="CG34" i="34" s="1"/>
  <c r="U97" i="34" s="1"/>
  <c r="X34" i="34"/>
  <c r="CJ34" i="34" s="1"/>
  <c r="X97" i="34" s="1"/>
  <c r="AA34" i="34"/>
  <c r="CM34" i="34" s="1"/>
  <c r="AA97" i="34" s="1"/>
  <c r="S34" i="34"/>
  <c r="CE34" i="34" s="1"/>
  <c r="S97" i="34" s="1"/>
  <c r="T34" i="34"/>
  <c r="CF34" i="34" s="1"/>
  <c r="T97" i="34" s="1"/>
  <c r="O19" i="34"/>
  <c r="CA19" i="34" s="1"/>
  <c r="O82" i="34" s="1"/>
  <c r="Z9" i="34"/>
  <c r="CL9" i="34" s="1"/>
  <c r="AG9" i="34"/>
  <c r="CS9" i="34" s="1"/>
  <c r="Y9" i="34"/>
  <c r="CK9" i="34" s="1"/>
  <c r="AF9" i="34"/>
  <c r="CR9" i="34" s="1"/>
  <c r="V9" i="34"/>
  <c r="CH9" i="34" s="1"/>
  <c r="R9" i="34"/>
  <c r="CD9" i="34" s="1"/>
  <c r="AM9" i="34"/>
  <c r="CY9" i="34" s="1"/>
  <c r="AE9" i="34"/>
  <c r="CQ9" i="34" s="1"/>
  <c r="AL9" i="34"/>
  <c r="CX9" i="34" s="1"/>
  <c r="AD9" i="34"/>
  <c r="CP9" i="34" s="1"/>
  <c r="AK9" i="34"/>
  <c r="CW9" i="34" s="1"/>
  <c r="AC9" i="34"/>
  <c r="CO9" i="34" s="1"/>
  <c r="AJ9" i="34"/>
  <c r="CV9" i="34" s="1"/>
  <c r="O29" i="34"/>
  <c r="CA29" i="34" s="1"/>
  <c r="O92" i="34" s="1"/>
  <c r="S11" i="34"/>
  <c r="CE11" i="34" s="1"/>
  <c r="P9" i="34"/>
  <c r="CB9" i="34" s="1"/>
  <c r="Q9" i="34"/>
  <c r="CC9" i="34" s="1"/>
  <c r="R27" i="34"/>
  <c r="CD27" i="34" s="1"/>
  <c r="R90" i="34" s="1"/>
  <c r="V27" i="34"/>
  <c r="CH27" i="34" s="1"/>
  <c r="V90" i="34" s="1"/>
  <c r="X8" i="34"/>
  <c r="CJ8" i="34" s="1"/>
  <c r="W8" i="34"/>
  <c r="CI8" i="34" s="1"/>
  <c r="Q37" i="34"/>
  <c r="CC37" i="34" s="1"/>
  <c r="Q100" i="34" s="1"/>
  <c r="W37" i="34"/>
  <c r="CI37" i="34" s="1"/>
  <c r="W100" i="34" s="1"/>
  <c r="R4" i="34"/>
  <c r="CD4" i="34" s="1"/>
  <c r="T4" i="34"/>
  <c r="CF4" i="34" s="1"/>
  <c r="W16" i="34"/>
  <c r="CI16" i="34" s="1"/>
  <c r="W78" i="34" s="1"/>
  <c r="T20" i="34"/>
  <c r="CF20" i="34" s="1"/>
  <c r="T83" i="34" s="1"/>
  <c r="P13" i="34"/>
  <c r="CB13" i="34" s="1"/>
  <c r="P73" i="34" s="1"/>
  <c r="U7" i="34"/>
  <c r="CG7" i="34" s="1"/>
  <c r="S26" i="34"/>
  <c r="CE26" i="34" s="1"/>
  <c r="S89" i="34" s="1"/>
  <c r="W10" i="34"/>
  <c r="CI10" i="34" s="1"/>
  <c r="S19" i="34"/>
  <c r="CE19" i="34" s="1"/>
  <c r="S82" i="34" s="1"/>
  <c r="T24" i="34"/>
  <c r="CF24" i="34" s="1"/>
  <c r="T87" i="34" s="1"/>
  <c r="V22" i="34"/>
  <c r="CH22" i="34" s="1"/>
  <c r="V85" i="34" s="1"/>
  <c r="AH9" i="34"/>
  <c r="CT9" i="34" s="1"/>
  <c r="AJ27" i="34"/>
  <c r="CV27" i="34" s="1"/>
  <c r="AJ90" i="34" s="1"/>
  <c r="AJ8" i="34"/>
  <c r="CV8" i="34" s="1"/>
  <c r="AM40" i="34"/>
  <c r="CY40" i="34" s="1"/>
  <c r="AM103" i="34" s="1"/>
  <c r="AF15" i="34"/>
  <c r="CR15" i="34" s="1"/>
  <c r="AD5" i="34"/>
  <c r="CP5" i="34" s="1"/>
  <c r="AC13" i="34"/>
  <c r="CO13" i="34" s="1"/>
  <c r="AJ7" i="34"/>
  <c r="CV7" i="34" s="1"/>
  <c r="AC37" i="34"/>
  <c r="CO37" i="34" s="1"/>
  <c r="AC100" i="34" s="1"/>
  <c r="AH34" i="34"/>
  <c r="CT34" i="34" s="1"/>
  <c r="AH97" i="34" s="1"/>
  <c r="Z12" i="34"/>
  <c r="CL12" i="34" s="1"/>
  <c r="AG12" i="34"/>
  <c r="CS12" i="34" s="1"/>
  <c r="Y12" i="34"/>
  <c r="CK12" i="34" s="1"/>
  <c r="AF12" i="34"/>
  <c r="CR12" i="34" s="1"/>
  <c r="AM12" i="34"/>
  <c r="CY12" i="34" s="1"/>
  <c r="AE12" i="34"/>
  <c r="CQ12" i="34" s="1"/>
  <c r="AL12" i="34"/>
  <c r="CX12" i="34" s="1"/>
  <c r="AB12" i="34"/>
  <c r="CN12" i="34" s="1"/>
  <c r="AI12" i="34"/>
  <c r="CU12" i="34" s="1"/>
  <c r="AA12" i="34"/>
  <c r="CM12" i="34" s="1"/>
  <c r="AH12" i="34"/>
  <c r="CT12" i="34" s="1"/>
  <c r="AC12" i="34"/>
  <c r="CO12" i="34" s="1"/>
  <c r="V12" i="34"/>
  <c r="CH12" i="34" s="1"/>
  <c r="S12" i="34"/>
  <c r="CE12" i="34" s="1"/>
  <c r="AJ12" i="34"/>
  <c r="CV12" i="34" s="1"/>
  <c r="T12" i="34"/>
  <c r="CF12" i="34" s="1"/>
  <c r="U12" i="34"/>
  <c r="CG12" i="34" s="1"/>
  <c r="AD12" i="34"/>
  <c r="CP12" i="34" s="1"/>
  <c r="Q12" i="34"/>
  <c r="CC12" i="34" s="1"/>
  <c r="R12" i="34"/>
  <c r="CD12" i="34" s="1"/>
  <c r="AH17" i="34"/>
  <c r="CT17" i="34" s="1"/>
  <c r="AH80" i="34" s="1"/>
  <c r="AI17" i="34"/>
  <c r="CU17" i="34" s="1"/>
  <c r="AI80" i="34" s="1"/>
  <c r="AD17" i="34"/>
  <c r="CP17" i="34" s="1"/>
  <c r="AD80" i="34" s="1"/>
  <c r="AB17" i="34"/>
  <c r="CN17" i="34" s="1"/>
  <c r="AB80" i="34" s="1"/>
  <c r="AF17" i="34"/>
  <c r="CR17" i="34" s="1"/>
  <c r="AF80" i="34" s="1"/>
  <c r="AG17" i="34"/>
  <c r="CS17" i="34" s="1"/>
  <c r="AG80" i="34" s="1"/>
  <c r="Z17" i="34"/>
  <c r="CL17" i="34" s="1"/>
  <c r="Z80" i="34" s="1"/>
  <c r="AJ17" i="34"/>
  <c r="CV17" i="34" s="1"/>
  <c r="AJ80" i="34" s="1"/>
  <c r="AK17" i="34"/>
  <c r="CW17" i="34" s="1"/>
  <c r="AK80" i="34" s="1"/>
  <c r="Y17" i="34"/>
  <c r="CK17" i="34" s="1"/>
  <c r="Y80" i="34" s="1"/>
  <c r="AA17" i="34"/>
  <c r="CM17" i="34" s="1"/>
  <c r="AA80" i="34" s="1"/>
  <c r="AC17" i="34"/>
  <c r="CO17" i="34" s="1"/>
  <c r="AC80" i="34" s="1"/>
  <c r="X17" i="34"/>
  <c r="CJ17" i="34" s="1"/>
  <c r="X80" i="34" s="1"/>
  <c r="W17" i="34"/>
  <c r="CI17" i="34" s="1"/>
  <c r="W80" i="34" s="1"/>
  <c r="P17" i="34"/>
  <c r="CB17" i="34" s="1"/>
  <c r="P80" i="34" s="1"/>
  <c r="AE17" i="34"/>
  <c r="CQ17" i="34" s="1"/>
  <c r="AE80" i="34" s="1"/>
  <c r="V17" i="34"/>
  <c r="CH17" i="34" s="1"/>
  <c r="V80" i="34" s="1"/>
  <c r="R17" i="34"/>
  <c r="CD17" i="34" s="1"/>
  <c r="R80" i="34" s="1"/>
  <c r="AL17" i="34"/>
  <c r="CX17" i="34" s="1"/>
  <c r="AL80" i="34" s="1"/>
  <c r="T17" i="34"/>
  <c r="CF17" i="34" s="1"/>
  <c r="T80" i="34" s="1"/>
  <c r="S17" i="34"/>
  <c r="CE17" i="34" s="1"/>
  <c r="S80" i="34" s="1"/>
  <c r="AB4" i="34"/>
  <c r="CN4" i="34" s="1"/>
  <c r="AI4" i="34"/>
  <c r="CU4" i="34" s="1"/>
  <c r="AA4" i="34"/>
  <c r="CM4" i="34" s="1"/>
  <c r="AH4" i="34"/>
  <c r="CT4" i="34" s="1"/>
  <c r="Z4" i="34"/>
  <c r="CL4" i="34" s="1"/>
  <c r="AG4" i="34"/>
  <c r="CS4" i="34" s="1"/>
  <c r="Y4" i="34"/>
  <c r="CK4" i="34" s="1"/>
  <c r="AF4" i="34"/>
  <c r="CR4" i="34" s="1"/>
  <c r="AD4" i="34"/>
  <c r="CP4" i="34" s="1"/>
  <c r="AK4" i="34"/>
  <c r="CW4" i="34" s="1"/>
  <c r="AC4" i="34"/>
  <c r="CO4" i="34" s="1"/>
  <c r="AJ4" i="34"/>
  <c r="CV4" i="34" s="1"/>
  <c r="AL4" i="34"/>
  <c r="CX4" i="34" s="1"/>
  <c r="X4" i="34"/>
  <c r="CJ4" i="34" s="1"/>
  <c r="U4" i="34"/>
  <c r="CG4" i="34" s="1"/>
  <c r="P4" i="34"/>
  <c r="CB4" i="34" s="1"/>
  <c r="V4" i="34"/>
  <c r="CH4" i="34" s="1"/>
  <c r="AM4" i="34"/>
  <c r="CY4" i="34" s="1"/>
  <c r="AM14" i="34"/>
  <c r="CY14" i="34" s="1"/>
  <c r="AL14" i="34"/>
  <c r="CX14" i="34" s="1"/>
  <c r="AB14" i="34"/>
  <c r="CN14" i="34" s="1"/>
  <c r="Z14" i="34"/>
  <c r="CL14" i="34" s="1"/>
  <c r="AK14" i="34"/>
  <c r="CW14" i="34" s="1"/>
  <c r="AH14" i="34"/>
  <c r="CT14" i="34" s="1"/>
  <c r="AD14" i="34"/>
  <c r="CP14" i="34" s="1"/>
  <c r="S14" i="34"/>
  <c r="CE14" i="34" s="1"/>
  <c r="X14" i="34"/>
  <c r="CJ14" i="34" s="1"/>
  <c r="AI14" i="34"/>
  <c r="CU14" i="34" s="1"/>
  <c r="AF14" i="34"/>
  <c r="CR14" i="34" s="1"/>
  <c r="AE14" i="34"/>
  <c r="CQ14" i="34" s="1"/>
  <c r="R14" i="34"/>
  <c r="CD14" i="34" s="1"/>
  <c r="Q14" i="34"/>
  <c r="CC14" i="34" s="1"/>
  <c r="AG14" i="34"/>
  <c r="CS14" i="34" s="1"/>
  <c r="AC14" i="34"/>
  <c r="CO14" i="34" s="1"/>
  <c r="AA14" i="34"/>
  <c r="CM14" i="34" s="1"/>
  <c r="W14" i="34"/>
  <c r="CI14" i="34" s="1"/>
  <c r="V14" i="34"/>
  <c r="CH14" i="34" s="1"/>
  <c r="P14" i="34"/>
  <c r="CB14" i="34" s="1"/>
  <c r="AC16" i="34"/>
  <c r="CO16" i="34" s="1"/>
  <c r="AJ16" i="34"/>
  <c r="CV16" i="34" s="1"/>
  <c r="AJ78" i="34" s="1"/>
  <c r="AB16" i="34"/>
  <c r="CN16" i="34" s="1"/>
  <c r="AI16" i="34"/>
  <c r="CU16" i="34" s="1"/>
  <c r="U16" i="34"/>
  <c r="CG16" i="34" s="1"/>
  <c r="X16" i="34"/>
  <c r="CJ16" i="34" s="1"/>
  <c r="AA16" i="34"/>
  <c r="CM16" i="34" s="1"/>
  <c r="AH16" i="34"/>
  <c r="CT16" i="34" s="1"/>
  <c r="Z16" i="34"/>
  <c r="CL16" i="34" s="1"/>
  <c r="AG16" i="34"/>
  <c r="CS16" i="34" s="1"/>
  <c r="S16" i="34"/>
  <c r="CE16" i="34" s="1"/>
  <c r="S78" i="34" s="1"/>
  <c r="T16" i="34"/>
  <c r="CF16" i="34" s="1"/>
  <c r="Y16" i="34"/>
  <c r="CK16" i="34" s="1"/>
  <c r="AF16" i="34"/>
  <c r="CR16" i="34" s="1"/>
  <c r="AM16" i="34"/>
  <c r="CY16" i="34" s="1"/>
  <c r="R16" i="34"/>
  <c r="CD16" i="34" s="1"/>
  <c r="W12" i="34"/>
  <c r="CI12" i="34" s="1"/>
  <c r="W67" i="34" s="1"/>
  <c r="AM17" i="34"/>
  <c r="CY17" i="34" s="1"/>
  <c r="AM80" i="34" s="1"/>
  <c r="AF11" i="34"/>
  <c r="CR11" i="34" s="1"/>
  <c r="AG11" i="34"/>
  <c r="CS11" i="34" s="1"/>
  <c r="AG74" i="34" s="1"/>
  <c r="Z11" i="34"/>
  <c r="CL11" i="34" s="1"/>
  <c r="Z74" i="34" s="1"/>
  <c r="X11" i="34"/>
  <c r="CJ11" i="34" s="1"/>
  <c r="W11" i="34"/>
  <c r="CI11" i="34" s="1"/>
  <c r="W74" i="34" s="1"/>
  <c r="P11" i="34"/>
  <c r="CB11" i="34" s="1"/>
  <c r="AL11" i="34"/>
  <c r="CX11" i="34" s="1"/>
  <c r="AM11" i="34"/>
  <c r="CY11" i="34" s="1"/>
  <c r="AM74" i="34" s="1"/>
  <c r="AC11" i="34"/>
  <c r="CO11" i="34" s="1"/>
  <c r="AE11" i="34"/>
  <c r="CQ11" i="34" s="1"/>
  <c r="AJ11" i="34"/>
  <c r="CV11" i="34" s="1"/>
  <c r="AK11" i="34"/>
  <c r="CW11" i="34" s="1"/>
  <c r="AK74" i="34" s="1"/>
  <c r="Y11" i="34"/>
  <c r="CK11" i="34" s="1"/>
  <c r="AA11" i="34"/>
  <c r="CM11" i="34" s="1"/>
  <c r="AA74" i="34" s="1"/>
  <c r="AD18" i="34"/>
  <c r="CP18" i="34" s="1"/>
  <c r="AD81" i="34" s="1"/>
  <c r="AK18" i="34"/>
  <c r="CW18" i="34" s="1"/>
  <c r="AK81" i="34" s="1"/>
  <c r="AC18" i="34"/>
  <c r="CO18" i="34" s="1"/>
  <c r="AC81" i="34" s="1"/>
  <c r="AJ18" i="34"/>
  <c r="CV18" i="34" s="1"/>
  <c r="AJ81" i="34" s="1"/>
  <c r="AB18" i="34"/>
  <c r="CN18" i="34" s="1"/>
  <c r="AB81" i="34" s="1"/>
  <c r="AG18" i="34"/>
  <c r="CS18" i="34" s="1"/>
  <c r="AG81" i="34" s="1"/>
  <c r="AL18" i="34"/>
  <c r="CX18" i="34" s="1"/>
  <c r="AL81" i="34" s="1"/>
  <c r="X18" i="34"/>
  <c r="CJ18" i="34" s="1"/>
  <c r="X81" i="34" s="1"/>
  <c r="U18" i="34"/>
  <c r="CG18" i="34" s="1"/>
  <c r="U81" i="34" s="1"/>
  <c r="P18" i="34"/>
  <c r="CB18" i="34" s="1"/>
  <c r="P81" i="34" s="1"/>
  <c r="Z18" i="34"/>
  <c r="CL18" i="34" s="1"/>
  <c r="Z81" i="34" s="1"/>
  <c r="AE18" i="34"/>
  <c r="CQ18" i="34" s="1"/>
  <c r="AE81" i="34" s="1"/>
  <c r="AH18" i="34"/>
  <c r="CT18" i="34" s="1"/>
  <c r="AH81" i="34" s="1"/>
  <c r="V18" i="34"/>
  <c r="CH18" i="34" s="1"/>
  <c r="V81" i="34" s="1"/>
  <c r="W18" i="34"/>
  <c r="CI18" i="34" s="1"/>
  <c r="W81" i="34" s="1"/>
  <c r="AM18" i="34"/>
  <c r="CY18" i="34" s="1"/>
  <c r="AM81" i="34" s="1"/>
  <c r="AA18" i="34"/>
  <c r="CM18" i="34" s="1"/>
  <c r="AA81" i="34" s="1"/>
  <c r="AF18" i="34"/>
  <c r="CR18" i="34" s="1"/>
  <c r="AF81" i="34" s="1"/>
  <c r="T18" i="34"/>
  <c r="CF18" i="34" s="1"/>
  <c r="T81" i="34" s="1"/>
  <c r="S18" i="34"/>
  <c r="CE18" i="34" s="1"/>
  <c r="S81" i="34" s="1"/>
  <c r="AH25" i="34"/>
  <c r="CT25" i="34" s="1"/>
  <c r="AH88" i="34" s="1"/>
  <c r="AI25" i="34"/>
  <c r="CU25" i="34" s="1"/>
  <c r="AI88" i="34" s="1"/>
  <c r="AB25" i="34"/>
  <c r="CN25" i="34" s="1"/>
  <c r="AB88" i="34" s="1"/>
  <c r="Z25" i="34"/>
  <c r="CL25" i="34" s="1"/>
  <c r="Z88" i="34" s="1"/>
  <c r="AF25" i="34"/>
  <c r="CR25" i="34" s="1"/>
  <c r="AF88" i="34" s="1"/>
  <c r="AG25" i="34"/>
  <c r="CS25" i="34" s="1"/>
  <c r="AG88" i="34" s="1"/>
  <c r="AC25" i="34"/>
  <c r="CO25" i="34" s="1"/>
  <c r="AC88" i="34" s="1"/>
  <c r="AJ25" i="34"/>
  <c r="CV25" i="34" s="1"/>
  <c r="AJ88" i="34" s="1"/>
  <c r="AK25" i="34"/>
  <c r="CW25" i="34" s="1"/>
  <c r="AK88" i="34" s="1"/>
  <c r="AA25" i="34"/>
  <c r="CM25" i="34" s="1"/>
  <c r="AA88" i="34" s="1"/>
  <c r="AD25" i="34"/>
  <c r="CP25" i="34" s="1"/>
  <c r="AD88" i="34" s="1"/>
  <c r="AL25" i="34"/>
  <c r="CX25" i="34" s="1"/>
  <c r="AL88" i="34" s="1"/>
  <c r="X25" i="34"/>
  <c r="CJ25" i="34" s="1"/>
  <c r="X88" i="34" s="1"/>
  <c r="S25" i="34"/>
  <c r="CE25" i="34" s="1"/>
  <c r="S88" i="34" s="1"/>
  <c r="P25" i="34"/>
  <c r="CB25" i="34" s="1"/>
  <c r="AM25" i="34"/>
  <c r="CY25" i="34" s="1"/>
  <c r="AM88" i="34" s="1"/>
  <c r="V25" i="34"/>
  <c r="CH25" i="34" s="1"/>
  <c r="V88" i="34" s="1"/>
  <c r="U25" i="34"/>
  <c r="CG25" i="34" s="1"/>
  <c r="U88" i="34" s="1"/>
  <c r="AE25" i="34"/>
  <c r="CQ25" i="34" s="1"/>
  <c r="AE88" i="34" s="1"/>
  <c r="T25" i="34"/>
  <c r="CF25" i="34" s="1"/>
  <c r="T88" i="34" s="1"/>
  <c r="W25" i="34"/>
  <c r="CI25" i="34" s="1"/>
  <c r="W88" i="34" s="1"/>
  <c r="O26" i="34"/>
  <c r="CA26" i="34" s="1"/>
  <c r="O89" i="34" s="1"/>
  <c r="O37" i="34"/>
  <c r="CA37" i="34" s="1"/>
  <c r="O100" i="34" s="1"/>
  <c r="O23" i="34"/>
  <c r="CA23" i="34" s="1"/>
  <c r="O86" i="34" s="1"/>
  <c r="O25" i="34"/>
  <c r="CA25" i="34" s="1"/>
  <c r="O17" i="34"/>
  <c r="CA17" i="34" s="1"/>
  <c r="O80" i="34" s="1"/>
  <c r="AM29" i="34"/>
  <c r="CY29" i="34" s="1"/>
  <c r="AM92" i="34" s="1"/>
  <c r="AL29" i="34"/>
  <c r="CX29" i="34" s="1"/>
  <c r="AL92" i="34" s="1"/>
  <c r="AB29" i="34"/>
  <c r="CN29" i="34" s="1"/>
  <c r="AB92" i="34" s="1"/>
  <c r="Z29" i="34"/>
  <c r="CL29" i="34" s="1"/>
  <c r="Z92" i="34" s="1"/>
  <c r="AK29" i="34"/>
  <c r="CW29" i="34" s="1"/>
  <c r="AK92" i="34" s="1"/>
  <c r="AJ29" i="34"/>
  <c r="CV29" i="34" s="1"/>
  <c r="AJ92" i="34" s="1"/>
  <c r="AC29" i="34"/>
  <c r="CO29" i="34" s="1"/>
  <c r="AC92" i="34" s="1"/>
  <c r="AE29" i="34"/>
  <c r="CQ29" i="34" s="1"/>
  <c r="AE92" i="34" s="1"/>
  <c r="AG29" i="34"/>
  <c r="CS29" i="34" s="1"/>
  <c r="AG92" i="34" s="1"/>
  <c r="AF29" i="34"/>
  <c r="CR29" i="34" s="1"/>
  <c r="AF92" i="34" s="1"/>
  <c r="AD29" i="34"/>
  <c r="CP29" i="34" s="1"/>
  <c r="AD92" i="34" s="1"/>
  <c r="AA29" i="34"/>
  <c r="CM29" i="34" s="1"/>
  <c r="AA92" i="34" s="1"/>
  <c r="W29" i="34"/>
  <c r="CI29" i="34" s="1"/>
  <c r="W92" i="34" s="1"/>
  <c r="V29" i="34"/>
  <c r="CH29" i="34" s="1"/>
  <c r="V92" i="34" s="1"/>
  <c r="P29" i="34"/>
  <c r="CB29" i="34" s="1"/>
  <c r="P92" i="34" s="1"/>
  <c r="AI29" i="34"/>
  <c r="CU29" i="34" s="1"/>
  <c r="AI92" i="34" s="1"/>
  <c r="U29" i="34"/>
  <c r="CG29" i="34" s="1"/>
  <c r="U92" i="34" s="1"/>
  <c r="X29" i="34"/>
  <c r="CJ29" i="34" s="1"/>
  <c r="X92" i="34" s="1"/>
  <c r="AH29" i="34"/>
  <c r="CT29" i="34" s="1"/>
  <c r="AH92" i="34" s="1"/>
  <c r="S29" i="34"/>
  <c r="CE29" i="34" s="1"/>
  <c r="Q29" i="34"/>
  <c r="CC29" i="34" s="1"/>
  <c r="Q92" i="34" s="1"/>
  <c r="AE28" i="34"/>
  <c r="CQ28" i="34" s="1"/>
  <c r="AE91" i="34" s="1"/>
  <c r="AL28" i="34"/>
  <c r="CX28" i="34" s="1"/>
  <c r="AL91" i="34" s="1"/>
  <c r="AB28" i="34"/>
  <c r="CN28" i="34" s="1"/>
  <c r="AB91" i="34" s="1"/>
  <c r="AI28" i="34"/>
  <c r="CU28" i="34" s="1"/>
  <c r="AI91" i="34" s="1"/>
  <c r="AC28" i="34"/>
  <c r="CO28" i="34" s="1"/>
  <c r="AC91" i="34" s="1"/>
  <c r="AJ28" i="34"/>
  <c r="CV28" i="34" s="1"/>
  <c r="AJ91" i="34" s="1"/>
  <c r="Z28" i="34"/>
  <c r="CL28" i="34" s="1"/>
  <c r="Z91" i="34" s="1"/>
  <c r="AG28" i="34"/>
  <c r="CS28" i="34" s="1"/>
  <c r="AG91" i="34" s="1"/>
  <c r="Y28" i="34"/>
  <c r="CK28" i="34" s="1"/>
  <c r="Y91" i="34" s="1"/>
  <c r="AD28" i="34"/>
  <c r="CP28" i="34" s="1"/>
  <c r="AD91" i="34" s="1"/>
  <c r="AK28" i="34"/>
  <c r="CW28" i="34" s="1"/>
  <c r="AK91" i="34" s="1"/>
  <c r="AA28" i="34"/>
  <c r="CM28" i="34" s="1"/>
  <c r="AA91" i="34" s="1"/>
  <c r="R28" i="34"/>
  <c r="CD28" i="34" s="1"/>
  <c r="R91" i="34" s="1"/>
  <c r="Q28" i="34"/>
  <c r="CC28" i="34" s="1"/>
  <c r="Q91" i="34" s="1"/>
  <c r="AH28" i="34"/>
  <c r="CT28" i="34" s="1"/>
  <c r="AH91" i="34" s="1"/>
  <c r="W28" i="34"/>
  <c r="CI28" i="34" s="1"/>
  <c r="W91" i="34" s="1"/>
  <c r="X28" i="34"/>
  <c r="CJ28" i="34" s="1"/>
  <c r="X91" i="34" s="1"/>
  <c r="P28" i="34"/>
  <c r="CB28" i="34" s="1"/>
  <c r="P91" i="34" s="1"/>
  <c r="AM28" i="34"/>
  <c r="CY28" i="34" s="1"/>
  <c r="AM91" i="34" s="1"/>
  <c r="U28" i="34"/>
  <c r="CG28" i="34" s="1"/>
  <c r="U91" i="34" s="1"/>
  <c r="T28" i="34"/>
  <c r="CF28" i="34" s="1"/>
  <c r="T91" i="34" s="1"/>
  <c r="Q11" i="34"/>
  <c r="CC11" i="34" s="1"/>
  <c r="S9" i="34"/>
  <c r="CE9" i="34" s="1"/>
  <c r="T9" i="34"/>
  <c r="CF9" i="34" s="1"/>
  <c r="W27" i="34"/>
  <c r="CI27" i="34" s="1"/>
  <c r="W90" i="34" s="1"/>
  <c r="X27" i="34"/>
  <c r="CJ27" i="34" s="1"/>
  <c r="X90" i="34" s="1"/>
  <c r="V8" i="34"/>
  <c r="CH8" i="34" s="1"/>
  <c r="T37" i="34"/>
  <c r="CF37" i="34" s="1"/>
  <c r="T100" i="34" s="1"/>
  <c r="S4" i="34"/>
  <c r="CE4" i="34" s="1"/>
  <c r="P16" i="34"/>
  <c r="CB16" i="34" s="1"/>
  <c r="P78" i="34" s="1"/>
  <c r="X6" i="34"/>
  <c r="CJ6" i="34" s="1"/>
  <c r="Q34" i="34"/>
  <c r="CC34" i="34" s="1"/>
  <c r="Q97" i="34" s="1"/>
  <c r="S20" i="34"/>
  <c r="CE20" i="34" s="1"/>
  <c r="S83" i="34" s="1"/>
  <c r="U13" i="34"/>
  <c r="CG13" i="34" s="1"/>
  <c r="V26" i="34"/>
  <c r="CH26" i="34" s="1"/>
  <c r="V89" i="34" s="1"/>
  <c r="Q10" i="34"/>
  <c r="CC10" i="34" s="1"/>
  <c r="T23" i="34"/>
  <c r="CF23" i="34" s="1"/>
  <c r="T86" i="34" s="1"/>
  <c r="R25" i="34"/>
  <c r="CD25" i="34" s="1"/>
  <c r="R88" i="34" s="1"/>
  <c r="W24" i="34"/>
  <c r="CI24" i="34" s="1"/>
  <c r="W87" i="34" s="1"/>
  <c r="S22" i="34"/>
  <c r="CE22" i="34" s="1"/>
  <c r="S85" i="34" s="1"/>
  <c r="P30" i="34"/>
  <c r="CB30" i="34" s="1"/>
  <c r="P93" i="34" s="1"/>
  <c r="AD11" i="34"/>
  <c r="CP11" i="34" s="1"/>
  <c r="AA9" i="34"/>
  <c r="CM9" i="34" s="1"/>
  <c r="AC27" i="34"/>
  <c r="CO27" i="34" s="1"/>
  <c r="AC90" i="34" s="1"/>
  <c r="AK8" i="34"/>
  <c r="CW8" i="34" s="1"/>
  <c r="AL16" i="34"/>
  <c r="CX16" i="34" s="1"/>
  <c r="AC15" i="34"/>
  <c r="CO15" i="34" s="1"/>
  <c r="Y14" i="34"/>
  <c r="CK14" i="34" s="1"/>
  <c r="AK20" i="34"/>
  <c r="CW20" i="34" s="1"/>
  <c r="AK83" i="34" s="1"/>
  <c r="AI18" i="34"/>
  <c r="CU18" i="34" s="1"/>
  <c r="AI81" i="34" s="1"/>
  <c r="AI13" i="34"/>
  <c r="CU13" i="34" s="1"/>
  <c r="AD37" i="34"/>
  <c r="CP37" i="34" s="1"/>
  <c r="AD100" i="34" s="1"/>
  <c r="AK10" i="34"/>
  <c r="CW10" i="34" s="1"/>
  <c r="AA24" i="34"/>
  <c r="CM24" i="34" s="1"/>
  <c r="AA87" i="34" s="1"/>
  <c r="Y29" i="34"/>
  <c r="CK29" i="34" s="1"/>
  <c r="Y92" i="34" s="1"/>
  <c r="AG26" i="34"/>
  <c r="CS26" i="34" s="1"/>
  <c r="AG89" i="34" s="1"/>
  <c r="AF28" i="34"/>
  <c r="CR28" i="34" s="1"/>
  <c r="AF91" i="34" s="1"/>
  <c r="I48" i="34"/>
  <c r="I57" i="34"/>
  <c r="I56" i="34"/>
  <c r="I46" i="34"/>
  <c r="I55" i="34"/>
  <c r="I53" i="34"/>
  <c r="I54" i="34"/>
  <c r="I44" i="34"/>
  <c r="I49" i="34"/>
  <c r="I36" i="34"/>
  <c r="I31" i="34"/>
  <c r="I27" i="34"/>
  <c r="I17" i="34"/>
  <c r="I25" i="34"/>
  <c r="I38" i="34"/>
  <c r="I20" i="34"/>
  <c r="I19" i="34"/>
  <c r="I18" i="34"/>
  <c r="I21" i="34"/>
  <c r="I22" i="34"/>
  <c r="I26" i="34"/>
  <c r="I30" i="34"/>
  <c r="I32" i="34"/>
  <c r="I37" i="34"/>
  <c r="I40" i="34"/>
  <c r="I41" i="34"/>
  <c r="I33" i="34"/>
  <c r="I35" i="34"/>
  <c r="I39" i="34"/>
  <c r="I34" i="34"/>
  <c r="I29" i="34"/>
  <c r="I28" i="34"/>
  <c r="I23" i="34"/>
  <c r="I24" i="34"/>
  <c r="BR8" i="33"/>
  <c r="BT8" i="33"/>
  <c r="BS8" i="33"/>
  <c r="BQ8" i="33"/>
  <c r="BP8" i="33"/>
  <c r="W5" i="33"/>
  <c r="B49" i="33"/>
  <c r="B94" i="33" s="1"/>
  <c r="B139" i="33" s="1"/>
  <c r="H48" i="34"/>
  <c r="H57" i="34"/>
  <c r="H46" i="34"/>
  <c r="H56" i="34"/>
  <c r="H54" i="34"/>
  <c r="H55" i="34"/>
  <c r="H53" i="34"/>
  <c r="H49" i="34"/>
  <c r="H44" i="34"/>
  <c r="H36" i="34"/>
  <c r="H31" i="34"/>
  <c r="H25" i="34"/>
  <c r="H17" i="34"/>
  <c r="H27" i="34"/>
  <c r="H38" i="34"/>
  <c r="H26" i="34"/>
  <c r="H20" i="34"/>
  <c r="H19" i="34"/>
  <c r="H18" i="34"/>
  <c r="H30" i="34"/>
  <c r="H22" i="34"/>
  <c r="H41" i="34"/>
  <c r="H39" i="34"/>
  <c r="H23" i="34"/>
  <c r="H37" i="34"/>
  <c r="H32" i="34"/>
  <c r="H24" i="34"/>
  <c r="H29" i="34"/>
  <c r="H28" i="34"/>
  <c r="H35" i="34"/>
  <c r="H34" i="34"/>
  <c r="H33" i="34"/>
  <c r="H40" i="34"/>
  <c r="D14" i="37" l="1"/>
  <c r="D15" i="37"/>
  <c r="DM12" i="33"/>
  <c r="DK12" i="33" s="1"/>
  <c r="DM14" i="33"/>
  <c r="DK14" i="33" s="1"/>
  <c r="DM9" i="33"/>
  <c r="DK9" i="33" s="1"/>
  <c r="DM58" i="33"/>
  <c r="DK58" i="33" s="1"/>
  <c r="V99" i="37"/>
  <c r="AL78" i="34"/>
  <c r="Y78" i="34"/>
  <c r="Z78" i="34"/>
  <c r="U78" i="34"/>
  <c r="AA75" i="34"/>
  <c r="AD79" i="34"/>
  <c r="AK79" i="34"/>
  <c r="AA79" i="34"/>
  <c r="P77" i="34"/>
  <c r="W79" i="34"/>
  <c r="BA79" i="34"/>
  <c r="AZ79" i="34"/>
  <c r="AQ79" i="34"/>
  <c r="BD79" i="34"/>
  <c r="BO79" i="34"/>
  <c r="BF79" i="34"/>
  <c r="BE79" i="34"/>
  <c r="BN73" i="34"/>
  <c r="AN73" i="34"/>
  <c r="AX73" i="34"/>
  <c r="AW78" i="34"/>
  <c r="BC78" i="34"/>
  <c r="BB78" i="34"/>
  <c r="BH78" i="34"/>
  <c r="BN78" i="34"/>
  <c r="BM78" i="34"/>
  <c r="L102" i="37"/>
  <c r="AF78" i="34"/>
  <c r="AG78" i="34"/>
  <c r="AF70" i="34"/>
  <c r="AN79" i="34"/>
  <c r="BJ79" i="34"/>
  <c r="BI79" i="34"/>
  <c r="BK78" i="34"/>
  <c r="BQ78" i="34"/>
  <c r="AM75" i="34"/>
  <c r="AJ79" i="34"/>
  <c r="AH78" i="34"/>
  <c r="AC78" i="34"/>
  <c r="AM78" i="34"/>
  <c r="AS79" i="34"/>
  <c r="AY79" i="34"/>
  <c r="BP79" i="34"/>
  <c r="AO78" i="34"/>
  <c r="AU78" i="34"/>
  <c r="AR78" i="34"/>
  <c r="AT78" i="34"/>
  <c r="AH79" i="34"/>
  <c r="AD78" i="34"/>
  <c r="BL77" i="34"/>
  <c r="S67" i="34"/>
  <c r="Q79" i="34"/>
  <c r="T79" i="34"/>
  <c r="V78" i="34"/>
  <c r="AG79" i="34"/>
  <c r="AA123" i="37"/>
  <c r="AP77" i="34"/>
  <c r="AA78" i="34"/>
  <c r="AE78" i="34"/>
  <c r="S79" i="34"/>
  <c r="AB79" i="34"/>
  <c r="AI73" i="34"/>
  <c r="X78" i="34"/>
  <c r="V67" i="34"/>
  <c r="X73" i="34"/>
  <c r="Y79" i="34"/>
  <c r="AF79" i="34"/>
  <c r="V79" i="34"/>
  <c r="U76" i="34"/>
  <c r="AK78" i="34"/>
  <c r="P79" i="34"/>
  <c r="AR79" i="34"/>
  <c r="AO79" i="34"/>
  <c r="AU79" i="34"/>
  <c r="BH79" i="34"/>
  <c r="BE75" i="34"/>
  <c r="BD68" i="34"/>
  <c r="AN77" i="34"/>
  <c r="BA78" i="34"/>
  <c r="AQ78" i="34"/>
  <c r="BP78" i="34"/>
  <c r="AP78" i="34"/>
  <c r="R78" i="34"/>
  <c r="T78" i="34"/>
  <c r="AI78" i="34"/>
  <c r="S75" i="34"/>
  <c r="AJ67" i="34"/>
  <c r="AL79" i="34"/>
  <c r="U79" i="34"/>
  <c r="R79" i="34"/>
  <c r="AM79" i="34"/>
  <c r="AE79" i="34"/>
  <c r="AI79" i="34"/>
  <c r="X79" i="34"/>
  <c r="AW79" i="34"/>
  <c r="BK79" i="34"/>
  <c r="BC79" i="34"/>
  <c r="BG79" i="34"/>
  <c r="BQ79" i="34"/>
  <c r="BA75" i="34"/>
  <c r="BC75" i="34"/>
  <c r="BB73" i="34"/>
  <c r="AZ73" i="34"/>
  <c r="BI73" i="34"/>
  <c r="BC77" i="34"/>
  <c r="AN78" i="34"/>
  <c r="AS78" i="34"/>
  <c r="AY78" i="34"/>
  <c r="BO78" i="34"/>
  <c r="AX78" i="34"/>
  <c r="BL78" i="34"/>
  <c r="BJ78" i="34"/>
  <c r="BI78" i="34"/>
  <c r="AC79" i="34"/>
  <c r="AB78" i="34"/>
  <c r="Z79" i="34"/>
  <c r="AV79" i="34"/>
  <c r="BN79" i="34"/>
  <c r="BM79" i="34"/>
  <c r="AP73" i="34"/>
  <c r="AX77" i="34"/>
  <c r="BP77" i="34"/>
  <c r="BO77" i="34"/>
  <c r="AZ78" i="34"/>
  <c r="BD78" i="34"/>
  <c r="BF78" i="34"/>
  <c r="BE78" i="34"/>
  <c r="P2" i="34"/>
  <c r="AL3" i="37"/>
  <c r="BL3" i="37"/>
  <c r="BO3" i="37"/>
  <c r="AI3" i="37"/>
  <c r="BI3" i="37"/>
  <c r="AC3" i="37"/>
  <c r="AV3" i="37"/>
  <c r="BD3" i="34"/>
  <c r="BC3" i="34"/>
  <c r="AX3" i="34"/>
  <c r="AW3" i="34"/>
  <c r="S3" i="34"/>
  <c r="R3" i="34"/>
  <c r="Q3" i="34"/>
  <c r="L3" i="34"/>
  <c r="CO16" i="33"/>
  <c r="CO36" i="33"/>
  <c r="CO21" i="33"/>
  <c r="CO41" i="33"/>
  <c r="CO22" i="33"/>
  <c r="CO11" i="33"/>
  <c r="CO27" i="33"/>
  <c r="CO12" i="33"/>
  <c r="CF11" i="33"/>
  <c r="CE14" i="33"/>
  <c r="CD17" i="33"/>
  <c r="CG20" i="33"/>
  <c r="CF23" i="33"/>
  <c r="CE26" i="33"/>
  <c r="CH29" i="33"/>
  <c r="CG32" i="33"/>
  <c r="CF35" i="33"/>
  <c r="CE38" i="33"/>
  <c r="CG40" i="33"/>
  <c r="CC44" i="33"/>
  <c r="CF10" i="33"/>
  <c r="CE13" i="33"/>
  <c r="CG19" i="33"/>
  <c r="CD10" i="33"/>
  <c r="CF12" i="33"/>
  <c r="CH14" i="33"/>
  <c r="CC17" i="33"/>
  <c r="CE19" i="33"/>
  <c r="CG21" i="33"/>
  <c r="CI23" i="33"/>
  <c r="CD26" i="33"/>
  <c r="CF28" i="33"/>
  <c r="CH30" i="33"/>
  <c r="CC33" i="33"/>
  <c r="CE35" i="33"/>
  <c r="CG37" i="33"/>
  <c r="CI39" i="33"/>
  <c r="CD42" i="33"/>
  <c r="CF44" i="33"/>
  <c r="CD8" i="33"/>
  <c r="CD45" i="33"/>
  <c r="CI13" i="33"/>
  <c r="CE17" i="33"/>
  <c r="CH20" i="33"/>
  <c r="CD15" i="33"/>
  <c r="CD23" i="33"/>
  <c r="CH27" i="33"/>
  <c r="CE32" i="33"/>
  <c r="CI36" i="33"/>
  <c r="CF41" i="33"/>
  <c r="CI8" i="33"/>
  <c r="CC18" i="33"/>
  <c r="CH24" i="33"/>
  <c r="CE29" i="33"/>
  <c r="CI33" i="33"/>
  <c r="CF38" i="33"/>
  <c r="CC43" i="33"/>
  <c r="CF9" i="33"/>
  <c r="CG18" i="33"/>
  <c r="CI24" i="33"/>
  <c r="CF29" i="33"/>
  <c r="CC34" i="33"/>
  <c r="CG38" i="33"/>
  <c r="CD43" i="33"/>
  <c r="CC10" i="33"/>
  <c r="CD19" i="33"/>
  <c r="CE25" i="33"/>
  <c r="CI29" i="33"/>
  <c r="CF34" i="33"/>
  <c r="BB3" i="37"/>
  <c r="N3" i="37"/>
  <c r="BG3" i="37"/>
  <c r="O3" i="37"/>
  <c r="AK3" i="37"/>
  <c r="AF3" i="37"/>
  <c r="AN3" i="34"/>
  <c r="BF3" i="34"/>
  <c r="AO3" i="34"/>
  <c r="AH3" i="34"/>
  <c r="Y3" i="34"/>
  <c r="BJ3" i="37"/>
  <c r="V3" i="37"/>
  <c r="T3" i="37"/>
  <c r="W3" i="37"/>
  <c r="AS3" i="37"/>
  <c r="BP3" i="37"/>
  <c r="AV3" i="34"/>
  <c r="BN3" i="34"/>
  <c r="BE3" i="34"/>
  <c r="K3" i="34"/>
  <c r="AG3" i="34"/>
  <c r="T3" i="34"/>
  <c r="CO20" i="33"/>
  <c r="CO13" i="33"/>
  <c r="CO37" i="33"/>
  <c r="CO30" i="33"/>
  <c r="CO15" i="33"/>
  <c r="CO43" i="33"/>
  <c r="CC12" i="33"/>
  <c r="CC16" i="33"/>
  <c r="CF19" i="33"/>
  <c r="CC24" i="33"/>
  <c r="CC28" i="33"/>
  <c r="CC32" i="33"/>
  <c r="CG36" i="33"/>
  <c r="CF39" i="33"/>
  <c r="CE42" i="33"/>
  <c r="CC11" i="33"/>
  <c r="CG15" i="33"/>
  <c r="CG9" i="33"/>
  <c r="CC13" i="33"/>
  <c r="CI15" i="33"/>
  <c r="CH18" i="33"/>
  <c r="CD22" i="33"/>
  <c r="CC25" i="33"/>
  <c r="CI27" i="33"/>
  <c r="CE31" i="33"/>
  <c r="CD34" i="33"/>
  <c r="CC37" i="33"/>
  <c r="CF40" i="33"/>
  <c r="CE43" i="33"/>
  <c r="CH8" i="33"/>
  <c r="CH45" i="33"/>
  <c r="CD16" i="33"/>
  <c r="CD20" i="33"/>
  <c r="CF17" i="33"/>
  <c r="CF25" i="33"/>
  <c r="CD31" i="33"/>
  <c r="CC38" i="33"/>
  <c r="CH43" i="33"/>
  <c r="CH15" i="33"/>
  <c r="CI25" i="33"/>
  <c r="CG31" i="33"/>
  <c r="CE37" i="33"/>
  <c r="CD44" i="33"/>
  <c r="CC14" i="33"/>
  <c r="CH23" i="33"/>
  <c r="CG30" i="33"/>
  <c r="CE36" i="33"/>
  <c r="CC42" i="33"/>
  <c r="CE12" i="33"/>
  <c r="CC23" i="33"/>
  <c r="CH28" i="33"/>
  <c r="CG35" i="33"/>
  <c r="CD40" i="33"/>
  <c r="CH44" i="33"/>
  <c r="BU61" i="33"/>
  <c r="CI56" i="33"/>
  <c r="CA59" i="33"/>
  <c r="CI55" i="33"/>
  <c r="CG68" i="33"/>
  <c r="BT63" i="33"/>
  <c r="BW59" i="33"/>
  <c r="CE55" i="33"/>
  <c r="CA50" i="33"/>
  <c r="CA67" i="33"/>
  <c r="CI63" i="33"/>
  <c r="CG52" i="33"/>
  <c r="BW67" i="33"/>
  <c r="CE63" i="33"/>
  <c r="CF52" i="33"/>
  <c r="BU69" i="33"/>
  <c r="CI64" i="33"/>
  <c r="CG60" i="33"/>
  <c r="BT55" i="33"/>
  <c r="BW51" i="33"/>
  <c r="BS43" i="33"/>
  <c r="CE48" i="33"/>
  <c r="BW36" i="33"/>
  <c r="BV8" i="33"/>
  <c r="BQ68" i="33"/>
  <c r="BV66" i="33"/>
  <c r="BS64" i="33"/>
  <c r="CA61" i="33"/>
  <c r="CG59" i="33"/>
  <c r="CF57" i="33"/>
  <c r="CC55" i="33"/>
  <c r="BP53" i="33"/>
  <c r="BV51" i="33"/>
  <c r="BS49" i="33"/>
  <c r="BZ42" i="33"/>
  <c r="BW37" i="33"/>
  <c r="BR12" i="33"/>
  <c r="CD69" i="33"/>
  <c r="BR67" i="33"/>
  <c r="CD65" i="33"/>
  <c r="BW62" i="33"/>
  <c r="BP60" i="33"/>
  <c r="BU58" i="33"/>
  <c r="BX55" i="33"/>
  <c r="BW53" i="33"/>
  <c r="BR51" i="33"/>
  <c r="CD49" i="33"/>
  <c r="BV42" i="33"/>
  <c r="BW28" i="33"/>
  <c r="BY49" i="33"/>
  <c r="CE67" i="33"/>
  <c r="BY66" i="33"/>
  <c r="BW65" i="33"/>
  <c r="BW64" i="33"/>
  <c r="BW63" i="33"/>
  <c r="BU62" i="33"/>
  <c r="BT61" i="33"/>
  <c r="BT60" i="33"/>
  <c r="CE58" i="33"/>
  <c r="CC57" i="33"/>
  <c r="CB56" i="33"/>
  <c r="CB55" i="33"/>
  <c r="CA54" i="33"/>
  <c r="BY53" i="33"/>
  <c r="BY52" i="33"/>
  <c r="BU51" i="33"/>
  <c r="CI49" i="33"/>
  <c r="CH48" i="33"/>
  <c r="BZ45" i="33"/>
  <c r="BS42" i="33"/>
  <c r="BX38" i="33"/>
  <c r="BP34" i="33"/>
  <c r="BV30" i="33"/>
  <c r="BR20" i="33"/>
  <c r="BW9" i="33"/>
  <c r="BZ10" i="33"/>
  <c r="BQ12" i="33"/>
  <c r="BY13" i="33"/>
  <c r="CB14" i="33"/>
  <c r="CB73" i="33" s="1"/>
  <c r="BS16" i="33"/>
  <c r="BW17" i="33"/>
  <c r="BZ18" i="33"/>
  <c r="BQ20" i="33"/>
  <c r="BU21" i="33"/>
  <c r="BX22" i="33"/>
  <c r="CA23" i="33"/>
  <c r="BU9" i="33"/>
  <c r="BX10" i="33"/>
  <c r="CA11" i="33"/>
  <c r="BS13" i="33"/>
  <c r="BV14" i="33"/>
  <c r="BY15" i="33"/>
  <c r="BQ17" i="33"/>
  <c r="BT18" i="33"/>
  <c r="BW19" i="33"/>
  <c r="CA20" i="33"/>
  <c r="BR22" i="33"/>
  <c r="BU23" i="33"/>
  <c r="BY24" i="33"/>
  <c r="BV9" i="33"/>
  <c r="BZ11" i="33"/>
  <c r="BQ14" i="33"/>
  <c r="BT16" i="33"/>
  <c r="BR19" i="33"/>
  <c r="AD3" i="37"/>
  <c r="AQ3" i="37"/>
  <c r="M3" i="37"/>
  <c r="AU3" i="34"/>
  <c r="AA3" i="34"/>
  <c r="AB3" i="34"/>
  <c r="CO28" i="33"/>
  <c r="CO25" i="33"/>
  <c r="CO18" i="33"/>
  <c r="CO23" i="33"/>
  <c r="CH9" i="33"/>
  <c r="CI14" i="33"/>
  <c r="CD21" i="33"/>
  <c r="CH25" i="33"/>
  <c r="CI30" i="33"/>
  <c r="CD37" i="33"/>
  <c r="CD41" i="33"/>
  <c r="CI9" i="33"/>
  <c r="CI17" i="33"/>
  <c r="CE11" i="33"/>
  <c r="CE15" i="33"/>
  <c r="CI19" i="33"/>
  <c r="CE23" i="33"/>
  <c r="CE27" i="33"/>
  <c r="CI31" i="33"/>
  <c r="CI35" i="33"/>
  <c r="CE39" i="33"/>
  <c r="CI43" i="33"/>
  <c r="CF43" i="33"/>
  <c r="CC15" i="33"/>
  <c r="CI21" i="33"/>
  <c r="CC22" i="33"/>
  <c r="CC30" i="33"/>
  <c r="CD39" i="33"/>
  <c r="CD11" i="33"/>
  <c r="CG23" i="33"/>
  <c r="CH32" i="33"/>
  <c r="CH40" i="33"/>
  <c r="CH11" i="33"/>
  <c r="CC26" i="33"/>
  <c r="CI32" i="33"/>
  <c r="CI40" i="33"/>
  <c r="CG14" i="33"/>
  <c r="CF26" i="33"/>
  <c r="CE33" i="33"/>
  <c r="CE41" i="33"/>
  <c r="BT9" i="33"/>
  <c r="CD58" i="33"/>
  <c r="CA58" i="33"/>
  <c r="BU8" i="33"/>
  <c r="BT64" i="33"/>
  <c r="BZ58" i="33"/>
  <c r="BV52" i="33"/>
  <c r="BV68" i="33"/>
  <c r="BS55" i="33"/>
  <c r="BZ34" i="33"/>
  <c r="BX64" i="33"/>
  <c r="CH51" i="33"/>
  <c r="CH67" i="33"/>
  <c r="CB61" i="33"/>
  <c r="CB54" i="33"/>
  <c r="CI48" i="33"/>
  <c r="BU49" i="33"/>
  <c r="BT34" i="33"/>
  <c r="BP69" i="33"/>
  <c r="CH66" i="33"/>
  <c r="CC63" i="33"/>
  <c r="CB60" i="33"/>
  <c r="BV58" i="33"/>
  <c r="BY55" i="33"/>
  <c r="BQ52" i="33"/>
  <c r="CF49" i="33"/>
  <c r="BT40" i="33"/>
  <c r="BS35" i="33"/>
  <c r="BW69" i="33"/>
  <c r="CF66" i="33"/>
  <c r="BX63" i="33"/>
  <c r="BZ60" i="33"/>
  <c r="CE57" i="33"/>
  <c r="BW54" i="33"/>
  <c r="CC51" i="33"/>
  <c r="BZ48" i="33"/>
  <c r="BP39" i="33"/>
  <c r="BY65" i="33"/>
  <c r="BZ67" i="33"/>
  <c r="AT3" i="37"/>
  <c r="AY3" i="37"/>
  <c r="U3" i="37"/>
  <c r="BK3" i="34"/>
  <c r="AI3" i="34"/>
  <c r="AJ3" i="34"/>
  <c r="DM18" i="33"/>
  <c r="DK18" i="33" s="1"/>
  <c r="D53" i="37"/>
  <c r="BS53" i="37" s="1"/>
  <c r="DM19" i="33"/>
  <c r="DK19" i="33" s="1"/>
  <c r="V124" i="37"/>
  <c r="N35" i="32"/>
  <c r="N29" i="32"/>
  <c r="DM57" i="33"/>
  <c r="DK57" i="33" s="1"/>
  <c r="D24" i="37"/>
  <c r="N49" i="32"/>
  <c r="N26" i="32"/>
  <c r="N27" i="32"/>
  <c r="D43" i="37"/>
  <c r="N18" i="32"/>
  <c r="N30" i="32"/>
  <c r="DM61" i="33"/>
  <c r="DK61" i="33" s="1"/>
  <c r="DM49" i="33"/>
  <c r="DK49" i="33" s="1"/>
  <c r="DM22" i="33"/>
  <c r="DK22" i="33" s="1"/>
  <c r="N64" i="32"/>
  <c r="N23" i="32"/>
  <c r="N37" i="32"/>
  <c r="DM59" i="33"/>
  <c r="DK59" i="33" s="1"/>
  <c r="DM45" i="33"/>
  <c r="DK45" i="33" s="1"/>
  <c r="D32" i="37"/>
  <c r="D29" i="37"/>
  <c r="AD68" i="37"/>
  <c r="EG49" i="37"/>
  <c r="D10" i="37"/>
  <c r="DM67" i="33"/>
  <c r="DK67" i="33" s="1"/>
  <c r="D36" i="37"/>
  <c r="DM44" i="33"/>
  <c r="DK44" i="33" s="1"/>
  <c r="DM30" i="33"/>
  <c r="DK30" i="33" s="1"/>
  <c r="D42" i="37"/>
  <c r="Z93" i="37"/>
  <c r="N31" i="32"/>
  <c r="DM10" i="33"/>
  <c r="DK10" i="33" s="1"/>
  <c r="DM47" i="33"/>
  <c r="DK47" i="33" s="1"/>
  <c r="N40" i="32"/>
  <c r="N51" i="32"/>
  <c r="N50" i="32"/>
  <c r="N56" i="32"/>
  <c r="N21" i="32"/>
  <c r="N41" i="32"/>
  <c r="N24" i="32"/>
  <c r="N28" i="32"/>
  <c r="N39" i="32"/>
  <c r="N32" i="32"/>
  <c r="N20" i="32"/>
  <c r="N55" i="32"/>
  <c r="N57" i="32"/>
  <c r="N36" i="32"/>
  <c r="N38" i="32"/>
  <c r="DM68" i="33"/>
  <c r="DK68" i="33" s="1"/>
  <c r="DM52" i="33"/>
  <c r="DK52" i="33" s="1"/>
  <c r="D51" i="37"/>
  <c r="D11" i="37"/>
  <c r="D31" i="37"/>
  <c r="D50" i="37"/>
  <c r="D45" i="37"/>
  <c r="D62" i="37"/>
  <c r="BS62" i="37" s="1"/>
  <c r="DM54" i="33"/>
  <c r="DK54" i="33" s="1"/>
  <c r="N22" i="32"/>
  <c r="N63" i="32"/>
  <c r="N59" i="32"/>
  <c r="N54" i="32"/>
  <c r="N48" i="32"/>
  <c r="N47" i="32"/>
  <c r="N60" i="32"/>
  <c r="DM65" i="33"/>
  <c r="DK65" i="33" s="1"/>
  <c r="DM35" i="33"/>
  <c r="DK35" i="33" s="1"/>
  <c r="DM27" i="33"/>
  <c r="DK27" i="33" s="1"/>
  <c r="N45" i="32"/>
  <c r="N61" i="32"/>
  <c r="N53" i="32"/>
  <c r="N42" i="32"/>
  <c r="N19" i="32"/>
  <c r="N62" i="32"/>
  <c r="N52" i="32"/>
  <c r="N43" i="32"/>
  <c r="BF52" i="33"/>
  <c r="W77" i="34"/>
  <c r="BG97" i="33"/>
  <c r="BI97" i="33"/>
  <c r="D49" i="37"/>
  <c r="D55" i="37"/>
  <c r="BS55" i="37" s="1"/>
  <c r="DM64" i="33"/>
  <c r="DK64" i="33" s="1"/>
  <c r="DM60" i="33"/>
  <c r="DK60" i="33" s="1"/>
  <c r="D46" i="37"/>
  <c r="DM46" i="33"/>
  <c r="DK46" i="33" s="1"/>
  <c r="DM42" i="33"/>
  <c r="DK42" i="33" s="1"/>
  <c r="D52" i="37"/>
  <c r="BS52" i="37" s="1"/>
  <c r="GV8" i="37"/>
  <c r="GW8" i="37" s="1"/>
  <c r="GT8" i="37" s="1"/>
  <c r="D61" i="37"/>
  <c r="BS61" i="37" s="1"/>
  <c r="I63" i="34"/>
  <c r="I52" i="34"/>
  <c r="I45" i="34"/>
  <c r="BJ142" i="33"/>
  <c r="DM28" i="33"/>
  <c r="DK28" i="33" s="1"/>
  <c r="B53" i="37"/>
  <c r="I29" i="37"/>
  <c r="BG52" i="33"/>
  <c r="BC52" i="33"/>
  <c r="BE52" i="33"/>
  <c r="BC97" i="33"/>
  <c r="BK142" i="33"/>
  <c r="BE142" i="33"/>
  <c r="DM16" i="33"/>
  <c r="DK16" i="33" s="1"/>
  <c r="B48" i="37"/>
  <c r="I27" i="37"/>
  <c r="DM50" i="33"/>
  <c r="DK50" i="33" s="1"/>
  <c r="DM36" i="33"/>
  <c r="DK36" i="33" s="1"/>
  <c r="DM20" i="33"/>
  <c r="DK20" i="33" s="1"/>
  <c r="B38" i="37"/>
  <c r="DM37" i="33"/>
  <c r="DK37" i="33" s="1"/>
  <c r="DM24" i="33"/>
  <c r="DK24" i="33" s="1"/>
  <c r="B43" i="37"/>
  <c r="I58" i="34"/>
  <c r="I42" i="34"/>
  <c r="M22" i="32"/>
  <c r="AY7" i="33"/>
  <c r="BJ7" i="33"/>
  <c r="I20" i="37"/>
  <c r="I17" i="37"/>
  <c r="I14" i="37"/>
  <c r="I30" i="37"/>
  <c r="I15" i="37"/>
  <c r="I11" i="37"/>
  <c r="I28" i="37"/>
  <c r="I9" i="37"/>
  <c r="D57" i="37"/>
  <c r="BS57" i="37" s="1"/>
  <c r="D63" i="37"/>
  <c r="BS63" i="37" s="1"/>
  <c r="BA7" i="33"/>
  <c r="BI52" i="33"/>
  <c r="BE97" i="33"/>
  <c r="BI142" i="33"/>
  <c r="BG142" i="33"/>
  <c r="I16" i="37"/>
  <c r="I26" i="37"/>
  <c r="I12" i="37"/>
  <c r="D22" i="37"/>
  <c r="D37" i="37"/>
  <c r="D40" i="37"/>
  <c r="D48" i="37"/>
  <c r="I47" i="34"/>
  <c r="BS14" i="37"/>
  <c r="GV53" i="37"/>
  <c r="D56" i="37"/>
  <c r="BS56" i="37" s="1"/>
  <c r="GV36" i="37"/>
  <c r="GW36" i="37" s="1"/>
  <c r="GV32" i="37"/>
  <c r="GW32" i="37" s="1"/>
  <c r="GV28" i="37"/>
  <c r="GW28" i="37" s="1"/>
  <c r="GT28" i="37" s="1"/>
  <c r="BH7" i="33"/>
  <c r="BD7" i="33"/>
  <c r="BM7" i="33"/>
  <c r="BJ52" i="33"/>
  <c r="BB52" i="33"/>
  <c r="AZ52" i="33"/>
  <c r="BL142" i="33"/>
  <c r="D4" i="37"/>
  <c r="BS4" i="37" s="1"/>
  <c r="I59" i="34"/>
  <c r="I61" i="34"/>
  <c r="I43" i="34"/>
  <c r="I50" i="34"/>
  <c r="I51" i="34"/>
  <c r="BM52" i="33"/>
  <c r="BA142" i="33"/>
  <c r="DM51" i="33"/>
  <c r="DK51" i="33" s="1"/>
  <c r="DM43" i="33"/>
  <c r="DK43" i="33" s="1"/>
  <c r="D33" i="37"/>
  <c r="B22" i="37"/>
  <c r="B27" i="37"/>
  <c r="B32" i="37"/>
  <c r="B37" i="37"/>
  <c r="D44" i="37"/>
  <c r="BS27" i="37"/>
  <c r="BS15" i="37"/>
  <c r="BE7" i="33"/>
  <c r="BC7" i="33"/>
  <c r="AZ7" i="33"/>
  <c r="AY52" i="33"/>
  <c r="BH52" i="33"/>
  <c r="BD52" i="33"/>
  <c r="BD97" i="33"/>
  <c r="BB97" i="33"/>
  <c r="AZ142" i="33"/>
  <c r="I62" i="34"/>
  <c r="BF7" i="33"/>
  <c r="BG7" i="33"/>
  <c r="BL7" i="33"/>
  <c r="BI7" i="33"/>
  <c r="BA52" i="33"/>
  <c r="BK52" i="33"/>
  <c r="AY97" i="33"/>
  <c r="BK97" i="33"/>
  <c r="BM97" i="33"/>
  <c r="BA97" i="33"/>
  <c r="BM142" i="33"/>
  <c r="BC142" i="33"/>
  <c r="DM55" i="33"/>
  <c r="DK55" i="33" s="1"/>
  <c r="DM39" i="33"/>
  <c r="DK39" i="33" s="1"/>
  <c r="DM33" i="33"/>
  <c r="DK33" i="33" s="1"/>
  <c r="DM29" i="33"/>
  <c r="DK29" i="33" s="1"/>
  <c r="DM25" i="33"/>
  <c r="DK25" i="33" s="1"/>
  <c r="DM21" i="33"/>
  <c r="DK21" i="33" s="1"/>
  <c r="D30" i="37"/>
  <c r="BS30" i="37" s="1"/>
  <c r="B54" i="37"/>
  <c r="B59" i="37"/>
  <c r="B5" i="37"/>
  <c r="D6" i="37"/>
  <c r="D23" i="37"/>
  <c r="D54" i="37"/>
  <c r="BS54" i="37" s="1"/>
  <c r="D59" i="37"/>
  <c r="BS59" i="37" s="1"/>
  <c r="BS17" i="37"/>
  <c r="BS9" i="37"/>
  <c r="D58" i="37"/>
  <c r="BS58" i="37" s="1"/>
  <c r="I60" i="34"/>
  <c r="D47" i="37"/>
  <c r="D41" i="37"/>
  <c r="B6" i="37"/>
  <c r="B11" i="37"/>
  <c r="B16" i="37"/>
  <c r="B21" i="37"/>
  <c r="D35" i="37"/>
  <c r="D19" i="37"/>
  <c r="D60" i="37"/>
  <c r="BS60" i="37" s="1"/>
  <c r="B61" i="37"/>
  <c r="BS12" i="37"/>
  <c r="BK7" i="33"/>
  <c r="M38" i="32"/>
  <c r="M57" i="32"/>
  <c r="M61" i="32"/>
  <c r="M35" i="32"/>
  <c r="M31" i="32"/>
  <c r="M39" i="32"/>
  <c r="M21" i="32"/>
  <c r="M5" i="32"/>
  <c r="N5" i="32" s="1"/>
  <c r="J5" i="32" s="1"/>
  <c r="M12" i="32"/>
  <c r="N12" i="32" s="1"/>
  <c r="J12" i="32" s="1"/>
  <c r="K12" i="32" s="1"/>
  <c r="M63" i="32"/>
  <c r="M8" i="32"/>
  <c r="M36" i="32"/>
  <c r="M13" i="32"/>
  <c r="N13" i="32" s="1"/>
  <c r="J13" i="32" s="1"/>
  <c r="K13" i="32" s="1"/>
  <c r="AL81" i="37"/>
  <c r="GV57" i="37"/>
  <c r="GV43" i="37"/>
  <c r="GW43" i="37" s="1"/>
  <c r="GV56" i="37"/>
  <c r="K56" i="37" s="1"/>
  <c r="GV27" i="37"/>
  <c r="GW27" i="37" s="1"/>
  <c r="GT27" i="37" s="1"/>
  <c r="J85" i="37"/>
  <c r="K81" i="37"/>
  <c r="K76" i="37"/>
  <c r="J75" i="37"/>
  <c r="O109" i="37"/>
  <c r="N98" i="37"/>
  <c r="M101" i="37"/>
  <c r="N71" i="37"/>
  <c r="O70" i="37"/>
  <c r="O107" i="37"/>
  <c r="P71" i="37"/>
  <c r="P87" i="37"/>
  <c r="Q108" i="37"/>
  <c r="Q96" i="37"/>
  <c r="Q103" i="37"/>
  <c r="Q78" i="37"/>
  <c r="Q75" i="37"/>
  <c r="P113" i="37"/>
  <c r="U104" i="37"/>
  <c r="R101" i="37"/>
  <c r="S81" i="37"/>
  <c r="U95" i="37"/>
  <c r="U72" i="37"/>
  <c r="T102" i="37"/>
  <c r="V93" i="37"/>
  <c r="K84" i="37"/>
  <c r="L71" i="37"/>
  <c r="J102" i="37"/>
  <c r="J108" i="37"/>
  <c r="J97" i="37"/>
  <c r="L94" i="37"/>
  <c r="J88" i="37"/>
  <c r="AC101" i="37"/>
  <c r="AA93" i="37"/>
  <c r="AH98" i="37"/>
  <c r="AL98" i="37"/>
  <c r="AP98" i="37"/>
  <c r="AT98" i="37"/>
  <c r="AX98" i="37"/>
  <c r="BB98" i="37"/>
  <c r="BF98" i="37"/>
  <c r="BJ98" i="37"/>
  <c r="BN98" i="37"/>
  <c r="AE96" i="37"/>
  <c r="AI96" i="37"/>
  <c r="AM96" i="37"/>
  <c r="AQ96" i="37"/>
  <c r="AU96" i="37"/>
  <c r="AY96" i="37"/>
  <c r="BC96" i="37"/>
  <c r="BG96" i="37"/>
  <c r="BK96" i="37"/>
  <c r="BO96" i="37"/>
  <c r="V81" i="37"/>
  <c r="Z81" i="37"/>
  <c r="AD81" i="37"/>
  <c r="AH81" i="37"/>
  <c r="AP81" i="37"/>
  <c r="AT81" i="37"/>
  <c r="AX81" i="37"/>
  <c r="BB81" i="37"/>
  <c r="BF81" i="37"/>
  <c r="BJ81" i="37"/>
  <c r="BN81" i="37"/>
  <c r="V79" i="37"/>
  <c r="Z79" i="37"/>
  <c r="AD79" i="37"/>
  <c r="AH79" i="37"/>
  <c r="AL79" i="37"/>
  <c r="AP79" i="37"/>
  <c r="AT79" i="37"/>
  <c r="AX79" i="37"/>
  <c r="BB79" i="37"/>
  <c r="BF79" i="37"/>
  <c r="BJ79" i="37"/>
  <c r="BN79" i="37"/>
  <c r="X92" i="37"/>
  <c r="AB92" i="37"/>
  <c r="AF92" i="37"/>
  <c r="AJ92" i="37"/>
  <c r="AN92" i="37"/>
  <c r="AR92" i="37"/>
  <c r="AV92" i="37"/>
  <c r="AZ92" i="37"/>
  <c r="BD92" i="37"/>
  <c r="BH92" i="37"/>
  <c r="BL92" i="37"/>
  <c r="BP92" i="37"/>
  <c r="W74" i="37"/>
  <c r="AA74" i="37"/>
  <c r="AE74" i="37"/>
  <c r="AI74" i="37"/>
  <c r="AM74" i="37"/>
  <c r="AQ74" i="37"/>
  <c r="AU74" i="37"/>
  <c r="AY74" i="37"/>
  <c r="BC74" i="37"/>
  <c r="BG74" i="37"/>
  <c r="BK74" i="37"/>
  <c r="BO74" i="37"/>
  <c r="Y77" i="37"/>
  <c r="AC77" i="37"/>
  <c r="AG77" i="37"/>
  <c r="AK77" i="37"/>
  <c r="AO77" i="37"/>
  <c r="AS77" i="37"/>
  <c r="AW77" i="37"/>
  <c r="BA77" i="37"/>
  <c r="BE77" i="37"/>
  <c r="BI77" i="37"/>
  <c r="BM77" i="37"/>
  <c r="BQ77" i="37"/>
  <c r="AH125" i="37"/>
  <c r="AP125" i="37"/>
  <c r="AT125" i="37"/>
  <c r="AX125" i="37"/>
  <c r="BB125" i="37"/>
  <c r="BF125" i="37"/>
  <c r="BJ125" i="37"/>
  <c r="BN125" i="37"/>
  <c r="AI124" i="37"/>
  <c r="AM124" i="37"/>
  <c r="AQ124" i="37"/>
  <c r="AU124" i="37"/>
  <c r="AY124" i="37"/>
  <c r="BK124" i="37"/>
  <c r="BO124" i="37"/>
  <c r="AG126" i="37"/>
  <c r="AK126" i="37"/>
  <c r="AO126" i="37"/>
  <c r="AW126" i="37"/>
  <c r="BE126" i="37"/>
  <c r="BM126" i="37"/>
  <c r="BQ126" i="37"/>
  <c r="AF109" i="37"/>
  <c r="AJ109" i="37"/>
  <c r="AN109" i="37"/>
  <c r="AR109" i="37"/>
  <c r="AV109" i="37"/>
  <c r="AZ109" i="37"/>
  <c r="BD109" i="37"/>
  <c r="BH109" i="37"/>
  <c r="BL109" i="37"/>
  <c r="BP109" i="37"/>
  <c r="AD108" i="37"/>
  <c r="AG108" i="37"/>
  <c r="AK108" i="37"/>
  <c r="AO108" i="37"/>
  <c r="AS108" i="37"/>
  <c r="AW108" i="37"/>
  <c r="BA108" i="37"/>
  <c r="BE108" i="37"/>
  <c r="BI108" i="37"/>
  <c r="BM108" i="37"/>
  <c r="BQ108" i="37"/>
  <c r="AH67" i="37"/>
  <c r="AL67" i="37"/>
  <c r="AP67" i="37"/>
  <c r="AT67" i="37"/>
  <c r="AX67" i="37"/>
  <c r="BB67" i="37"/>
  <c r="BF67" i="37"/>
  <c r="BJ67" i="37"/>
  <c r="BN67" i="37"/>
  <c r="AE112" i="37"/>
  <c r="AI112" i="37"/>
  <c r="AM112" i="37"/>
  <c r="AQ112" i="37"/>
  <c r="AU112" i="37"/>
  <c r="AY112" i="37"/>
  <c r="BC112" i="37"/>
  <c r="BG112" i="37"/>
  <c r="BK112" i="37"/>
  <c r="BO112" i="37"/>
  <c r="AH103" i="37"/>
  <c r="AL103" i="37"/>
  <c r="AP103" i="37"/>
  <c r="AT103" i="37"/>
  <c r="AX103" i="37"/>
  <c r="BB103" i="37"/>
  <c r="BF103" i="37"/>
  <c r="BJ103" i="37"/>
  <c r="BN103" i="37"/>
  <c r="Q67" i="34"/>
  <c r="AH67" i="34"/>
  <c r="AL67" i="34"/>
  <c r="Y67" i="34"/>
  <c r="T75" i="34"/>
  <c r="AD121" i="37"/>
  <c r="AF68" i="37"/>
  <c r="AJ68" i="37"/>
  <c r="AN68" i="37"/>
  <c r="AR68" i="37"/>
  <c r="AV68" i="37"/>
  <c r="AZ68" i="37"/>
  <c r="BD68" i="37"/>
  <c r="BH68" i="37"/>
  <c r="BL68" i="37"/>
  <c r="BP68" i="37"/>
  <c r="AH101" i="37"/>
  <c r="AL101" i="37"/>
  <c r="AP101" i="37"/>
  <c r="AT101" i="37"/>
  <c r="AX101" i="37"/>
  <c r="BB101" i="37"/>
  <c r="BF101" i="37"/>
  <c r="BJ101" i="37"/>
  <c r="BN101" i="37"/>
  <c r="AC95" i="37"/>
  <c r="AG95" i="37"/>
  <c r="AK95" i="37"/>
  <c r="AO95" i="37"/>
  <c r="AS95" i="37"/>
  <c r="AW95" i="37"/>
  <c r="BA95" i="37"/>
  <c r="BE95" i="37"/>
  <c r="BI95" i="37"/>
  <c r="BM95" i="37"/>
  <c r="BQ95" i="37"/>
  <c r="AE70" i="37"/>
  <c r="AI70" i="37"/>
  <c r="AM70" i="37"/>
  <c r="AQ70" i="37"/>
  <c r="AU70" i="37"/>
  <c r="AY70" i="37"/>
  <c r="BC70" i="37"/>
  <c r="BG70" i="37"/>
  <c r="BK70" i="37"/>
  <c r="W93" i="37"/>
  <c r="AG68" i="37"/>
  <c r="AK68" i="37"/>
  <c r="AO68" i="37"/>
  <c r="AS68" i="37"/>
  <c r="AW68" i="37"/>
  <c r="BA68" i="37"/>
  <c r="BE68" i="37"/>
  <c r="BI68" i="37"/>
  <c r="BM68" i="37"/>
  <c r="BQ68" i="37"/>
  <c r="AE101" i="37"/>
  <c r="AI101" i="37"/>
  <c r="AM101" i="37"/>
  <c r="AQ101" i="37"/>
  <c r="AU101" i="37"/>
  <c r="AY101" i="37"/>
  <c r="BC101" i="37"/>
  <c r="BG101" i="37"/>
  <c r="BK101" i="37"/>
  <c r="BO101" i="37"/>
  <c r="BO70" i="37"/>
  <c r="AF94" i="37"/>
  <c r="AJ94" i="37"/>
  <c r="AN94" i="37"/>
  <c r="AR94" i="37"/>
  <c r="AV94" i="37"/>
  <c r="AZ94" i="37"/>
  <c r="BD94" i="37"/>
  <c r="BH94" i="37"/>
  <c r="BL94" i="37"/>
  <c r="BP94" i="37"/>
  <c r="Y75" i="37"/>
  <c r="AC75" i="37"/>
  <c r="AG75" i="37"/>
  <c r="AK75" i="37"/>
  <c r="AO75" i="37"/>
  <c r="AS75" i="37"/>
  <c r="AW75" i="37"/>
  <c r="BA75" i="37"/>
  <c r="BE75" i="37"/>
  <c r="BI75" i="37"/>
  <c r="BM75" i="37"/>
  <c r="BQ75" i="37"/>
  <c r="Y83" i="37"/>
  <c r="AC83" i="37"/>
  <c r="AG83" i="37"/>
  <c r="AK83" i="37"/>
  <c r="AO83" i="37"/>
  <c r="AS83" i="37"/>
  <c r="AW83" i="37"/>
  <c r="BA83" i="37"/>
  <c r="BE83" i="37"/>
  <c r="BI83" i="37"/>
  <c r="BM83" i="37"/>
  <c r="BQ83" i="37"/>
  <c r="X80" i="37"/>
  <c r="AB80" i="37"/>
  <c r="AF80" i="37"/>
  <c r="AJ80" i="37"/>
  <c r="AN80" i="37"/>
  <c r="AR80" i="37"/>
  <c r="AV80" i="37"/>
  <c r="AZ80" i="37"/>
  <c r="BD80" i="37"/>
  <c r="BH80" i="37"/>
  <c r="BL80" i="37"/>
  <c r="BP80" i="37"/>
  <c r="AG117" i="37"/>
  <c r="AK117" i="37"/>
  <c r="AO117" i="37"/>
  <c r="AS117" i="37"/>
  <c r="AW117" i="37"/>
  <c r="BA117" i="37"/>
  <c r="BE117" i="37"/>
  <c r="BI117" i="37"/>
  <c r="BM117" i="37"/>
  <c r="BQ117" i="37"/>
  <c r="AH119" i="37"/>
  <c r="AL119" i="37"/>
  <c r="AP119" i="37"/>
  <c r="AT119" i="37"/>
  <c r="AX119" i="37"/>
  <c r="BB119" i="37"/>
  <c r="BF119" i="37"/>
  <c r="BJ119" i="37"/>
  <c r="BN119" i="37"/>
  <c r="AH105" i="37"/>
  <c r="AL105" i="37"/>
  <c r="AP105" i="37"/>
  <c r="AT105" i="37"/>
  <c r="AX105" i="37"/>
  <c r="BB105" i="37"/>
  <c r="BF105" i="37"/>
  <c r="BJ105" i="37"/>
  <c r="BN105" i="37"/>
  <c r="AE107" i="37"/>
  <c r="AI107" i="37"/>
  <c r="AM107" i="37"/>
  <c r="AQ107" i="37"/>
  <c r="AU107" i="37"/>
  <c r="AY107" i="37"/>
  <c r="BC107" i="37"/>
  <c r="BG107" i="37"/>
  <c r="BK107" i="37"/>
  <c r="BO107" i="37"/>
  <c r="Q114" i="37"/>
  <c r="P99" i="37"/>
  <c r="Q91" i="37"/>
  <c r="S94" i="37"/>
  <c r="S71" i="37"/>
  <c r="R69" i="37"/>
  <c r="R92" i="37"/>
  <c r="R88" i="37"/>
  <c r="R76" i="37"/>
  <c r="R73" i="37"/>
  <c r="U98" i="37"/>
  <c r="U68" i="37"/>
  <c r="X97" i="37"/>
  <c r="AA97" i="37"/>
  <c r="V97" i="37"/>
  <c r="Y110" i="37"/>
  <c r="AB113" i="37"/>
  <c r="P86" i="37"/>
  <c r="P94" i="37"/>
  <c r="Q77" i="37"/>
  <c r="Q107" i="37"/>
  <c r="T87" i="37"/>
  <c r="R106" i="37"/>
  <c r="R67" i="37"/>
  <c r="T78" i="37"/>
  <c r="Z69" i="37"/>
  <c r="AB110" i="37"/>
  <c r="AB67" i="37"/>
  <c r="V67" i="37"/>
  <c r="Y96" i="37"/>
  <c r="AG99" i="37"/>
  <c r="AK99" i="37"/>
  <c r="AO99" i="37"/>
  <c r="AS99" i="37"/>
  <c r="AW99" i="37"/>
  <c r="BA99" i="37"/>
  <c r="BE99" i="37"/>
  <c r="BI99" i="37"/>
  <c r="BM99" i="37"/>
  <c r="BQ99" i="37"/>
  <c r="Y72" i="37"/>
  <c r="AC72" i="37"/>
  <c r="AG72" i="37"/>
  <c r="AK72" i="37"/>
  <c r="AO72" i="37"/>
  <c r="AS72" i="37"/>
  <c r="AW72" i="37"/>
  <c r="BA72" i="37"/>
  <c r="BE72" i="37"/>
  <c r="BI72" i="37"/>
  <c r="BM72" i="37"/>
  <c r="BQ72" i="37"/>
  <c r="L85" i="37"/>
  <c r="J76" i="37"/>
  <c r="L78" i="37"/>
  <c r="K107" i="37"/>
  <c r="J92" i="37"/>
  <c r="L113" i="37"/>
  <c r="L75" i="37"/>
  <c r="L91" i="37"/>
  <c r="J106" i="37"/>
  <c r="X106" i="37"/>
  <c r="X121" i="37"/>
  <c r="X117" i="37"/>
  <c r="X70" i="37"/>
  <c r="W103" i="37"/>
  <c r="W113" i="37"/>
  <c r="W109" i="37"/>
  <c r="W105" i="37"/>
  <c r="X68" i="37"/>
  <c r="Z102" i="37"/>
  <c r="Z108" i="37"/>
  <c r="V101" i="37"/>
  <c r="Y69" i="37"/>
  <c r="Y67" i="37"/>
  <c r="AC106" i="37"/>
  <c r="AC121" i="37"/>
  <c r="V94" i="37"/>
  <c r="AC70" i="37"/>
  <c r="AB108" i="37"/>
  <c r="V103" i="37"/>
  <c r="AB99" i="37"/>
  <c r="AB103" i="37"/>
  <c r="V107" i="37"/>
  <c r="V105" i="37"/>
  <c r="AH95" i="37"/>
  <c r="AL95" i="37"/>
  <c r="AP95" i="37"/>
  <c r="AT95" i="37"/>
  <c r="AX95" i="37"/>
  <c r="BB95" i="37"/>
  <c r="BF95" i="37"/>
  <c r="BJ95" i="37"/>
  <c r="BN95" i="37"/>
  <c r="AC94" i="37"/>
  <c r="V75" i="37"/>
  <c r="Z75" i="37"/>
  <c r="AD75" i="37"/>
  <c r="AH75" i="37"/>
  <c r="AL75" i="37"/>
  <c r="AP75" i="37"/>
  <c r="AT75" i="37"/>
  <c r="AX75" i="37"/>
  <c r="BB75" i="37"/>
  <c r="BF75" i="37"/>
  <c r="BJ75" i="37"/>
  <c r="BN75" i="37"/>
  <c r="V83" i="37"/>
  <c r="Z83" i="37"/>
  <c r="AD83" i="37"/>
  <c r="AH83" i="37"/>
  <c r="AL83" i="37"/>
  <c r="AP83" i="37"/>
  <c r="AT83" i="37"/>
  <c r="AX83" i="37"/>
  <c r="BB83" i="37"/>
  <c r="BF83" i="37"/>
  <c r="BJ83" i="37"/>
  <c r="V84" i="37"/>
  <c r="Z84" i="37"/>
  <c r="AD84" i="37"/>
  <c r="AH84" i="37"/>
  <c r="AL84" i="37"/>
  <c r="AP84" i="37"/>
  <c r="AT84" i="37"/>
  <c r="AX84" i="37"/>
  <c r="BB84" i="37"/>
  <c r="BF84" i="37"/>
  <c r="BJ84" i="37"/>
  <c r="BN84" i="37"/>
  <c r="W85" i="37"/>
  <c r="AA85" i="37"/>
  <c r="AE85" i="37"/>
  <c r="AI85" i="37"/>
  <c r="AM85" i="37"/>
  <c r="AQ85" i="37"/>
  <c r="AU85" i="37"/>
  <c r="AY85" i="37"/>
  <c r="BC85" i="37"/>
  <c r="BG85" i="37"/>
  <c r="BK85" i="37"/>
  <c r="BO85" i="37"/>
  <c r="Y86" i="37"/>
  <c r="AC86" i="37"/>
  <c r="AG86" i="37"/>
  <c r="AK86" i="37"/>
  <c r="AO86" i="37"/>
  <c r="AS86" i="37"/>
  <c r="AW86" i="37"/>
  <c r="BA86" i="37"/>
  <c r="BE86" i="37"/>
  <c r="BI86" i="37"/>
  <c r="BM86" i="37"/>
  <c r="BQ86" i="37"/>
  <c r="V87" i="37"/>
  <c r="Z87" i="37"/>
  <c r="AD87" i="37"/>
  <c r="AH87" i="37"/>
  <c r="AL87" i="37"/>
  <c r="AP87" i="37"/>
  <c r="AT87" i="37"/>
  <c r="AX87" i="37"/>
  <c r="BB87" i="37"/>
  <c r="BF87" i="37"/>
  <c r="BJ87" i="37"/>
  <c r="BN87" i="37"/>
  <c r="X88" i="37"/>
  <c r="AB88" i="37"/>
  <c r="AF88" i="37"/>
  <c r="AJ88" i="37"/>
  <c r="AN88" i="37"/>
  <c r="AR88" i="37"/>
  <c r="AV88" i="37"/>
  <c r="AZ88" i="37"/>
  <c r="BD88" i="37"/>
  <c r="BH88" i="37"/>
  <c r="BL88" i="37"/>
  <c r="BP88" i="37"/>
  <c r="Y89" i="37"/>
  <c r="AC89" i="37"/>
  <c r="AG89" i="37"/>
  <c r="AK89" i="37"/>
  <c r="AO89" i="37"/>
  <c r="AS89" i="37"/>
  <c r="AW89" i="37"/>
  <c r="BA89" i="37"/>
  <c r="BE89" i="37"/>
  <c r="BI89" i="37"/>
  <c r="BM89" i="37"/>
  <c r="BQ89" i="37"/>
  <c r="V90" i="37"/>
  <c r="Z90" i="37"/>
  <c r="AD90" i="37"/>
  <c r="AH90" i="37"/>
  <c r="AL90" i="37"/>
  <c r="AP90" i="37"/>
  <c r="AT90" i="37"/>
  <c r="AX90" i="37"/>
  <c r="BB90" i="37"/>
  <c r="BF90" i="37"/>
  <c r="BJ90" i="37"/>
  <c r="BN90" i="37"/>
  <c r="X82" i="37"/>
  <c r="AB82" i="37"/>
  <c r="AF82" i="37"/>
  <c r="AJ82" i="37"/>
  <c r="AN82" i="37"/>
  <c r="AR82" i="37"/>
  <c r="AV82" i="37"/>
  <c r="AZ82" i="37"/>
  <c r="BD82" i="37"/>
  <c r="BH82" i="37"/>
  <c r="BL82" i="37"/>
  <c r="BP82" i="37"/>
  <c r="W76" i="37"/>
  <c r="AA76" i="37"/>
  <c r="AE76" i="37"/>
  <c r="AI76" i="37"/>
  <c r="AM76" i="37"/>
  <c r="AQ76" i="37"/>
  <c r="AU76" i="37"/>
  <c r="AY76" i="37"/>
  <c r="BC76" i="37"/>
  <c r="BG76" i="37"/>
  <c r="BK76" i="37"/>
  <c r="BO76" i="37"/>
  <c r="AA71" i="37"/>
  <c r="X78" i="37"/>
  <c r="AB78" i="37"/>
  <c r="AF78" i="37"/>
  <c r="BN83" i="37"/>
  <c r="W84" i="37"/>
  <c r="AA84" i="37"/>
  <c r="AE84" i="37"/>
  <c r="AI84" i="37"/>
  <c r="AM84" i="37"/>
  <c r="AQ84" i="37"/>
  <c r="AU84" i="37"/>
  <c r="AY84" i="37"/>
  <c r="BC84" i="37"/>
  <c r="BG84" i="37"/>
  <c r="BK84" i="37"/>
  <c r="BO84" i="37"/>
  <c r="X85" i="37"/>
  <c r="AB85" i="37"/>
  <c r="AF85" i="37"/>
  <c r="AJ85" i="37"/>
  <c r="AN85" i="37"/>
  <c r="AR85" i="37"/>
  <c r="AV85" i="37"/>
  <c r="AZ85" i="37"/>
  <c r="BD85" i="37"/>
  <c r="BH85" i="37"/>
  <c r="BL85" i="37"/>
  <c r="BP85" i="37"/>
  <c r="Y80" i="37"/>
  <c r="AC80" i="37"/>
  <c r="AG80" i="37"/>
  <c r="AK80" i="37"/>
  <c r="AO80" i="37"/>
  <c r="AS80" i="37"/>
  <c r="AW80" i="37"/>
  <c r="BA80" i="37"/>
  <c r="BE80" i="37"/>
  <c r="BI80" i="37"/>
  <c r="BM80" i="37"/>
  <c r="BQ80" i="37"/>
  <c r="W87" i="37"/>
  <c r="AA87" i="37"/>
  <c r="AE87" i="37"/>
  <c r="AI87" i="37"/>
  <c r="AM87" i="37"/>
  <c r="AQ87" i="37"/>
  <c r="AU87" i="37"/>
  <c r="AY87" i="37"/>
  <c r="BC87" i="37"/>
  <c r="BG87" i="37"/>
  <c r="BK87" i="37"/>
  <c r="BO87" i="37"/>
  <c r="V89" i="37"/>
  <c r="Z89" i="37"/>
  <c r="AD89" i="37"/>
  <c r="AH89" i="37"/>
  <c r="AL89" i="37"/>
  <c r="AP89" i="37"/>
  <c r="AT89" i="37"/>
  <c r="AX89" i="37"/>
  <c r="BB89" i="37"/>
  <c r="BF89" i="37"/>
  <c r="BJ89" i="37"/>
  <c r="BN89" i="37"/>
  <c r="W90" i="37"/>
  <c r="AA90" i="37"/>
  <c r="AE90" i="37"/>
  <c r="AI90" i="37"/>
  <c r="AM90" i="37"/>
  <c r="AQ90" i="37"/>
  <c r="AU90" i="37"/>
  <c r="AY90" i="37"/>
  <c r="BC90" i="37"/>
  <c r="BG90" i="37"/>
  <c r="BK90" i="37"/>
  <c r="BO90" i="37"/>
  <c r="Y82" i="37"/>
  <c r="AC82" i="37"/>
  <c r="AG82" i="37"/>
  <c r="AK82" i="37"/>
  <c r="AO82" i="37"/>
  <c r="AS82" i="37"/>
  <c r="AW82" i="37"/>
  <c r="BA82" i="37"/>
  <c r="BE82" i="37"/>
  <c r="BI82" i="37"/>
  <c r="BM82" i="37"/>
  <c r="BQ82" i="37"/>
  <c r="AJ78" i="37"/>
  <c r="AN78" i="37"/>
  <c r="AR78" i="37"/>
  <c r="AV78" i="37"/>
  <c r="AZ78" i="37"/>
  <c r="BD78" i="37"/>
  <c r="BH78" i="37"/>
  <c r="BL78" i="37"/>
  <c r="BP78" i="37"/>
  <c r="AF120" i="37"/>
  <c r="AJ120" i="37"/>
  <c r="AN120" i="37"/>
  <c r="AR120" i="37"/>
  <c r="AV120" i="37"/>
  <c r="AZ120" i="37"/>
  <c r="BD120" i="37"/>
  <c r="BH120" i="37"/>
  <c r="BL120" i="37"/>
  <c r="BP120" i="37"/>
  <c r="AH116" i="37"/>
  <c r="AP116" i="37"/>
  <c r="AX116" i="37"/>
  <c r="BF116" i="37"/>
  <c r="BJ116" i="37"/>
  <c r="BN116" i="37"/>
  <c r="AE115" i="37"/>
  <c r="AI115" i="37"/>
  <c r="AM115" i="37"/>
  <c r="AQ115" i="37"/>
  <c r="AU115" i="37"/>
  <c r="BG115" i="37"/>
  <c r="BK115" i="37"/>
  <c r="AR118" i="37"/>
  <c r="AV118" i="37"/>
  <c r="AZ118" i="37"/>
  <c r="BD118" i="37"/>
  <c r="BH118" i="37"/>
  <c r="BL118" i="37"/>
  <c r="BP118" i="37"/>
  <c r="AD123" i="37"/>
  <c r="AG123" i="37"/>
  <c r="AK123" i="37"/>
  <c r="AO123" i="37"/>
  <c r="AS123" i="37"/>
  <c r="AW123" i="37"/>
  <c r="BA123" i="37"/>
  <c r="BE123" i="37"/>
  <c r="BI123" i="37"/>
  <c r="BM123" i="37"/>
  <c r="AD122" i="37"/>
  <c r="AG122" i="37"/>
  <c r="AO122" i="37"/>
  <c r="AS122" i="37"/>
  <c r="AW122" i="37"/>
  <c r="BA122" i="37"/>
  <c r="BE122" i="37"/>
  <c r="BI122" i="37"/>
  <c r="BM122" i="37"/>
  <c r="AF121" i="37"/>
  <c r="AN121" i="37"/>
  <c r="AR121" i="37"/>
  <c r="AV121" i="37"/>
  <c r="BL121" i="37"/>
  <c r="BP121" i="37"/>
  <c r="AD111" i="37"/>
  <c r="AG111" i="37"/>
  <c r="AK111" i="37"/>
  <c r="AO111" i="37"/>
  <c r="AS111" i="37"/>
  <c r="AW111" i="37"/>
  <c r="BA111" i="37"/>
  <c r="BE111" i="37"/>
  <c r="BI111" i="37"/>
  <c r="BM111" i="37"/>
  <c r="BQ111" i="37"/>
  <c r="AG104" i="37"/>
  <c r="AK104" i="37"/>
  <c r="AO104" i="37"/>
  <c r="AS104" i="37"/>
  <c r="AW104" i="37"/>
  <c r="BA104" i="37"/>
  <c r="BE104" i="37"/>
  <c r="BI104" i="37"/>
  <c r="BM104" i="37"/>
  <c r="BQ104" i="37"/>
  <c r="AE119" i="37"/>
  <c r="AI119" i="37"/>
  <c r="AM119" i="37"/>
  <c r="AQ119" i="37"/>
  <c r="AU119" i="37"/>
  <c r="AY119" i="37"/>
  <c r="BC119" i="37"/>
  <c r="BG119" i="37"/>
  <c r="BK119" i="37"/>
  <c r="BO119" i="37"/>
  <c r="AE116" i="37"/>
  <c r="AM116" i="37"/>
  <c r="AU116" i="37"/>
  <c r="AY116" i="37"/>
  <c r="BC116" i="37"/>
  <c r="BO116" i="37"/>
  <c r="AF115" i="37"/>
  <c r="AN115" i="37"/>
  <c r="AV115" i="37"/>
  <c r="AZ115" i="37"/>
  <c r="BD115" i="37"/>
  <c r="BH115" i="37"/>
  <c r="BL115" i="37"/>
  <c r="BP115" i="37"/>
  <c r="AE105" i="37"/>
  <c r="AI105" i="37"/>
  <c r="AM105" i="37"/>
  <c r="AQ105" i="37"/>
  <c r="AU105" i="37"/>
  <c r="AY105" i="37"/>
  <c r="BC105" i="37"/>
  <c r="BG105" i="37"/>
  <c r="BK105" i="37"/>
  <c r="BO105" i="37"/>
  <c r="AF107" i="37"/>
  <c r="AJ107" i="37"/>
  <c r="AN107" i="37"/>
  <c r="AR107" i="37"/>
  <c r="AV107" i="37"/>
  <c r="AZ107" i="37"/>
  <c r="BD107" i="37"/>
  <c r="BH107" i="37"/>
  <c r="BL107" i="37"/>
  <c r="BP107" i="37"/>
  <c r="X112" i="37"/>
  <c r="X95" i="37"/>
  <c r="AA102" i="37"/>
  <c r="AA104" i="37"/>
  <c r="AA110" i="37"/>
  <c r="AA107" i="37"/>
  <c r="AA126" i="37"/>
  <c r="W99" i="37"/>
  <c r="Z100" i="37"/>
  <c r="Z106" i="37"/>
  <c r="Y102" i="37"/>
  <c r="Y108" i="37"/>
  <c r="Y100" i="37"/>
  <c r="AC112" i="37"/>
  <c r="AE98" i="37"/>
  <c r="AQ98" i="37"/>
  <c r="AY98" i="37"/>
  <c r="BK98" i="37"/>
  <c r="AF96" i="37"/>
  <c r="AN96" i="37"/>
  <c r="AV96" i="37"/>
  <c r="BH96" i="37"/>
  <c r="BP96" i="37"/>
  <c r="W81" i="37"/>
  <c r="AA81" i="37"/>
  <c r="AE81" i="37"/>
  <c r="AI81" i="37"/>
  <c r="AM81" i="37"/>
  <c r="AQ81" i="37"/>
  <c r="AU81" i="37"/>
  <c r="AY81" i="37"/>
  <c r="BC81" i="37"/>
  <c r="BG81" i="37"/>
  <c r="BK81" i="37"/>
  <c r="BO81" i="37"/>
  <c r="W79" i="37"/>
  <c r="AA79" i="37"/>
  <c r="AE79" i="37"/>
  <c r="AI79" i="37"/>
  <c r="AM79" i="37"/>
  <c r="AQ79" i="37"/>
  <c r="AU79" i="37"/>
  <c r="AY79" i="37"/>
  <c r="BC79" i="37"/>
  <c r="BG79" i="37"/>
  <c r="BK79" i="37"/>
  <c r="BO79" i="37"/>
  <c r="Y92" i="37"/>
  <c r="AC92" i="37"/>
  <c r="AG92" i="37"/>
  <c r="AK92" i="37"/>
  <c r="AO92" i="37"/>
  <c r="AS92" i="37"/>
  <c r="AW92" i="37"/>
  <c r="BA92" i="37"/>
  <c r="BE92" i="37"/>
  <c r="BI92" i="37"/>
  <c r="BM92" i="37"/>
  <c r="BQ92" i="37"/>
  <c r="X74" i="37"/>
  <c r="AB74" i="37"/>
  <c r="AF74" i="37"/>
  <c r="AJ74" i="37"/>
  <c r="AN74" i="37"/>
  <c r="AR74" i="37"/>
  <c r="AV74" i="37"/>
  <c r="AZ74" i="37"/>
  <c r="BD74" i="37"/>
  <c r="BH74" i="37"/>
  <c r="BL74" i="37"/>
  <c r="BP74" i="37"/>
  <c r="V77" i="37"/>
  <c r="Z77" i="37"/>
  <c r="AD77" i="37"/>
  <c r="AH77" i="37"/>
  <c r="AL77" i="37"/>
  <c r="AP77" i="37"/>
  <c r="AT77" i="37"/>
  <c r="AX77" i="37"/>
  <c r="BB77" i="37"/>
  <c r="BF77" i="37"/>
  <c r="BJ77" i="37"/>
  <c r="BN77" i="37"/>
  <c r="W71" i="37"/>
  <c r="Z117" i="37"/>
  <c r="AE114" i="37"/>
  <c r="AM114" i="37"/>
  <c r="AQ114" i="37"/>
  <c r="AY114" i="37"/>
  <c r="BC114" i="37"/>
  <c r="BK114" i="37"/>
  <c r="AE125" i="37"/>
  <c r="AI125" i="37"/>
  <c r="AM125" i="37"/>
  <c r="AQ125" i="37"/>
  <c r="AU125" i="37"/>
  <c r="AY125" i="37"/>
  <c r="BK125" i="37"/>
  <c r="BO125" i="37"/>
  <c r="AF124" i="37"/>
  <c r="AN124" i="37"/>
  <c r="AR124" i="37"/>
  <c r="AV124" i="37"/>
  <c r="BH124" i="37"/>
  <c r="BL124" i="37"/>
  <c r="AH126" i="37"/>
  <c r="AT126" i="37"/>
  <c r="AX126" i="37"/>
  <c r="BB126" i="37"/>
  <c r="BN126" i="37"/>
  <c r="AG109" i="37"/>
  <c r="AK109" i="37"/>
  <c r="AO109" i="37"/>
  <c r="AS109" i="37"/>
  <c r="AW109" i="37"/>
  <c r="BA109" i="37"/>
  <c r="BE109" i="37"/>
  <c r="BS6" i="37"/>
  <c r="EG6" i="37"/>
  <c r="AI98" i="37"/>
  <c r="AM98" i="37"/>
  <c r="AU98" i="37"/>
  <c r="BC98" i="37"/>
  <c r="BG98" i="37"/>
  <c r="BO98" i="37"/>
  <c r="AJ96" i="37"/>
  <c r="AR96" i="37"/>
  <c r="AZ96" i="37"/>
  <c r="BD96" i="37"/>
  <c r="BL96" i="37"/>
  <c r="L99" i="37"/>
  <c r="J82" i="37"/>
  <c r="K79" i="37"/>
  <c r="L110" i="37"/>
  <c r="K88" i="37"/>
  <c r="N79" i="37"/>
  <c r="N86" i="37"/>
  <c r="N108" i="37"/>
  <c r="Q86" i="37"/>
  <c r="Q68" i="37"/>
  <c r="P103" i="37"/>
  <c r="P98" i="37"/>
  <c r="T94" i="37"/>
  <c r="T71" i="37"/>
  <c r="T82" i="37"/>
  <c r="S78" i="37"/>
  <c r="T76" i="37"/>
  <c r="X100" i="37"/>
  <c r="X103" i="37"/>
  <c r="X109" i="37"/>
  <c r="W100" i="37"/>
  <c r="AA95" i="37"/>
  <c r="AA98" i="37"/>
  <c r="Z110" i="37"/>
  <c r="Z125" i="37"/>
  <c r="Y113" i="37"/>
  <c r="Y105" i="37"/>
  <c r="Y122" i="37"/>
  <c r="Z96" i="37"/>
  <c r="AC103" i="37"/>
  <c r="AC109" i="37"/>
  <c r="AC125" i="37"/>
  <c r="AD99" i="37"/>
  <c r="AD109" i="37"/>
  <c r="V109" i="37"/>
  <c r="AC98" i="37"/>
  <c r="AB93" i="37"/>
  <c r="K100" i="37"/>
  <c r="N109" i="37"/>
  <c r="O68" i="37"/>
  <c r="O76" i="37"/>
  <c r="N91" i="37"/>
  <c r="M73" i="37"/>
  <c r="O94" i="37"/>
  <c r="M70" i="37"/>
  <c r="M86" i="37"/>
  <c r="O82" i="37"/>
  <c r="M113" i="37"/>
  <c r="O111" i="37"/>
  <c r="M90" i="37"/>
  <c r="O99" i="37"/>
  <c r="O88" i="37"/>
  <c r="N112" i="37"/>
  <c r="M77" i="37"/>
  <c r="M80" i="37"/>
  <c r="M106" i="37"/>
  <c r="K95" i="37"/>
  <c r="P104" i="37"/>
  <c r="Q112" i="37"/>
  <c r="Q94" i="37"/>
  <c r="P77" i="37"/>
  <c r="Q87" i="37"/>
  <c r="P82" i="37"/>
  <c r="Q125" i="37"/>
  <c r="Q70" i="37"/>
  <c r="Q73" i="37"/>
  <c r="Q105" i="37"/>
  <c r="P84" i="37"/>
  <c r="Q101" i="37"/>
  <c r="P67" i="37"/>
  <c r="Q81" i="37"/>
  <c r="Q99" i="37"/>
  <c r="P75" i="37"/>
  <c r="Q97" i="37"/>
  <c r="P100" i="37"/>
  <c r="P69" i="37"/>
  <c r="J83" i="37"/>
  <c r="U87" i="37"/>
  <c r="S85" i="37"/>
  <c r="T104" i="37"/>
  <c r="R96" i="37"/>
  <c r="S99" i="37"/>
  <c r="S106" i="37"/>
  <c r="S67" i="37"/>
  <c r="R94" i="37"/>
  <c r="R103" i="37"/>
  <c r="R71" i="37"/>
  <c r="R107" i="37"/>
  <c r="S74" i="37"/>
  <c r="R82" i="37"/>
  <c r="R86" i="37"/>
  <c r="U69" i="37"/>
  <c r="M93" i="37"/>
  <c r="U92" i="37"/>
  <c r="U101" i="37"/>
  <c r="U81" i="37"/>
  <c r="U117" i="37"/>
  <c r="U73" i="37"/>
  <c r="U75" i="37"/>
  <c r="U83" i="37"/>
  <c r="T95" i="37"/>
  <c r="T80" i="37"/>
  <c r="S97" i="37"/>
  <c r="T98" i="37"/>
  <c r="T72" i="37"/>
  <c r="T113" i="37"/>
  <c r="S91" i="37"/>
  <c r="P109" i="37"/>
  <c r="U109" i="37"/>
  <c r="S102" i="37"/>
  <c r="T109" i="37"/>
  <c r="L104" i="37"/>
  <c r="X93" i="37"/>
  <c r="W97" i="37"/>
  <c r="AB98" i="37"/>
  <c r="AC69" i="37"/>
  <c r="AB112" i="37"/>
  <c r="AH68" i="37"/>
  <c r="AL68" i="37"/>
  <c r="AP68" i="37"/>
  <c r="AT68" i="37"/>
  <c r="AD70" i="37"/>
  <c r="AD96" i="37"/>
  <c r="AD106" i="37"/>
  <c r="AB105" i="37"/>
  <c r="AB68" i="37"/>
  <c r="Y94" i="37"/>
  <c r="AA68" i="37"/>
  <c r="AF70" i="37"/>
  <c r="AJ70" i="37"/>
  <c r="AN70" i="37"/>
  <c r="AR70" i="37"/>
  <c r="AV70" i="37"/>
  <c r="AZ70" i="37"/>
  <c r="BD70" i="37"/>
  <c r="BH70" i="37"/>
  <c r="BL70" i="37"/>
  <c r="BP70" i="37"/>
  <c r="AG94" i="37"/>
  <c r="AK94" i="37"/>
  <c r="AO94" i="37"/>
  <c r="AS94" i="37"/>
  <c r="AW94" i="37"/>
  <c r="BA94" i="37"/>
  <c r="BE94" i="37"/>
  <c r="BI94" i="37"/>
  <c r="BM94" i="37"/>
  <c r="BQ94" i="37"/>
  <c r="AH99" i="37"/>
  <c r="AL99" i="37"/>
  <c r="AP99" i="37"/>
  <c r="AT99" i="37"/>
  <c r="AX99" i="37"/>
  <c r="BB99" i="37"/>
  <c r="BF99" i="37"/>
  <c r="BJ99" i="37"/>
  <c r="BN99" i="37"/>
  <c r="V72" i="37"/>
  <c r="Z72" i="37"/>
  <c r="AD72" i="37"/>
  <c r="AH72" i="37"/>
  <c r="AL72" i="37"/>
  <c r="AP72" i="37"/>
  <c r="AT72" i="37"/>
  <c r="AX72" i="37"/>
  <c r="BB72" i="37"/>
  <c r="BF72" i="37"/>
  <c r="BJ72" i="37"/>
  <c r="BN72" i="37"/>
  <c r="V86" i="37"/>
  <c r="AX68" i="37"/>
  <c r="BB68" i="37"/>
  <c r="BF68" i="37"/>
  <c r="BJ68" i="37"/>
  <c r="BN68" i="37"/>
  <c r="AF101" i="37"/>
  <c r="AJ101" i="37"/>
  <c r="AN101" i="37"/>
  <c r="AR101" i="37"/>
  <c r="AV101" i="37"/>
  <c r="AZ101" i="37"/>
  <c r="BD101" i="37"/>
  <c r="BH101" i="37"/>
  <c r="BL101" i="37"/>
  <c r="BP101" i="37"/>
  <c r="AE95" i="37"/>
  <c r="AI95" i="37"/>
  <c r="AM95" i="37"/>
  <c r="AQ95" i="37"/>
  <c r="AU95" i="37"/>
  <c r="AY95" i="37"/>
  <c r="BC95" i="37"/>
  <c r="BG95" i="37"/>
  <c r="BK95" i="37"/>
  <c r="BO95" i="37"/>
  <c r="W75" i="37"/>
  <c r="AA75" i="37"/>
  <c r="AE75" i="37"/>
  <c r="AI75" i="37"/>
  <c r="AM75" i="37"/>
  <c r="AQ75" i="37"/>
  <c r="AU75" i="37"/>
  <c r="AY75" i="37"/>
  <c r="BC75" i="37"/>
  <c r="BG75" i="37"/>
  <c r="BK75" i="37"/>
  <c r="BO75" i="37"/>
  <c r="W83" i="37"/>
  <c r="AA83" i="37"/>
  <c r="AE83" i="37"/>
  <c r="AI83" i="37"/>
  <c r="AM83" i="37"/>
  <c r="AQ83" i="37"/>
  <c r="AU83" i="37"/>
  <c r="AY83" i="37"/>
  <c r="BC83" i="37"/>
  <c r="BG83" i="37"/>
  <c r="BK83" i="37"/>
  <c r="BO83" i="37"/>
  <c r="V80" i="37"/>
  <c r="Z80" i="37"/>
  <c r="AD80" i="37"/>
  <c r="AH80" i="37"/>
  <c r="AL80" i="37"/>
  <c r="AP80" i="37"/>
  <c r="AT80" i="37"/>
  <c r="AX80" i="37"/>
  <c r="BB80" i="37"/>
  <c r="BF80" i="37"/>
  <c r="BJ80" i="37"/>
  <c r="BN80" i="37"/>
  <c r="Z86" i="37"/>
  <c r="AD86" i="37"/>
  <c r="AH86" i="37"/>
  <c r="AL86" i="37"/>
  <c r="AP86" i="37"/>
  <c r="AT86" i="37"/>
  <c r="AX86" i="37"/>
  <c r="BB86" i="37"/>
  <c r="BF86" i="37"/>
  <c r="BJ86" i="37"/>
  <c r="BN86" i="37"/>
  <c r="Y88" i="37"/>
  <c r="AC88" i="37"/>
  <c r="AG88" i="37"/>
  <c r="AK88" i="37"/>
  <c r="AO88" i="37"/>
  <c r="AS88" i="37"/>
  <c r="AW88" i="37"/>
  <c r="BA88" i="37"/>
  <c r="BE88" i="37"/>
  <c r="BI88" i="37"/>
  <c r="BM88" i="37"/>
  <c r="BQ88" i="37"/>
  <c r="X76" i="37"/>
  <c r="AB76" i="37"/>
  <c r="AF76" i="37"/>
  <c r="AJ76" i="37"/>
  <c r="AN76" i="37"/>
  <c r="AR76" i="37"/>
  <c r="AV76" i="37"/>
  <c r="AZ76" i="37"/>
  <c r="BD76" i="37"/>
  <c r="BH76" i="37"/>
  <c r="BL76" i="37"/>
  <c r="BP76" i="37"/>
  <c r="AB71" i="37"/>
  <c r="Y78" i="37"/>
  <c r="AC78" i="37"/>
  <c r="AG78" i="37"/>
  <c r="AK78" i="37"/>
  <c r="AO78" i="37"/>
  <c r="AS78" i="37"/>
  <c r="AW78" i="37"/>
  <c r="BA78" i="37"/>
  <c r="BE78" i="37"/>
  <c r="BI78" i="37"/>
  <c r="BM78" i="37"/>
  <c r="BQ78" i="37"/>
  <c r="AG120" i="37"/>
  <c r="AK120" i="37"/>
  <c r="AO120" i="37"/>
  <c r="AS120" i="37"/>
  <c r="AW120" i="37"/>
  <c r="BA120" i="37"/>
  <c r="BE120" i="37"/>
  <c r="AL123" i="37"/>
  <c r="AP123" i="37"/>
  <c r="AT123" i="37"/>
  <c r="AX123" i="37"/>
  <c r="BB123" i="37"/>
  <c r="BF123" i="37"/>
  <c r="BJ123" i="37"/>
  <c r="AL122" i="37"/>
  <c r="AP122" i="37"/>
  <c r="AT122" i="37"/>
  <c r="BB122" i="37"/>
  <c r="BF122" i="37"/>
  <c r="BJ122" i="37"/>
  <c r="AG121" i="37"/>
  <c r="AK121" i="37"/>
  <c r="AO121" i="37"/>
  <c r="AS121" i="37"/>
  <c r="BA121" i="37"/>
  <c r="BE121" i="37"/>
  <c r="BI121" i="37"/>
  <c r="BQ121" i="37"/>
  <c r="AH111" i="37"/>
  <c r="AL111" i="37"/>
  <c r="AP111" i="37"/>
  <c r="AT111" i="37"/>
  <c r="AX111" i="37"/>
  <c r="BB111" i="37"/>
  <c r="BF111" i="37"/>
  <c r="BJ111" i="37"/>
  <c r="BN111" i="37"/>
  <c r="BI109" i="37"/>
  <c r="BM109" i="37"/>
  <c r="BQ109" i="37"/>
  <c r="AH108" i="37"/>
  <c r="AL108" i="37"/>
  <c r="AP108" i="37"/>
  <c r="AT108" i="37"/>
  <c r="AX108" i="37"/>
  <c r="BB108" i="37"/>
  <c r="BF108" i="37"/>
  <c r="BJ108" i="37"/>
  <c r="BN108" i="37"/>
  <c r="AE67" i="37"/>
  <c r="AI67" i="37"/>
  <c r="AM67" i="37"/>
  <c r="AQ67" i="37"/>
  <c r="AU67" i="37"/>
  <c r="AY67" i="37"/>
  <c r="BC67" i="37"/>
  <c r="BG67" i="37"/>
  <c r="BK67" i="37"/>
  <c r="BO67" i="37"/>
  <c r="AF112" i="37"/>
  <c r="AJ112" i="37"/>
  <c r="AN112" i="37"/>
  <c r="AR112" i="37"/>
  <c r="AV112" i="37"/>
  <c r="AZ112" i="37"/>
  <c r="BD112" i="37"/>
  <c r="BH112" i="37"/>
  <c r="BL112" i="37"/>
  <c r="BP112" i="37"/>
  <c r="AE110" i="37"/>
  <c r="AI110" i="37"/>
  <c r="AM110" i="37"/>
  <c r="AQ110" i="37"/>
  <c r="AU110" i="37"/>
  <c r="AY110" i="37"/>
  <c r="BC110" i="37"/>
  <c r="BG110" i="37"/>
  <c r="BK110" i="37"/>
  <c r="BO110" i="37"/>
  <c r="AD104" i="37"/>
  <c r="AE103" i="37"/>
  <c r="AI103" i="37"/>
  <c r="AM103" i="37"/>
  <c r="AQ103" i="37"/>
  <c r="AU103" i="37"/>
  <c r="AY103" i="37"/>
  <c r="BC103" i="37"/>
  <c r="BG103" i="37"/>
  <c r="BK103" i="37"/>
  <c r="BO103" i="37"/>
  <c r="AF102" i="37"/>
  <c r="AJ102" i="37"/>
  <c r="AN102" i="37"/>
  <c r="AR102" i="37"/>
  <c r="AV102" i="37"/>
  <c r="AZ102" i="37"/>
  <c r="BD102" i="37"/>
  <c r="BH102" i="37"/>
  <c r="BL102" i="37"/>
  <c r="BP102" i="37"/>
  <c r="V69" i="37"/>
  <c r="AG69" i="37"/>
  <c r="AK69" i="37"/>
  <c r="AO69" i="37"/>
  <c r="AS69" i="37"/>
  <c r="AW69" i="37"/>
  <c r="BA69" i="37"/>
  <c r="BE69" i="37"/>
  <c r="BI69" i="37"/>
  <c r="BM69" i="37"/>
  <c r="BQ69" i="37"/>
  <c r="AH93" i="37"/>
  <c r="AL93" i="37"/>
  <c r="AP93" i="37"/>
  <c r="AT93" i="37"/>
  <c r="AX93" i="37"/>
  <c r="BB93" i="37"/>
  <c r="BF93" i="37"/>
  <c r="BJ93" i="37"/>
  <c r="BN93" i="37"/>
  <c r="AF110" i="37"/>
  <c r="AJ110" i="37"/>
  <c r="AN110" i="37"/>
  <c r="AR110" i="37"/>
  <c r="AV110" i="37"/>
  <c r="AZ110" i="37"/>
  <c r="BD110" i="37"/>
  <c r="BH110" i="37"/>
  <c r="BL110" i="37"/>
  <c r="BP110" i="37"/>
  <c r="AH104" i="37"/>
  <c r="AL104" i="37"/>
  <c r="AP104" i="37"/>
  <c r="AT104" i="37"/>
  <c r="AX104" i="37"/>
  <c r="BB104" i="37"/>
  <c r="BF104" i="37"/>
  <c r="BJ104" i="37"/>
  <c r="BN104" i="37"/>
  <c r="AD102" i="37"/>
  <c r="AG102" i="37"/>
  <c r="AK102" i="37"/>
  <c r="AO102" i="37"/>
  <c r="AS102" i="37"/>
  <c r="AW102" i="37"/>
  <c r="BA102" i="37"/>
  <c r="BE102" i="37"/>
  <c r="BI102" i="37"/>
  <c r="BM102" i="37"/>
  <c r="BQ102" i="37"/>
  <c r="AH69" i="37"/>
  <c r="AL69" i="37"/>
  <c r="AP69" i="37"/>
  <c r="AT69" i="37"/>
  <c r="AX69" i="37"/>
  <c r="BB69" i="37"/>
  <c r="BF69" i="37"/>
  <c r="BJ69" i="37"/>
  <c r="BN69" i="37"/>
  <c r="AE93" i="37"/>
  <c r="AI93" i="37"/>
  <c r="AM93" i="37"/>
  <c r="AQ93" i="37"/>
  <c r="AU93" i="37"/>
  <c r="AY93" i="37"/>
  <c r="BC93" i="37"/>
  <c r="BG93" i="37"/>
  <c r="BK93" i="37"/>
  <c r="BO93" i="37"/>
  <c r="T2" i="34"/>
  <c r="BN3" i="37"/>
  <c r="AX3" i="37"/>
  <c r="AH3" i="37"/>
  <c r="R3" i="37"/>
  <c r="BH3" i="37"/>
  <c r="AB3" i="37"/>
  <c r="BK3" i="37"/>
  <c r="AU3" i="37"/>
  <c r="AA3" i="37"/>
  <c r="K3" i="37"/>
  <c r="BE3" i="37"/>
  <c r="AO3" i="37"/>
  <c r="Y3" i="37"/>
  <c r="O1" i="37"/>
  <c r="AN3" i="37"/>
  <c r="AE3" i="37"/>
  <c r="BH3" i="34"/>
  <c r="AR3" i="34"/>
  <c r="BG3" i="34"/>
  <c r="AQ3" i="34"/>
  <c r="BB3" i="34"/>
  <c r="BQ3" i="34"/>
  <c r="BA3" i="34"/>
  <c r="AM3" i="34"/>
  <c r="W3" i="34"/>
  <c r="AL3" i="34"/>
  <c r="V3" i="34"/>
  <c r="AK3" i="34"/>
  <c r="U3" i="34"/>
  <c r="AF3" i="34"/>
  <c r="P3" i="34"/>
  <c r="CO24" i="33"/>
  <c r="CO40" i="33"/>
  <c r="CO17" i="33"/>
  <c r="CO33" i="33"/>
  <c r="CO26" i="33"/>
  <c r="CO42" i="33"/>
  <c r="CO19" i="33"/>
  <c r="CO35" i="33"/>
  <c r="CO10" i="33"/>
  <c r="CI10" i="33"/>
  <c r="CD13" i="33"/>
  <c r="CF15" i="33"/>
  <c r="CH17" i="33"/>
  <c r="CC20" i="33"/>
  <c r="CE22" i="33"/>
  <c r="CG24" i="33"/>
  <c r="CI26" i="33"/>
  <c r="CD29" i="33"/>
  <c r="CF31" i="33"/>
  <c r="CH33" i="33"/>
  <c r="CC36" i="33"/>
  <c r="AH2" i="34"/>
  <c r="BF3" i="37"/>
  <c r="AP3" i="37"/>
  <c r="Z3" i="37"/>
  <c r="J3" i="37"/>
  <c r="AR3" i="37"/>
  <c r="P3" i="37"/>
  <c r="BC3" i="37"/>
  <c r="AM3" i="37"/>
  <c r="S3" i="37"/>
  <c r="BM3" i="37"/>
  <c r="AW3" i="37"/>
  <c r="AG3" i="37"/>
  <c r="Q3" i="37"/>
  <c r="BD3" i="37"/>
  <c r="X3" i="37"/>
  <c r="BP3" i="34"/>
  <c r="AZ3" i="34"/>
  <c r="BO3" i="34"/>
  <c r="AY3" i="34"/>
  <c r="BJ3" i="34"/>
  <c r="AT3" i="34"/>
  <c r="BI3" i="34"/>
  <c r="AS3" i="34"/>
  <c r="AE3" i="34"/>
  <c r="O3" i="34"/>
  <c r="AD3" i="34"/>
  <c r="N3" i="34"/>
  <c r="AC3" i="34"/>
  <c r="M3" i="34"/>
  <c r="X3" i="34"/>
  <c r="L98" i="37"/>
  <c r="K71" i="37"/>
  <c r="K94" i="37"/>
  <c r="N89" i="37"/>
  <c r="N76" i="37"/>
  <c r="O105" i="37"/>
  <c r="N78" i="37"/>
  <c r="N70" i="37"/>
  <c r="N107" i="37"/>
  <c r="GX2" i="37"/>
  <c r="BQ13" i="33"/>
  <c r="BQ9" i="33"/>
  <c r="BQ30" i="33"/>
  <c r="BQ26" i="33"/>
  <c r="BQ22" i="33"/>
  <c r="BQ18" i="33"/>
  <c r="BQ61" i="33"/>
  <c r="BQ53" i="33"/>
  <c r="BQ49" i="33"/>
  <c r="BB7" i="33"/>
  <c r="K99" i="37"/>
  <c r="J79" i="37"/>
  <c r="L111" i="37"/>
  <c r="J69" i="37"/>
  <c r="K92" i="37"/>
  <c r="J72" i="37"/>
  <c r="K86" i="37"/>
  <c r="L100" i="37"/>
  <c r="K90" i="37"/>
  <c r="M79" i="37"/>
  <c r="N105" i="37"/>
  <c r="M103" i="37"/>
  <c r="O92" i="37"/>
  <c r="N74" i="37"/>
  <c r="M82" i="37"/>
  <c r="M108" i="37"/>
  <c r="N87" i="37"/>
  <c r="N90" i="37"/>
  <c r="N80" i="37"/>
  <c r="K105" i="37"/>
  <c r="L87" i="37"/>
  <c r="AB67" i="34"/>
  <c r="AI69" i="34"/>
  <c r="AJ77" i="34"/>
  <c r="Q77" i="34"/>
  <c r="Y74" i="34"/>
  <c r="V75" i="34"/>
  <c r="AD75" i="34"/>
  <c r="AB75" i="34"/>
  <c r="AB70" i="34"/>
  <c r="AA67" i="34"/>
  <c r="AE67" i="34"/>
  <c r="BJ74" i="34"/>
  <c r="AR75" i="34"/>
  <c r="BM75" i="34"/>
  <c r="AV73" i="34"/>
  <c r="AR68" i="34"/>
  <c r="BJ77" i="34"/>
  <c r="U73" i="34"/>
  <c r="R67" i="34"/>
  <c r="X75" i="34"/>
  <c r="AM73" i="34"/>
  <c r="AC77" i="34"/>
  <c r="AE74" i="34"/>
  <c r="AC75" i="34"/>
  <c r="Z75" i="34"/>
  <c r="AF76" i="34"/>
  <c r="Z69" i="34"/>
  <c r="R74" i="34"/>
  <c r="AG76" i="34"/>
  <c r="V76" i="34"/>
  <c r="AL76" i="34"/>
  <c r="AD76" i="34"/>
  <c r="Q72" i="34"/>
  <c r="S73" i="34"/>
  <c r="AG73" i="34"/>
  <c r="U77" i="34"/>
  <c r="V74" i="34"/>
  <c r="BB74" i="34"/>
  <c r="BC74" i="34"/>
  <c r="BA71" i="34"/>
  <c r="BI71" i="34"/>
  <c r="AQ75" i="34"/>
  <c r="BA73" i="34"/>
  <c r="BN68" i="34"/>
  <c r="BE77" i="34"/>
  <c r="BF77" i="34"/>
  <c r="BD77" i="34"/>
  <c r="AZ67" i="34"/>
  <c r="BB67" i="34"/>
  <c r="AO76" i="34"/>
  <c r="AU76" i="34"/>
  <c r="Z111" i="37"/>
  <c r="AC99" i="37"/>
  <c r="Z91" i="37"/>
  <c r="AH91" i="37"/>
  <c r="AT91" i="37"/>
  <c r="BB91" i="37"/>
  <c r="BJ91" i="37"/>
  <c r="AC73" i="37"/>
  <c r="AK73" i="37"/>
  <c r="AW73" i="37"/>
  <c r="L80" i="37"/>
  <c r="K101" i="37"/>
  <c r="N110" i="37"/>
  <c r="M87" i="37"/>
  <c r="O85" i="37"/>
  <c r="P78" i="37"/>
  <c r="R108" i="37"/>
  <c r="U88" i="37"/>
  <c r="U70" i="37"/>
  <c r="U89" i="37"/>
  <c r="U90" i="37"/>
  <c r="U112" i="37"/>
  <c r="U79" i="37"/>
  <c r="U77" i="37"/>
  <c r="S68" i="37"/>
  <c r="S100" i="37"/>
  <c r="T105" i="37"/>
  <c r="R109" i="37"/>
  <c r="W68" i="37"/>
  <c r="V95" i="37"/>
  <c r="W117" i="37"/>
  <c r="V91" i="37"/>
  <c r="AD91" i="37"/>
  <c r="AL91" i="37"/>
  <c r="AP91" i="37"/>
  <c r="AX91" i="37"/>
  <c r="BF91" i="37"/>
  <c r="BN91" i="37"/>
  <c r="Y73" i="37"/>
  <c r="AG73" i="37"/>
  <c r="AO73" i="37"/>
  <c r="AS73" i="37"/>
  <c r="BA73" i="37"/>
  <c r="BI73" i="37"/>
  <c r="BQ73" i="37"/>
  <c r="AE71" i="37"/>
  <c r="AM71" i="37"/>
  <c r="AU71" i="37"/>
  <c r="BG71" i="37"/>
  <c r="BO71" i="37"/>
  <c r="AH106" i="37"/>
  <c r="AT106" i="37"/>
  <c r="BB106" i="37"/>
  <c r="BJ106" i="37"/>
  <c r="AF113" i="37"/>
  <c r="AN113" i="37"/>
  <c r="AR113" i="37"/>
  <c r="AZ113" i="37"/>
  <c r="BH113" i="37"/>
  <c r="BP113" i="37"/>
  <c r="AF97" i="37"/>
  <c r="AN97" i="37"/>
  <c r="AV97" i="37"/>
  <c r="BH97" i="37"/>
  <c r="BP97" i="37"/>
  <c r="AG100" i="37"/>
  <c r="AO100" i="37"/>
  <c r="AW100" i="37"/>
  <c r="BE100" i="37"/>
  <c r="BM100" i="37"/>
  <c r="L68" i="37"/>
  <c r="L82" i="37"/>
  <c r="K102" i="37"/>
  <c r="K96" i="37"/>
  <c r="J94" i="37"/>
  <c r="J77" i="37"/>
  <c r="O100" i="37"/>
  <c r="M96" i="37"/>
  <c r="O77" i="37"/>
  <c r="L95" i="37"/>
  <c r="Q82" i="37"/>
  <c r="P80" i="37"/>
  <c r="P68" i="37"/>
  <c r="O93" i="37"/>
  <c r="P72" i="37"/>
  <c r="P89" i="37"/>
  <c r="Q98" i="37"/>
  <c r="T96" i="37"/>
  <c r="T99" i="37"/>
  <c r="T67" i="37"/>
  <c r="S103" i="37"/>
  <c r="S107" i="37"/>
  <c r="S86" i="37"/>
  <c r="R70" i="37"/>
  <c r="R115" i="37"/>
  <c r="R90" i="37"/>
  <c r="R79" i="37"/>
  <c r="S75" i="37"/>
  <c r="R77" i="37"/>
  <c r="S83" i="37"/>
  <c r="U80" i="37"/>
  <c r="T100" i="37"/>
  <c r="U105" i="37"/>
  <c r="U102" i="37"/>
  <c r="S109" i="37"/>
  <c r="AA120" i="37"/>
  <c r="W94" i="37"/>
  <c r="X98" i="37"/>
  <c r="Z103" i="37"/>
  <c r="Z109" i="37"/>
  <c r="Y98" i="37"/>
  <c r="AC104" i="37"/>
  <c r="V102" i="37"/>
  <c r="AB106" i="37"/>
  <c r="AJ98" i="37"/>
  <c r="AV98" i="37"/>
  <c r="BD98" i="37"/>
  <c r="BL98" i="37"/>
  <c r="AC96" i="37"/>
  <c r="AK96" i="37"/>
  <c r="AW96" i="37"/>
  <c r="BE96" i="37"/>
  <c r="BM96" i="37"/>
  <c r="AB81" i="37"/>
  <c r="AJ81" i="37"/>
  <c r="AV81" i="37"/>
  <c r="BD81" i="37"/>
  <c r="BL81" i="37"/>
  <c r="AB79" i="37"/>
  <c r="AJ79" i="37"/>
  <c r="AR79" i="37"/>
  <c r="BD79" i="37"/>
  <c r="BL79" i="37"/>
  <c r="V92" i="37"/>
  <c r="AD92" i="37"/>
  <c r="AL92" i="37"/>
  <c r="AT92" i="37"/>
  <c r="BB92" i="37"/>
  <c r="BJ92" i="37"/>
  <c r="W91" i="37"/>
  <c r="AE91" i="37"/>
  <c r="AM91" i="37"/>
  <c r="AU91" i="37"/>
  <c r="BC91" i="37"/>
  <c r="BK91" i="37"/>
  <c r="AC74" i="37"/>
  <c r="AK74" i="37"/>
  <c r="AS74" i="37"/>
  <c r="BE74" i="37"/>
  <c r="BM74" i="37"/>
  <c r="V73" i="37"/>
  <c r="AD73" i="37"/>
  <c r="AL73" i="37"/>
  <c r="AX73" i="37"/>
  <c r="BF73" i="37"/>
  <c r="BN73" i="37"/>
  <c r="AA77" i="37"/>
  <c r="AM77" i="37"/>
  <c r="AQ77" i="37"/>
  <c r="BC77" i="37"/>
  <c r="BK77" i="37"/>
  <c r="X71" i="37"/>
  <c r="AF71" i="37"/>
  <c r="AN71" i="37"/>
  <c r="AV71" i="37"/>
  <c r="BD71" i="37"/>
  <c r="BL71" i="37"/>
  <c r="AF114" i="37"/>
  <c r="AV114" i="37"/>
  <c r="AH109" i="37"/>
  <c r="AP109" i="37"/>
  <c r="BB109" i="37"/>
  <c r="BJ109" i="37"/>
  <c r="AE108" i="37"/>
  <c r="AM108" i="37"/>
  <c r="AU108" i="37"/>
  <c r="BC108" i="37"/>
  <c r="BK108" i="37"/>
  <c r="AF67" i="37"/>
  <c r="AN67" i="37"/>
  <c r="AR67" i="37"/>
  <c r="BD67" i="37"/>
  <c r="BL67" i="37"/>
  <c r="AD112" i="37"/>
  <c r="AK112" i="37"/>
  <c r="AS112" i="37"/>
  <c r="BA112" i="37"/>
  <c r="BI112" i="37"/>
  <c r="BQ112" i="37"/>
  <c r="AM106" i="37"/>
  <c r="AU106" i="37"/>
  <c r="BC106" i="37"/>
  <c r="BK106" i="37"/>
  <c r="AD113" i="37"/>
  <c r="AK113" i="37"/>
  <c r="AO113" i="37"/>
  <c r="AW113" i="37"/>
  <c r="BE113" i="37"/>
  <c r="BM113" i="37"/>
  <c r="AJ103" i="37"/>
  <c r="AR103" i="37"/>
  <c r="AZ103" i="37"/>
  <c r="BD103" i="37"/>
  <c r="BL103" i="37"/>
  <c r="AG97" i="37"/>
  <c r="AS97" i="37"/>
  <c r="BA97" i="37"/>
  <c r="BE97" i="37"/>
  <c r="BQ97" i="37"/>
  <c r="AH100" i="37"/>
  <c r="AP100" i="37"/>
  <c r="BB100" i="37"/>
  <c r="K98" i="37"/>
  <c r="J78" i="37"/>
  <c r="J111" i="37"/>
  <c r="L96" i="37"/>
  <c r="L97" i="37"/>
  <c r="K72" i="37"/>
  <c r="K70" i="37"/>
  <c r="L86" i="37"/>
  <c r="L112" i="37"/>
  <c r="L106" i="37"/>
  <c r="L101" i="37"/>
  <c r="L73" i="37"/>
  <c r="M109" i="37"/>
  <c r="L89" i="37"/>
  <c r="O101" i="37"/>
  <c r="M76" i="37"/>
  <c r="M105" i="37"/>
  <c r="M110" i="37"/>
  <c r="N92" i="37"/>
  <c r="O71" i="37"/>
  <c r="N73" i="37"/>
  <c r="M78" i="37"/>
  <c r="M107" i="37"/>
  <c r="N82" i="37"/>
  <c r="M102" i="37"/>
  <c r="M111" i="37"/>
  <c r="O95" i="37"/>
  <c r="O87" i="37"/>
  <c r="O90" i="37"/>
  <c r="M85" i="37"/>
  <c r="M81" i="37"/>
  <c r="N88" i="37"/>
  <c r="O112" i="37"/>
  <c r="N69" i="37"/>
  <c r="N77" i="37"/>
  <c r="N106" i="37"/>
  <c r="N75" i="37"/>
  <c r="K89" i="37"/>
  <c r="Q71" i="37"/>
  <c r="Q79" i="37"/>
  <c r="P83" i="37"/>
  <c r="Q80" i="37"/>
  <c r="Q88" i="37"/>
  <c r="P95" i="37"/>
  <c r="P107" i="37"/>
  <c r="P74" i="37"/>
  <c r="N93" i="37"/>
  <c r="Q76" i="37"/>
  <c r="P85" i="37"/>
  <c r="Q72" i="37"/>
  <c r="Q106" i="37"/>
  <c r="Q89" i="37"/>
  <c r="P93" i="37"/>
  <c r="O83" i="37"/>
  <c r="Q113" i="37"/>
  <c r="P91" i="37"/>
  <c r="N104" i="37"/>
  <c r="R87" i="37"/>
  <c r="R104" i="37"/>
  <c r="O104" i="37"/>
  <c r="U96" i="37"/>
  <c r="U99" i="37"/>
  <c r="U106" i="37"/>
  <c r="U67" i="37"/>
  <c r="T103" i="37"/>
  <c r="T107" i="37"/>
  <c r="T108" i="37"/>
  <c r="T86" i="37"/>
  <c r="S69" i="37"/>
  <c r="S92" i="37"/>
  <c r="T88" i="37"/>
  <c r="S70" i="37"/>
  <c r="S89" i="37"/>
  <c r="S101" i="37"/>
  <c r="T90" i="37"/>
  <c r="S112" i="37"/>
  <c r="T79" i="37"/>
  <c r="T73" i="37"/>
  <c r="R75" i="37"/>
  <c r="T77" i="37"/>
  <c r="S110" i="37"/>
  <c r="R83" i="37"/>
  <c r="R95" i="37"/>
  <c r="R80" i="37"/>
  <c r="U97" i="37"/>
  <c r="S98" i="37"/>
  <c r="R72" i="37"/>
  <c r="R113" i="37"/>
  <c r="R68" i="37"/>
  <c r="U100" i="37"/>
  <c r="R91" i="37"/>
  <c r="R105" i="37"/>
  <c r="K104" i="37"/>
  <c r="R102" i="37"/>
  <c r="GV59" i="37"/>
  <c r="X69" i="37"/>
  <c r="X113" i="37"/>
  <c r="X67" i="37"/>
  <c r="X105" i="37"/>
  <c r="X96" i="37"/>
  <c r="W102" i="37"/>
  <c r="W104" i="37"/>
  <c r="W110" i="37"/>
  <c r="W107" i="37"/>
  <c r="W111" i="37"/>
  <c r="AA70" i="37"/>
  <c r="AA96" i="37"/>
  <c r="V100" i="37"/>
  <c r="Z98" i="37"/>
  <c r="AC93" i="37"/>
  <c r="Z104" i="37"/>
  <c r="Z112" i="37"/>
  <c r="Z107" i="37"/>
  <c r="Y68" i="37"/>
  <c r="Y103" i="37"/>
  <c r="Y106" i="37"/>
  <c r="Y109" i="37"/>
  <c r="Z70" i="37"/>
  <c r="Z101" i="37"/>
  <c r="AC113" i="37"/>
  <c r="AC67" i="37"/>
  <c r="AC105" i="37"/>
  <c r="AD93" i="37"/>
  <c r="V70" i="37"/>
  <c r="V96" i="37"/>
  <c r="Z68" i="37"/>
  <c r="AD103" i="37"/>
  <c r="V111" i="37"/>
  <c r="AB101" i="37"/>
  <c r="V106" i="37"/>
  <c r="AB96" i="37"/>
  <c r="AB102" i="37"/>
  <c r="AB109" i="37"/>
  <c r="V104" i="37"/>
  <c r="Y95" i="37"/>
  <c r="V98" i="37"/>
  <c r="AG98" i="37"/>
  <c r="AK98" i="37"/>
  <c r="AO98" i="37"/>
  <c r="AS98" i="37"/>
  <c r="AW98" i="37"/>
  <c r="BA98" i="37"/>
  <c r="BE98" i="37"/>
  <c r="BI98" i="37"/>
  <c r="BM98" i="37"/>
  <c r="BQ98" i="37"/>
  <c r="AH96" i="37"/>
  <c r="AL96" i="37"/>
  <c r="AP96" i="37"/>
  <c r="AT96" i="37"/>
  <c r="AX96" i="37"/>
  <c r="BB96" i="37"/>
  <c r="BE73" i="37"/>
  <c r="BM73" i="37"/>
  <c r="AI71" i="37"/>
  <c r="AQ71" i="37"/>
  <c r="AY71" i="37"/>
  <c r="BC71" i="37"/>
  <c r="BK71" i="37"/>
  <c r="AL106" i="37"/>
  <c r="AP106" i="37"/>
  <c r="AX106" i="37"/>
  <c r="BF106" i="37"/>
  <c r="BN106" i="37"/>
  <c r="AJ113" i="37"/>
  <c r="AV113" i="37"/>
  <c r="BD113" i="37"/>
  <c r="BL113" i="37"/>
  <c r="AJ97" i="37"/>
  <c r="AR97" i="37"/>
  <c r="AZ97" i="37"/>
  <c r="BD97" i="37"/>
  <c r="BL97" i="37"/>
  <c r="AC100" i="37"/>
  <c r="AK100" i="37"/>
  <c r="AS100" i="37"/>
  <c r="BA100" i="37"/>
  <c r="BI100" i="37"/>
  <c r="BQ100" i="37"/>
  <c r="K108" i="37"/>
  <c r="J91" i="37"/>
  <c r="J80" i="37"/>
  <c r="J73" i="37"/>
  <c r="M72" i="37"/>
  <c r="M94" i="37"/>
  <c r="N113" i="37"/>
  <c r="M95" i="37"/>
  <c r="M75" i="37"/>
  <c r="P79" i="37"/>
  <c r="P88" i="37"/>
  <c r="K109" i="37"/>
  <c r="P105" i="37"/>
  <c r="P76" i="37"/>
  <c r="L83" i="37"/>
  <c r="P106" i="37"/>
  <c r="M104" i="37"/>
  <c r="U85" i="37"/>
  <c r="T106" i="37"/>
  <c r="S108" i="37"/>
  <c r="R89" i="37"/>
  <c r="R112" i="37"/>
  <c r="R110" i="37"/>
  <c r="M83" i="37"/>
  <c r="T97" i="37"/>
  <c r="U113" i="37"/>
  <c r="U91" i="37"/>
  <c r="X104" i="37"/>
  <c r="X107" i="37"/>
  <c r="AA111" i="37"/>
  <c r="W95" i="37"/>
  <c r="Y97" i="37"/>
  <c r="Y111" i="37"/>
  <c r="Z94" i="37"/>
  <c r="AC107" i="37"/>
  <c r="W101" i="37"/>
  <c r="Y70" i="37"/>
  <c r="AB94" i="37"/>
  <c r="V68" i="37"/>
  <c r="AF98" i="37"/>
  <c r="AN98" i="37"/>
  <c r="AR98" i="37"/>
  <c r="AZ98" i="37"/>
  <c r="BH98" i="37"/>
  <c r="BP98" i="37"/>
  <c r="AG96" i="37"/>
  <c r="AO96" i="37"/>
  <c r="AS96" i="37"/>
  <c r="BA96" i="37"/>
  <c r="BI96" i="37"/>
  <c r="BQ96" i="37"/>
  <c r="X81" i="37"/>
  <c r="AF81" i="37"/>
  <c r="AN81" i="37"/>
  <c r="AR81" i="37"/>
  <c r="AZ81" i="37"/>
  <c r="BH81" i="37"/>
  <c r="BP81" i="37"/>
  <c r="X79" i="37"/>
  <c r="AF79" i="37"/>
  <c r="AN79" i="37"/>
  <c r="AV79" i="37"/>
  <c r="AZ79" i="37"/>
  <c r="BH79" i="37"/>
  <c r="BP79" i="37"/>
  <c r="Z92" i="37"/>
  <c r="AH92" i="37"/>
  <c r="AP92" i="37"/>
  <c r="AX92" i="37"/>
  <c r="BF92" i="37"/>
  <c r="BN92" i="37"/>
  <c r="AA91" i="37"/>
  <c r="AI91" i="37"/>
  <c r="AQ91" i="37"/>
  <c r="AY91" i="37"/>
  <c r="BG91" i="37"/>
  <c r="BO91" i="37"/>
  <c r="Y74" i="37"/>
  <c r="AG74" i="37"/>
  <c r="AO74" i="37"/>
  <c r="AW74" i="37"/>
  <c r="BA74" i="37"/>
  <c r="BI74" i="37"/>
  <c r="BQ74" i="37"/>
  <c r="Z73" i="37"/>
  <c r="AH73" i="37"/>
  <c r="AP73" i="37"/>
  <c r="AT73" i="37"/>
  <c r="BB73" i="37"/>
  <c r="BJ73" i="37"/>
  <c r="W77" i="37"/>
  <c r="AE77" i="37"/>
  <c r="AI77" i="37"/>
  <c r="AU77" i="37"/>
  <c r="AY77" i="37"/>
  <c r="BG77" i="37"/>
  <c r="BO77" i="37"/>
  <c r="AJ71" i="37"/>
  <c r="AR71" i="37"/>
  <c r="AZ71" i="37"/>
  <c r="BH71" i="37"/>
  <c r="BP71" i="37"/>
  <c r="AJ114" i="37"/>
  <c r="AR114" i="37"/>
  <c r="BH114" i="37"/>
  <c r="BP114" i="37"/>
  <c r="AL109" i="37"/>
  <c r="AT109" i="37"/>
  <c r="AX109" i="37"/>
  <c r="BF109" i="37"/>
  <c r="BN109" i="37"/>
  <c r="AI108" i="37"/>
  <c r="AQ108" i="37"/>
  <c r="AY108" i="37"/>
  <c r="BG108" i="37"/>
  <c r="BO108" i="37"/>
  <c r="AJ67" i="37"/>
  <c r="AV67" i="37"/>
  <c r="AZ67" i="37"/>
  <c r="BH67" i="37"/>
  <c r="BP67" i="37"/>
  <c r="AG112" i="37"/>
  <c r="AO112" i="37"/>
  <c r="AW112" i="37"/>
  <c r="BE112" i="37"/>
  <c r="BM112" i="37"/>
  <c r="AE106" i="37"/>
  <c r="AI106" i="37"/>
  <c r="AQ106" i="37"/>
  <c r="AY106" i="37"/>
  <c r="BG106" i="37"/>
  <c r="BO106" i="37"/>
  <c r="AG113" i="37"/>
  <c r="AS113" i="37"/>
  <c r="BA113" i="37"/>
  <c r="BI113" i="37"/>
  <c r="BQ113" i="37"/>
  <c r="AF103" i="37"/>
  <c r="AN103" i="37"/>
  <c r="AV103" i="37"/>
  <c r="BH103" i="37"/>
  <c r="BP103" i="37"/>
  <c r="AK97" i="37"/>
  <c r="AO97" i="37"/>
  <c r="AW97" i="37"/>
  <c r="BI97" i="37"/>
  <c r="BM97" i="37"/>
  <c r="AL100" i="37"/>
  <c r="AT100" i="37"/>
  <c r="AX100" i="37"/>
  <c r="BF100" i="37"/>
  <c r="BJ100" i="37"/>
  <c r="BN100" i="37"/>
  <c r="K82" i="37"/>
  <c r="L76" i="37"/>
  <c r="K111" i="37"/>
  <c r="L108" i="37"/>
  <c r="J107" i="37"/>
  <c r="L69" i="37"/>
  <c r="L92" i="37"/>
  <c r="J96" i="37"/>
  <c r="K75" i="37"/>
  <c r="L72" i="37"/>
  <c r="L70" i="37"/>
  <c r="J86" i="37"/>
  <c r="J112" i="37"/>
  <c r="K77" i="37"/>
  <c r="J100" i="37"/>
  <c r="J101" i="37"/>
  <c r="K73" i="37"/>
  <c r="J87" i="37"/>
  <c r="O98" i="37"/>
  <c r="O79" i="37"/>
  <c r="O72" i="37"/>
  <c r="O110" i="37"/>
  <c r="M92" i="37"/>
  <c r="O86" i="37"/>
  <c r="N102" i="37"/>
  <c r="O108" i="37"/>
  <c r="M100" i="37"/>
  <c r="N111" i="37"/>
  <c r="N95" i="37"/>
  <c r="N99" i="37"/>
  <c r="N85" i="37"/>
  <c r="N96" i="37"/>
  <c r="M112" i="37"/>
  <c r="O69" i="37"/>
  <c r="O80" i="37"/>
  <c r="O75" i="37"/>
  <c r="N83" i="37"/>
  <c r="P112" i="37"/>
  <c r="L93" i="37"/>
  <c r="P90" i="37"/>
  <c r="P70" i="37"/>
  <c r="P73" i="37"/>
  <c r="Q95" i="37"/>
  <c r="Q74" i="37"/>
  <c r="Q84" i="37"/>
  <c r="P101" i="37"/>
  <c r="Q85" i="37"/>
  <c r="Q67" i="37"/>
  <c r="P81" i="37"/>
  <c r="Q93" i="37"/>
  <c r="P97" i="37"/>
  <c r="Q100" i="37"/>
  <c r="Q69" i="37"/>
  <c r="S104" i="37"/>
  <c r="U94" i="37"/>
  <c r="U103" i="37"/>
  <c r="U71" i="37"/>
  <c r="U107" i="37"/>
  <c r="U108" i="37"/>
  <c r="U74" i="37"/>
  <c r="U82" i="37"/>
  <c r="U86" i="37"/>
  <c r="S88" i="37"/>
  <c r="T70" i="37"/>
  <c r="T89" i="37"/>
  <c r="T101" i="37"/>
  <c r="T81" i="37"/>
  <c r="S90" i="37"/>
  <c r="T112" i="37"/>
  <c r="S79" i="37"/>
  <c r="S76" i="37"/>
  <c r="T117" i="37"/>
  <c r="T75" i="37"/>
  <c r="S77" i="37"/>
  <c r="T110" i="37"/>
  <c r="T83" i="37"/>
  <c r="S95" i="37"/>
  <c r="S80" i="37"/>
  <c r="R97" i="37"/>
  <c r="R98" i="37"/>
  <c r="S72" i="37"/>
  <c r="S113" i="37"/>
  <c r="T68" i="37"/>
  <c r="R100" i="37"/>
  <c r="T91" i="37"/>
  <c r="S105" i="37"/>
  <c r="Q109" i="37"/>
  <c r="Q102" i="37"/>
  <c r="L109" i="37"/>
  <c r="P102" i="37"/>
  <c r="X110" i="37"/>
  <c r="X108" i="37"/>
  <c r="X111" i="37"/>
  <c r="X94" i="37"/>
  <c r="AA100" i="37"/>
  <c r="AA69" i="37"/>
  <c r="AA103" i="37"/>
  <c r="AA113" i="37"/>
  <c r="AA109" i="37"/>
  <c r="AA105" i="37"/>
  <c r="AA114" i="37"/>
  <c r="AA94" i="37"/>
  <c r="W70" i="37"/>
  <c r="W96" i="37"/>
  <c r="AD97" i="37"/>
  <c r="W98" i="37"/>
  <c r="X101" i="37"/>
  <c r="Z113" i="37"/>
  <c r="Z67" i="37"/>
  <c r="Z105" i="37"/>
  <c r="AA101" i="37"/>
  <c r="AD101" i="37"/>
  <c r="Y104" i="37"/>
  <c r="Y112" i="37"/>
  <c r="Y107" i="37"/>
  <c r="Z99" i="37"/>
  <c r="Z95" i="37"/>
  <c r="AC68" i="37"/>
  <c r="AC102" i="37"/>
  <c r="AC110" i="37"/>
  <c r="AC108" i="37"/>
  <c r="AC111" i="37"/>
  <c r="AD94" i="37"/>
  <c r="AD95" i="37"/>
  <c r="AD98" i="37"/>
  <c r="Y101" i="37"/>
  <c r="AB104" i="37"/>
  <c r="V108" i="37"/>
  <c r="AB69" i="37"/>
  <c r="AC97" i="37"/>
  <c r="AB111" i="37"/>
  <c r="AB70" i="37"/>
  <c r="AB97" i="37"/>
  <c r="V112" i="37"/>
  <c r="V113" i="37"/>
  <c r="Y99" i="37"/>
  <c r="AD69" i="37"/>
  <c r="AE68" i="37"/>
  <c r="AI68" i="37"/>
  <c r="AM68" i="37"/>
  <c r="AQ68" i="37"/>
  <c r="AU68" i="37"/>
  <c r="AY68" i="37"/>
  <c r="BC68" i="37"/>
  <c r="BG68" i="37"/>
  <c r="BK68" i="37"/>
  <c r="BO68" i="37"/>
  <c r="AG101" i="37"/>
  <c r="AK101" i="37"/>
  <c r="AO101" i="37"/>
  <c r="AS101" i="37"/>
  <c r="AW101" i="37"/>
  <c r="BA101" i="37"/>
  <c r="BE101" i="37"/>
  <c r="BI101" i="37"/>
  <c r="BM101" i="37"/>
  <c r="BQ101" i="37"/>
  <c r="AF95" i="37"/>
  <c r="BF96" i="37"/>
  <c r="BJ96" i="37"/>
  <c r="BN96" i="37"/>
  <c r="AG70" i="37"/>
  <c r="AK70" i="37"/>
  <c r="AO70" i="37"/>
  <c r="AS70" i="37"/>
  <c r="AW70" i="37"/>
  <c r="BA70" i="37"/>
  <c r="BE70" i="37"/>
  <c r="BI70" i="37"/>
  <c r="BM70" i="37"/>
  <c r="BQ70" i="37"/>
  <c r="AH94" i="37"/>
  <c r="AL94" i="37"/>
  <c r="AP94" i="37"/>
  <c r="AT94" i="37"/>
  <c r="AX94" i="37"/>
  <c r="BB94" i="37"/>
  <c r="BF94" i="37"/>
  <c r="BJ94" i="37"/>
  <c r="BN94" i="37"/>
  <c r="AE99" i="37"/>
  <c r="AI99" i="37"/>
  <c r="AM99" i="37"/>
  <c r="AQ99" i="37"/>
  <c r="AU99" i="37"/>
  <c r="AY99" i="37"/>
  <c r="BC99" i="37"/>
  <c r="BG99" i="37"/>
  <c r="BK99" i="37"/>
  <c r="BO99" i="37"/>
  <c r="W72" i="37"/>
  <c r="AA72" i="37"/>
  <c r="AE72" i="37"/>
  <c r="AI72" i="37"/>
  <c r="AM72" i="37"/>
  <c r="AQ72" i="37"/>
  <c r="AU72" i="37"/>
  <c r="AY72" i="37"/>
  <c r="BC72" i="37"/>
  <c r="BG72" i="37"/>
  <c r="BK72" i="37"/>
  <c r="BO72" i="37"/>
  <c r="X84" i="37"/>
  <c r="AB84" i="37"/>
  <c r="AF84" i="37"/>
  <c r="AJ84" i="37"/>
  <c r="AN84" i="37"/>
  <c r="AR84" i="37"/>
  <c r="AV84" i="37"/>
  <c r="AZ84" i="37"/>
  <c r="BD84" i="37"/>
  <c r="BH84" i="37"/>
  <c r="BL84" i="37"/>
  <c r="BP84" i="37"/>
  <c r="Y85" i="37"/>
  <c r="AC85" i="37"/>
  <c r="AG85" i="37"/>
  <c r="AK85" i="37"/>
  <c r="AO85" i="37"/>
  <c r="AS85" i="37"/>
  <c r="AW85" i="37"/>
  <c r="BA85" i="37"/>
  <c r="BE85" i="37"/>
  <c r="BI85" i="37"/>
  <c r="BM85" i="37"/>
  <c r="BQ85" i="37"/>
  <c r="W86" i="37"/>
  <c r="AA86" i="37"/>
  <c r="AE86" i="37"/>
  <c r="AI86" i="37"/>
  <c r="AM86" i="37"/>
  <c r="AQ86" i="37"/>
  <c r="AU86" i="37"/>
  <c r="AY86" i="37"/>
  <c r="BC86" i="37"/>
  <c r="BG86" i="37"/>
  <c r="BK86" i="37"/>
  <c r="BO86" i="37"/>
  <c r="X87" i="37"/>
  <c r="AB87" i="37"/>
  <c r="AF87" i="37"/>
  <c r="AJ87" i="37"/>
  <c r="AN87" i="37"/>
  <c r="AR87" i="37"/>
  <c r="AV87" i="37"/>
  <c r="AZ87" i="37"/>
  <c r="BD87" i="37"/>
  <c r="BH87" i="37"/>
  <c r="BL87" i="37"/>
  <c r="BP87" i="37"/>
  <c r="Y81" i="37"/>
  <c r="AJ95" i="37"/>
  <c r="AN95" i="37"/>
  <c r="AR95" i="37"/>
  <c r="AV95" i="37"/>
  <c r="AZ95" i="37"/>
  <c r="BD95" i="37"/>
  <c r="BH95" i="37"/>
  <c r="BL95" i="37"/>
  <c r="BP95" i="37"/>
  <c r="AH70" i="37"/>
  <c r="AL70" i="37"/>
  <c r="AP70" i="37"/>
  <c r="AT70" i="37"/>
  <c r="AX70" i="37"/>
  <c r="BB70" i="37"/>
  <c r="BF70" i="37"/>
  <c r="BJ70" i="37"/>
  <c r="BN70" i="37"/>
  <c r="AE94" i="37"/>
  <c r="AI94" i="37"/>
  <c r="AM94" i="37"/>
  <c r="AQ94" i="37"/>
  <c r="AU94" i="37"/>
  <c r="AY94" i="37"/>
  <c r="BC94" i="37"/>
  <c r="BG94" i="37"/>
  <c r="BK94" i="37"/>
  <c r="BO94" i="37"/>
  <c r="AF99" i="37"/>
  <c r="AJ99" i="37"/>
  <c r="AN99" i="37"/>
  <c r="AR99" i="37"/>
  <c r="AV99" i="37"/>
  <c r="AZ99" i="37"/>
  <c r="BD99" i="37"/>
  <c r="BH99" i="37"/>
  <c r="BL99" i="37"/>
  <c r="BP99" i="37"/>
  <c r="X75" i="37"/>
  <c r="AB75" i="37"/>
  <c r="AF75" i="37"/>
  <c r="AJ75" i="37"/>
  <c r="AN75" i="37"/>
  <c r="AR75" i="37"/>
  <c r="AV75" i="37"/>
  <c r="AZ75" i="37"/>
  <c r="BD75" i="37"/>
  <c r="BH75" i="37"/>
  <c r="BL75" i="37"/>
  <c r="BP75" i="37"/>
  <c r="X72" i="37"/>
  <c r="AB72" i="37"/>
  <c r="AF72" i="37"/>
  <c r="AJ72" i="37"/>
  <c r="AN72" i="37"/>
  <c r="AR72" i="37"/>
  <c r="AV72" i="37"/>
  <c r="AZ72" i="37"/>
  <c r="BD72" i="37"/>
  <c r="BH72" i="37"/>
  <c r="BL72" i="37"/>
  <c r="BP72" i="37"/>
  <c r="X83" i="37"/>
  <c r="AB83" i="37"/>
  <c r="AF83" i="37"/>
  <c r="AJ83" i="37"/>
  <c r="AN83" i="37"/>
  <c r="AR83" i="37"/>
  <c r="AV83" i="37"/>
  <c r="AZ83" i="37"/>
  <c r="BD83" i="37"/>
  <c r="BH83" i="37"/>
  <c r="BL83" i="37"/>
  <c r="BP83" i="37"/>
  <c r="Y84" i="37"/>
  <c r="AC84" i="37"/>
  <c r="AG84" i="37"/>
  <c r="AK84" i="37"/>
  <c r="AO84" i="37"/>
  <c r="AS84" i="37"/>
  <c r="AW84" i="37"/>
  <c r="BA84" i="37"/>
  <c r="BE84" i="37"/>
  <c r="BI84" i="37"/>
  <c r="BM84" i="37"/>
  <c r="BQ84" i="37"/>
  <c r="V85" i="37"/>
  <c r="Z85" i="37"/>
  <c r="AD85" i="37"/>
  <c r="AH85" i="37"/>
  <c r="AL85" i="37"/>
  <c r="AP85" i="37"/>
  <c r="AT85" i="37"/>
  <c r="AX85" i="37"/>
  <c r="BB85" i="37"/>
  <c r="BF85" i="37"/>
  <c r="BJ85" i="37"/>
  <c r="BN85" i="37"/>
  <c r="W80" i="37"/>
  <c r="AA80" i="37"/>
  <c r="AE80" i="37"/>
  <c r="AI80" i="37"/>
  <c r="AM80" i="37"/>
  <c r="AQ80" i="37"/>
  <c r="AU80" i="37"/>
  <c r="AY80" i="37"/>
  <c r="BC80" i="37"/>
  <c r="BG80" i="37"/>
  <c r="BK80" i="37"/>
  <c r="BO80" i="37"/>
  <c r="X86" i="37"/>
  <c r="AB86" i="37"/>
  <c r="AF86" i="37"/>
  <c r="AJ86" i="37"/>
  <c r="AN86" i="37"/>
  <c r="AR86" i="37"/>
  <c r="AV86" i="37"/>
  <c r="AZ86" i="37"/>
  <c r="BD86" i="37"/>
  <c r="BH86" i="37"/>
  <c r="BL86" i="37"/>
  <c r="BP86" i="37"/>
  <c r="Y87" i="37"/>
  <c r="AC87" i="37"/>
  <c r="AG87" i="37"/>
  <c r="AK87" i="37"/>
  <c r="AO87" i="37"/>
  <c r="AS87" i="37"/>
  <c r="AW87" i="37"/>
  <c r="BA87" i="37"/>
  <c r="BE87" i="37"/>
  <c r="BI87" i="37"/>
  <c r="BM87" i="37"/>
  <c r="BQ87" i="37"/>
  <c r="W88" i="37"/>
  <c r="AA88" i="37"/>
  <c r="AE88" i="37"/>
  <c r="AI88" i="37"/>
  <c r="AM88" i="37"/>
  <c r="AQ88" i="37"/>
  <c r="AU88" i="37"/>
  <c r="AY88" i="37"/>
  <c r="BC88" i="37"/>
  <c r="BG88" i="37"/>
  <c r="BK88" i="37"/>
  <c r="BO88" i="37"/>
  <c r="X89" i="37"/>
  <c r="AB89" i="37"/>
  <c r="AF89" i="37"/>
  <c r="AJ89" i="37"/>
  <c r="AN89" i="37"/>
  <c r="AR89" i="37"/>
  <c r="AV89" i="37"/>
  <c r="AZ89" i="37"/>
  <c r="BD89" i="37"/>
  <c r="BH89" i="37"/>
  <c r="BL89" i="37"/>
  <c r="BP89" i="37"/>
  <c r="Y90" i="37"/>
  <c r="AC90" i="37"/>
  <c r="AG90" i="37"/>
  <c r="AK90" i="37"/>
  <c r="AO90" i="37"/>
  <c r="AS90" i="37"/>
  <c r="AW90" i="37"/>
  <c r="BA90" i="37"/>
  <c r="BE90" i="37"/>
  <c r="BI90" i="37"/>
  <c r="BM90" i="37"/>
  <c r="BQ90" i="37"/>
  <c r="AC81" i="37"/>
  <c r="AG81" i="37"/>
  <c r="AK81" i="37"/>
  <c r="AO81" i="37"/>
  <c r="AS81" i="37"/>
  <c r="AW81" i="37"/>
  <c r="BA81" i="37"/>
  <c r="BE81" i="37"/>
  <c r="BI81" i="37"/>
  <c r="BM81" i="37"/>
  <c r="BQ81" i="37"/>
  <c r="V88" i="37"/>
  <c r="Z88" i="37"/>
  <c r="AD88" i="37"/>
  <c r="AH88" i="37"/>
  <c r="AL88" i="37"/>
  <c r="AP88" i="37"/>
  <c r="AT88" i="37"/>
  <c r="AX88" i="37"/>
  <c r="BB88" i="37"/>
  <c r="BF88" i="37"/>
  <c r="BJ88" i="37"/>
  <c r="BN88" i="37"/>
  <c r="W89" i="37"/>
  <c r="AA89" i="37"/>
  <c r="AE89" i="37"/>
  <c r="AI89" i="37"/>
  <c r="AM89" i="37"/>
  <c r="AQ89" i="37"/>
  <c r="AU89" i="37"/>
  <c r="AY89" i="37"/>
  <c r="BC89" i="37"/>
  <c r="BG89" i="37"/>
  <c r="BK89" i="37"/>
  <c r="BO89" i="37"/>
  <c r="X90" i="37"/>
  <c r="AB90" i="37"/>
  <c r="AF90" i="37"/>
  <c r="AJ90" i="37"/>
  <c r="AN90" i="37"/>
  <c r="AR90" i="37"/>
  <c r="AV90" i="37"/>
  <c r="AZ90" i="37"/>
  <c r="BD90" i="37"/>
  <c r="BH90" i="37"/>
  <c r="BL90" i="37"/>
  <c r="BP90" i="37"/>
  <c r="Y79" i="37"/>
  <c r="AC79" i="37"/>
  <c r="AG79" i="37"/>
  <c r="AK79" i="37"/>
  <c r="AO79" i="37"/>
  <c r="AS79" i="37"/>
  <c r="AW79" i="37"/>
  <c r="BA79" i="37"/>
  <c r="BE79" i="37"/>
  <c r="BI79" i="37"/>
  <c r="BM79" i="37"/>
  <c r="BQ79" i="37"/>
  <c r="V82" i="37"/>
  <c r="Z82" i="37"/>
  <c r="AD82" i="37"/>
  <c r="AH82" i="37"/>
  <c r="AL82" i="37"/>
  <c r="AP82" i="37"/>
  <c r="AT82" i="37"/>
  <c r="AX82" i="37"/>
  <c r="BB82" i="37"/>
  <c r="BF82" i="37"/>
  <c r="BJ82" i="37"/>
  <c r="BN82" i="37"/>
  <c r="W92" i="37"/>
  <c r="AA92" i="37"/>
  <c r="AE92" i="37"/>
  <c r="AI92" i="37"/>
  <c r="AM92" i="37"/>
  <c r="AQ92" i="37"/>
  <c r="AU92" i="37"/>
  <c r="AY92" i="37"/>
  <c r="BC92" i="37"/>
  <c r="BG92" i="37"/>
  <c r="BK92" i="37"/>
  <c r="BO92" i="37"/>
  <c r="X91" i="37"/>
  <c r="AB91" i="37"/>
  <c r="AF91" i="37"/>
  <c r="AJ91" i="37"/>
  <c r="AN91" i="37"/>
  <c r="AR91" i="37"/>
  <c r="AV91" i="37"/>
  <c r="AZ91" i="37"/>
  <c r="BD91" i="37"/>
  <c r="BH91" i="37"/>
  <c r="BL91" i="37"/>
  <c r="BP91" i="37"/>
  <c r="Y76" i="37"/>
  <c r="AC76" i="37"/>
  <c r="AG76" i="37"/>
  <c r="AK76" i="37"/>
  <c r="AO76" i="37"/>
  <c r="AS76" i="37"/>
  <c r="AW76" i="37"/>
  <c r="BA76" i="37"/>
  <c r="BE76" i="37"/>
  <c r="BI76" i="37"/>
  <c r="BM76" i="37"/>
  <c r="BQ76" i="37"/>
  <c r="V74" i="37"/>
  <c r="Z74" i="37"/>
  <c r="AD74" i="37"/>
  <c r="AH74" i="37"/>
  <c r="AL74" i="37"/>
  <c r="AP74" i="37"/>
  <c r="AT74" i="37"/>
  <c r="AX74" i="37"/>
  <c r="BB74" i="37"/>
  <c r="BF74" i="37"/>
  <c r="BJ74" i="37"/>
  <c r="BN74" i="37"/>
  <c r="W73" i="37"/>
  <c r="AA73" i="37"/>
  <c r="AE73" i="37"/>
  <c r="AI73" i="37"/>
  <c r="AM73" i="37"/>
  <c r="AQ73" i="37"/>
  <c r="AU73" i="37"/>
  <c r="AY73" i="37"/>
  <c r="BC73" i="37"/>
  <c r="BG73" i="37"/>
  <c r="BK73" i="37"/>
  <c r="BO73" i="37"/>
  <c r="X77" i="37"/>
  <c r="AB77" i="37"/>
  <c r="AF77" i="37"/>
  <c r="AJ77" i="37"/>
  <c r="AN77" i="37"/>
  <c r="AR77" i="37"/>
  <c r="AV77" i="37"/>
  <c r="AZ77" i="37"/>
  <c r="BD77" i="37"/>
  <c r="BH77" i="37"/>
  <c r="BL77" i="37"/>
  <c r="BP77" i="37"/>
  <c r="Y71" i="37"/>
  <c r="AC71" i="37"/>
  <c r="AG71" i="37"/>
  <c r="AK71" i="37"/>
  <c r="AO71" i="37"/>
  <c r="AS71" i="37"/>
  <c r="AW71" i="37"/>
  <c r="BA71" i="37"/>
  <c r="BE71" i="37"/>
  <c r="BI71" i="37"/>
  <c r="BM71" i="37"/>
  <c r="BQ71" i="37"/>
  <c r="V78" i="37"/>
  <c r="Z78" i="37"/>
  <c r="AD78" i="37"/>
  <c r="AH78" i="37"/>
  <c r="AL78" i="37"/>
  <c r="AP78" i="37"/>
  <c r="AT78" i="37"/>
  <c r="AX78" i="37"/>
  <c r="BB78" i="37"/>
  <c r="BF78" i="37"/>
  <c r="BJ78" i="37"/>
  <c r="BN78" i="37"/>
  <c r="AV119" i="37"/>
  <c r="AZ119" i="37"/>
  <c r="BD119" i="37"/>
  <c r="W82" i="37"/>
  <c r="AA82" i="37"/>
  <c r="AE82" i="37"/>
  <c r="AI82" i="37"/>
  <c r="AM82" i="37"/>
  <c r="AQ82" i="37"/>
  <c r="AU82" i="37"/>
  <c r="AY82" i="37"/>
  <c r="BC82" i="37"/>
  <c r="BG82" i="37"/>
  <c r="BK82" i="37"/>
  <c r="BO82" i="37"/>
  <c r="Y91" i="37"/>
  <c r="AC91" i="37"/>
  <c r="AG91" i="37"/>
  <c r="AK91" i="37"/>
  <c r="AO91" i="37"/>
  <c r="AS91" i="37"/>
  <c r="AW91" i="37"/>
  <c r="BA91" i="37"/>
  <c r="BE91" i="37"/>
  <c r="BI91" i="37"/>
  <c r="BM91" i="37"/>
  <c r="BQ91" i="37"/>
  <c r="V76" i="37"/>
  <c r="Z76" i="37"/>
  <c r="AD76" i="37"/>
  <c r="AH76" i="37"/>
  <c r="AL76" i="37"/>
  <c r="AP76" i="37"/>
  <c r="AT76" i="37"/>
  <c r="AX76" i="37"/>
  <c r="BB76" i="37"/>
  <c r="BF76" i="37"/>
  <c r="BJ76" i="37"/>
  <c r="BN76" i="37"/>
  <c r="X73" i="37"/>
  <c r="AB73" i="37"/>
  <c r="AF73" i="37"/>
  <c r="AJ73" i="37"/>
  <c r="AN73" i="37"/>
  <c r="AR73" i="37"/>
  <c r="AV73" i="37"/>
  <c r="AZ73" i="37"/>
  <c r="BD73" i="37"/>
  <c r="BH73" i="37"/>
  <c r="BL73" i="37"/>
  <c r="BP73" i="37"/>
  <c r="V71" i="37"/>
  <c r="Z71" i="37"/>
  <c r="AD71" i="37"/>
  <c r="AH71" i="37"/>
  <c r="AL71" i="37"/>
  <c r="AP71" i="37"/>
  <c r="AT71" i="37"/>
  <c r="AX71" i="37"/>
  <c r="BB71" i="37"/>
  <c r="BF71" i="37"/>
  <c r="BJ71" i="37"/>
  <c r="BN71" i="37"/>
  <c r="W78" i="37"/>
  <c r="AA78" i="37"/>
  <c r="AE78" i="37"/>
  <c r="AI78" i="37"/>
  <c r="AM78" i="37"/>
  <c r="AQ78" i="37"/>
  <c r="AU78" i="37"/>
  <c r="AY78" i="37"/>
  <c r="BC78" i="37"/>
  <c r="BG78" i="37"/>
  <c r="BK78" i="37"/>
  <c r="BO78" i="37"/>
  <c r="AF117" i="37"/>
  <c r="AJ117" i="37"/>
  <c r="AN117" i="37"/>
  <c r="AR117" i="37"/>
  <c r="AV117" i="37"/>
  <c r="AZ117" i="37"/>
  <c r="BD117" i="37"/>
  <c r="BH117" i="37"/>
  <c r="BL117" i="37"/>
  <c r="BP117" i="37"/>
  <c r="AG119" i="37"/>
  <c r="AK119" i="37"/>
  <c r="AO119" i="37"/>
  <c r="AS119" i="37"/>
  <c r="AW119" i="37"/>
  <c r="BA119" i="37"/>
  <c r="BE119" i="37"/>
  <c r="BI119" i="37"/>
  <c r="BM119" i="37"/>
  <c r="BQ119" i="37"/>
  <c r="AE118" i="37"/>
  <c r="AI118" i="37"/>
  <c r="AM118" i="37"/>
  <c r="AQ118" i="37"/>
  <c r="AU118" i="37"/>
  <c r="AY118" i="37"/>
  <c r="BC118" i="37"/>
  <c r="BK118" i="37"/>
  <c r="BO118" i="37"/>
  <c r="AF111" i="37"/>
  <c r="AJ111" i="37"/>
  <c r="AN111" i="37"/>
  <c r="AR111" i="37"/>
  <c r="AV111" i="37"/>
  <c r="AZ111" i="37"/>
  <c r="BD111" i="37"/>
  <c r="BH111" i="37"/>
  <c r="BL111" i="37"/>
  <c r="BP111" i="37"/>
  <c r="AD105" i="37"/>
  <c r="AG105" i="37"/>
  <c r="AK105" i="37"/>
  <c r="AO105" i="37"/>
  <c r="AS105" i="37"/>
  <c r="AW105" i="37"/>
  <c r="BA105" i="37"/>
  <c r="BE105" i="37"/>
  <c r="BI105" i="37"/>
  <c r="BM105" i="37"/>
  <c r="BQ105" i="37"/>
  <c r="AH107" i="37"/>
  <c r="AL107" i="37"/>
  <c r="AP107" i="37"/>
  <c r="AT107" i="37"/>
  <c r="AX107" i="37"/>
  <c r="BB107" i="37"/>
  <c r="BF107" i="37"/>
  <c r="BJ107" i="37"/>
  <c r="BN107" i="37"/>
  <c r="AG106" i="37"/>
  <c r="AK106" i="37"/>
  <c r="AO106" i="37"/>
  <c r="AS106" i="37"/>
  <c r="AW106" i="37"/>
  <c r="BA106" i="37"/>
  <c r="BE106" i="37"/>
  <c r="BI106" i="37"/>
  <c r="AE111" i="37"/>
  <c r="AI111" i="37"/>
  <c r="AM111" i="37"/>
  <c r="AQ111" i="37"/>
  <c r="AU111" i="37"/>
  <c r="AY111" i="37"/>
  <c r="BC111" i="37"/>
  <c r="BG111" i="37"/>
  <c r="BK111" i="37"/>
  <c r="BO111" i="37"/>
  <c r="AF105" i="37"/>
  <c r="AJ105" i="37"/>
  <c r="AN105" i="37"/>
  <c r="AR105" i="37"/>
  <c r="AV105" i="37"/>
  <c r="AZ105" i="37"/>
  <c r="BD105" i="37"/>
  <c r="BH105" i="37"/>
  <c r="BL105" i="37"/>
  <c r="BP105" i="37"/>
  <c r="AD107" i="37"/>
  <c r="AG107" i="37"/>
  <c r="AK107" i="37"/>
  <c r="AO107" i="37"/>
  <c r="AS107" i="37"/>
  <c r="AW107" i="37"/>
  <c r="BA107" i="37"/>
  <c r="BE107" i="37"/>
  <c r="BI107" i="37"/>
  <c r="BM107" i="37"/>
  <c r="BQ107" i="37"/>
  <c r="AE109" i="37"/>
  <c r="AI109" i="37"/>
  <c r="AM109" i="37"/>
  <c r="AQ109" i="37"/>
  <c r="AU109" i="37"/>
  <c r="AY109" i="37"/>
  <c r="BC109" i="37"/>
  <c r="BG109" i="37"/>
  <c r="BK109" i="37"/>
  <c r="BO109" i="37"/>
  <c r="AF108" i="37"/>
  <c r="AJ108" i="37"/>
  <c r="AN108" i="37"/>
  <c r="AR108" i="37"/>
  <c r="AV108" i="37"/>
  <c r="AZ108" i="37"/>
  <c r="BD108" i="37"/>
  <c r="BH108" i="37"/>
  <c r="BL108" i="37"/>
  <c r="BP108" i="37"/>
  <c r="AD67" i="37"/>
  <c r="AG67" i="37"/>
  <c r="AK67" i="37"/>
  <c r="AO67" i="37"/>
  <c r="AS67" i="37"/>
  <c r="AW67" i="37"/>
  <c r="BA67" i="37"/>
  <c r="BE67" i="37"/>
  <c r="BI67" i="37"/>
  <c r="BM67" i="37"/>
  <c r="BQ67" i="37"/>
  <c r="AH112" i="37"/>
  <c r="AL112" i="37"/>
  <c r="AP112" i="37"/>
  <c r="AT112" i="37"/>
  <c r="AX112" i="37"/>
  <c r="BB112" i="37"/>
  <c r="BF112" i="37"/>
  <c r="BJ112" i="37"/>
  <c r="BN112" i="37"/>
  <c r="AF106" i="37"/>
  <c r="AJ106" i="37"/>
  <c r="AN106" i="37"/>
  <c r="AR106" i="37"/>
  <c r="AV106" i="37"/>
  <c r="AZ106" i="37"/>
  <c r="BD106" i="37"/>
  <c r="BH106" i="37"/>
  <c r="BL106" i="37"/>
  <c r="BP106" i="37"/>
  <c r="AD110" i="37"/>
  <c r="AG110" i="37"/>
  <c r="AK110" i="37"/>
  <c r="AO110" i="37"/>
  <c r="BM106" i="37"/>
  <c r="BQ106" i="37"/>
  <c r="AH110" i="37"/>
  <c r="AL110" i="37"/>
  <c r="AP110" i="37"/>
  <c r="AT110" i="37"/>
  <c r="AX110" i="37"/>
  <c r="BB110" i="37"/>
  <c r="BF110" i="37"/>
  <c r="BJ110" i="37"/>
  <c r="BN110" i="37"/>
  <c r="AE113" i="37"/>
  <c r="AI113" i="37"/>
  <c r="AM113" i="37"/>
  <c r="AQ113" i="37"/>
  <c r="AU113" i="37"/>
  <c r="AY113" i="37"/>
  <c r="BC113" i="37"/>
  <c r="BG113" i="37"/>
  <c r="BK113" i="37"/>
  <c r="BO113" i="37"/>
  <c r="AF104" i="37"/>
  <c r="AJ104" i="37"/>
  <c r="AN104" i="37"/>
  <c r="AR104" i="37"/>
  <c r="AV104" i="37"/>
  <c r="AZ104" i="37"/>
  <c r="BD104" i="37"/>
  <c r="BH104" i="37"/>
  <c r="BL104" i="37"/>
  <c r="BP104" i="37"/>
  <c r="AE102" i="37"/>
  <c r="AI102" i="37"/>
  <c r="AM102" i="37"/>
  <c r="AQ102" i="37"/>
  <c r="AU102" i="37"/>
  <c r="AY102" i="37"/>
  <c r="BC102" i="37"/>
  <c r="BG102" i="37"/>
  <c r="BK102" i="37"/>
  <c r="BO102" i="37"/>
  <c r="AF69" i="37"/>
  <c r="AJ69" i="37"/>
  <c r="AN69" i="37"/>
  <c r="AR69" i="37"/>
  <c r="AV69" i="37"/>
  <c r="AZ69" i="37"/>
  <c r="BD69" i="37"/>
  <c r="BH69" i="37"/>
  <c r="BL69" i="37"/>
  <c r="BP69" i="37"/>
  <c r="Y93" i="37"/>
  <c r="AG93" i="37"/>
  <c r="AK93" i="37"/>
  <c r="AO93" i="37"/>
  <c r="AS93" i="37"/>
  <c r="AW93" i="37"/>
  <c r="BA93" i="37"/>
  <c r="BE93" i="37"/>
  <c r="BI93" i="37"/>
  <c r="BM93" i="37"/>
  <c r="BQ93" i="37"/>
  <c r="AE97" i="37"/>
  <c r="AI97" i="37"/>
  <c r="AM97" i="37"/>
  <c r="AQ97" i="37"/>
  <c r="AU97" i="37"/>
  <c r="AY97" i="37"/>
  <c r="BC97" i="37"/>
  <c r="BG97" i="37"/>
  <c r="BK97" i="37"/>
  <c r="BO97" i="37"/>
  <c r="AF100" i="37"/>
  <c r="AJ100" i="37"/>
  <c r="AN100" i="37"/>
  <c r="AR100" i="37"/>
  <c r="AV100" i="37"/>
  <c r="AZ100" i="37"/>
  <c r="BD100" i="37"/>
  <c r="BH100" i="37"/>
  <c r="BL100" i="37"/>
  <c r="BP100" i="37"/>
  <c r="GV45" i="37"/>
  <c r="GW45" i="37" s="1"/>
  <c r="GV37" i="37"/>
  <c r="GW37" i="37" s="1"/>
  <c r="GV17" i="37"/>
  <c r="GW17" i="37" s="1"/>
  <c r="AS110" i="37"/>
  <c r="AW110" i="37"/>
  <c r="BA110" i="37"/>
  <c r="BE110" i="37"/>
  <c r="BI110" i="37"/>
  <c r="BM110" i="37"/>
  <c r="BQ110" i="37"/>
  <c r="AH113" i="37"/>
  <c r="AL113" i="37"/>
  <c r="AP113" i="37"/>
  <c r="AT113" i="37"/>
  <c r="AX113" i="37"/>
  <c r="BB113" i="37"/>
  <c r="BF113" i="37"/>
  <c r="BJ113" i="37"/>
  <c r="BN113" i="37"/>
  <c r="AE104" i="37"/>
  <c r="AI104" i="37"/>
  <c r="AM104" i="37"/>
  <c r="AQ104" i="37"/>
  <c r="AU104" i="37"/>
  <c r="AY104" i="37"/>
  <c r="BC104" i="37"/>
  <c r="BG104" i="37"/>
  <c r="BK104" i="37"/>
  <c r="BO104" i="37"/>
  <c r="AG103" i="37"/>
  <c r="AK103" i="37"/>
  <c r="AO103" i="37"/>
  <c r="AS103" i="37"/>
  <c r="AW103" i="37"/>
  <c r="BA103" i="37"/>
  <c r="BE103" i="37"/>
  <c r="BI103" i="37"/>
  <c r="BM103" i="37"/>
  <c r="BQ103" i="37"/>
  <c r="AH102" i="37"/>
  <c r="AL102" i="37"/>
  <c r="AP102" i="37"/>
  <c r="AT102" i="37"/>
  <c r="AX102" i="37"/>
  <c r="BB102" i="37"/>
  <c r="BF102" i="37"/>
  <c r="BJ102" i="37"/>
  <c r="BN102" i="37"/>
  <c r="AE69" i="37"/>
  <c r="AI69" i="37"/>
  <c r="AM69" i="37"/>
  <c r="AQ69" i="37"/>
  <c r="AU69" i="37"/>
  <c r="AY69" i="37"/>
  <c r="BC69" i="37"/>
  <c r="BG69" i="37"/>
  <c r="BK69" i="37"/>
  <c r="BO69" i="37"/>
  <c r="AF93" i="37"/>
  <c r="AJ93" i="37"/>
  <c r="AN93" i="37"/>
  <c r="AR93" i="37"/>
  <c r="AV93" i="37"/>
  <c r="AZ93" i="37"/>
  <c r="BD93" i="37"/>
  <c r="BH93" i="37"/>
  <c r="BL93" i="37"/>
  <c r="BP93" i="37"/>
  <c r="AH97" i="37"/>
  <c r="AL97" i="37"/>
  <c r="AP97" i="37"/>
  <c r="AT97" i="37"/>
  <c r="AX97" i="37"/>
  <c r="BB97" i="37"/>
  <c r="BF97" i="37"/>
  <c r="BJ97" i="37"/>
  <c r="BN97" i="37"/>
  <c r="AE100" i="37"/>
  <c r="AI100" i="37"/>
  <c r="AM100" i="37"/>
  <c r="AQ100" i="37"/>
  <c r="AU100" i="37"/>
  <c r="AY100" i="37"/>
  <c r="BC100" i="37"/>
  <c r="BG100" i="37"/>
  <c r="BK100" i="37"/>
  <c r="BO100" i="37"/>
  <c r="GV50" i="37"/>
  <c r="GW50" i="37" s="1"/>
  <c r="GT50" i="37" s="1"/>
  <c r="U74" i="34"/>
  <c r="BI72" i="34"/>
  <c r="AL69" i="34"/>
  <c r="AI77" i="34"/>
  <c r="W76" i="34"/>
  <c r="BP74" i="34"/>
  <c r="BO74" i="34"/>
  <c r="AN72" i="34"/>
  <c r="AP72" i="34"/>
  <c r="AX69" i="34"/>
  <c r="AN75" i="34"/>
  <c r="BQ75" i="34"/>
  <c r="AX75" i="34"/>
  <c r="BH75" i="34"/>
  <c r="BG75" i="34"/>
  <c r="AY73" i="34"/>
  <c r="AY77" i="34"/>
  <c r="AS77" i="34"/>
  <c r="AZ77" i="34"/>
  <c r="BP67" i="34"/>
  <c r="BO67" i="34"/>
  <c r="BO70" i="34"/>
  <c r="BC70" i="34"/>
  <c r="BF70" i="34"/>
  <c r="BO76" i="34"/>
  <c r="BP76" i="34"/>
  <c r="BN76" i="34"/>
  <c r="AX74" i="34"/>
  <c r="AV74" i="34"/>
  <c r="BB72" i="34"/>
  <c r="BJ75" i="34"/>
  <c r="BN75" i="34"/>
  <c r="BM73" i="34"/>
  <c r="AU73" i="34"/>
  <c r="AV77" i="34"/>
  <c r="BD67" i="34"/>
  <c r="BQ70" i="34"/>
  <c r="AD117" i="37"/>
  <c r="M51" i="32"/>
  <c r="M25" i="32"/>
  <c r="M37" i="32"/>
  <c r="Z120" i="37"/>
  <c r="AA117" i="37"/>
  <c r="AC117" i="37"/>
  <c r="AR76" i="34"/>
  <c r="AD74" i="34"/>
  <c r="Q74" i="34"/>
  <c r="AJ74" i="34"/>
  <c r="AL74" i="34"/>
  <c r="R75" i="34"/>
  <c r="AK75" i="34"/>
  <c r="T67" i="34"/>
  <c r="AC67" i="34"/>
  <c r="AF67" i="34"/>
  <c r="X72" i="34"/>
  <c r="P71" i="34"/>
  <c r="AE71" i="34"/>
  <c r="AK69" i="34"/>
  <c r="AM69" i="34"/>
  <c r="AJ75" i="34"/>
  <c r="P67" i="34"/>
  <c r="AE76" i="34"/>
  <c r="AB76" i="34"/>
  <c r="AE73" i="34"/>
  <c r="Y73" i="34"/>
  <c r="AA73" i="34"/>
  <c r="Z77" i="34"/>
  <c r="Y77" i="34"/>
  <c r="P76" i="34"/>
  <c r="AT74" i="34"/>
  <c r="BD74" i="34"/>
  <c r="BK72" i="34"/>
  <c r="AN71" i="34"/>
  <c r="BL72" i="34"/>
  <c r="AZ72" i="34"/>
  <c r="AV72" i="34"/>
  <c r="AY72" i="34"/>
  <c r="AT75" i="34"/>
  <c r="AV75" i="34"/>
  <c r="BL75" i="34"/>
  <c r="BK75" i="34"/>
  <c r="BC73" i="34"/>
  <c r="BD73" i="34"/>
  <c r="AZ68" i="34"/>
  <c r="BL68" i="34"/>
  <c r="BN77" i="34"/>
  <c r="AW77" i="34"/>
  <c r="AT77" i="34"/>
  <c r="BK67" i="34"/>
  <c r="AR67" i="34"/>
  <c r="BH76" i="34"/>
  <c r="BB76" i="34"/>
  <c r="BQ76" i="34"/>
  <c r="P117" i="37"/>
  <c r="AK76" i="34"/>
  <c r="AC68" i="34"/>
  <c r="AT67" i="34"/>
  <c r="BJ67" i="34"/>
  <c r="BK76" i="34"/>
  <c r="AK77" i="34"/>
  <c r="P74" i="34"/>
  <c r="P75" i="34"/>
  <c r="AE75" i="34"/>
  <c r="AK70" i="34"/>
  <c r="S74" i="34"/>
  <c r="AF69" i="34"/>
  <c r="AK67" i="34"/>
  <c r="W73" i="34"/>
  <c r="AF73" i="34"/>
  <c r="AK73" i="34"/>
  <c r="R77" i="34"/>
  <c r="AB77" i="34"/>
  <c r="AE77" i="34"/>
  <c r="AG77" i="34"/>
  <c r="AE70" i="34"/>
  <c r="AS74" i="34"/>
  <c r="AZ74" i="34"/>
  <c r="BB71" i="34"/>
  <c r="BP71" i="34"/>
  <c r="BF71" i="34"/>
  <c r="BN72" i="34"/>
  <c r="BF69" i="34"/>
  <c r="AW75" i="34"/>
  <c r="AT73" i="34"/>
  <c r="AP67" i="34"/>
  <c r="BC67" i="34"/>
  <c r="AQ67" i="34"/>
  <c r="AS67" i="34"/>
  <c r="BF67" i="34"/>
  <c r="BE67" i="34"/>
  <c r="BA76" i="34"/>
  <c r="AQ76" i="34"/>
  <c r="AX76" i="34"/>
  <c r="BM76" i="34"/>
  <c r="GV6" i="34"/>
  <c r="Y75" i="34"/>
  <c r="AC74" i="34"/>
  <c r="AF74" i="34"/>
  <c r="AG75" i="34"/>
  <c r="AF75" i="34"/>
  <c r="AD67" i="34"/>
  <c r="AG67" i="34"/>
  <c r="AG71" i="34"/>
  <c r="AH69" i="34"/>
  <c r="AL73" i="34"/>
  <c r="X76" i="34"/>
  <c r="Z76" i="34"/>
  <c r="S76" i="34"/>
  <c r="T76" i="34"/>
  <c r="Y76" i="34"/>
  <c r="W68" i="34"/>
  <c r="Q73" i="34"/>
  <c r="T73" i="34"/>
  <c r="R73" i="34"/>
  <c r="AH73" i="34"/>
  <c r="AJ73" i="34"/>
  <c r="S77" i="34"/>
  <c r="V77" i="34"/>
  <c r="X77" i="34"/>
  <c r="AM77" i="34"/>
  <c r="AF77" i="34"/>
  <c r="AB74" i="34"/>
  <c r="U72" i="34"/>
  <c r="AN74" i="34"/>
  <c r="BQ74" i="34"/>
  <c r="BL74" i="34"/>
  <c r="BK74" i="34"/>
  <c r="AX71" i="34"/>
  <c r="BF72" i="34"/>
  <c r="AR69" i="34"/>
  <c r="BL69" i="34"/>
  <c r="BQ69" i="34"/>
  <c r="AY75" i="34"/>
  <c r="BB75" i="34"/>
  <c r="AS75" i="34"/>
  <c r="BD75" i="34"/>
  <c r="AR73" i="34"/>
  <c r="BE73" i="34"/>
  <c r="BF73" i="34"/>
  <c r="BK73" i="34"/>
  <c r="BB77" i="34"/>
  <c r="AU77" i="34"/>
  <c r="AO77" i="34"/>
  <c r="BQ77" i="34"/>
  <c r="BK77" i="34"/>
  <c r="AV67" i="34"/>
  <c r="BL67" i="34"/>
  <c r="BH67" i="34"/>
  <c r="BG67" i="34"/>
  <c r="AO67" i="34"/>
  <c r="BQ67" i="34"/>
  <c r="BG70" i="34"/>
  <c r="BD70" i="34"/>
  <c r="AN76" i="34"/>
  <c r="AW76" i="34"/>
  <c r="BG76" i="34"/>
  <c r="R76" i="34"/>
  <c r="AA76" i="34"/>
  <c r="AM76" i="34"/>
  <c r="AW67" i="34"/>
  <c r="BI67" i="34"/>
  <c r="BC76" i="34"/>
  <c r="AT76" i="34"/>
  <c r="BL76" i="34"/>
  <c r="BJ76" i="34"/>
  <c r="BI76" i="34"/>
  <c r="AC76" i="34"/>
  <c r="X69" i="34"/>
  <c r="S72" i="34"/>
  <c r="X74" i="34"/>
  <c r="W75" i="34"/>
  <c r="Q75" i="34"/>
  <c r="AI75" i="34"/>
  <c r="AH75" i="34"/>
  <c r="AL75" i="34"/>
  <c r="P70" i="34"/>
  <c r="U67" i="34"/>
  <c r="AI67" i="34"/>
  <c r="AM67" i="34"/>
  <c r="Z67" i="34"/>
  <c r="AC73" i="34"/>
  <c r="W72" i="34"/>
  <c r="AL71" i="34"/>
  <c r="AB69" i="34"/>
  <c r="Q76" i="34"/>
  <c r="AJ76" i="34"/>
  <c r="AI76" i="34"/>
  <c r="AH76" i="34"/>
  <c r="AB73" i="34"/>
  <c r="Z73" i="34"/>
  <c r="V73" i="34"/>
  <c r="AD73" i="34"/>
  <c r="T77" i="34"/>
  <c r="AD77" i="34"/>
  <c r="AA77" i="34"/>
  <c r="AH77" i="34"/>
  <c r="AL77" i="34"/>
  <c r="AI71" i="34"/>
  <c r="U75" i="34"/>
  <c r="X67" i="34"/>
  <c r="U71" i="34"/>
  <c r="AH74" i="34"/>
  <c r="AE68" i="34"/>
  <c r="AP74" i="34"/>
  <c r="BM74" i="34"/>
  <c r="BA74" i="34"/>
  <c r="AR74" i="34"/>
  <c r="BI74" i="34"/>
  <c r="BH74" i="34"/>
  <c r="BG74" i="34"/>
  <c r="BC71" i="34"/>
  <c r="BO72" i="34"/>
  <c r="BB69" i="34"/>
  <c r="AU75" i="34"/>
  <c r="AP75" i="34"/>
  <c r="AO75" i="34"/>
  <c r="AZ75" i="34"/>
  <c r="BF75" i="34"/>
  <c r="BP75" i="34"/>
  <c r="BO75" i="34"/>
  <c r="BJ73" i="34"/>
  <c r="BQ73" i="34"/>
  <c r="AQ73" i="34"/>
  <c r="BH73" i="34"/>
  <c r="BG73" i="34"/>
  <c r="AQ77" i="34"/>
  <c r="BA77" i="34"/>
  <c r="BM77" i="34"/>
  <c r="AR77" i="34"/>
  <c r="BI77" i="34"/>
  <c r="BH77" i="34"/>
  <c r="BG77" i="34"/>
  <c r="AU67" i="34"/>
  <c r="AN67" i="34"/>
  <c r="AY67" i="34"/>
  <c r="AX67" i="34"/>
  <c r="BA67" i="34"/>
  <c r="BN67" i="34"/>
  <c r="BM67" i="34"/>
  <c r="AV76" i="34"/>
  <c r="AS76" i="34"/>
  <c r="AY76" i="34"/>
  <c r="AZ76" i="34"/>
  <c r="AP76" i="34"/>
  <c r="BD76" i="34"/>
  <c r="BF76" i="34"/>
  <c r="BE76" i="34"/>
  <c r="Q126" i="37"/>
  <c r="Y121" i="37"/>
  <c r="AC122" i="37"/>
  <c r="AH117" i="37"/>
  <c r="AL117" i="37"/>
  <c r="AP117" i="37"/>
  <c r="AT117" i="37"/>
  <c r="AX117" i="37"/>
  <c r="BB117" i="37"/>
  <c r="BF117" i="37"/>
  <c r="BJ117" i="37"/>
  <c r="BN117" i="37"/>
  <c r="AG118" i="37"/>
  <c r="AK118" i="37"/>
  <c r="AO118" i="37"/>
  <c r="AS118" i="37"/>
  <c r="AW118" i="37"/>
  <c r="BA118" i="37"/>
  <c r="BE118" i="37"/>
  <c r="BI118" i="37"/>
  <c r="BM118" i="37"/>
  <c r="BQ118" i="37"/>
  <c r="AF125" i="37"/>
  <c r="AJ125" i="37"/>
  <c r="AN125" i="37"/>
  <c r="AR125" i="37"/>
  <c r="AV125" i="37"/>
  <c r="BD125" i="37"/>
  <c r="BH125" i="37"/>
  <c r="BL125" i="37"/>
  <c r="BP125" i="37"/>
  <c r="AG124" i="37"/>
  <c r="AK124" i="37"/>
  <c r="BA124" i="37"/>
  <c r="BE124" i="37"/>
  <c r="BM124" i="37"/>
  <c r="BQ124" i="37"/>
  <c r="AE126" i="37"/>
  <c r="AI126" i="37"/>
  <c r="AM126" i="37"/>
  <c r="AQ126" i="37"/>
  <c r="AU126" i="37"/>
  <c r="AY126" i="37"/>
  <c r="BC126" i="37"/>
  <c r="BK126" i="37"/>
  <c r="T114" i="37"/>
  <c r="R125" i="37"/>
  <c r="R117" i="37"/>
  <c r="U119" i="37"/>
  <c r="GV58" i="37"/>
  <c r="X124" i="37"/>
  <c r="X119" i="37"/>
  <c r="Z124" i="37"/>
  <c r="Y120" i="37"/>
  <c r="AC124" i="37"/>
  <c r="V114" i="37"/>
  <c r="V117" i="37"/>
  <c r="W114" i="37"/>
  <c r="AB117" i="37"/>
  <c r="AA119" i="37"/>
  <c r="V122" i="37"/>
  <c r="AE117" i="37"/>
  <c r="AI117" i="37"/>
  <c r="AM117" i="37"/>
  <c r="AQ117" i="37"/>
  <c r="AU117" i="37"/>
  <c r="AY117" i="37"/>
  <c r="BC117" i="37"/>
  <c r="BG117" i="37"/>
  <c r="BK117" i="37"/>
  <c r="BO117" i="37"/>
  <c r="T121" i="37"/>
  <c r="T118" i="37"/>
  <c r="X122" i="37"/>
  <c r="Y117" i="37"/>
  <c r="EG21" i="37"/>
  <c r="Q122" i="37"/>
  <c r="P126" i="37"/>
  <c r="Q117" i="37"/>
  <c r="S117" i="37"/>
  <c r="W125" i="37"/>
  <c r="W118" i="37"/>
  <c r="W116" i="37"/>
  <c r="AC119" i="37"/>
  <c r="V125" i="37"/>
  <c r="Z114" i="37"/>
  <c r="AH114" i="37"/>
  <c r="AP114" i="37"/>
  <c r="AT114" i="37"/>
  <c r="AX114" i="37"/>
  <c r="BB114" i="37"/>
  <c r="AE120" i="37"/>
  <c r="AI120" i="37"/>
  <c r="AM120" i="37"/>
  <c r="AQ120" i="37"/>
  <c r="AU120" i="37"/>
  <c r="AY120" i="37"/>
  <c r="BK120" i="37"/>
  <c r="AG116" i="37"/>
  <c r="AO116" i="37"/>
  <c r="AS116" i="37"/>
  <c r="AW116" i="37"/>
  <c r="BE116" i="37"/>
  <c r="BI116" i="37"/>
  <c r="BM116" i="37"/>
  <c r="AL115" i="37"/>
  <c r="AT115" i="37"/>
  <c r="BB115" i="37"/>
  <c r="BJ115" i="37"/>
  <c r="AJ123" i="37"/>
  <c r="AN122" i="37"/>
  <c r="AR123" i="37"/>
  <c r="AZ123" i="37"/>
  <c r="BH123" i="37"/>
  <c r="BP123" i="37"/>
  <c r="AF122" i="37"/>
  <c r="AJ122" i="37"/>
  <c r="AR122" i="37"/>
  <c r="AV122" i="37"/>
  <c r="AZ122" i="37"/>
  <c r="BD122" i="37"/>
  <c r="BL122" i="37"/>
  <c r="BP122" i="37"/>
  <c r="AE121" i="37"/>
  <c r="AI121" i="37"/>
  <c r="AU121" i="37"/>
  <c r="AY121" i="37"/>
  <c r="BG121" i="37"/>
  <c r="BO121" i="37"/>
  <c r="AJ116" i="37"/>
  <c r="AN116" i="37"/>
  <c r="AG114" i="37"/>
  <c r="AK114" i="37"/>
  <c r="AO114" i="37"/>
  <c r="AS114" i="37"/>
  <c r="AW114" i="37"/>
  <c r="BA114" i="37"/>
  <c r="BE114" i="37"/>
  <c r="BI114" i="37"/>
  <c r="BM114" i="37"/>
  <c r="BQ114" i="37"/>
  <c r="AH120" i="37"/>
  <c r="AL120" i="37"/>
  <c r="AP120" i="37"/>
  <c r="AX120" i="37"/>
  <c r="BB120" i="37"/>
  <c r="BF120" i="37"/>
  <c r="BJ120" i="37"/>
  <c r="BN120" i="37"/>
  <c r="AR116" i="37"/>
  <c r="AZ116" i="37"/>
  <c r="BD116" i="37"/>
  <c r="BH116" i="37"/>
  <c r="BP116" i="37"/>
  <c r="AD115" i="37"/>
  <c r="AG115" i="37"/>
  <c r="AO115" i="37"/>
  <c r="AW115" i="37"/>
  <c r="BE115" i="37"/>
  <c r="BM115" i="37"/>
  <c r="AL118" i="37"/>
  <c r="AP118" i="37"/>
  <c r="AT118" i="37"/>
  <c r="AX118" i="37"/>
  <c r="BB118" i="37"/>
  <c r="BF118" i="37"/>
  <c r="BJ118" i="37"/>
  <c r="BN118" i="37"/>
  <c r="AE123" i="37"/>
  <c r="AI123" i="37"/>
  <c r="AM123" i="37"/>
  <c r="AQ123" i="37"/>
  <c r="AU123" i="37"/>
  <c r="AY123" i="37"/>
  <c r="BC123" i="37"/>
  <c r="BG123" i="37"/>
  <c r="BK122" i="37"/>
  <c r="BO123" i="37"/>
  <c r="AG125" i="37"/>
  <c r="AK125" i="37"/>
  <c r="AO125" i="37"/>
  <c r="AS125" i="37"/>
  <c r="AW125" i="37"/>
  <c r="BA125" i="37"/>
  <c r="BE125" i="37"/>
  <c r="BI125" i="37"/>
  <c r="BM125" i="37"/>
  <c r="BQ125" i="37"/>
  <c r="AP124" i="37"/>
  <c r="AX124" i="37"/>
  <c r="BB124" i="37"/>
  <c r="BJ124" i="37"/>
  <c r="BN124" i="37"/>
  <c r="AI122" i="37"/>
  <c r="AM122" i="37"/>
  <c r="AU122" i="37"/>
  <c r="AY122" i="37"/>
  <c r="BC122" i="37"/>
  <c r="BG122" i="37"/>
  <c r="BO122" i="37"/>
  <c r="AF126" i="37"/>
  <c r="AJ126" i="37"/>
  <c r="AR126" i="37"/>
  <c r="AV126" i="37"/>
  <c r="AZ126" i="37"/>
  <c r="BH126" i="37"/>
  <c r="AH121" i="37"/>
  <c r="AL121" i="37"/>
  <c r="AP121" i="37"/>
  <c r="AX121" i="37"/>
  <c r="BB121" i="37"/>
  <c r="BF121" i="37"/>
  <c r="BJ121" i="37"/>
  <c r="BN121" i="37"/>
  <c r="M41" i="32"/>
  <c r="M58" i="32"/>
  <c r="M29" i="32"/>
  <c r="M16" i="32"/>
  <c r="N16" i="32" s="1"/>
  <c r="J16" i="32" s="1"/>
  <c r="K16" i="32" s="1"/>
  <c r="M20" i="32"/>
  <c r="M15" i="32"/>
  <c r="N15" i="32" s="1"/>
  <c r="J15" i="32" s="1"/>
  <c r="K15" i="32" s="1"/>
  <c r="M59" i="32"/>
  <c r="M62" i="32"/>
  <c r="M28" i="32"/>
  <c r="DT9" i="33"/>
  <c r="M24" i="32"/>
  <c r="M49" i="32"/>
  <c r="M43" i="32"/>
  <c r="M45" i="32"/>
  <c r="CM8" i="33"/>
  <c r="CP8" i="33" s="1"/>
  <c r="BL52" i="33"/>
  <c r="BL97" i="33"/>
  <c r="BH97" i="33"/>
  <c r="AZ97" i="33"/>
  <c r="BJ97" i="33"/>
  <c r="BF97" i="33"/>
  <c r="AY142" i="33"/>
  <c r="BF142" i="33"/>
  <c r="BB142" i="33"/>
  <c r="BH142" i="33"/>
  <c r="BD142" i="33"/>
  <c r="DT25" i="33"/>
  <c r="M9" i="32"/>
  <c r="N9" i="32" s="1"/>
  <c r="J9" i="32" s="1"/>
  <c r="K9" i="32" s="1"/>
  <c r="M44" i="32"/>
  <c r="N44" i="32"/>
  <c r="M10" i="32"/>
  <c r="N10" i="32" s="1"/>
  <c r="J10" i="32" s="1"/>
  <c r="K10" i="32" s="1"/>
  <c r="N46" i="32"/>
  <c r="M46" i="32"/>
  <c r="M55" i="32"/>
  <c r="M6" i="32"/>
  <c r="N6" i="32" s="1"/>
  <c r="J6" i="32" s="1"/>
  <c r="K6" i="32" s="1"/>
  <c r="M30" i="32"/>
  <c r="M53" i="32"/>
  <c r="M54" i="32"/>
  <c r="M7" i="32"/>
  <c r="N7" i="32" s="1"/>
  <c r="J7" i="32" s="1"/>
  <c r="K7" i="32" s="1"/>
  <c r="M42" i="32"/>
  <c r="M64" i="32"/>
  <c r="M17" i="32"/>
  <c r="N17" i="32" s="1"/>
  <c r="J17" i="32" s="1"/>
  <c r="K17" i="32" s="1"/>
  <c r="M48" i="32"/>
  <c r="M14" i="32"/>
  <c r="N14" i="32" s="1"/>
  <c r="J14" i="32" s="1"/>
  <c r="K14" i="32" s="1"/>
  <c r="M23" i="32"/>
  <c r="M47" i="32"/>
  <c r="M60" i="32"/>
  <c r="M52" i="32"/>
  <c r="M11" i="32"/>
  <c r="N11" i="32" s="1"/>
  <c r="J11" i="32" s="1"/>
  <c r="K11" i="32" s="1"/>
  <c r="M27" i="32"/>
  <c r="M50" i="32"/>
  <c r="M18" i="32"/>
  <c r="M56" i="32"/>
  <c r="M32" i="32"/>
  <c r="M26" i="32"/>
  <c r="N8" i="32"/>
  <c r="J8" i="32" s="1"/>
  <c r="K8" i="32" s="1"/>
  <c r="M40" i="32"/>
  <c r="M19" i="32"/>
  <c r="M34" i="32"/>
  <c r="N34" i="32"/>
  <c r="M33" i="32"/>
  <c r="N33" i="32"/>
  <c r="D18" i="37"/>
  <c r="D34" i="37"/>
  <c r="D26" i="37"/>
  <c r="BS26" i="37" s="1"/>
  <c r="D38" i="37"/>
  <c r="B18" i="37"/>
  <c r="B34" i="37"/>
  <c r="B50" i="37"/>
  <c r="B7" i="37"/>
  <c r="B23" i="37"/>
  <c r="B39" i="37"/>
  <c r="B55" i="37"/>
  <c r="B12" i="37"/>
  <c r="B28" i="37"/>
  <c r="B44" i="37"/>
  <c r="B60" i="37"/>
  <c r="B17" i="37"/>
  <c r="B33" i="37"/>
  <c r="B49" i="37"/>
  <c r="B4" i="37"/>
  <c r="B10" i="37"/>
  <c r="B26" i="37"/>
  <c r="B42" i="37"/>
  <c r="B58" i="37"/>
  <c r="B15" i="37"/>
  <c r="B31" i="37"/>
  <c r="B47" i="37"/>
  <c r="B63" i="37"/>
  <c r="B20" i="37"/>
  <c r="B36" i="37"/>
  <c r="B52" i="37"/>
  <c r="B9" i="37"/>
  <c r="B25" i="37"/>
  <c r="B41" i="37"/>
  <c r="B57" i="37"/>
  <c r="DT24" i="33"/>
  <c r="DM17" i="33"/>
  <c r="DK17" i="33" s="1"/>
  <c r="DM13" i="33"/>
  <c r="DK13" i="33" s="1"/>
  <c r="DM11" i="33"/>
  <c r="DK11" i="33" s="1"/>
  <c r="B14" i="37"/>
  <c r="B30" i="37"/>
  <c r="B46" i="37"/>
  <c r="B62" i="37"/>
  <c r="B19" i="37"/>
  <c r="B35" i="37"/>
  <c r="B51" i="37"/>
  <c r="B8" i="37"/>
  <c r="B24" i="37"/>
  <c r="B40" i="37"/>
  <c r="B56" i="37"/>
  <c r="B13" i="37"/>
  <c r="B29" i="37"/>
  <c r="B45" i="37"/>
  <c r="DT23" i="33"/>
  <c r="DT22" i="33"/>
  <c r="GV49" i="37"/>
  <c r="GW49" i="37" s="1"/>
  <c r="GT49" i="37" s="1"/>
  <c r="EG43" i="37"/>
  <c r="EG17" i="37"/>
  <c r="GV54" i="37"/>
  <c r="GV13" i="37"/>
  <c r="GW13" i="37" s="1"/>
  <c r="GV5" i="37"/>
  <c r="GW5" i="37" s="1"/>
  <c r="GT5" i="37" s="1"/>
  <c r="EG34" i="37"/>
  <c r="EG14" i="37"/>
  <c r="GV24" i="37"/>
  <c r="GW24" i="37" s="1"/>
  <c r="GV4" i="37"/>
  <c r="GV42" i="37"/>
  <c r="GW42" i="37" s="1"/>
  <c r="GT42" i="37" s="1"/>
  <c r="GV16" i="37"/>
  <c r="GW16" i="37" s="1"/>
  <c r="EG50" i="37"/>
  <c r="EG25" i="37"/>
  <c r="EG9" i="37"/>
  <c r="EG5" i="37"/>
  <c r="T125" i="37"/>
  <c r="GV7" i="37"/>
  <c r="GW7" i="37" s="1"/>
  <c r="BS7" i="37"/>
  <c r="EG24" i="37"/>
  <c r="BK123" i="37"/>
  <c r="P114" i="37"/>
  <c r="GV42" i="34"/>
  <c r="GW42" i="34" s="1"/>
  <c r="GT42" i="34" s="1"/>
  <c r="GV55" i="37"/>
  <c r="EG8" i="37"/>
  <c r="GV35" i="37"/>
  <c r="GW35" i="37" s="1"/>
  <c r="EG36" i="37"/>
  <c r="GV23" i="37"/>
  <c r="GW23" i="37" s="1"/>
  <c r="GV33" i="37"/>
  <c r="GW33" i="37" s="1"/>
  <c r="GT33" i="37" s="1"/>
  <c r="GV9" i="37"/>
  <c r="GW9" i="37" s="1"/>
  <c r="GT9" i="37" s="1"/>
  <c r="GV51" i="37"/>
  <c r="GW51" i="37" s="1"/>
  <c r="GT51" i="37" s="1"/>
  <c r="EG56" i="37"/>
  <c r="EG42" i="37"/>
  <c r="EG15" i="37"/>
  <c r="O56" i="37"/>
  <c r="M62" i="37"/>
  <c r="O61" i="37"/>
  <c r="GV52" i="37"/>
  <c r="GV34" i="37"/>
  <c r="GW34" i="37" s="1"/>
  <c r="EG62" i="37"/>
  <c r="EG39" i="37"/>
  <c r="GV11" i="37"/>
  <c r="GW11" i="37" s="1"/>
  <c r="GV44" i="37"/>
  <c r="GW44" i="37" s="1"/>
  <c r="GV14" i="37"/>
  <c r="GW14" i="37" s="1"/>
  <c r="GV30" i="37"/>
  <c r="GW30" i="37" s="1"/>
  <c r="EG30" i="37"/>
  <c r="EG12" i="37"/>
  <c r="EG45" i="37"/>
  <c r="EG31" i="37"/>
  <c r="GV38" i="37"/>
  <c r="GW38" i="37" s="1"/>
  <c r="GT38" i="37" s="1"/>
  <c r="EG35" i="37"/>
  <c r="EG27" i="37"/>
  <c r="GV58" i="34"/>
  <c r="GW58" i="34" s="1"/>
  <c r="GV48" i="34"/>
  <c r="GW48" i="34" s="1"/>
  <c r="GV36" i="34"/>
  <c r="GW36" i="34" s="1"/>
  <c r="GT36" i="34" s="1"/>
  <c r="EG63" i="34"/>
  <c r="AN119" i="37"/>
  <c r="AB71" i="34"/>
  <c r="T115" i="37"/>
  <c r="S118" i="37"/>
  <c r="BL116" i="37"/>
  <c r="BL119" i="37"/>
  <c r="GX2" i="34"/>
  <c r="CO4" i="33" s="1"/>
  <c r="GT37" i="37"/>
  <c r="Q116" i="37"/>
  <c r="U114" i="37"/>
  <c r="BC124" i="37"/>
  <c r="BC125" i="37"/>
  <c r="T119" i="37"/>
  <c r="R120" i="37"/>
  <c r="AJ124" i="37"/>
  <c r="AM121" i="37"/>
  <c r="AQ121" i="37"/>
  <c r="EG26" i="37"/>
  <c r="GV25" i="37"/>
  <c r="GW25" i="37" s="1"/>
  <c r="GT26" i="37" s="1"/>
  <c r="S121" i="37"/>
  <c r="EG37" i="37"/>
  <c r="BS37" i="37"/>
  <c r="BS33" i="37"/>
  <c r="EG33" i="37"/>
  <c r="GV29" i="37"/>
  <c r="GW29" i="37" s="1"/>
  <c r="BS20" i="37"/>
  <c r="GV19" i="37"/>
  <c r="GW19" i="37" s="1"/>
  <c r="GT20" i="37" s="1"/>
  <c r="EG20" i="37"/>
  <c r="Z123" i="37"/>
  <c r="AF118" i="37"/>
  <c r="AJ118" i="37"/>
  <c r="AN118" i="37"/>
  <c r="AT121" i="37"/>
  <c r="EG10" i="37"/>
  <c r="BS44" i="37"/>
  <c r="EG44" i="37"/>
  <c r="EG48" i="37"/>
  <c r="BS48" i="37"/>
  <c r="GV47" i="37"/>
  <c r="GW47" i="37" s="1"/>
  <c r="GT48" i="37" s="1"/>
  <c r="EG60" i="37"/>
  <c r="GV63" i="37"/>
  <c r="EG4" i="37"/>
  <c r="GV62" i="37"/>
  <c r="BS40" i="37"/>
  <c r="GV39" i="37"/>
  <c r="GW39" i="37" s="1"/>
  <c r="BS16" i="37"/>
  <c r="GV15" i="37"/>
  <c r="GW15" i="37" s="1"/>
  <c r="EE47" i="37"/>
  <c r="BS47" i="37"/>
  <c r="EG47" i="37"/>
  <c r="GV46" i="37"/>
  <c r="GW46" i="37" s="1"/>
  <c r="EG63" i="37"/>
  <c r="GV61" i="37"/>
  <c r="EG59" i="37"/>
  <c r="BS32" i="37"/>
  <c r="EG32" i="37"/>
  <c r="GV31" i="37"/>
  <c r="GW31" i="37" s="1"/>
  <c r="BS22" i="37"/>
  <c r="EG22" i="37"/>
  <c r="EG13" i="37"/>
  <c r="GV12" i="37"/>
  <c r="GW12" i="37" s="1"/>
  <c r="GV60" i="37"/>
  <c r="GV21" i="37"/>
  <c r="GW21" i="37" s="1"/>
  <c r="GT21" i="37" s="1"/>
  <c r="GV6" i="37"/>
  <c r="GW6" i="37" s="1"/>
  <c r="AF116" i="37"/>
  <c r="AF119" i="37"/>
  <c r="BF126" i="37"/>
  <c r="BF114" i="37"/>
  <c r="Y126" i="37"/>
  <c r="BS51" i="37"/>
  <c r="EG51" i="37"/>
  <c r="BS41" i="37"/>
  <c r="EG41" i="37"/>
  <c r="GV40" i="37"/>
  <c r="GW40" i="37" s="1"/>
  <c r="GT41" i="37" s="1"/>
  <c r="BS38" i="37"/>
  <c r="EG38" i="37"/>
  <c r="BS28" i="37"/>
  <c r="EG28" i="37"/>
  <c r="BS18" i="37"/>
  <c r="EG18" i="37"/>
  <c r="W124" i="37"/>
  <c r="V126" i="37"/>
  <c r="AT116" i="37"/>
  <c r="AH115" i="37"/>
  <c r="GV28" i="34"/>
  <c r="GW28" i="34" s="1"/>
  <c r="GT28" i="34" s="1"/>
  <c r="GV44" i="34"/>
  <c r="GW44" i="34" s="1"/>
  <c r="GT44" i="34" s="1"/>
  <c r="U125" i="37"/>
  <c r="BN122" i="37"/>
  <c r="BN123" i="37"/>
  <c r="BQ122" i="37"/>
  <c r="BQ123" i="37"/>
  <c r="S119" i="37"/>
  <c r="S115" i="37"/>
  <c r="AL124" i="37"/>
  <c r="AL125" i="37"/>
  <c r="BM71" i="34"/>
  <c r="BK68" i="34"/>
  <c r="Q115" i="37"/>
  <c r="W119" i="37"/>
  <c r="AD126" i="37"/>
  <c r="AN126" i="37"/>
  <c r="AN114" i="37"/>
  <c r="BD126" i="37"/>
  <c r="BL126" i="37"/>
  <c r="BL114" i="37"/>
  <c r="BP126" i="37"/>
  <c r="AS115" i="37"/>
  <c r="Z115" i="37"/>
  <c r="AA116" i="37"/>
  <c r="Y118" i="37"/>
  <c r="AB125" i="37"/>
  <c r="V118" i="37"/>
  <c r="AB118" i="37"/>
  <c r="AP126" i="37"/>
  <c r="AK122" i="37"/>
  <c r="BH122" i="37"/>
  <c r="Y124" i="37"/>
  <c r="AC118" i="37"/>
  <c r="AB120" i="37"/>
  <c r="AD114" i="37"/>
  <c r="AS126" i="37"/>
  <c r="BA126" i="37"/>
  <c r="BI126" i="37"/>
  <c r="BI115" i="37"/>
  <c r="BF124" i="37"/>
  <c r="EG46" i="34"/>
  <c r="GV46" i="34"/>
  <c r="GW46" i="34" s="1"/>
  <c r="GT46" i="34" s="1"/>
  <c r="Y71" i="34"/>
  <c r="S70" i="34"/>
  <c r="AH71" i="34"/>
  <c r="R71" i="34"/>
  <c r="AI70" i="34"/>
  <c r="AH122" i="37"/>
  <c r="AH123" i="37"/>
  <c r="AJ72" i="34"/>
  <c r="V72" i="34"/>
  <c r="R122" i="37"/>
  <c r="R123" i="37"/>
  <c r="AW72" i="34"/>
  <c r="AD69" i="34"/>
  <c r="AB119" i="37"/>
  <c r="AB115" i="37"/>
  <c r="P115" i="37"/>
  <c r="GT63" i="34"/>
  <c r="P124" i="37"/>
  <c r="Q123" i="37"/>
  <c r="R126" i="37"/>
  <c r="S123" i="37"/>
  <c r="U124" i="37"/>
  <c r="U115" i="37"/>
  <c r="X120" i="37"/>
  <c r="AA125" i="37"/>
  <c r="AB121" i="37"/>
  <c r="V115" i="37"/>
  <c r="AT69" i="34"/>
  <c r="BJ69" i="34"/>
  <c r="BI69" i="34"/>
  <c r="Q121" i="37"/>
  <c r="R119" i="37"/>
  <c r="S120" i="37"/>
  <c r="AB123" i="37"/>
  <c r="R118" i="37"/>
  <c r="S125" i="37"/>
  <c r="P118" i="37"/>
  <c r="T124" i="37"/>
  <c r="U121" i="37"/>
  <c r="W120" i="37"/>
  <c r="Y114" i="37"/>
  <c r="Y115" i="37"/>
  <c r="BA116" i="37"/>
  <c r="BF115" i="37"/>
  <c r="AE122" i="37"/>
  <c r="AL126" i="37"/>
  <c r="W122" i="37"/>
  <c r="Z121" i="37"/>
  <c r="Z118" i="37"/>
  <c r="AC114" i="37"/>
  <c r="AC115" i="37"/>
  <c r="AD120" i="37"/>
  <c r="AB114" i="37"/>
  <c r="AL116" i="37"/>
  <c r="BG126" i="37"/>
  <c r="BO126" i="37"/>
  <c r="AR115" i="37"/>
  <c r="BN115" i="37"/>
  <c r="BH119" i="37"/>
  <c r="AX122" i="37"/>
  <c r="AS124" i="37"/>
  <c r="BD124" i="37"/>
  <c r="BP124" i="37"/>
  <c r="AN123" i="37"/>
  <c r="AZ121" i="37"/>
  <c r="BD121" i="37"/>
  <c r="AK116" i="37"/>
  <c r="BJ126" i="37"/>
  <c r="BQ115" i="37"/>
  <c r="AI114" i="37"/>
  <c r="BC121" i="37"/>
  <c r="BK121" i="37"/>
  <c r="Z71" i="34"/>
  <c r="GV43" i="34"/>
  <c r="GW43" i="34" s="1"/>
  <c r="GT43" i="34" s="1"/>
  <c r="EG43" i="34"/>
  <c r="BQ71" i="34"/>
  <c r="AA70" i="34"/>
  <c r="EE32" i="34"/>
  <c r="EG11" i="34"/>
  <c r="GV31" i="34"/>
  <c r="GW31" i="34" s="1"/>
  <c r="GT31" i="34" s="1"/>
  <c r="AZ69" i="34"/>
  <c r="EG55" i="34"/>
  <c r="GV55" i="34"/>
  <c r="GW55" i="34" s="1"/>
  <c r="GT55" i="34" s="1"/>
  <c r="AC71" i="34"/>
  <c r="AS71" i="34"/>
  <c r="T71" i="34"/>
  <c r="AQ71" i="34"/>
  <c r="BK69" i="34"/>
  <c r="EE20" i="34"/>
  <c r="GV35" i="34"/>
  <c r="GW35" i="34" s="1"/>
  <c r="GT35" i="34" s="1"/>
  <c r="EG35" i="34"/>
  <c r="AH72" i="34"/>
  <c r="X68" i="34"/>
  <c r="AO69" i="34"/>
  <c r="BM68" i="34"/>
  <c r="AG68" i="34"/>
  <c r="BC72" i="34"/>
  <c r="AV69" i="34"/>
  <c r="EG27" i="34"/>
  <c r="GV27" i="34"/>
  <c r="GW27" i="34" s="1"/>
  <c r="GT27" i="34" s="1"/>
  <c r="AF71" i="34"/>
  <c r="AM70" i="34"/>
  <c r="AP68" i="34"/>
  <c r="AS68" i="34"/>
  <c r="BI70" i="34"/>
  <c r="AY68" i="34"/>
  <c r="EG4" i="34"/>
  <c r="GV7" i="34"/>
  <c r="GV39" i="34"/>
  <c r="GW39" i="34" s="1"/>
  <c r="GT39" i="34" s="1"/>
  <c r="EG39" i="34"/>
  <c r="GV29" i="34"/>
  <c r="GW29" i="34" s="1"/>
  <c r="GT29" i="34" s="1"/>
  <c r="EG29" i="34"/>
  <c r="EG17" i="34"/>
  <c r="GV17" i="34"/>
  <c r="GW17" i="34" s="1"/>
  <c r="GT17" i="34" s="1"/>
  <c r="EG22" i="34"/>
  <c r="GV22" i="34"/>
  <c r="GW22" i="34" s="1"/>
  <c r="GT22" i="34" s="1"/>
  <c r="GV4" i="34"/>
  <c r="L6" i="34" s="1"/>
  <c r="Q69" i="34"/>
  <c r="BQ68" i="34"/>
  <c r="BP69" i="34"/>
  <c r="BP70" i="34"/>
  <c r="GV21" i="34"/>
  <c r="GW21" i="34" s="1"/>
  <c r="GT21" i="34" s="1"/>
  <c r="EG21" i="34"/>
  <c r="GV25" i="34"/>
  <c r="GW25" i="34" s="1"/>
  <c r="EG25" i="34"/>
  <c r="GV23" i="34"/>
  <c r="GW23" i="34" s="1"/>
  <c r="GT23" i="34" s="1"/>
  <c r="EG23" i="34"/>
  <c r="GV32" i="34"/>
  <c r="GW32" i="34" s="1"/>
  <c r="GT32" i="34" s="1"/>
  <c r="GV30" i="34"/>
  <c r="GW30" i="34" s="1"/>
  <c r="GT30" i="34" s="1"/>
  <c r="GV49" i="34"/>
  <c r="GW49" i="34" s="1"/>
  <c r="GT49" i="34" s="1"/>
  <c r="BG72" i="34"/>
  <c r="BO68" i="34"/>
  <c r="BO69" i="34"/>
  <c r="S69" i="34"/>
  <c r="Z70" i="34"/>
  <c r="Q70" i="34"/>
  <c r="AK72" i="34"/>
  <c r="BE71" i="34"/>
  <c r="AJ68" i="34"/>
  <c r="AO72" i="34"/>
  <c r="V68" i="34"/>
  <c r="AF68" i="34"/>
  <c r="BH72" i="34"/>
  <c r="Y69" i="34"/>
  <c r="BA70" i="34"/>
  <c r="AO70" i="34"/>
  <c r="GV9" i="34"/>
  <c r="BE69" i="34"/>
  <c r="AX72" i="34"/>
  <c r="AP69" i="34"/>
  <c r="AU72" i="34"/>
  <c r="AT72" i="34"/>
  <c r="AR71" i="34"/>
  <c r="AY71" i="34"/>
  <c r="AW70" i="34"/>
  <c r="AQ69" i="34"/>
  <c r="P121" i="37"/>
  <c r="P122" i="37"/>
  <c r="N72" i="37"/>
  <c r="EE10" i="37"/>
  <c r="U122" i="37"/>
  <c r="K113" i="37"/>
  <c r="EE51" i="37"/>
  <c r="X118" i="37"/>
  <c r="X116" i="37"/>
  <c r="P120" i="37"/>
  <c r="P116" i="37"/>
  <c r="AA121" i="37"/>
  <c r="AA122" i="37"/>
  <c r="BC115" i="37"/>
  <c r="BC120" i="37"/>
  <c r="AZ114" i="37"/>
  <c r="BD114" i="37"/>
  <c r="BS23" i="37"/>
  <c r="EG23" i="37"/>
  <c r="BS11" i="37"/>
  <c r="EG11" i="37"/>
  <c r="GV10" i="37"/>
  <c r="GW10" i="37" s="1"/>
  <c r="EE17" i="37"/>
  <c r="U120" i="37"/>
  <c r="S126" i="37"/>
  <c r="U123" i="37"/>
  <c r="BQ120" i="37"/>
  <c r="AD116" i="37"/>
  <c r="AD119" i="37"/>
  <c r="AD124" i="37"/>
  <c r="AD125" i="37"/>
  <c r="AD118" i="37"/>
  <c r="BS19" i="37"/>
  <c r="EG19" i="37"/>
  <c r="GV18" i="37"/>
  <c r="GW18" i="37" s="1"/>
  <c r="EE46" i="37"/>
  <c r="BU46" i="37"/>
  <c r="U116" i="37"/>
  <c r="Q124" i="37"/>
  <c r="P123" i="37"/>
  <c r="Q119" i="37"/>
  <c r="R116" i="37"/>
  <c r="R114" i="37"/>
  <c r="S122" i="37"/>
  <c r="BO114" i="37"/>
  <c r="AA124" i="37"/>
  <c r="AA115" i="37"/>
  <c r="Y123" i="37"/>
  <c r="Y116" i="37"/>
  <c r="AB122" i="37"/>
  <c r="V116" i="37"/>
  <c r="V119" i="37"/>
  <c r="Z116" i="37"/>
  <c r="EE39" i="37"/>
  <c r="AC116" i="37"/>
  <c r="BS29" i="37"/>
  <c r="EG29" i="37"/>
  <c r="EE14" i="37"/>
  <c r="S124" i="37"/>
  <c r="U118" i="37"/>
  <c r="P125" i="37"/>
  <c r="U126" i="37"/>
  <c r="Q118" i="37"/>
  <c r="P119" i="37"/>
  <c r="R121" i="37"/>
  <c r="T116" i="37"/>
  <c r="S114" i="37"/>
  <c r="T122" i="37"/>
  <c r="W123" i="37"/>
  <c r="GV22" i="37"/>
  <c r="GW22" i="37" s="1"/>
  <c r="X125" i="37"/>
  <c r="Y119" i="37"/>
  <c r="AJ119" i="37"/>
  <c r="AJ115" i="37"/>
  <c r="BG114" i="37"/>
  <c r="BG118" i="37"/>
  <c r="AZ124" i="37"/>
  <c r="AZ125" i="37"/>
  <c r="BG124" i="37"/>
  <c r="BG125" i="37"/>
  <c r="Q120" i="37"/>
  <c r="T126" i="37"/>
  <c r="T123" i="37"/>
  <c r="R124" i="37"/>
  <c r="S116" i="37"/>
  <c r="T120" i="37"/>
  <c r="AA118" i="37"/>
  <c r="X123" i="37"/>
  <c r="X114" i="37"/>
  <c r="X115" i="37"/>
  <c r="W115" i="37"/>
  <c r="AB116" i="37"/>
  <c r="BQ116" i="37"/>
  <c r="BL123" i="37"/>
  <c r="BS46" i="37"/>
  <c r="EG46" i="37"/>
  <c r="X126" i="37"/>
  <c r="W121" i="37"/>
  <c r="Z122" i="37"/>
  <c r="Z119" i="37"/>
  <c r="Y125" i="37"/>
  <c r="V123" i="37"/>
  <c r="V120" i="37"/>
  <c r="V121" i="37"/>
  <c r="BG116" i="37"/>
  <c r="BK116" i="37"/>
  <c r="AK115" i="37"/>
  <c r="BO115" i="37"/>
  <c r="BN114" i="37"/>
  <c r="BO120" i="37"/>
  <c r="EG54" i="37"/>
  <c r="AC123" i="37"/>
  <c r="AC126" i="37"/>
  <c r="Z126" i="37"/>
  <c r="AI116" i="37"/>
  <c r="AQ116" i="37"/>
  <c r="AX115" i="37"/>
  <c r="AC120" i="37"/>
  <c r="W126" i="37"/>
  <c r="AB126" i="37"/>
  <c r="AB124" i="37"/>
  <c r="AY115" i="37"/>
  <c r="AR119" i="37"/>
  <c r="AL114" i="37"/>
  <c r="BJ114" i="37"/>
  <c r="AE124" i="37"/>
  <c r="AH124" i="37"/>
  <c r="AV116" i="37"/>
  <c r="BB116" i="37"/>
  <c r="AP115" i="37"/>
  <c r="BA115" i="37"/>
  <c r="AH118" i="37"/>
  <c r="BP119" i="37"/>
  <c r="AQ122" i="37"/>
  <c r="AO124" i="37"/>
  <c r="AW124" i="37"/>
  <c r="AW121" i="37"/>
  <c r="BH121" i="37"/>
  <c r="AT120" i="37"/>
  <c r="BI120" i="37"/>
  <c r="BM120" i="37"/>
  <c r="AT124" i="37"/>
  <c r="AF123" i="37"/>
  <c r="AV123" i="37"/>
  <c r="AJ121" i="37"/>
  <c r="BM121" i="37"/>
  <c r="AU114" i="37"/>
  <c r="BI124" i="37"/>
  <c r="BD123" i="37"/>
  <c r="BG120" i="37"/>
  <c r="GV54" i="34"/>
  <c r="GW54" i="34" s="1"/>
  <c r="GT54" i="34" s="1"/>
  <c r="EG54" i="34"/>
  <c r="AS69" i="34"/>
  <c r="AL70" i="34"/>
  <c r="BD72" i="34"/>
  <c r="AH68" i="34"/>
  <c r="EE45" i="34"/>
  <c r="BM72" i="34"/>
  <c r="BG71" i="34"/>
  <c r="EE46" i="34"/>
  <c r="W69" i="34"/>
  <c r="AD72" i="34"/>
  <c r="AM72" i="34"/>
  <c r="AC69" i="34"/>
  <c r="AI72" i="34"/>
  <c r="AA71" i="34"/>
  <c r="V70" i="34"/>
  <c r="BC68" i="34"/>
  <c r="P69" i="34"/>
  <c r="W71" i="34"/>
  <c r="X70" i="34"/>
  <c r="GV34" i="34"/>
  <c r="GW34" i="34" s="1"/>
  <c r="GT34" i="34" s="1"/>
  <c r="EG34" i="34"/>
  <c r="EG6" i="34"/>
  <c r="GV26" i="34"/>
  <c r="GW26" i="34" s="1"/>
  <c r="EG26" i="34"/>
  <c r="GV13" i="34"/>
  <c r="EG15" i="34"/>
  <c r="GV15" i="34"/>
  <c r="AL68" i="34"/>
  <c r="BJ71" i="34"/>
  <c r="BE70" i="34"/>
  <c r="AB68" i="34"/>
  <c r="AJ69" i="34"/>
  <c r="EG57" i="34"/>
  <c r="GV57" i="34"/>
  <c r="GW57" i="34" s="1"/>
  <c r="GT57" i="34" s="1"/>
  <c r="BD69" i="34"/>
  <c r="AX70" i="34"/>
  <c r="BA72" i="34"/>
  <c r="U69" i="34"/>
  <c r="R69" i="34"/>
  <c r="AE72" i="34"/>
  <c r="AR70" i="34"/>
  <c r="AT68" i="34"/>
  <c r="AQ68" i="34"/>
  <c r="BH69" i="34"/>
  <c r="AN69" i="34"/>
  <c r="AU69" i="34"/>
  <c r="AY69" i="34"/>
  <c r="BA69" i="34"/>
  <c r="R70" i="34"/>
  <c r="R68" i="34"/>
  <c r="T69" i="34"/>
  <c r="AV70" i="34"/>
  <c r="Q71" i="34"/>
  <c r="AL72" i="34"/>
  <c r="BG68" i="34"/>
  <c r="BJ70" i="34"/>
  <c r="BP72" i="34"/>
  <c r="BD71" i="34"/>
  <c r="AD70" i="34"/>
  <c r="AI68" i="34"/>
  <c r="AC70" i="34"/>
  <c r="AJ71" i="34"/>
  <c r="Z72" i="34"/>
  <c r="FA19" i="34"/>
  <c r="T72" i="34"/>
  <c r="BE72" i="34"/>
  <c r="BP68" i="34"/>
  <c r="BO71" i="34"/>
  <c r="BQ72" i="34"/>
  <c r="AM71" i="34"/>
  <c r="AK71" i="34"/>
  <c r="AA69" i="34"/>
  <c r="X71" i="34"/>
  <c r="P72" i="34"/>
  <c r="AC72" i="34"/>
  <c r="AF72" i="34"/>
  <c r="AA68" i="34"/>
  <c r="L109" i="34"/>
  <c r="U70" i="34"/>
  <c r="U68" i="34"/>
  <c r="EQ18" i="34"/>
  <c r="GV59" i="34"/>
  <c r="GW59" i="34" s="1"/>
  <c r="GT59" i="34" s="1"/>
  <c r="EG59" i="34"/>
  <c r="GV56" i="34"/>
  <c r="GW56" i="34" s="1"/>
  <c r="GT56" i="34" s="1"/>
  <c r="EG56" i="34"/>
  <c r="EG53" i="34"/>
  <c r="GV53" i="34"/>
  <c r="GW53" i="34" s="1"/>
  <c r="GT53" i="34" s="1"/>
  <c r="EG51" i="34"/>
  <c r="GV51" i="34"/>
  <c r="GW51" i="34" s="1"/>
  <c r="GT51" i="34" s="1"/>
  <c r="EG45" i="34"/>
  <c r="GV45" i="34"/>
  <c r="GW45" i="34" s="1"/>
  <c r="EG47" i="34"/>
  <c r="GV47" i="34"/>
  <c r="GW47" i="34" s="1"/>
  <c r="GT47" i="34" s="1"/>
  <c r="EG50" i="34"/>
  <c r="GV50" i="34"/>
  <c r="GW50" i="34" s="1"/>
  <c r="EG61" i="34"/>
  <c r="GV61" i="34"/>
  <c r="GW61" i="34" s="1"/>
  <c r="EG62" i="34"/>
  <c r="GV62" i="34"/>
  <c r="GW62" i="34" s="1"/>
  <c r="GT62" i="34" s="1"/>
  <c r="FD19" i="34"/>
  <c r="K95" i="34"/>
  <c r="BN69" i="34"/>
  <c r="BM69" i="34"/>
  <c r="GV38" i="34"/>
  <c r="GW38" i="34" s="1"/>
  <c r="GT38" i="34" s="1"/>
  <c r="EG38" i="34"/>
  <c r="EG37" i="34"/>
  <c r="GV37" i="34"/>
  <c r="GW37" i="34" s="1"/>
  <c r="GT37" i="34" s="1"/>
  <c r="GV33" i="34"/>
  <c r="GW33" i="34" s="1"/>
  <c r="GT33" i="34" s="1"/>
  <c r="EG33" i="34"/>
  <c r="EG41" i="34"/>
  <c r="GV41" i="34"/>
  <c r="GW41" i="34" s="1"/>
  <c r="GT41" i="34" s="1"/>
  <c r="GV5" i="34"/>
  <c r="EG7" i="34"/>
  <c r="GV10" i="34"/>
  <c r="GV18" i="34"/>
  <c r="GW18" i="34" s="1"/>
  <c r="GT18" i="34" s="1"/>
  <c r="EG18" i="34"/>
  <c r="EG20" i="34"/>
  <c r="GV20" i="34"/>
  <c r="GW20" i="34" s="1"/>
  <c r="GT20" i="34" s="1"/>
  <c r="EG14" i="34"/>
  <c r="GV12" i="34"/>
  <c r="GV16" i="34"/>
  <c r="Z68" i="34"/>
  <c r="T70" i="34"/>
  <c r="BG69" i="34"/>
  <c r="BJ72" i="34"/>
  <c r="P68" i="34"/>
  <c r="AD71" i="34"/>
  <c r="AW71" i="34"/>
  <c r="AA72" i="34"/>
  <c r="V71" i="34"/>
  <c r="V69" i="34"/>
  <c r="AJ70" i="34"/>
  <c r="R72" i="34"/>
  <c r="AG72" i="34"/>
  <c r="AK68" i="34"/>
  <c r="AM68" i="34"/>
  <c r="S71" i="34"/>
  <c r="BB68" i="34"/>
  <c r="BA68" i="34"/>
  <c r="AD68" i="34"/>
  <c r="AH70" i="34"/>
  <c r="AG69" i="34"/>
  <c r="BB70" i="34"/>
  <c r="AO71" i="34"/>
  <c r="Y70" i="34"/>
  <c r="AN70" i="34"/>
  <c r="AU70" i="34"/>
  <c r="BH70" i="34"/>
  <c r="BC69" i="34"/>
  <c r="Y72" i="34"/>
  <c r="W70" i="34"/>
  <c r="AE69" i="34"/>
  <c r="AR72" i="34"/>
  <c r="AQ72" i="34"/>
  <c r="AZ70" i="34"/>
  <c r="AP70" i="34"/>
  <c r="AS70" i="34"/>
  <c r="BN70" i="34"/>
  <c r="AY70" i="34"/>
  <c r="BL70" i="34"/>
  <c r="BK70" i="34"/>
  <c r="AB72" i="34"/>
  <c r="AZ71" i="34"/>
  <c r="AV71" i="34"/>
  <c r="BL71" i="34"/>
  <c r="BK71" i="34"/>
  <c r="AN68" i="34"/>
  <c r="AV68" i="34"/>
  <c r="AU68" i="34"/>
  <c r="BJ68" i="34"/>
  <c r="BI68" i="34"/>
  <c r="AT70" i="34"/>
  <c r="BM70" i="34"/>
  <c r="AQ70" i="34"/>
  <c r="AW69" i="34"/>
  <c r="Q68" i="34"/>
  <c r="S68" i="34"/>
  <c r="Y68" i="34"/>
  <c r="AG70" i="34"/>
  <c r="AS72" i="34"/>
  <c r="AT71" i="34"/>
  <c r="BN71" i="34"/>
  <c r="AP71" i="34"/>
  <c r="AU71" i="34"/>
  <c r="BH71" i="34"/>
  <c r="AX68" i="34"/>
  <c r="BH68" i="34"/>
  <c r="BF68" i="34"/>
  <c r="BE68" i="34"/>
  <c r="FO21" i="34"/>
  <c r="DT11" i="33"/>
  <c r="DS9" i="33"/>
  <c r="GI21" i="34"/>
  <c r="EE43" i="34"/>
  <c r="EE18" i="34"/>
  <c r="GJ21" i="34"/>
  <c r="GL21" i="34"/>
  <c r="J97" i="34"/>
  <c r="EE34" i="34"/>
  <c r="EE42" i="34"/>
  <c r="J105" i="34"/>
  <c r="EE54" i="34"/>
  <c r="FB18" i="34"/>
  <c r="O96" i="37"/>
  <c r="EE34" i="37"/>
  <c r="EE40" i="34"/>
  <c r="DT18" i="33"/>
  <c r="DT16" i="33"/>
  <c r="GN18" i="34"/>
  <c r="GH19" i="34"/>
  <c r="DT12" i="33"/>
  <c r="GQ18" i="34"/>
  <c r="BU44" i="34"/>
  <c r="EE33" i="34"/>
  <c r="FG18" i="34"/>
  <c r="FI19" i="34"/>
  <c r="EE49" i="34"/>
  <c r="EE24" i="34"/>
  <c r="EE41" i="34"/>
  <c r="EE51" i="34"/>
  <c r="EE26" i="34"/>
  <c r="EE28" i="34"/>
  <c r="EE29" i="34"/>
  <c r="BU23" i="37"/>
  <c r="J70" i="37"/>
  <c r="EE8" i="37"/>
  <c r="BU42" i="37"/>
  <c r="EE31" i="37"/>
  <c r="EE36" i="34"/>
  <c r="BU47" i="34"/>
  <c r="CP14" i="33"/>
  <c r="CP38" i="33"/>
  <c r="GA49" i="34"/>
  <c r="FX17" i="34"/>
  <c r="EE53" i="34"/>
  <c r="GF57" i="34"/>
  <c r="ES21" i="34"/>
  <c r="K116" i="34"/>
  <c r="FH53" i="34" s="1"/>
  <c r="EY19" i="34"/>
  <c r="EE59" i="34"/>
  <c r="EE39" i="34"/>
  <c r="GO21" i="34"/>
  <c r="DT13" i="33"/>
  <c r="BU13" i="37"/>
  <c r="EE13" i="37"/>
  <c r="EE30" i="37"/>
  <c r="EE36" i="37"/>
  <c r="EE9" i="37"/>
  <c r="BU43" i="37"/>
  <c r="EE35" i="37"/>
  <c r="N97" i="37"/>
  <c r="EE26" i="37"/>
  <c r="EE7" i="37"/>
  <c r="M69" i="37"/>
  <c r="FM19" i="34"/>
  <c r="BU14" i="37"/>
  <c r="EE6" i="37"/>
  <c r="FQ44" i="34"/>
  <c r="ER44" i="34"/>
  <c r="FT44" i="34"/>
  <c r="EO44" i="34"/>
  <c r="GR44" i="34"/>
  <c r="FH44" i="34"/>
  <c r="FW44" i="34"/>
  <c r="FG44" i="34"/>
  <c r="EN44" i="34"/>
  <c r="GI44" i="34"/>
  <c r="FK44" i="34"/>
  <c r="EY44" i="34"/>
  <c r="FV44" i="34"/>
  <c r="EL44" i="34"/>
  <c r="EW44" i="34"/>
  <c r="J125" i="34"/>
  <c r="ES62" i="34" s="1"/>
  <c r="BU62" i="34"/>
  <c r="EE62" i="34"/>
  <c r="L113" i="34"/>
  <c r="EX50" i="34" s="1"/>
  <c r="EE50" i="34"/>
  <c r="N94" i="34"/>
  <c r="GA31" i="34" s="1"/>
  <c r="EE31" i="34"/>
  <c r="O121" i="34"/>
  <c r="EE58" i="34"/>
  <c r="EX18" i="34"/>
  <c r="FL18" i="34"/>
  <c r="FW21" i="34"/>
  <c r="FY21" i="34"/>
  <c r="GM21" i="34"/>
  <c r="FB19" i="34"/>
  <c r="FP19" i="34"/>
  <c r="FC19" i="34"/>
  <c r="FE18" i="34"/>
  <c r="EE23" i="34"/>
  <c r="EE37" i="34"/>
  <c r="EK18" i="34"/>
  <c r="FD18" i="34"/>
  <c r="EV18" i="34"/>
  <c r="FR21" i="34"/>
  <c r="FK21" i="34"/>
  <c r="GN21" i="34"/>
  <c r="ER19" i="34"/>
  <c r="FY19" i="34"/>
  <c r="GQ19" i="34"/>
  <c r="GI19" i="34"/>
  <c r="GO49" i="34"/>
  <c r="FM36" i="34"/>
  <c r="FM18" i="34"/>
  <c r="EE38" i="34"/>
  <c r="GB36" i="34"/>
  <c r="FP36" i="34"/>
  <c r="GC36" i="34"/>
  <c r="FG36" i="34"/>
  <c r="GH36" i="34"/>
  <c r="FX36" i="34"/>
  <c r="GD36" i="34"/>
  <c r="GF36" i="34"/>
  <c r="GA36" i="34"/>
  <c r="EN36" i="34"/>
  <c r="FS36" i="34"/>
  <c r="GR36" i="34"/>
  <c r="FJ36" i="34"/>
  <c r="EU36" i="34"/>
  <c r="FE36" i="34"/>
  <c r="ES36" i="34"/>
  <c r="GG36" i="34"/>
  <c r="EX36" i="34"/>
  <c r="FT36" i="34"/>
  <c r="GL36" i="34"/>
  <c r="EY36" i="34"/>
  <c r="EP36" i="34"/>
  <c r="EM36" i="34"/>
  <c r="FU36" i="34"/>
  <c r="FK36" i="34"/>
  <c r="FO36" i="34"/>
  <c r="EO36" i="34"/>
  <c r="FN36" i="34"/>
  <c r="GE36" i="34"/>
  <c r="ER36" i="34"/>
  <c r="GQ21" i="34"/>
  <c r="FG21" i="34"/>
  <c r="EN21" i="34"/>
  <c r="GB21" i="34"/>
  <c r="FD21" i="34"/>
  <c r="GR21" i="34"/>
  <c r="FJ21" i="34"/>
  <c r="EQ21" i="34"/>
  <c r="ET21" i="34"/>
  <c r="FP21" i="34"/>
  <c r="FT21" i="34"/>
  <c r="FU21" i="34"/>
  <c r="EK21" i="34"/>
  <c r="GC21" i="34"/>
  <c r="FB21" i="34"/>
  <c r="EO18" i="34"/>
  <c r="FQ18" i="34"/>
  <c r="EW18" i="34"/>
  <c r="GH18" i="34"/>
  <c r="FH21" i="34"/>
  <c r="EP21" i="34"/>
  <c r="FN21" i="34"/>
  <c r="FS21" i="34"/>
  <c r="GK19" i="34"/>
  <c r="GR19" i="34"/>
  <c r="FJ44" i="34"/>
  <c r="EK51" i="34"/>
  <c r="EV39" i="34"/>
  <c r="FA57" i="34"/>
  <c r="BU48" i="34"/>
  <c r="FX57" i="34"/>
  <c r="FD57" i="34"/>
  <c r="EZ57" i="34"/>
  <c r="GB57" i="34"/>
  <c r="FE57" i="34"/>
  <c r="EY57" i="34"/>
  <c r="FI57" i="34"/>
  <c r="EN57" i="34"/>
  <c r="GE57" i="34"/>
  <c r="ER57" i="34"/>
  <c r="FY57" i="34"/>
  <c r="EU57" i="34"/>
  <c r="FN51" i="34"/>
  <c r="GL51" i="34"/>
  <c r="EW51" i="34"/>
  <c r="EO51" i="34"/>
  <c r="FV51" i="34"/>
  <c r="FM28" i="34"/>
  <c r="FP28" i="34"/>
  <c r="GA28" i="34"/>
  <c r="ET28" i="34"/>
  <c r="FK28" i="34"/>
  <c r="GR28" i="34"/>
  <c r="FT28" i="34"/>
  <c r="EK28" i="34"/>
  <c r="EU28" i="34"/>
  <c r="EP28" i="34"/>
  <c r="GQ28" i="34"/>
  <c r="GH28" i="34"/>
  <c r="FJ28" i="34"/>
  <c r="GN28" i="34"/>
  <c r="EM28" i="34"/>
  <c r="FI28" i="34"/>
  <c r="EL28" i="34"/>
  <c r="FD28" i="34"/>
  <c r="ER28" i="34"/>
  <c r="FY28" i="34"/>
  <c r="GJ28" i="34"/>
  <c r="FR28" i="34"/>
  <c r="GF28" i="34"/>
  <c r="GO28" i="34"/>
  <c r="GC28" i="34"/>
  <c r="GL28" i="34"/>
  <c r="ES28" i="34"/>
  <c r="EZ28" i="34"/>
  <c r="FV28" i="34"/>
  <c r="GE28" i="34"/>
  <c r="FU28" i="34"/>
  <c r="FA28" i="34"/>
  <c r="FQ28" i="34"/>
  <c r="EX28" i="34"/>
  <c r="FS28" i="34"/>
  <c r="FN28" i="34"/>
  <c r="GK28" i="34"/>
  <c r="FH28" i="34"/>
  <c r="EW28" i="34"/>
  <c r="FZ28" i="34"/>
  <c r="GM28" i="34"/>
  <c r="GD28" i="34"/>
  <c r="FC28" i="34"/>
  <c r="GP28" i="34"/>
  <c r="FE28" i="34"/>
  <c r="BU28" i="34"/>
  <c r="AS98" i="34"/>
  <c r="FN35" i="34" s="1"/>
  <c r="BU35" i="34"/>
  <c r="GG39" i="34"/>
  <c r="GP39" i="34"/>
  <c r="GQ39" i="34"/>
  <c r="FL39" i="34"/>
  <c r="GM39" i="34"/>
  <c r="FN39" i="34"/>
  <c r="FV39" i="34"/>
  <c r="ES39" i="34"/>
  <c r="GJ39" i="34"/>
  <c r="GB39" i="34"/>
  <c r="EY39" i="34"/>
  <c r="FI39" i="34"/>
  <c r="BU20" i="34"/>
  <c r="Q83" i="34"/>
  <c r="FN20" i="34" s="1"/>
  <c r="L111" i="34"/>
  <c r="FT48" i="34" s="1"/>
  <c r="EE48" i="34"/>
  <c r="EE63" i="34"/>
  <c r="J126" i="34"/>
  <c r="EQ63" i="34" s="1"/>
  <c r="FE49" i="34"/>
  <c r="EK49" i="34"/>
  <c r="EY49" i="34"/>
  <c r="FA49" i="34"/>
  <c r="GL49" i="34"/>
  <c r="EQ49" i="34"/>
  <c r="EX49" i="34"/>
  <c r="GI49" i="34"/>
  <c r="FY49" i="34"/>
  <c r="FJ49" i="34"/>
  <c r="FU49" i="34"/>
  <c r="GB49" i="34"/>
  <c r="GK49" i="34"/>
  <c r="GE49" i="34"/>
  <c r="FX18" i="34"/>
  <c r="EQ19" i="34"/>
  <c r="EU19" i="34"/>
  <c r="GC19" i="34"/>
  <c r="GM19" i="34"/>
  <c r="GL19" i="34"/>
  <c r="FU19" i="34"/>
  <c r="EO19" i="34"/>
  <c r="FF19" i="34"/>
  <c r="FN19" i="34"/>
  <c r="EK19" i="34"/>
  <c r="GD19" i="34"/>
  <c r="EW19" i="34"/>
  <c r="GP19" i="34"/>
  <c r="FJ19" i="34"/>
  <c r="FX19" i="34"/>
  <c r="GF19" i="34"/>
  <c r="ET19" i="34"/>
  <c r="EM19" i="34"/>
  <c r="GE19" i="34"/>
  <c r="FZ19" i="34"/>
  <c r="GN19" i="34"/>
  <c r="GG19" i="34"/>
  <c r="EX19" i="34"/>
  <c r="GA19" i="34"/>
  <c r="FT19" i="34"/>
  <c r="GO19" i="34"/>
  <c r="FW19" i="34"/>
  <c r="EN19" i="34"/>
  <c r="FG19" i="34"/>
  <c r="FS19" i="34"/>
  <c r="FE19" i="34"/>
  <c r="EL19" i="34"/>
  <c r="FV19" i="34"/>
  <c r="FL19" i="34"/>
  <c r="GB19" i="34"/>
  <c r="FK19" i="34"/>
  <c r="ES19" i="34"/>
  <c r="FH19" i="34"/>
  <c r="GJ19" i="34"/>
  <c r="EZ19" i="34"/>
  <c r="FR19" i="34"/>
  <c r="FO19" i="34"/>
  <c r="FQ19" i="34"/>
  <c r="EP19" i="34"/>
  <c r="EV19" i="34"/>
  <c r="FR56" i="34"/>
  <c r="GK56" i="34"/>
  <c r="GJ56" i="34"/>
  <c r="ET56" i="34"/>
  <c r="GM56" i="34"/>
  <c r="GN56" i="34"/>
  <c r="FW56" i="34"/>
  <c r="FK56" i="34"/>
  <c r="GR56" i="34"/>
  <c r="EP56" i="34"/>
  <c r="FZ56" i="34"/>
  <c r="FA56" i="34"/>
  <c r="EZ56" i="34"/>
  <c r="GH56" i="34"/>
  <c r="FC56" i="34"/>
  <c r="GP56" i="34"/>
  <c r="FB56" i="34"/>
  <c r="GA56" i="34"/>
  <c r="EN56" i="34"/>
  <c r="EL56" i="34"/>
  <c r="EQ56" i="34"/>
  <c r="FE56" i="34"/>
  <c r="GG56" i="34"/>
  <c r="FY56" i="34"/>
  <c r="FO56" i="34"/>
  <c r="EO56" i="34"/>
  <c r="FV56" i="34"/>
  <c r="GC56" i="34"/>
  <c r="FM56" i="34"/>
  <c r="FL56" i="34"/>
  <c r="FN56" i="34"/>
  <c r="GF56" i="34"/>
  <c r="EX56" i="34"/>
  <c r="EU56" i="34"/>
  <c r="FB17" i="34"/>
  <c r="FC17" i="34"/>
  <c r="FG17" i="34"/>
  <c r="ER17" i="34"/>
  <c r="FQ17" i="34"/>
  <c r="FH17" i="34"/>
  <c r="FF17" i="34"/>
  <c r="EL17" i="34"/>
  <c r="GM17" i="34"/>
  <c r="EQ17" i="34"/>
  <c r="EO17" i="34"/>
  <c r="EN17" i="34"/>
  <c r="GC17" i="34"/>
  <c r="FD17" i="34"/>
  <c r="GR17" i="34"/>
  <c r="EX17" i="34"/>
  <c r="FL17" i="34"/>
  <c r="FP17" i="34"/>
  <c r="EY17" i="34"/>
  <c r="FY17" i="34"/>
  <c r="GP17" i="34"/>
  <c r="EW17" i="34"/>
  <c r="GH17" i="34"/>
  <c r="ES17" i="34"/>
  <c r="EP17" i="34"/>
  <c r="GO17" i="34"/>
  <c r="GG17" i="34"/>
  <c r="EV17" i="34"/>
  <c r="EK17" i="34"/>
  <c r="GN17" i="34"/>
  <c r="GG28" i="34"/>
  <c r="FI59" i="34"/>
  <c r="FB59" i="34"/>
  <c r="EN59" i="34"/>
  <c r="FJ59" i="34"/>
  <c r="FK59" i="34"/>
  <c r="GC59" i="34"/>
  <c r="FC59" i="34"/>
  <c r="GA59" i="34"/>
  <c r="S92" i="34"/>
  <c r="FA29" i="34" s="1"/>
  <c r="BU29" i="34"/>
  <c r="P88" i="34"/>
  <c r="EE25" i="34"/>
  <c r="AQ97" i="34"/>
  <c r="BU34" i="34"/>
  <c r="AQ117" i="34"/>
  <c r="GM54" i="34" s="1"/>
  <c r="BU54" i="34"/>
  <c r="M99" i="37"/>
  <c r="EE37" i="37"/>
  <c r="O106" i="37"/>
  <c r="EE44" i="37"/>
  <c r="J89" i="37"/>
  <c r="EE27" i="37"/>
  <c r="BU27" i="37"/>
  <c r="J95" i="37"/>
  <c r="EE33" i="37"/>
  <c r="BU33" i="37"/>
  <c r="FY59" i="34"/>
  <c r="J81" i="37"/>
  <c r="BU19" i="37"/>
  <c r="J104" i="37"/>
  <c r="EE42" i="37"/>
  <c r="GP18" i="34"/>
  <c r="EZ18" i="34"/>
  <c r="FP18" i="34"/>
  <c r="GO18" i="34"/>
  <c r="FF18" i="34"/>
  <c r="EL18" i="34"/>
  <c r="FN18" i="34"/>
  <c r="FA18" i="34"/>
  <c r="GA18" i="34"/>
  <c r="FA44" i="34"/>
  <c r="FX44" i="34"/>
  <c r="GM44" i="34"/>
  <c r="EP44" i="34"/>
  <c r="FC44" i="34"/>
  <c r="EM44" i="34"/>
  <c r="FM44" i="34"/>
  <c r="FY44" i="34"/>
  <c r="GD44" i="34"/>
  <c r="GM49" i="34"/>
  <c r="FK49" i="34"/>
  <c r="EM49" i="34"/>
  <c r="GP49" i="34"/>
  <c r="FW49" i="34"/>
  <c r="FR49" i="34"/>
  <c r="FH49" i="34"/>
  <c r="ER49" i="34"/>
  <c r="GC49" i="34"/>
  <c r="EN39" i="34"/>
  <c r="FQ39" i="34"/>
  <c r="FE39" i="34"/>
  <c r="GO39" i="34"/>
  <c r="FZ39" i="34"/>
  <c r="FM39" i="34"/>
  <c r="GK59" i="34"/>
  <c r="FX59" i="34"/>
  <c r="FV59" i="34"/>
  <c r="GG59" i="34"/>
  <c r="BU56" i="34"/>
  <c r="BU36" i="34"/>
  <c r="BU23" i="34"/>
  <c r="BU51" i="34"/>
  <c r="EE19" i="34"/>
  <c r="EE56" i="34"/>
  <c r="EE55" i="34"/>
  <c r="J103" i="34"/>
  <c r="J86" i="34"/>
  <c r="K101" i="34"/>
  <c r="GM38" i="34" s="1"/>
  <c r="EE20" i="37"/>
  <c r="BU6" i="37"/>
  <c r="K87" i="37"/>
  <c r="EE25" i="37"/>
  <c r="BU35" i="37"/>
  <c r="K97" i="37"/>
  <c r="BU48" i="37"/>
  <c r="J110" i="37"/>
  <c r="EE48" i="37"/>
  <c r="EE38" i="37"/>
  <c r="N100" i="37"/>
  <c r="M98" i="37"/>
  <c r="BU36" i="37"/>
  <c r="O84" i="37"/>
  <c r="EE22" i="37"/>
  <c r="M91" i="37"/>
  <c r="EE29" i="37"/>
  <c r="O73" i="37"/>
  <c r="BU11" i="37"/>
  <c r="EE11" i="37"/>
  <c r="EE40" i="37"/>
  <c r="O102" i="37"/>
  <c r="EE21" i="37"/>
  <c r="GM18" i="34"/>
  <c r="GR18" i="34"/>
  <c r="FI18" i="34"/>
  <c r="EM18" i="34"/>
  <c r="FS18" i="34"/>
  <c r="EP18" i="34"/>
  <c r="FH18" i="34"/>
  <c r="GK18" i="34"/>
  <c r="FZ18" i="34"/>
  <c r="GB18" i="34"/>
  <c r="EU21" i="34"/>
  <c r="GP21" i="34"/>
  <c r="EL21" i="34"/>
  <c r="GE21" i="34"/>
  <c r="EY21" i="34"/>
  <c r="ER21" i="34"/>
  <c r="EM21" i="34"/>
  <c r="FC21" i="34"/>
  <c r="GD21" i="34"/>
  <c r="EO21" i="34"/>
  <c r="FI44" i="34"/>
  <c r="EX44" i="34"/>
  <c r="FU44" i="34"/>
  <c r="EK44" i="34"/>
  <c r="FB44" i="34"/>
  <c r="FO44" i="34"/>
  <c r="EZ44" i="34"/>
  <c r="GG44" i="34"/>
  <c r="GA44" i="34"/>
  <c r="GC44" i="34"/>
  <c r="EM17" i="34"/>
  <c r="GK17" i="34"/>
  <c r="FI17" i="34"/>
  <c r="FM17" i="34"/>
  <c r="FE17" i="34"/>
  <c r="GF17" i="34"/>
  <c r="FN17" i="34"/>
  <c r="GD17" i="34"/>
  <c r="GA17" i="34"/>
  <c r="GB17" i="34"/>
  <c r="EL36" i="34"/>
  <c r="FY36" i="34"/>
  <c r="FL36" i="34"/>
  <c r="EW36" i="34"/>
  <c r="GI36" i="34"/>
  <c r="GO36" i="34"/>
  <c r="GM36" i="34"/>
  <c r="FZ36" i="34"/>
  <c r="FQ36" i="34"/>
  <c r="FD36" i="34"/>
  <c r="FM49" i="34"/>
  <c r="FF49" i="34"/>
  <c r="EN49" i="34"/>
  <c r="FZ49" i="34"/>
  <c r="FC49" i="34"/>
  <c r="EU49" i="34"/>
  <c r="FL49" i="34"/>
  <c r="GD49" i="34"/>
  <c r="GG49" i="34"/>
  <c r="GC39" i="34"/>
  <c r="GI39" i="34"/>
  <c r="FF39" i="34"/>
  <c r="EL39" i="34"/>
  <c r="FP39" i="34"/>
  <c r="GL39" i="34"/>
  <c r="EO39" i="34"/>
  <c r="FK57" i="34"/>
  <c r="FR57" i="34"/>
  <c r="GO57" i="34"/>
  <c r="GN57" i="34"/>
  <c r="GH57" i="34"/>
  <c r="EV59" i="34"/>
  <c r="FH59" i="34"/>
  <c r="EW59" i="34"/>
  <c r="GP59" i="34"/>
  <c r="GR51" i="34"/>
  <c r="GO51" i="34"/>
  <c r="BU59" i="34"/>
  <c r="BU21" i="34"/>
  <c r="BU50" i="34"/>
  <c r="EE52" i="34"/>
  <c r="EE61" i="34"/>
  <c r="FU18" i="34"/>
  <c r="ES18" i="34"/>
  <c r="GL18" i="34"/>
  <c r="FK18" i="34"/>
  <c r="FW18" i="34"/>
  <c r="GG18" i="34"/>
  <c r="GD18" i="34"/>
  <c r="FR18" i="34"/>
  <c r="FV18" i="34"/>
  <c r="EU18" i="34"/>
  <c r="ER18" i="34"/>
  <c r="GE18" i="34"/>
  <c r="FC18" i="34"/>
  <c r="EN18" i="34"/>
  <c r="GJ18" i="34"/>
  <c r="FQ21" i="34"/>
  <c r="FX21" i="34"/>
  <c r="GK21" i="34"/>
  <c r="GH21" i="34"/>
  <c r="FA21" i="34"/>
  <c r="EX21" i="34"/>
  <c r="GA21" i="34"/>
  <c r="EW21" i="34"/>
  <c r="FM21" i="34"/>
  <c r="FE21" i="34"/>
  <c r="EZ21" i="34"/>
  <c r="FL21" i="34"/>
  <c r="FF21" i="34"/>
  <c r="FI21" i="34"/>
  <c r="GG21" i="34"/>
  <c r="GH44" i="34"/>
  <c r="GL44" i="34"/>
  <c r="GK44" i="34"/>
  <c r="GE44" i="34"/>
  <c r="EV44" i="34"/>
  <c r="GF44" i="34"/>
  <c r="ET44" i="34"/>
  <c r="GB44" i="34"/>
  <c r="GJ44" i="34"/>
  <c r="EU44" i="34"/>
  <c r="FS44" i="34"/>
  <c r="FZ44" i="34"/>
  <c r="FR44" i="34"/>
  <c r="GN44" i="34"/>
  <c r="GP44" i="34"/>
  <c r="EQ28" i="34"/>
  <c r="FW28" i="34"/>
  <c r="FO28" i="34"/>
  <c r="EO28" i="34"/>
  <c r="GB28" i="34"/>
  <c r="EY28" i="34"/>
  <c r="EN28" i="34"/>
  <c r="FB28" i="34"/>
  <c r="EV28" i="34"/>
  <c r="FX28" i="34"/>
  <c r="GI28" i="34"/>
  <c r="FF28" i="34"/>
  <c r="FL28" i="34"/>
  <c r="FG28" i="34"/>
  <c r="FJ17" i="34"/>
  <c r="GL17" i="34"/>
  <c r="GJ17" i="34"/>
  <c r="FO17" i="34"/>
  <c r="FK17" i="34"/>
  <c r="ET17" i="34"/>
  <c r="GI17" i="34"/>
  <c r="FA17" i="34"/>
  <c r="EZ17" i="34"/>
  <c r="FZ17" i="34"/>
  <c r="FT17" i="34"/>
  <c r="EU17" i="34"/>
  <c r="FS17" i="34"/>
  <c r="GE17" i="34"/>
  <c r="GQ17" i="34"/>
  <c r="GQ36" i="34"/>
  <c r="FV36" i="34"/>
  <c r="GJ36" i="34"/>
  <c r="GN36" i="34"/>
  <c r="EV36" i="34"/>
  <c r="FR36" i="34"/>
  <c r="EZ36" i="34"/>
  <c r="GP36" i="34"/>
  <c r="FW36" i="34"/>
  <c r="EK36" i="34"/>
  <c r="FC36" i="34"/>
  <c r="FB36" i="34"/>
  <c r="EQ36" i="34"/>
  <c r="FH36" i="34"/>
  <c r="ET36" i="34"/>
  <c r="EO49" i="34"/>
  <c r="GQ49" i="34"/>
  <c r="FD49" i="34"/>
  <c r="FQ49" i="34"/>
  <c r="EL49" i="34"/>
  <c r="FO49" i="34"/>
  <c r="FB49" i="34"/>
  <c r="FP49" i="34"/>
  <c r="EZ49" i="34"/>
  <c r="EW49" i="34"/>
  <c r="ES49" i="34"/>
  <c r="GN49" i="34"/>
  <c r="GH49" i="34"/>
  <c r="GJ49" i="34"/>
  <c r="FN49" i="34"/>
  <c r="FY39" i="34"/>
  <c r="FK39" i="34"/>
  <c r="FG39" i="34"/>
  <c r="EK39" i="34"/>
  <c r="EU39" i="34"/>
  <c r="FB39" i="34"/>
  <c r="FW39" i="34"/>
  <c r="FU39" i="34"/>
  <c r="EQ39" i="34"/>
  <c r="GE39" i="34"/>
  <c r="EZ39" i="34"/>
  <c r="FT57" i="34"/>
  <c r="GA57" i="34"/>
  <c r="FO57" i="34"/>
  <c r="FS57" i="34"/>
  <c r="GC57" i="34"/>
  <c r="FM59" i="34"/>
  <c r="FD59" i="34"/>
  <c r="GN59" i="34"/>
  <c r="GJ59" i="34"/>
  <c r="EO59" i="34"/>
  <c r="GR59" i="34"/>
  <c r="GI59" i="34"/>
  <c r="FY51" i="34"/>
  <c r="GD51" i="34"/>
  <c r="GQ51" i="34"/>
  <c r="BU39" i="34"/>
  <c r="BU57" i="34"/>
  <c r="BU49" i="34"/>
  <c r="EE47" i="34"/>
  <c r="EE30" i="34"/>
  <c r="EE57" i="34"/>
  <c r="EE35" i="34"/>
  <c r="EE21" i="34"/>
  <c r="J110" i="34"/>
  <c r="EX47" i="34" s="1"/>
  <c r="EE45" i="37"/>
  <c r="BU30" i="37"/>
  <c r="H30" i="37" s="1"/>
  <c r="EE12" i="37"/>
  <c r="K74" i="37"/>
  <c r="BU32" i="37"/>
  <c r="EE32" i="37"/>
  <c r="J113" i="37"/>
  <c r="BU51" i="37"/>
  <c r="GQ59" i="34"/>
  <c r="BU44" i="37"/>
  <c r="K85" i="37"/>
  <c r="EE23" i="37"/>
  <c r="J109" i="37"/>
  <c r="BU47" i="37"/>
  <c r="GF18" i="34"/>
  <c r="EY18" i="34"/>
  <c r="FO18" i="34"/>
  <c r="ET18" i="34"/>
  <c r="GI18" i="34"/>
  <c r="FD44" i="34"/>
  <c r="GQ44" i="34"/>
  <c r="FN44" i="34"/>
  <c r="FF44" i="34"/>
  <c r="FP44" i="34"/>
  <c r="ES44" i="34"/>
  <c r="FS49" i="34"/>
  <c r="GR49" i="34"/>
  <c r="GF49" i="34"/>
  <c r="ET49" i="34"/>
  <c r="FC39" i="34"/>
  <c r="GR39" i="34"/>
  <c r="FD39" i="34"/>
  <c r="FA39" i="34"/>
  <c r="EX39" i="34"/>
  <c r="GO59" i="34"/>
  <c r="FO59" i="34"/>
  <c r="BU38" i="34"/>
  <c r="EE44" i="34"/>
  <c r="EE60" i="34"/>
  <c r="EE22" i="34"/>
  <c r="EE27" i="34"/>
  <c r="BU20" i="37"/>
  <c r="K93" i="37"/>
  <c r="BU26" i="37"/>
  <c r="M88" i="37"/>
  <c r="EE5" i="37"/>
  <c r="FJ18" i="34"/>
  <c r="GC18" i="34"/>
  <c r="FT18" i="34"/>
  <c r="FY18" i="34"/>
  <c r="FV21" i="34"/>
  <c r="EV21" i="34"/>
  <c r="GF21" i="34"/>
  <c r="FZ21" i="34"/>
  <c r="FL44" i="34"/>
  <c r="EQ44" i="34"/>
  <c r="GO44" i="34"/>
  <c r="FE44" i="34"/>
  <c r="FU17" i="34"/>
  <c r="FR17" i="34"/>
  <c r="FV17" i="34"/>
  <c r="FW17" i="34"/>
  <c r="FF36" i="34"/>
  <c r="FI36" i="34"/>
  <c r="GK36" i="34"/>
  <c r="FA36" i="34"/>
  <c r="EV49" i="34"/>
  <c r="FV49" i="34"/>
  <c r="FG49" i="34"/>
  <c r="FT49" i="34"/>
  <c r="EP49" i="34"/>
  <c r="FO39" i="34"/>
  <c r="GK39" i="34"/>
  <c r="FT39" i="34"/>
  <c r="EM57" i="34"/>
  <c r="GL59" i="34"/>
  <c r="EE17" i="34"/>
  <c r="BU52" i="34"/>
  <c r="BU58" i="34"/>
  <c r="EE43" i="37"/>
  <c r="EE19" i="37"/>
  <c r="EE28" i="37"/>
  <c r="BU25" i="37"/>
  <c r="L77" i="37"/>
  <c r="EE15" i="37"/>
  <c r="BU8" i="37"/>
  <c r="K78" i="37"/>
  <c r="BU16" i="37"/>
  <c r="EE16" i="37"/>
  <c r="K112" i="37"/>
  <c r="EE50" i="37"/>
  <c r="GT24" i="34"/>
  <c r="BU19" i="34"/>
  <c r="EE41" i="37"/>
  <c r="EE49" i="37"/>
  <c r="EE18" i="37"/>
  <c r="EE24" i="37"/>
  <c r="BU40" i="37"/>
  <c r="BU10" i="37"/>
  <c r="BU45" i="37"/>
  <c r="BU50" i="37"/>
  <c r="K83" i="37"/>
  <c r="BU21" i="37"/>
  <c r="BU28" i="37"/>
  <c r="BU12" i="37"/>
  <c r="J74" i="37"/>
  <c r="BU15" i="37"/>
  <c r="J71" i="37"/>
  <c r="BU9" i="37"/>
  <c r="BU39" i="37"/>
  <c r="J99" i="37"/>
  <c r="BU37" i="37"/>
  <c r="BU41" i="37"/>
  <c r="J84" i="37"/>
  <c r="BU22" i="37"/>
  <c r="K69" i="37"/>
  <c r="BU7" i="37"/>
  <c r="BU29" i="37"/>
  <c r="K91" i="37"/>
  <c r="BU24" i="37"/>
  <c r="K80" i="37"/>
  <c r="BU18" i="37"/>
  <c r="BU38" i="37"/>
  <c r="J93" i="37"/>
  <c r="BU31" i="37"/>
  <c r="BU49" i="37"/>
  <c r="BU5" i="37"/>
  <c r="BU17" i="37"/>
  <c r="BU34" i="37"/>
  <c r="EP51" i="34"/>
  <c r="ES51" i="34"/>
  <c r="GJ51" i="34"/>
  <c r="GC51" i="34"/>
  <c r="FQ51" i="34"/>
  <c r="FJ51" i="34"/>
  <c r="FK51" i="34"/>
  <c r="FZ51" i="34"/>
  <c r="ER39" i="34"/>
  <c r="GN39" i="34"/>
  <c r="FJ39" i="34"/>
  <c r="FX39" i="34"/>
  <c r="ET39" i="34"/>
  <c r="FR39" i="34"/>
  <c r="GD39" i="34"/>
  <c r="GF39" i="34"/>
  <c r="GA39" i="34"/>
  <c r="EP39" i="34"/>
  <c r="FS39" i="34"/>
  <c r="GH39" i="34"/>
  <c r="EM39" i="34"/>
  <c r="FH39" i="34"/>
  <c r="EW39" i="34"/>
  <c r="GR57" i="34"/>
  <c r="EL57" i="34"/>
  <c r="FZ57" i="34"/>
  <c r="FH57" i="34"/>
  <c r="FN57" i="34"/>
  <c r="ES57" i="34"/>
  <c r="FC57" i="34"/>
  <c r="EP57" i="34"/>
  <c r="EX57" i="34"/>
  <c r="GL57" i="34"/>
  <c r="GD57" i="34"/>
  <c r="FP57" i="34"/>
  <c r="FF57" i="34"/>
  <c r="FJ57" i="34"/>
  <c r="FL57" i="34"/>
  <c r="EQ51" i="34"/>
  <c r="FU51" i="34"/>
  <c r="GK51" i="34"/>
  <c r="GM51" i="34"/>
  <c r="GH51" i="34"/>
  <c r="FX51" i="34"/>
  <c r="FE51" i="34"/>
  <c r="FG51" i="34"/>
  <c r="EN51" i="34"/>
  <c r="GI51" i="34"/>
  <c r="FA51" i="34"/>
  <c r="FX49" i="34"/>
  <c r="FI49" i="34"/>
  <c r="FH56" i="34"/>
  <c r="GE56" i="34"/>
  <c r="FF56" i="34"/>
  <c r="GD56" i="34"/>
  <c r="FI56" i="34"/>
  <c r="EY56" i="34"/>
  <c r="EW56" i="34"/>
  <c r="GO56" i="34"/>
  <c r="ER56" i="34"/>
  <c r="GL56" i="34"/>
  <c r="GB56" i="34"/>
  <c r="GE59" i="34"/>
  <c r="FQ59" i="34"/>
  <c r="EK59" i="34"/>
  <c r="GF59" i="34"/>
  <c r="EQ59" i="34"/>
  <c r="FN59" i="34"/>
  <c r="FT51" i="34"/>
  <c r="EL51" i="34"/>
  <c r="FH51" i="34"/>
  <c r="GN51" i="34"/>
  <c r="FR59" i="34"/>
  <c r="GJ57" i="34"/>
  <c r="FB51" i="34"/>
  <c r="BU24" i="34"/>
  <c r="J87" i="34"/>
  <c r="Y103" i="34"/>
  <c r="BU40" i="34"/>
  <c r="Q85" i="34"/>
  <c r="BU22" i="34"/>
  <c r="J90" i="34"/>
  <c r="BU27" i="34"/>
  <c r="BU31" i="34"/>
  <c r="K93" i="34"/>
  <c r="BU30" i="34"/>
  <c r="K96" i="34"/>
  <c r="BU33" i="34"/>
  <c r="BU26" i="34"/>
  <c r="J118" i="34"/>
  <c r="BU55" i="34"/>
  <c r="N105" i="34"/>
  <c r="BU42" i="34"/>
  <c r="H42" i="34" s="1"/>
  <c r="EU59" i="34"/>
  <c r="FL59" i="34"/>
  <c r="FF59" i="34"/>
  <c r="FG59" i="34"/>
  <c r="FT59" i="34"/>
  <c r="FE59" i="34"/>
  <c r="FZ59" i="34"/>
  <c r="EL59" i="34"/>
  <c r="FS59" i="34"/>
  <c r="FU59" i="34"/>
  <c r="FA59" i="34"/>
  <c r="FP59" i="34"/>
  <c r="GD59" i="34"/>
  <c r="EY59" i="34"/>
  <c r="GM59" i="34"/>
  <c r="BU46" i="34"/>
  <c r="N109" i="34"/>
  <c r="BU63" i="34"/>
  <c r="L124" i="34"/>
  <c r="BU61" i="34"/>
  <c r="FU56" i="34"/>
  <c r="EM56" i="34"/>
  <c r="FS56" i="34"/>
  <c r="FT56" i="34"/>
  <c r="GI56" i="34"/>
  <c r="FG56" i="34"/>
  <c r="FX56" i="34"/>
  <c r="FP56" i="34"/>
  <c r="ES56" i="34"/>
  <c r="FD56" i="34"/>
  <c r="EV56" i="34"/>
  <c r="GQ56" i="34"/>
  <c r="FJ56" i="34"/>
  <c r="FQ56" i="34"/>
  <c r="EK56" i="34"/>
  <c r="GG51" i="34"/>
  <c r="FP51" i="34"/>
  <c r="GA51" i="34"/>
  <c r="FO51" i="34"/>
  <c r="GE51" i="34"/>
  <c r="FW51" i="34"/>
  <c r="ET51" i="34"/>
  <c r="FS51" i="34"/>
  <c r="GF51" i="34"/>
  <c r="EM51" i="34"/>
  <c r="EZ51" i="34"/>
  <c r="ER51" i="34"/>
  <c r="FI51" i="34"/>
  <c r="FD51" i="34"/>
  <c r="FR51" i="34"/>
  <c r="FQ57" i="34"/>
  <c r="GK57" i="34"/>
  <c r="FW57" i="34"/>
  <c r="EQ57" i="34"/>
  <c r="FM57" i="34"/>
  <c r="EO57" i="34"/>
  <c r="FV57" i="34"/>
  <c r="FG57" i="34"/>
  <c r="FB57" i="34"/>
  <c r="EW57" i="34"/>
  <c r="ET57" i="34"/>
  <c r="FU57" i="34"/>
  <c r="GQ57" i="34"/>
  <c r="GG57" i="34"/>
  <c r="GM57" i="34"/>
  <c r="P106" i="34"/>
  <c r="BU43" i="34"/>
  <c r="K123" i="34"/>
  <c r="BU60" i="34"/>
  <c r="L108" i="34"/>
  <c r="BU45" i="34"/>
  <c r="H45" i="34" s="1"/>
  <c r="M95" i="34"/>
  <c r="BU32" i="34"/>
  <c r="P104" i="34"/>
  <c r="BU41" i="34"/>
  <c r="BU17" i="34"/>
  <c r="BU25" i="34"/>
  <c r="O88" i="34"/>
  <c r="BU37" i="34"/>
  <c r="N100" i="34"/>
  <c r="T68" i="34"/>
  <c r="GI57" i="34"/>
  <c r="EV57" i="34"/>
  <c r="GP57" i="34"/>
  <c r="EK57" i="34"/>
  <c r="EM59" i="34"/>
  <c r="ET59" i="34"/>
  <c r="EX59" i="34"/>
  <c r="GH59" i="34"/>
  <c r="EP59" i="34"/>
  <c r="GB59" i="34"/>
  <c r="ES59" i="34"/>
  <c r="EZ59" i="34"/>
  <c r="ER59" i="34"/>
  <c r="FW59" i="34"/>
  <c r="GP51" i="34"/>
  <c r="EV51" i="34"/>
  <c r="EY51" i="34"/>
  <c r="GB51" i="34"/>
  <c r="FL51" i="34"/>
  <c r="FC51" i="34"/>
  <c r="EX51" i="34"/>
  <c r="FF51" i="34"/>
  <c r="FM51" i="34"/>
  <c r="EU51" i="34"/>
  <c r="BU18" i="34"/>
  <c r="BU53" i="34"/>
  <c r="K115" i="34"/>
  <c r="L89" i="34"/>
  <c r="GV40" i="34"/>
  <c r="GW40" i="34" s="1"/>
  <c r="GT40" i="34" s="1"/>
  <c r="EG40" i="34"/>
  <c r="GV8" i="34"/>
  <c r="O9" i="34" s="1"/>
  <c r="EG8" i="34"/>
  <c r="EG9" i="34"/>
  <c r="GV11" i="34"/>
  <c r="GV52" i="34"/>
  <c r="GW52" i="34" s="1"/>
  <c r="GT52" i="34" s="1"/>
  <c r="EG52" i="34"/>
  <c r="EG10" i="34"/>
  <c r="EG12" i="34"/>
  <c r="GV19" i="34"/>
  <c r="GW19" i="34" s="1"/>
  <c r="GT19" i="34" s="1"/>
  <c r="GV14" i="34"/>
  <c r="O10" i="34" s="1"/>
  <c r="EG24" i="34"/>
  <c r="GV60" i="34"/>
  <c r="GW60" i="34" s="1"/>
  <c r="GT60" i="34" s="1"/>
  <c r="CP16" i="33" l="1"/>
  <c r="DT17" i="33"/>
  <c r="DT21" i="33"/>
  <c r="DT10" i="33"/>
  <c r="DT14" i="33"/>
  <c r="DT20" i="33"/>
  <c r="DT15" i="33"/>
  <c r="DT19" i="33"/>
  <c r="DR9" i="33"/>
  <c r="DR10" i="33" s="1"/>
  <c r="DR11" i="33" s="1"/>
  <c r="DR12" i="33" s="1"/>
  <c r="DR13" i="33" s="1"/>
  <c r="DR14" i="33" s="1"/>
  <c r="DR15" i="33" s="1"/>
  <c r="DR16" i="33" s="1"/>
  <c r="DR17" i="33" s="1"/>
  <c r="DR18" i="33" s="1"/>
  <c r="DR19" i="33" s="1"/>
  <c r="DR20" i="33" s="1"/>
  <c r="DR21" i="33" s="1"/>
  <c r="DR22" i="33" s="1"/>
  <c r="DR23" i="33" s="1"/>
  <c r="DR24" i="33" s="1"/>
  <c r="DR25" i="33" s="1"/>
  <c r="DR26" i="33" s="1"/>
  <c r="DR27" i="33" s="1"/>
  <c r="DR28" i="33" s="1"/>
  <c r="DR29" i="33" s="1"/>
  <c r="DR30" i="33" s="1"/>
  <c r="DR31" i="33" s="1"/>
  <c r="DR32" i="33" s="1"/>
  <c r="DR33" i="33" s="1"/>
  <c r="DR34" i="33" s="1"/>
  <c r="DR35" i="33" s="1"/>
  <c r="DR36" i="33" s="1"/>
  <c r="K4" i="34"/>
  <c r="L62" i="37"/>
  <c r="J53" i="37"/>
  <c r="K60" i="37"/>
  <c r="K16" i="34"/>
  <c r="BP73" i="33"/>
  <c r="BV73" i="33"/>
  <c r="BX73" i="33"/>
  <c r="BU73" i="33"/>
  <c r="BT73" i="33"/>
  <c r="BY73" i="33"/>
  <c r="CE73" i="33"/>
  <c r="BW73" i="33"/>
  <c r="BZ73" i="33"/>
  <c r="CA73" i="33"/>
  <c r="BS73" i="33"/>
  <c r="BR73" i="33"/>
  <c r="CG73" i="33"/>
  <c r="GT17" i="37"/>
  <c r="GT47" i="37"/>
  <c r="GT32" i="37"/>
  <c r="GT36" i="37"/>
  <c r="GT7" i="37"/>
  <c r="GW4" i="37"/>
  <c r="J4" i="32"/>
  <c r="CP28" i="33"/>
  <c r="CP39" i="33"/>
  <c r="CP41" i="33"/>
  <c r="GW53" i="37"/>
  <c r="CP43" i="33"/>
  <c r="CP31" i="33"/>
  <c r="CP13" i="33"/>
  <c r="H17" i="37"/>
  <c r="H16" i="37"/>
  <c r="H60" i="34"/>
  <c r="H15" i="37"/>
  <c r="H14" i="37"/>
  <c r="CP11" i="33"/>
  <c r="CP17" i="33"/>
  <c r="CP20" i="33"/>
  <c r="H63" i="34"/>
  <c r="H26" i="37"/>
  <c r="H59" i="34"/>
  <c r="H27" i="37"/>
  <c r="CP36" i="33"/>
  <c r="CP42" i="33"/>
  <c r="CP40" i="33"/>
  <c r="H47" i="34"/>
  <c r="H12" i="37"/>
  <c r="H62" i="34"/>
  <c r="CP37" i="33"/>
  <c r="CP9" i="33"/>
  <c r="H28" i="37"/>
  <c r="H58" i="34"/>
  <c r="CP26" i="33"/>
  <c r="H61" i="34"/>
  <c r="H29" i="37"/>
  <c r="H52" i="34"/>
  <c r="H50" i="34"/>
  <c r="H11" i="37"/>
  <c r="CP21" i="33"/>
  <c r="CP23" i="33"/>
  <c r="CP30" i="33"/>
  <c r="CP33" i="33"/>
  <c r="CP32" i="33"/>
  <c r="DS10" i="33"/>
  <c r="DS11" i="33" s="1"/>
  <c r="DS12" i="33" s="1"/>
  <c r="DS13" i="33" s="1"/>
  <c r="DS14" i="33" s="1"/>
  <c r="DS15" i="33" s="1"/>
  <c r="DS16" i="33" s="1"/>
  <c r="DS17" i="33" s="1"/>
  <c r="DS18" i="33" s="1"/>
  <c r="DS19" i="33" s="1"/>
  <c r="DS20" i="33" s="1"/>
  <c r="DS21" i="33" s="1"/>
  <c r="DS22" i="33" s="1"/>
  <c r="DS23" i="33" s="1"/>
  <c r="DS24" i="33" s="1"/>
  <c r="DS25" i="33" s="1"/>
  <c r="DS26" i="33" s="1"/>
  <c r="DS27" i="33" s="1"/>
  <c r="DS28" i="33" s="1"/>
  <c r="DS29" i="33" s="1"/>
  <c r="DS30" i="33" s="1"/>
  <c r="DS31" i="33" s="1"/>
  <c r="DS32" i="33" s="1"/>
  <c r="DS33" i="33" s="1"/>
  <c r="DS34" i="33" s="1"/>
  <c r="DS35" i="33" s="1"/>
  <c r="DS36" i="33" s="1"/>
  <c r="DS37" i="33" s="1"/>
  <c r="DS38" i="33" s="1"/>
  <c r="DS39" i="33" s="1"/>
  <c r="DS40" i="33" s="1"/>
  <c r="DS41" i="33" s="1"/>
  <c r="CP10" i="33"/>
  <c r="CP29" i="33"/>
  <c r="CP34" i="33"/>
  <c r="CH73" i="33"/>
  <c r="CP45" i="33"/>
  <c r="CP35" i="33"/>
  <c r="H43" i="34"/>
  <c r="H9" i="37"/>
  <c r="H20" i="37"/>
  <c r="H51" i="34"/>
  <c r="CP18" i="33"/>
  <c r="CP12" i="33"/>
  <c r="CP15" i="33"/>
  <c r="CP22" i="33"/>
  <c r="CP25" i="33"/>
  <c r="CP24" i="33"/>
  <c r="CP27" i="33"/>
  <c r="CP44" i="33"/>
  <c r="CD73" i="33"/>
  <c r="CP19" i="33"/>
  <c r="CC73" i="33"/>
  <c r="CF73" i="33"/>
  <c r="K5" i="32"/>
  <c r="CT8" i="33" s="1"/>
  <c r="FQ20" i="34"/>
  <c r="GW57" i="37"/>
  <c r="GW55" i="37"/>
  <c r="GW54" i="37"/>
  <c r="GW58" i="37"/>
  <c r="GT43" i="37"/>
  <c r="GW59" i="37"/>
  <c r="FZ41" i="37"/>
  <c r="ES45" i="37"/>
  <c r="GM49" i="37"/>
  <c r="EN46" i="37"/>
  <c r="FF45" i="37"/>
  <c r="FP32" i="37"/>
  <c r="FO43" i="37"/>
  <c r="ER13" i="37"/>
  <c r="FB32" i="37"/>
  <c r="GW52" i="37"/>
  <c r="EZ30" i="37"/>
  <c r="FA6" i="37"/>
  <c r="GW56" i="37"/>
  <c r="FV48" i="34"/>
  <c r="GW62" i="37"/>
  <c r="EO39" i="37"/>
  <c r="GD45" i="37"/>
  <c r="ES6" i="37"/>
  <c r="EK20" i="37"/>
  <c r="GH45" i="37"/>
  <c r="EL20" i="37"/>
  <c r="FR39" i="37"/>
  <c r="FW46" i="37"/>
  <c r="FZ20" i="37"/>
  <c r="GA13" i="37"/>
  <c r="FV46" i="37"/>
  <c r="ET13" i="37"/>
  <c r="FO45" i="37"/>
  <c r="GN39" i="37"/>
  <c r="GR46" i="37"/>
  <c r="GL41" i="37"/>
  <c r="FW43" i="37"/>
  <c r="FX46" i="37"/>
  <c r="FC32" i="37"/>
  <c r="GG49" i="37"/>
  <c r="ER20" i="37"/>
  <c r="FZ39" i="37"/>
  <c r="GD13" i="37"/>
  <c r="EM49" i="37"/>
  <c r="EQ41" i="37"/>
  <c r="FU6" i="37"/>
  <c r="GG20" i="37"/>
  <c r="FI39" i="37"/>
  <c r="EL43" i="37"/>
  <c r="EZ49" i="37"/>
  <c r="FR45" i="37"/>
  <c r="EZ6" i="37"/>
  <c r="GQ30" i="37"/>
  <c r="EL13" i="37"/>
  <c r="GE49" i="37"/>
  <c r="FH45" i="37"/>
  <c r="FA41" i="37"/>
  <c r="GQ32" i="37"/>
  <c r="FO49" i="37"/>
  <c r="EO18" i="37"/>
  <c r="FN45" i="37"/>
  <c r="GB20" i="37"/>
  <c r="FB6" i="37"/>
  <c r="FJ43" i="37"/>
  <c r="GB45" i="37"/>
  <c r="GH43" i="37"/>
  <c r="EN14" i="37"/>
  <c r="GF43" i="37"/>
  <c r="EQ45" i="37"/>
  <c r="FP13" i="37"/>
  <c r="GD30" i="37"/>
  <c r="EY13" i="37"/>
  <c r="FF13" i="37"/>
  <c r="EO13" i="37"/>
  <c r="GE41" i="37"/>
  <c r="FL49" i="37"/>
  <c r="GC45" i="37"/>
  <c r="FI32" i="37"/>
  <c r="EK45" i="37"/>
  <c r="FX43" i="37"/>
  <c r="GT19" i="37"/>
  <c r="GT14" i="37"/>
  <c r="GF39" i="37"/>
  <c r="FG24" i="37"/>
  <c r="FO13" i="37"/>
  <c r="GF6" i="37"/>
  <c r="FJ28" i="37"/>
  <c r="GN45" i="37"/>
  <c r="FD20" i="37"/>
  <c r="FH6" i="37"/>
  <c r="FJ39" i="37"/>
  <c r="EM28" i="37"/>
  <c r="FP43" i="37"/>
  <c r="FT41" i="37"/>
  <c r="FI13" i="37"/>
  <c r="GH41" i="37"/>
  <c r="FO46" i="37"/>
  <c r="FB30" i="37"/>
  <c r="GP30" i="37"/>
  <c r="FL46" i="37"/>
  <c r="FA46" i="37"/>
  <c r="EM46" i="37"/>
  <c r="EV49" i="37"/>
  <c r="GP45" i="37"/>
  <c r="FM32" i="37"/>
  <c r="FY32" i="37"/>
  <c r="EX49" i="37"/>
  <c r="GT31" i="37"/>
  <c r="EW46" i="37"/>
  <c r="FC30" i="37"/>
  <c r="EY41" i="37"/>
  <c r="EY45" i="37"/>
  <c r="GM45" i="37"/>
  <c r="GT16" i="37"/>
  <c r="FP45" i="37"/>
  <c r="FD28" i="37"/>
  <c r="EY28" i="37"/>
  <c r="GH14" i="37"/>
  <c r="FR14" i="37"/>
  <c r="FW14" i="37"/>
  <c r="ES28" i="37"/>
  <c r="FR28" i="37"/>
  <c r="FA39" i="37"/>
  <c r="EK49" i="37"/>
  <c r="GH28" i="37"/>
  <c r="GA41" i="37"/>
  <c r="FQ17" i="37"/>
  <c r="FM30" i="37"/>
  <c r="FW6" i="37"/>
  <c r="FM20" i="37"/>
  <c r="GD6" i="37"/>
  <c r="EK6" i="37"/>
  <c r="GR39" i="37"/>
  <c r="FE39" i="37"/>
  <c r="GF28" i="37"/>
  <c r="GR43" i="37"/>
  <c r="FU43" i="37"/>
  <c r="GO20" i="37"/>
  <c r="GK28" i="37"/>
  <c r="EP28" i="37"/>
  <c r="EW41" i="37"/>
  <c r="GQ43" i="37"/>
  <c r="GE20" i="37"/>
  <c r="EX39" i="37"/>
  <c r="EW6" i="37"/>
  <c r="FY6" i="37"/>
  <c r="FT39" i="37"/>
  <c r="GP20" i="37"/>
  <c r="FI30" i="37"/>
  <c r="EW30" i="37"/>
  <c r="EV30" i="37"/>
  <c r="GR13" i="37"/>
  <c r="EK13" i="37"/>
  <c r="FY13" i="37"/>
  <c r="FR46" i="37"/>
  <c r="FF46" i="37"/>
  <c r="GH6" i="37"/>
  <c r="FS38" i="37"/>
  <c r="FX25" i="37"/>
  <c r="GB49" i="37"/>
  <c r="GM30" i="37"/>
  <c r="FU41" i="37"/>
  <c r="GH32" i="37"/>
  <c r="FT32" i="37"/>
  <c r="GB32" i="37"/>
  <c r="FO14" i="37"/>
  <c r="FU14" i="37"/>
  <c r="GE14" i="37"/>
  <c r="GM46" i="37"/>
  <c r="GE28" i="37"/>
  <c r="GQ6" i="37"/>
  <c r="GL6" i="37"/>
  <c r="EN39" i="37"/>
  <c r="GT24" i="37"/>
  <c r="CI73" i="33"/>
  <c r="EV17" i="37"/>
  <c r="FC28" i="37"/>
  <c r="EK28" i="37"/>
  <c r="FZ14" i="37"/>
  <c r="EY14" i="37"/>
  <c r="FQ20" i="37"/>
  <c r="FQ32" i="37"/>
  <c r="EW32" i="37"/>
  <c r="FJ32" i="37"/>
  <c r="FN14" i="37"/>
  <c r="EV14" i="37"/>
  <c r="EL14" i="37"/>
  <c r="GM43" i="37"/>
  <c r="FL43" i="37"/>
  <c r="BQ73" i="33"/>
  <c r="GN49" i="37"/>
  <c r="FI41" i="37"/>
  <c r="ER17" i="37"/>
  <c r="EV20" i="37"/>
  <c r="EY20" i="37"/>
  <c r="GC6" i="37"/>
  <c r="FZ6" i="37"/>
  <c r="GL49" i="37"/>
  <c r="GB39" i="37"/>
  <c r="EL39" i="37"/>
  <c r="ET28" i="37"/>
  <c r="FF43" i="37"/>
  <c r="FZ43" i="37"/>
  <c r="EN28" i="37"/>
  <c r="FY41" i="37"/>
  <c r="ER41" i="37"/>
  <c r="GL43" i="37"/>
  <c r="EN20" i="37"/>
  <c r="GJ30" i="37"/>
  <c r="GN46" i="37"/>
  <c r="FU30" i="37"/>
  <c r="FZ30" i="37"/>
  <c r="GH30" i="37"/>
  <c r="FB13" i="37"/>
  <c r="GN13" i="37"/>
  <c r="FM46" i="37"/>
  <c r="EK46" i="37"/>
  <c r="ES46" i="37"/>
  <c r="GH20" i="37"/>
  <c r="ES30" i="37"/>
  <c r="FC49" i="37"/>
  <c r="FU49" i="37"/>
  <c r="FK43" i="37"/>
  <c r="GI32" i="37"/>
  <c r="EP32" i="37"/>
  <c r="FC14" i="37"/>
  <c r="FG14" i="37"/>
  <c r="FB14" i="37"/>
  <c r="EO28" i="37"/>
  <c r="FT28" i="37"/>
  <c r="GL30" i="37"/>
  <c r="GT30" i="37"/>
  <c r="EU49" i="37"/>
  <c r="GP24" i="37"/>
  <c r="GB14" i="37"/>
  <c r="EV13" i="37"/>
  <c r="GO28" i="37"/>
  <c r="FQ43" i="37"/>
  <c r="FA20" i="37"/>
  <c r="GR17" i="37"/>
  <c r="GD41" i="37"/>
  <c r="EM39" i="37"/>
  <c r="GP43" i="37"/>
  <c r="K6" i="34"/>
  <c r="BW6" i="34" s="1"/>
  <c r="N6" i="34"/>
  <c r="BZ6" i="34" s="1"/>
  <c r="O6" i="34"/>
  <c r="N4" i="34"/>
  <c r="EK24" i="37"/>
  <c r="FY24" i="37"/>
  <c r="EZ24" i="37"/>
  <c r="FK24" i="37"/>
  <c r="FO24" i="37"/>
  <c r="ER24" i="37"/>
  <c r="FY17" i="37"/>
  <c r="FB49" i="37"/>
  <c r="GO49" i="37"/>
  <c r="FV41" i="37"/>
  <c r="FO41" i="37"/>
  <c r="GD17" i="37"/>
  <c r="FE45" i="37"/>
  <c r="EW20" i="37"/>
  <c r="GL20" i="37"/>
  <c r="FR20" i="37"/>
  <c r="EP20" i="37"/>
  <c r="EP6" i="37"/>
  <c r="GP6" i="37"/>
  <c r="FG6" i="37"/>
  <c r="FS6" i="37"/>
  <c r="FW39" i="37"/>
  <c r="GP39" i="37"/>
  <c r="FF39" i="37"/>
  <c r="FY39" i="37"/>
  <c r="FE28" i="37"/>
  <c r="GN28" i="37"/>
  <c r="GI43" i="37"/>
  <c r="FG43" i="37"/>
  <c r="EO43" i="37"/>
  <c r="ER43" i="37"/>
  <c r="FJ17" i="37"/>
  <c r="GI17" i="37"/>
  <c r="FH28" i="37"/>
  <c r="FQ41" i="37"/>
  <c r="EU41" i="37"/>
  <c r="ET41" i="37"/>
  <c r="EZ43" i="37"/>
  <c r="ES43" i="37"/>
  <c r="GA20" i="37"/>
  <c r="GJ20" i="37"/>
  <c r="EO14" i="37"/>
  <c r="FJ30" i="37"/>
  <c r="GK49" i="37"/>
  <c r="FK20" i="37"/>
  <c r="FN6" i="37"/>
  <c r="EX30" i="37"/>
  <c r="GA45" i="37"/>
  <c r="FT6" i="37"/>
  <c r="EK39" i="37"/>
  <c r="FC41" i="37"/>
  <c r="GB30" i="37"/>
  <c r="EU30" i="37"/>
  <c r="GN30" i="37"/>
  <c r="FW30" i="37"/>
  <c r="EN30" i="37"/>
  <c r="FO30" i="37"/>
  <c r="FH13" i="37"/>
  <c r="EU13" i="37"/>
  <c r="FC13" i="37"/>
  <c r="FX13" i="37"/>
  <c r="FR13" i="37"/>
  <c r="EX46" i="37"/>
  <c r="FQ46" i="37"/>
  <c r="FB46" i="37"/>
  <c r="FK46" i="37"/>
  <c r="ET46" i="37"/>
  <c r="FA14" i="37"/>
  <c r="GI39" i="37"/>
  <c r="EU20" i="37"/>
  <c r="ES39" i="37"/>
  <c r="GN32" i="37"/>
  <c r="FD46" i="37"/>
  <c r="EN45" i="37"/>
  <c r="FF17" i="37"/>
  <c r="GD40" i="37"/>
  <c r="FC11" i="37"/>
  <c r="FG35" i="37"/>
  <c r="FI49" i="37"/>
  <c r="FZ49" i="37"/>
  <c r="GP49" i="37"/>
  <c r="FT49" i="37"/>
  <c r="FI45" i="37"/>
  <c r="FH24" i="37"/>
  <c r="FV24" i="37"/>
  <c r="FJ24" i="37"/>
  <c r="FD24" i="37"/>
  <c r="GM24" i="37"/>
  <c r="FB24" i="37"/>
  <c r="FR24" i="37"/>
  <c r="GN20" i="37"/>
  <c r="GC41" i="37"/>
  <c r="FB17" i="37"/>
  <c r="FS32" i="37"/>
  <c r="ER32" i="37"/>
  <c r="FG32" i="37"/>
  <c r="GM32" i="37"/>
  <c r="EQ32" i="37"/>
  <c r="GI14" i="37"/>
  <c r="EP14" i="37"/>
  <c r="GM14" i="37"/>
  <c r="ET14" i="37"/>
  <c r="FI14" i="37"/>
  <c r="GP14" i="37"/>
  <c r="EZ45" i="37"/>
  <c r="EW24" i="37"/>
  <c r="FL28" i="37"/>
  <c r="GP28" i="37"/>
  <c r="EU28" i="37"/>
  <c r="FQ49" i="37"/>
  <c r="GN17" i="37"/>
  <c r="J62" i="37"/>
  <c r="M56" i="37"/>
  <c r="N56" i="37"/>
  <c r="GI49" i="37"/>
  <c r="GQ49" i="37"/>
  <c r="FL41" i="37"/>
  <c r="GA17" i="37"/>
  <c r="FE17" i="37"/>
  <c r="FN17" i="37"/>
  <c r="FX45" i="37"/>
  <c r="FN20" i="37"/>
  <c r="FP20" i="37"/>
  <c r="FU20" i="37"/>
  <c r="FW20" i="37"/>
  <c r="FX6" i="37"/>
  <c r="FD6" i="37"/>
  <c r="FF6" i="37"/>
  <c r="FL6" i="37"/>
  <c r="GA39" i="37"/>
  <c r="FU39" i="37"/>
  <c r="GQ39" i="37"/>
  <c r="FO39" i="37"/>
  <c r="EW39" i="37"/>
  <c r="EQ39" i="37"/>
  <c r="GC39" i="37"/>
  <c r="GD39" i="37"/>
  <c r="FK28" i="37"/>
  <c r="GJ28" i="37"/>
  <c r="FB28" i="37"/>
  <c r="GL28" i="37"/>
  <c r="GO43" i="37"/>
  <c r="EY43" i="37"/>
  <c r="FV43" i="37"/>
  <c r="FH43" i="37"/>
  <c r="EW43" i="37"/>
  <c r="ET43" i="37"/>
  <c r="GB43" i="37"/>
  <c r="GK20" i="37"/>
  <c r="EV6" i="37"/>
  <c r="FM6" i="37"/>
  <c r="GJ45" i="37"/>
  <c r="GR45" i="37"/>
  <c r="FX17" i="37"/>
  <c r="FT17" i="37"/>
  <c r="EU17" i="37"/>
  <c r="FG17" i="37"/>
  <c r="GK17" i="37"/>
  <c r="EZ17" i="37"/>
  <c r="FN28" i="37"/>
  <c r="FU28" i="37"/>
  <c r="EL28" i="37"/>
  <c r="EQ28" i="37"/>
  <c r="FO28" i="37"/>
  <c r="ES50" i="37"/>
  <c r="FE41" i="37"/>
  <c r="FN41" i="37"/>
  <c r="FP41" i="37"/>
  <c r="EV41" i="37"/>
  <c r="GM41" i="37"/>
  <c r="EN43" i="37"/>
  <c r="GG43" i="37"/>
  <c r="GE43" i="37"/>
  <c r="EM43" i="37"/>
  <c r="EX20" i="37"/>
  <c r="EZ20" i="37"/>
  <c r="FS14" i="37"/>
  <c r="GO39" i="37"/>
  <c r="GH13" i="37"/>
  <c r="FX39" i="37"/>
  <c r="FJ49" i="37"/>
  <c r="GA43" i="37"/>
  <c r="GA6" i="37"/>
  <c r="FX32" i="37"/>
  <c r="EN32" i="37"/>
  <c r="GE46" i="37"/>
  <c r="EL41" i="37"/>
  <c r="FU45" i="37"/>
  <c r="FT46" i="37"/>
  <c r="GC17" i="37"/>
  <c r="EY6" i="37"/>
  <c r="ET6" i="37"/>
  <c r="EP39" i="37"/>
  <c r="FS39" i="37"/>
  <c r="FT13" i="37"/>
  <c r="FD43" i="37"/>
  <c r="FZ45" i="37"/>
  <c r="GC30" i="37"/>
  <c r="GF30" i="37"/>
  <c r="GO30" i="37"/>
  <c r="FN30" i="37"/>
  <c r="GA30" i="37"/>
  <c r="FD30" i="37"/>
  <c r="FA30" i="37"/>
  <c r="GK30" i="37"/>
  <c r="EM30" i="37"/>
  <c r="FQ30" i="37"/>
  <c r="FX30" i="37"/>
  <c r="FG13" i="37"/>
  <c r="FS13" i="37"/>
  <c r="GQ13" i="37"/>
  <c r="EQ13" i="37"/>
  <c r="EW13" i="37"/>
  <c r="FD13" i="37"/>
  <c r="GE13" i="37"/>
  <c r="GJ13" i="37"/>
  <c r="FQ13" i="37"/>
  <c r="FE13" i="37"/>
  <c r="FK13" i="37"/>
  <c r="FE46" i="37"/>
  <c r="FY46" i="37"/>
  <c r="ER46" i="37"/>
  <c r="GC46" i="37"/>
  <c r="GD46" i="37"/>
  <c r="FP46" i="37"/>
  <c r="EY46" i="37"/>
  <c r="FN46" i="37"/>
  <c r="EV46" i="37"/>
  <c r="GI46" i="37"/>
  <c r="GD14" i="37"/>
  <c r="ET24" i="37"/>
  <c r="GL46" i="37"/>
  <c r="FX49" i="37"/>
  <c r="FF20" i="37"/>
  <c r="FS43" i="37"/>
  <c r="FC6" i="37"/>
  <c r="GD32" i="37"/>
  <c r="FG46" i="37"/>
  <c r="FF41" i="37"/>
  <c r="GI41" i="37"/>
  <c r="GE45" i="37"/>
  <c r="FC17" i="37"/>
  <c r="FG49" i="37"/>
  <c r="EW49" i="37"/>
  <c r="ET49" i="37"/>
  <c r="EN49" i="37"/>
  <c r="FH49" i="37"/>
  <c r="FA49" i="37"/>
  <c r="GR49" i="37"/>
  <c r="FV49" i="37"/>
  <c r="FD45" i="37"/>
  <c r="FL45" i="37"/>
  <c r="GO24" i="37"/>
  <c r="EO24" i="37"/>
  <c r="FU24" i="37"/>
  <c r="EP24" i="37"/>
  <c r="FE24" i="37"/>
  <c r="FL24" i="37"/>
  <c r="EX24" i="37"/>
  <c r="GG24" i="37"/>
  <c r="FN24" i="37"/>
  <c r="GF24" i="37"/>
  <c r="FT24" i="37"/>
  <c r="GQ24" i="37"/>
  <c r="GN24" i="37"/>
  <c r="EZ14" i="37"/>
  <c r="FR49" i="37"/>
  <c r="GN43" i="37"/>
  <c r="EY32" i="37"/>
  <c r="FT30" i="37"/>
  <c r="FW41" i="37"/>
  <c r="GQ17" i="37"/>
  <c r="FU32" i="37"/>
  <c r="GA32" i="37"/>
  <c r="FZ32" i="37"/>
  <c r="GJ32" i="37"/>
  <c r="FD32" i="37"/>
  <c r="GE32" i="37"/>
  <c r="EV32" i="37"/>
  <c r="FV32" i="37"/>
  <c r="EO32" i="37"/>
  <c r="FD14" i="37"/>
  <c r="GJ14" i="37"/>
  <c r="EU14" i="37"/>
  <c r="GO14" i="37"/>
  <c r="FT14" i="37"/>
  <c r="ES14" i="37"/>
  <c r="FJ14" i="37"/>
  <c r="FM14" i="37"/>
  <c r="GA14" i="37"/>
  <c r="FY14" i="37"/>
  <c r="GN14" i="37"/>
  <c r="EM14" i="37"/>
  <c r="FI46" i="37"/>
  <c r="EO46" i="37"/>
  <c r="FJ45" i="37"/>
  <c r="FK49" i="37"/>
  <c r="GI24" i="37"/>
  <c r="GD24" i="37"/>
  <c r="GM28" i="37"/>
  <c r="FX28" i="37"/>
  <c r="FZ28" i="37"/>
  <c r="FV28" i="37"/>
  <c r="FY28" i="37"/>
  <c r="FA28" i="37"/>
  <c r="EQ6" i="37"/>
  <c r="EY30" i="37"/>
  <c r="GO32" i="37"/>
  <c r="EK32" i="37"/>
  <c r="GM20" i="37"/>
  <c r="EK43" i="37"/>
  <c r="GO17" i="37"/>
  <c r="GF17" i="37"/>
  <c r="EP41" i="37"/>
  <c r="FO20" i="37"/>
  <c r="FA8" i="37"/>
  <c r="FW13" i="37"/>
  <c r="EY39" i="37"/>
  <c r="GG41" i="37"/>
  <c r="GR41" i="37"/>
  <c r="FK41" i="37"/>
  <c r="GT13" i="37"/>
  <c r="GT18" i="37"/>
  <c r="GT45" i="37"/>
  <c r="O62" i="37"/>
  <c r="N62" i="37"/>
  <c r="L56" i="37"/>
  <c r="GT10" i="37"/>
  <c r="O54" i="37"/>
  <c r="K54" i="37"/>
  <c r="BW54" i="37" s="1"/>
  <c r="FU17" i="37"/>
  <c r="FD17" i="37"/>
  <c r="EN17" i="37"/>
  <c r="GE17" i="37"/>
  <c r="EL17" i="37"/>
  <c r="FA17" i="37"/>
  <c r="EQ17" i="37"/>
  <c r="FZ17" i="37"/>
  <c r="ET17" i="37"/>
  <c r="FS24" i="37"/>
  <c r="FF24" i="37"/>
  <c r="GR24" i="37"/>
  <c r="FX24" i="37"/>
  <c r="FC24" i="37"/>
  <c r="FZ24" i="37"/>
  <c r="FA24" i="37"/>
  <c r="GP32" i="37"/>
  <c r="EK17" i="37"/>
  <c r="FL17" i="37"/>
  <c r="EP17" i="37"/>
  <c r="N54" i="37"/>
  <c r="BZ54" i="37" s="1"/>
  <c r="GH49" i="37"/>
  <c r="GO41" i="37"/>
  <c r="GK41" i="37"/>
  <c r="FH17" i="37"/>
  <c r="EW17" i="37"/>
  <c r="EP45" i="37"/>
  <c r="EU45" i="37"/>
  <c r="FH20" i="37"/>
  <c r="GI20" i="37"/>
  <c r="GD20" i="37"/>
  <c r="GF20" i="37"/>
  <c r="FV6" i="37"/>
  <c r="FK6" i="37"/>
  <c r="GE6" i="37"/>
  <c r="EN6" i="37"/>
  <c r="FP39" i="37"/>
  <c r="FQ39" i="37"/>
  <c r="GM39" i="37"/>
  <c r="ER39" i="37"/>
  <c r="GA28" i="37"/>
  <c r="GG28" i="37"/>
  <c r="GJ43" i="37"/>
  <c r="FB43" i="37"/>
  <c r="FM43" i="37"/>
  <c r="EX43" i="37"/>
  <c r="FS20" i="37"/>
  <c r="FP6" i="37"/>
  <c r="GO6" i="37"/>
  <c r="GO45" i="37"/>
  <c r="GI45" i="37"/>
  <c r="EV45" i="37"/>
  <c r="EO17" i="37"/>
  <c r="GG17" i="37"/>
  <c r="GM17" i="37"/>
  <c r="GL17" i="37"/>
  <c r="FG28" i="37"/>
  <c r="FF28" i="37"/>
  <c r="GC28" i="37"/>
  <c r="EW28" i="37"/>
  <c r="GJ41" i="37"/>
  <c r="EN41" i="37"/>
  <c r="EZ41" i="37"/>
  <c r="FA43" i="37"/>
  <c r="EV15" i="37"/>
  <c r="GK24" i="37"/>
  <c r="GM13" i="37"/>
  <c r="FB39" i="37"/>
  <c r="GL32" i="37"/>
  <c r="FG41" i="37"/>
  <c r="FV45" i="37"/>
  <c r="FI17" i="37"/>
  <c r="EO6" i="37"/>
  <c r="FC39" i="37"/>
  <c r="GH39" i="37"/>
  <c r="FJ13" i="37"/>
  <c r="GR20" i="37"/>
  <c r="FG30" i="37"/>
  <c r="EL30" i="37"/>
  <c r="FS30" i="37"/>
  <c r="FE30" i="37"/>
  <c r="ER30" i="37"/>
  <c r="FY30" i="37"/>
  <c r="GI13" i="37"/>
  <c r="GB13" i="37"/>
  <c r="ES13" i="37"/>
  <c r="EX13" i="37"/>
  <c r="FN13" i="37"/>
  <c r="FV13" i="37"/>
  <c r="EZ46" i="37"/>
  <c r="GG46" i="37"/>
  <c r="GA46" i="37"/>
  <c r="GB46" i="37"/>
  <c r="EL46" i="37"/>
  <c r="FC46" i="37"/>
  <c r="FF49" i="37"/>
  <c r="FN32" i="37"/>
  <c r="EY17" i="37"/>
  <c r="EL49" i="37"/>
  <c r="FE49" i="37"/>
  <c r="EY49" i="37"/>
  <c r="FQ45" i="37"/>
  <c r="EL45" i="37"/>
  <c r="GJ24" i="37"/>
  <c r="GC24" i="37"/>
  <c r="GH24" i="37"/>
  <c r="FI24" i="37"/>
  <c r="GL24" i="37"/>
  <c r="FE14" i="37"/>
  <c r="GR30" i="37"/>
  <c r="FN39" i="37"/>
  <c r="EU32" i="37"/>
  <c r="FA45" i="37"/>
  <c r="GR32" i="37"/>
  <c r="FA32" i="37"/>
  <c r="ET32" i="37"/>
  <c r="EZ32" i="37"/>
  <c r="FO32" i="37"/>
  <c r="FV14" i="37"/>
  <c r="GG14" i="37"/>
  <c r="GF14" i="37"/>
  <c r="FQ14" i="37"/>
  <c r="FL14" i="37"/>
  <c r="GK46" i="37"/>
  <c r="EP46" i="37"/>
  <c r="GK45" i="37"/>
  <c r="GA24" i="37"/>
  <c r="GO44" i="37"/>
  <c r="EZ28" i="37"/>
  <c r="EV28" i="37"/>
  <c r="GR6" i="37"/>
  <c r="GG6" i="37"/>
  <c r="FR30" i="37"/>
  <c r="GF32" i="37"/>
  <c r="GK32" i="37"/>
  <c r="GB17" i="37"/>
  <c r="ES20" i="37"/>
  <c r="FZ13" i="37"/>
  <c r="GJ39" i="37"/>
  <c r="FG39" i="37"/>
  <c r="FR41" i="37"/>
  <c r="GT23" i="37"/>
  <c r="GQ14" i="37"/>
  <c r="GT29" i="37"/>
  <c r="GJ49" i="37"/>
  <c r="EO49" i="37"/>
  <c r="ES41" i="37"/>
  <c r="GB41" i="37"/>
  <c r="GP17" i="37"/>
  <c r="FK45" i="37"/>
  <c r="FC45" i="37"/>
  <c r="FG45" i="37"/>
  <c r="FB20" i="37"/>
  <c r="GC20" i="37"/>
  <c r="FY20" i="37"/>
  <c r="FJ20" i="37"/>
  <c r="ER6" i="37"/>
  <c r="GI6" i="37"/>
  <c r="EX6" i="37"/>
  <c r="GL39" i="37"/>
  <c r="FS49" i="37"/>
  <c r="EQ49" i="37"/>
  <c r="GF49" i="37"/>
  <c r="GC49" i="37"/>
  <c r="FX41" i="37"/>
  <c r="EM41" i="37"/>
  <c r="FM41" i="37"/>
  <c r="FV17" i="37"/>
  <c r="FM17" i="37"/>
  <c r="GH17" i="37"/>
  <c r="EM17" i="37"/>
  <c r="FT45" i="37"/>
  <c r="GG45" i="37"/>
  <c r="ER45" i="37"/>
  <c r="GF45" i="37"/>
  <c r="FI20" i="37"/>
  <c r="FE20" i="37"/>
  <c r="ET20" i="37"/>
  <c r="FG20" i="37"/>
  <c r="FX20" i="37"/>
  <c r="FT20" i="37"/>
  <c r="GF41" i="37"/>
  <c r="FR6" i="37"/>
  <c r="FQ6" i="37"/>
  <c r="GB6" i="37"/>
  <c r="EL6" i="37"/>
  <c r="FO6" i="37"/>
  <c r="GK6" i="37"/>
  <c r="GM6" i="37"/>
  <c r="GC21" i="37"/>
  <c r="GE39" i="37"/>
  <c r="FH39" i="37"/>
  <c r="ET39" i="37"/>
  <c r="GG39" i="37"/>
  <c r="EU39" i="37"/>
  <c r="GK39" i="37"/>
  <c r="FD39" i="37"/>
  <c r="EV39" i="37"/>
  <c r="GB28" i="37"/>
  <c r="EX28" i="37"/>
  <c r="GI28" i="37"/>
  <c r="EQ43" i="37"/>
  <c r="FN43" i="37"/>
  <c r="FC43" i="37"/>
  <c r="GC43" i="37"/>
  <c r="EP43" i="37"/>
  <c r="FT43" i="37"/>
  <c r="GK43" i="37"/>
  <c r="FL20" i="37"/>
  <c r="FC20" i="37"/>
  <c r="FJ6" i="37"/>
  <c r="GN6" i="37"/>
  <c r="GQ45" i="37"/>
  <c r="FS45" i="37"/>
  <c r="GJ17" i="37"/>
  <c r="EX17" i="37"/>
  <c r="FP17" i="37"/>
  <c r="FS17" i="37"/>
  <c r="FW17" i="37"/>
  <c r="GR28" i="37"/>
  <c r="ER28" i="37"/>
  <c r="GQ28" i="37"/>
  <c r="GD28" i="37"/>
  <c r="FM28" i="37"/>
  <c r="FP28" i="37"/>
  <c r="FB45" i="37"/>
  <c r="EX41" i="37"/>
  <c r="GN41" i="37"/>
  <c r="FD41" i="37"/>
  <c r="FH41" i="37"/>
  <c r="FB41" i="37"/>
  <c r="EO41" i="37"/>
  <c r="FI43" i="37"/>
  <c r="FE43" i="37"/>
  <c r="EU43" i="37"/>
  <c r="FR43" i="37"/>
  <c r="GQ20" i="37"/>
  <c r="FF14" i="37"/>
  <c r="FW24" i="37"/>
  <c r="GP13" i="37"/>
  <c r="EP49" i="37"/>
  <c r="FV20" i="37"/>
  <c r="GD43" i="37"/>
  <c r="EM6" i="37"/>
  <c r="FF32" i="37"/>
  <c r="GF46" i="37"/>
  <c r="EQ46" i="37"/>
  <c r="FJ41" i="37"/>
  <c r="FM45" i="37"/>
  <c r="FR17" i="37"/>
  <c r="FW26" i="37"/>
  <c r="FI6" i="37"/>
  <c r="FE6" i="37"/>
  <c r="FM39" i="37"/>
  <c r="EZ39" i="37"/>
  <c r="FL39" i="37"/>
  <c r="FX14" i="37"/>
  <c r="FY49" i="37"/>
  <c r="ES32" i="37"/>
  <c r="FW45" i="37"/>
  <c r="FA23" i="37"/>
  <c r="FL30" i="37"/>
  <c r="FP30" i="37"/>
  <c r="FF30" i="37"/>
  <c r="GE30" i="37"/>
  <c r="GG30" i="37"/>
  <c r="EK30" i="37"/>
  <c r="GI30" i="37"/>
  <c r="FK30" i="37"/>
  <c r="FV30" i="37"/>
  <c r="EP30" i="37"/>
  <c r="ET30" i="37"/>
  <c r="GG13" i="37"/>
  <c r="EN13" i="37"/>
  <c r="GC13" i="37"/>
  <c r="FA13" i="37"/>
  <c r="EM13" i="37"/>
  <c r="GF13" i="37"/>
  <c r="GK13" i="37"/>
  <c r="EP13" i="37"/>
  <c r="GL13" i="37"/>
  <c r="GO13" i="37"/>
  <c r="FL13" i="37"/>
  <c r="FU13" i="37"/>
  <c r="EU46" i="37"/>
  <c r="GH46" i="37"/>
  <c r="FS46" i="37"/>
  <c r="FU46" i="37"/>
  <c r="FJ46" i="37"/>
  <c r="GP46" i="37"/>
  <c r="FZ46" i="37"/>
  <c r="FH46" i="37"/>
  <c r="GJ46" i="37"/>
  <c r="GO46" i="37"/>
  <c r="EQ14" i="37"/>
  <c r="FM13" i="37"/>
  <c r="EZ13" i="37"/>
  <c r="FV39" i="37"/>
  <c r="FW49" i="37"/>
  <c r="EM20" i="37"/>
  <c r="EV43" i="37"/>
  <c r="EU6" i="37"/>
  <c r="EM32" i="37"/>
  <c r="EQ30" i="37"/>
  <c r="FS41" i="37"/>
  <c r="EW45" i="37"/>
  <c r="EO45" i="37"/>
  <c r="FO17" i="37"/>
  <c r="GK36" i="37"/>
  <c r="FN49" i="37"/>
  <c r="FD49" i="37"/>
  <c r="GA49" i="37"/>
  <c r="GD49" i="37"/>
  <c r="ES49" i="37"/>
  <c r="FP49" i="37"/>
  <c r="FM49" i="37"/>
  <c r="EX45" i="37"/>
  <c r="EM45" i="37"/>
  <c r="FY45" i="37"/>
  <c r="EQ24" i="37"/>
  <c r="EV24" i="37"/>
  <c r="EU24" i="37"/>
  <c r="EM24" i="37"/>
  <c r="GE24" i="37"/>
  <c r="EN24" i="37"/>
  <c r="EY24" i="37"/>
  <c r="FM24" i="37"/>
  <c r="ES24" i="37"/>
  <c r="EL24" i="37"/>
  <c r="FQ24" i="37"/>
  <c r="FP24" i="37"/>
  <c r="GJ6" i="37"/>
  <c r="EO30" i="37"/>
  <c r="ER49" i="37"/>
  <c r="FY43" i="37"/>
  <c r="GC32" i="37"/>
  <c r="GQ41" i="37"/>
  <c r="GL45" i="37"/>
  <c r="ES17" i="37"/>
  <c r="EX32" i="37"/>
  <c r="EL32" i="37"/>
  <c r="FL32" i="37"/>
  <c r="FW32" i="37"/>
  <c r="FK32" i="37"/>
  <c r="FE32" i="37"/>
  <c r="FR32" i="37"/>
  <c r="GG32" i="37"/>
  <c r="FH32" i="37"/>
  <c r="GC14" i="37"/>
  <c r="EK14" i="37"/>
  <c r="ER14" i="37"/>
  <c r="FP14" i="37"/>
  <c r="GL14" i="37"/>
  <c r="FK14" i="37"/>
  <c r="GR14" i="37"/>
  <c r="EW14" i="37"/>
  <c r="EX14" i="37"/>
  <c r="GK14" i="37"/>
  <c r="FH14" i="37"/>
  <c r="GQ46" i="37"/>
  <c r="ET45" i="37"/>
  <c r="GB24" i="37"/>
  <c r="FI28" i="37"/>
  <c r="FS28" i="37"/>
  <c r="FQ28" i="37"/>
  <c r="FW28" i="37"/>
  <c r="FH30" i="37"/>
  <c r="FK39" i="37"/>
  <c r="EK41" i="37"/>
  <c r="GP41" i="37"/>
  <c r="FK17" i="37"/>
  <c r="EQ20" i="37"/>
  <c r="EO20" i="37"/>
  <c r="FF34" i="37"/>
  <c r="FM10" i="37"/>
  <c r="GT46" i="37"/>
  <c r="GT39" i="37"/>
  <c r="GT12" i="37"/>
  <c r="GT35" i="37"/>
  <c r="K62" i="37"/>
  <c r="J56" i="37"/>
  <c r="GT25" i="37"/>
  <c r="GT6" i="37"/>
  <c r="L59" i="37"/>
  <c r="N53" i="37"/>
  <c r="L52" i="37"/>
  <c r="BX52" i="37" s="1"/>
  <c r="M52" i="37"/>
  <c r="J54" i="37"/>
  <c r="BV54" i="37" s="1"/>
  <c r="AY4" i="33"/>
  <c r="B138" i="33" s="1"/>
  <c r="J15" i="34"/>
  <c r="O14" i="34"/>
  <c r="O11" i="34"/>
  <c r="L13" i="34"/>
  <c r="N12" i="34"/>
  <c r="J6" i="34"/>
  <c r="BV6" i="34" s="1"/>
  <c r="M6" i="34"/>
  <c r="BY6" i="34" s="1"/>
  <c r="K52" i="37"/>
  <c r="J52" i="37"/>
  <c r="L53" i="37"/>
  <c r="O52" i="37"/>
  <c r="CA52" i="37" s="1"/>
  <c r="N52" i="37"/>
  <c r="J58" i="37"/>
  <c r="M58" i="37"/>
  <c r="N63" i="37"/>
  <c r="K53" i="37"/>
  <c r="M53" i="37"/>
  <c r="O53" i="37"/>
  <c r="K58" i="37"/>
  <c r="N58" i="37"/>
  <c r="L58" i="37"/>
  <c r="O58" i="37"/>
  <c r="L54" i="37"/>
  <c r="M54" i="37"/>
  <c r="BY54" i="37" s="1"/>
  <c r="CU8" i="33"/>
  <c r="GW63" i="37"/>
  <c r="L61" i="37"/>
  <c r="J61" i="37"/>
  <c r="J60" i="37"/>
  <c r="J63" i="37"/>
  <c r="K61" i="37"/>
  <c r="N14" i="34"/>
  <c r="L14" i="34"/>
  <c r="GT58" i="34"/>
  <c r="GT22" i="37"/>
  <c r="EM10" i="37"/>
  <c r="EP34" i="37"/>
  <c r="FL5" i="37"/>
  <c r="GT50" i="34"/>
  <c r="GT48" i="34"/>
  <c r="J14" i="34"/>
  <c r="GF44" i="37"/>
  <c r="FU40" i="37"/>
  <c r="J4" i="37"/>
  <c r="J59" i="37"/>
  <c r="FP10" i="37"/>
  <c r="FB10" i="37"/>
  <c r="O63" i="37"/>
  <c r="L60" i="37"/>
  <c r="M60" i="37"/>
  <c r="N61" i="37"/>
  <c r="M61" i="37"/>
  <c r="N57" i="37"/>
  <c r="BZ57" i="37" s="1"/>
  <c r="M57" i="37"/>
  <c r="K57" i="37"/>
  <c r="BW57" i="37" s="1"/>
  <c r="J57" i="37"/>
  <c r="O57" i="37"/>
  <c r="L57" i="37"/>
  <c r="FL8" i="37"/>
  <c r="EP8" i="37"/>
  <c r="GW60" i="37"/>
  <c r="FT8" i="37"/>
  <c r="GR10" i="37"/>
  <c r="O60" i="37"/>
  <c r="L4" i="37"/>
  <c r="N60" i="37"/>
  <c r="O12" i="34"/>
  <c r="L4" i="34"/>
  <c r="BX4" i="34" s="1"/>
  <c r="M14" i="34"/>
  <c r="EW36" i="37"/>
  <c r="GL10" i="37"/>
  <c r="EY10" i="37"/>
  <c r="N4" i="37"/>
  <c r="GW61" i="37"/>
  <c r="L63" i="37"/>
  <c r="K63" i="37"/>
  <c r="M63" i="37"/>
  <c r="K4" i="37"/>
  <c r="M55" i="37"/>
  <c r="O55" i="37"/>
  <c r="L55" i="37"/>
  <c r="K55" i="37"/>
  <c r="N55" i="37"/>
  <c r="J55" i="37"/>
  <c r="FY36" i="37"/>
  <c r="FJ10" i="37"/>
  <c r="FA36" i="37"/>
  <c r="M59" i="37"/>
  <c r="K59" i="37"/>
  <c r="O59" i="37"/>
  <c r="N59" i="37"/>
  <c r="M4" i="37"/>
  <c r="O4" i="37"/>
  <c r="M10" i="34"/>
  <c r="L11" i="34"/>
  <c r="K11" i="34"/>
  <c r="K9" i="34"/>
  <c r="J10" i="34"/>
  <c r="GT25" i="34"/>
  <c r="M16" i="34"/>
  <c r="J11" i="34"/>
  <c r="GW14" i="34"/>
  <c r="GW10" i="34"/>
  <c r="GW11" i="34"/>
  <c r="GW8" i="34"/>
  <c r="FH34" i="37"/>
  <c r="GW6" i="34"/>
  <c r="EX7" i="37"/>
  <c r="GN44" i="37"/>
  <c r="EX44" i="37"/>
  <c r="ES15" i="37"/>
  <c r="EU44" i="37"/>
  <c r="FN35" i="37"/>
  <c r="GO8" i="37"/>
  <c r="EY8" i="37"/>
  <c r="FU48" i="34"/>
  <c r="GN8" i="37"/>
  <c r="FY44" i="37"/>
  <c r="FE8" i="37"/>
  <c r="GJ8" i="37"/>
  <c r="FP8" i="37"/>
  <c r="GB40" i="37"/>
  <c r="GF8" i="37"/>
  <c r="GI35" i="37"/>
  <c r="FV40" i="37"/>
  <c r="EO8" i="37"/>
  <c r="GE8" i="37"/>
  <c r="FP7" i="37"/>
  <c r="EL40" i="37"/>
  <c r="GJ10" i="37"/>
  <c r="GC10" i="37"/>
  <c r="EL10" i="37"/>
  <c r="GK10" i="37"/>
  <c r="EV40" i="37"/>
  <c r="GO10" i="37"/>
  <c r="GB10" i="37"/>
  <c r="EX10" i="37"/>
  <c r="EN10" i="37"/>
  <c r="GW16" i="34"/>
  <c r="GW9" i="34"/>
  <c r="EM36" i="37"/>
  <c r="ER36" i="37"/>
  <c r="FX5" i="37"/>
  <c r="FN5" i="37"/>
  <c r="EU15" i="37"/>
  <c r="FX36" i="37"/>
  <c r="GR36" i="37"/>
  <c r="GQ5" i="37"/>
  <c r="FB5" i="37"/>
  <c r="EN15" i="37"/>
  <c r="EZ36" i="37"/>
  <c r="GW12" i="34"/>
  <c r="GW4" i="34"/>
  <c r="GT15" i="37"/>
  <c r="GF36" i="37"/>
  <c r="FM7" i="37"/>
  <c r="FY38" i="37"/>
  <c r="EK25" i="37"/>
  <c r="FD36" i="37"/>
  <c r="FR36" i="37"/>
  <c r="FW5" i="37"/>
  <c r="EQ50" i="37"/>
  <c r="FS36" i="37"/>
  <c r="GW5" i="34"/>
  <c r="GW7" i="34"/>
  <c r="FN62" i="34"/>
  <c r="EX54" i="34"/>
  <c r="GI62" i="34"/>
  <c r="GD5" i="37"/>
  <c r="GJ5" i="37"/>
  <c r="FF50" i="37"/>
  <c r="FM15" i="37"/>
  <c r="BW3" i="37"/>
  <c r="B85" i="37" s="1"/>
  <c r="GB38" i="37"/>
  <c r="GK50" i="37"/>
  <c r="FN50" i="37"/>
  <c r="FA38" i="37"/>
  <c r="GG50" i="37"/>
  <c r="FF38" i="37"/>
  <c r="EM25" i="37"/>
  <c r="EO50" i="37"/>
  <c r="GQ50" i="37"/>
  <c r="GC38" i="37"/>
  <c r="GL7" i="37"/>
  <c r="EO38" i="37"/>
  <c r="EL38" i="37"/>
  <c r="GR38" i="37"/>
  <c r="EW25" i="37"/>
  <c r="GR50" i="37"/>
  <c r="GH38" i="37"/>
  <c r="EM38" i="37"/>
  <c r="EO53" i="34"/>
  <c r="ER54" i="34"/>
  <c r="EM54" i="34"/>
  <c r="FE63" i="34"/>
  <c r="GO63" i="34"/>
  <c r="EP54" i="34"/>
  <c r="FM20" i="34"/>
  <c r="FF54" i="34"/>
  <c r="ET20" i="34"/>
  <c r="FP54" i="34"/>
  <c r="EP20" i="34"/>
  <c r="FR54" i="34"/>
  <c r="GD20" i="34"/>
  <c r="FE54" i="34"/>
  <c r="GH38" i="34"/>
  <c r="EV54" i="34"/>
  <c r="GN48" i="34"/>
  <c r="FZ48" i="34"/>
  <c r="GJ35" i="34"/>
  <c r="GF58" i="34"/>
  <c r="FI48" i="34"/>
  <c r="GB47" i="34"/>
  <c r="GC26" i="37"/>
  <c r="GL40" i="37"/>
  <c r="EK40" i="37"/>
  <c r="EM11" i="37"/>
  <c r="FA35" i="37"/>
  <c r="EN40" i="37"/>
  <c r="EQ53" i="34"/>
  <c r="FG53" i="34"/>
  <c r="FK53" i="34"/>
  <c r="GO26" i="37"/>
  <c r="FJ25" i="37"/>
  <c r="FT25" i="37"/>
  <c r="GG40" i="37"/>
  <c r="EW40" i="37"/>
  <c r="ET40" i="37"/>
  <c r="GH40" i="37"/>
  <c r="GA11" i="37"/>
  <c r="GI5" i="37"/>
  <c r="FD5" i="37"/>
  <c r="FF5" i="37"/>
  <c r="GH15" i="37"/>
  <c r="EL15" i="37"/>
  <c r="GP40" i="37"/>
  <c r="GM40" i="37"/>
  <c r="FW35" i="37"/>
  <c r="FL38" i="37"/>
  <c r="GJ38" i="37"/>
  <c r="EL23" i="37"/>
  <c r="EP53" i="34"/>
  <c r="GM53" i="34"/>
  <c r="GR40" i="37"/>
  <c r="EL35" i="34"/>
  <c r="GO53" i="34"/>
  <c r="GJ47" i="34"/>
  <c r="GE7" i="37"/>
  <c r="FD40" i="37"/>
  <c r="GQ40" i="37"/>
  <c r="EX26" i="37"/>
  <c r="GB53" i="34"/>
  <c r="GD47" i="34"/>
  <c r="FF53" i="34"/>
  <c r="EQ7" i="37"/>
  <c r="FH7" i="37"/>
  <c r="FO26" i="37"/>
  <c r="GM7" i="37"/>
  <c r="FM40" i="37"/>
  <c r="GA40" i="37"/>
  <c r="EQ40" i="37"/>
  <c r="FZ40" i="37"/>
  <c r="FG15" i="37"/>
  <c r="FD15" i="37"/>
  <c r="GN40" i="37"/>
  <c r="EO40" i="37"/>
  <c r="FX53" i="34"/>
  <c r="EY38" i="34"/>
  <c r="FC23" i="37"/>
  <c r="FI40" i="37"/>
  <c r="FA40" i="37"/>
  <c r="FW38" i="34"/>
  <c r="FY53" i="34"/>
  <c r="EZ35" i="37"/>
  <c r="EU63" i="34"/>
  <c r="GC54" i="34"/>
  <c r="FB54" i="34"/>
  <c r="FU50" i="34"/>
  <c r="ET54" i="34"/>
  <c r="EV20" i="34"/>
  <c r="EU54" i="34"/>
  <c r="FC20" i="34"/>
  <c r="GL20" i="34"/>
  <c r="L5" i="34"/>
  <c r="J13" i="34"/>
  <c r="GW13" i="34"/>
  <c r="M15" i="34"/>
  <c r="L15" i="34"/>
  <c r="M7" i="34"/>
  <c r="J12" i="34"/>
  <c r="GP63" i="34"/>
  <c r="GJ50" i="34"/>
  <c r="EY54" i="34"/>
  <c r="FG54" i="34"/>
  <c r="FI54" i="34"/>
  <c r="GC20" i="34"/>
  <c r="FQ54" i="34"/>
  <c r="EW54" i="34"/>
  <c r="FO20" i="34"/>
  <c r="GK54" i="34"/>
  <c r="EN54" i="34"/>
  <c r="N5" i="34"/>
  <c r="J5" i="34"/>
  <c r="N13" i="34"/>
  <c r="M13" i="34"/>
  <c r="O7" i="34"/>
  <c r="N15" i="34"/>
  <c r="M11" i="34"/>
  <c r="K7" i="34"/>
  <c r="N10" i="34"/>
  <c r="L10" i="34"/>
  <c r="K12" i="34"/>
  <c r="M4" i="34"/>
  <c r="O4" i="34"/>
  <c r="CA4" i="34" s="1"/>
  <c r="J9" i="34"/>
  <c r="J8" i="34"/>
  <c r="N11" i="34"/>
  <c r="L9" i="34"/>
  <c r="O8" i="34"/>
  <c r="K5" i="34"/>
  <c r="L7" i="34"/>
  <c r="M8" i="34"/>
  <c r="FB63" i="34"/>
  <c r="FH54" i="34"/>
  <c r="EL54" i="34"/>
  <c r="FM63" i="34"/>
  <c r="EK58" i="34"/>
  <c r="ES54" i="34"/>
  <c r="EN20" i="34"/>
  <c r="FC54" i="34"/>
  <c r="GG54" i="34"/>
  <c r="K13" i="34"/>
  <c r="N7" i="34"/>
  <c r="K15" i="34"/>
  <c r="K8" i="34"/>
  <c r="GF54" i="34"/>
  <c r="FY54" i="34"/>
  <c r="FF58" i="34"/>
  <c r="ER58" i="34"/>
  <c r="L12" i="34"/>
  <c r="GO47" i="34"/>
  <c r="FO47" i="34"/>
  <c r="EP63" i="34"/>
  <c r="FM54" i="34"/>
  <c r="FU54" i="34"/>
  <c r="FV54" i="34"/>
  <c r="FL58" i="34"/>
  <c r="FK58" i="34"/>
  <c r="FA54" i="34"/>
  <c r="ES20" i="34"/>
  <c r="GJ54" i="34"/>
  <c r="FJ54" i="34"/>
  <c r="ER20" i="34"/>
  <c r="GF20" i="34"/>
  <c r="EO54" i="34"/>
  <c r="O5" i="34"/>
  <c r="M5" i="34"/>
  <c r="O13" i="34"/>
  <c r="J7" i="34"/>
  <c r="GW15" i="34"/>
  <c r="J16" i="34"/>
  <c r="N16" i="34"/>
  <c r="O16" i="34"/>
  <c r="L16" i="34"/>
  <c r="O15" i="34"/>
  <c r="N8" i="34"/>
  <c r="K10" i="34"/>
  <c r="M12" i="34"/>
  <c r="J4" i="34"/>
  <c r="N9" i="34"/>
  <c r="BZ9" i="34" s="1"/>
  <c r="L8" i="34"/>
  <c r="M9" i="34"/>
  <c r="K14" i="34"/>
  <c r="FL47" i="34"/>
  <c r="EQ47" i="34"/>
  <c r="FY47" i="34"/>
  <c r="ER47" i="34"/>
  <c r="FP47" i="34"/>
  <c r="EK47" i="34"/>
  <c r="GL47" i="34"/>
  <c r="FZ47" i="34"/>
  <c r="FE47" i="34"/>
  <c r="FN53" i="34"/>
  <c r="GL53" i="34"/>
  <c r="GF53" i="34"/>
  <c r="GI53" i="34"/>
  <c r="FX47" i="34"/>
  <c r="FJ47" i="34"/>
  <c r="EU8" i="37"/>
  <c r="FQ8" i="37"/>
  <c r="FI8" i="37"/>
  <c r="FP34" i="37"/>
  <c r="FF36" i="37"/>
  <c r="FN36" i="37"/>
  <c r="FJ36" i="37"/>
  <c r="EY36" i="37"/>
  <c r="GQ36" i="37"/>
  <c r="FZ36" i="37"/>
  <c r="FQ36" i="37"/>
  <c r="EW8" i="37"/>
  <c r="GB8" i="37"/>
  <c r="FR8" i="37"/>
  <c r="EN35" i="37"/>
  <c r="GH35" i="37"/>
  <c r="GQ35" i="37"/>
  <c r="FC35" i="37"/>
  <c r="EZ10" i="37"/>
  <c r="ES8" i="37"/>
  <c r="FB8" i="37"/>
  <c r="GA53" i="34"/>
  <c r="GH8" i="37"/>
  <c r="EM8" i="37"/>
  <c r="EX8" i="37"/>
  <c r="GF34" i="37"/>
  <c r="ET10" i="37"/>
  <c r="GM10" i="37"/>
  <c r="FY10" i="37"/>
  <c r="FT10" i="37"/>
  <c r="EQ10" i="37"/>
  <c r="FH10" i="37"/>
  <c r="GE10" i="37"/>
  <c r="EP10" i="37"/>
  <c r="FR10" i="37"/>
  <c r="FI10" i="37"/>
  <c r="GQ10" i="37"/>
  <c r="FQ10" i="37"/>
  <c r="FO36" i="37"/>
  <c r="FT36" i="37"/>
  <c r="FL36" i="37"/>
  <c r="FX10" i="37"/>
  <c r="FY8" i="37"/>
  <c r="GG8" i="37"/>
  <c r="FS53" i="34"/>
  <c r="FJ53" i="34"/>
  <c r="GG53" i="34"/>
  <c r="FZ53" i="34"/>
  <c r="EL53" i="34"/>
  <c r="FB53" i="34"/>
  <c r="FI53" i="34"/>
  <c r="GJ53" i="34"/>
  <c r="ES10" i="37"/>
  <c r="EV10" i="37"/>
  <c r="GR47" i="34"/>
  <c r="GI47" i="34"/>
  <c r="GR53" i="34"/>
  <c r="GP53" i="34"/>
  <c r="FT53" i="34"/>
  <c r="EM53" i="34"/>
  <c r="FR47" i="34"/>
  <c r="ES47" i="34"/>
  <c r="GD8" i="37"/>
  <c r="FJ8" i="37"/>
  <c r="FF8" i="37"/>
  <c r="FX8" i="37"/>
  <c r="EM34" i="37"/>
  <c r="FR34" i="37"/>
  <c r="FB36" i="37"/>
  <c r="GP36" i="37"/>
  <c r="EU36" i="37"/>
  <c r="FI36" i="37"/>
  <c r="GG36" i="37"/>
  <c r="EP36" i="37"/>
  <c r="FU36" i="37"/>
  <c r="GJ36" i="37"/>
  <c r="EK34" i="37"/>
  <c r="ET8" i="37"/>
  <c r="FK8" i="37"/>
  <c r="ER35" i="37"/>
  <c r="GL35" i="37"/>
  <c r="GG35" i="37"/>
  <c r="ET35" i="37"/>
  <c r="ES35" i="37"/>
  <c r="EY34" i="37"/>
  <c r="FN10" i="37"/>
  <c r="FV8" i="37"/>
  <c r="FR53" i="34"/>
  <c r="EL8" i="37"/>
  <c r="FW8" i="37"/>
  <c r="EZ8" i="37"/>
  <c r="EK10" i="37"/>
  <c r="FS10" i="37"/>
  <c r="FZ10" i="37"/>
  <c r="GN10" i="37"/>
  <c r="FA10" i="37"/>
  <c r="FF10" i="37"/>
  <c r="FD10" i="37"/>
  <c r="EW10" i="37"/>
  <c r="FG10" i="37"/>
  <c r="FL10" i="37"/>
  <c r="EO10" i="37"/>
  <c r="GH36" i="37"/>
  <c r="EV36" i="37"/>
  <c r="GO36" i="37"/>
  <c r="GM36" i="37"/>
  <c r="GI23" i="37"/>
  <c r="GL8" i="37"/>
  <c r="EX53" i="34"/>
  <c r="EN53" i="34"/>
  <c r="GK38" i="34"/>
  <c r="GA54" i="34"/>
  <c r="GK53" i="34"/>
  <c r="FL38" i="34"/>
  <c r="FR20" i="34"/>
  <c r="FV10" i="37"/>
  <c r="FZ20" i="34"/>
  <c r="EK53" i="34"/>
  <c r="ET53" i="34"/>
  <c r="GD10" i="37"/>
  <c r="FU10" i="37"/>
  <c r="GK47" i="34"/>
  <c r="EN47" i="34"/>
  <c r="EY47" i="34"/>
  <c r="FC53" i="34"/>
  <c r="FD53" i="34"/>
  <c r="ES53" i="34"/>
  <c r="EU53" i="34"/>
  <c r="FD47" i="34"/>
  <c r="FH47" i="34"/>
  <c r="FG8" i="37"/>
  <c r="FU8" i="37"/>
  <c r="FM8" i="37"/>
  <c r="FH8" i="37"/>
  <c r="FU29" i="37"/>
  <c r="ER34" i="37"/>
  <c r="EO34" i="37"/>
  <c r="GC36" i="37"/>
  <c r="FK36" i="37"/>
  <c r="FP36" i="37"/>
  <c r="FV36" i="37"/>
  <c r="EL36" i="37"/>
  <c r="EN36" i="37"/>
  <c r="ES36" i="37"/>
  <c r="ES34" i="37"/>
  <c r="FS8" i="37"/>
  <c r="ER8" i="37"/>
  <c r="FN8" i="37"/>
  <c r="EX35" i="37"/>
  <c r="FZ35" i="37"/>
  <c r="FV35" i="37"/>
  <c r="FU35" i="37"/>
  <c r="FC10" i="37"/>
  <c r="EN8" i="37"/>
  <c r="GI8" i="37"/>
  <c r="GK8" i="37"/>
  <c r="EV8" i="37"/>
  <c r="GA8" i="37"/>
  <c r="GA34" i="37"/>
  <c r="GH10" i="37"/>
  <c r="ER10" i="37"/>
  <c r="FK10" i="37"/>
  <c r="GI10" i="37"/>
  <c r="EU10" i="37"/>
  <c r="GA10" i="37"/>
  <c r="GF10" i="37"/>
  <c r="FE10" i="37"/>
  <c r="FO10" i="37"/>
  <c r="GP10" i="37"/>
  <c r="GG10" i="37"/>
  <c r="FG36" i="37"/>
  <c r="EX36" i="37"/>
  <c r="EO36" i="37"/>
  <c r="FW10" i="37"/>
  <c r="GE53" i="34"/>
  <c r="FV53" i="34"/>
  <c r="FK54" i="34"/>
  <c r="EY53" i="34"/>
  <c r="FW20" i="34"/>
  <c r="FD54" i="34"/>
  <c r="GG20" i="34"/>
  <c r="GC53" i="34"/>
  <c r="FM53" i="34"/>
  <c r="GH53" i="34"/>
  <c r="FB58" i="34"/>
  <c r="FA58" i="34"/>
  <c r="FQ58" i="34"/>
  <c r="GB58" i="34"/>
  <c r="EV58" i="34"/>
  <c r="EN58" i="34"/>
  <c r="FS58" i="34"/>
  <c r="EK50" i="34"/>
  <c r="FT50" i="34"/>
  <c r="GD58" i="34"/>
  <c r="FH58" i="34"/>
  <c r="GJ58" i="34"/>
  <c r="ET58" i="34"/>
  <c r="GA58" i="34"/>
  <c r="GM50" i="34"/>
  <c r="GE58" i="34"/>
  <c r="FI58" i="34"/>
  <c r="GC58" i="34"/>
  <c r="FJ58" i="34"/>
  <c r="EX58" i="34"/>
  <c r="GI58" i="34"/>
  <c r="GP54" i="34"/>
  <c r="GR54" i="34"/>
  <c r="GF35" i="34"/>
  <c r="EU42" i="34"/>
  <c r="GQ47" i="34"/>
  <c r="EV47" i="34"/>
  <c r="GP47" i="34"/>
  <c r="EP47" i="34"/>
  <c r="EZ38" i="34"/>
  <c r="EQ38" i="34"/>
  <c r="FE38" i="34"/>
  <c r="ES38" i="34"/>
  <c r="FU38" i="34"/>
  <c r="GA38" i="34"/>
  <c r="FQ35" i="34"/>
  <c r="GE35" i="34"/>
  <c r="GO35" i="34"/>
  <c r="ER53" i="34"/>
  <c r="EW53" i="34"/>
  <c r="FA53" i="34"/>
  <c r="GN53" i="34"/>
  <c r="EZ53" i="34"/>
  <c r="FO53" i="34"/>
  <c r="FA38" i="34"/>
  <c r="GO38" i="34"/>
  <c r="GD34" i="34"/>
  <c r="GN35" i="34"/>
  <c r="FD35" i="34"/>
  <c r="GR35" i="34"/>
  <c r="ER38" i="34"/>
  <c r="FO38" i="34"/>
  <c r="FK47" i="34"/>
  <c r="FM47" i="34"/>
  <c r="FI47" i="34"/>
  <c r="EU47" i="34"/>
  <c r="FA47" i="34"/>
  <c r="FU47" i="34"/>
  <c r="FB47" i="34"/>
  <c r="GA47" i="34"/>
  <c r="EZ47" i="34"/>
  <c r="FS47" i="34"/>
  <c r="FW54" i="34"/>
  <c r="ET38" i="34"/>
  <c r="FT54" i="34"/>
  <c r="FB38" i="34"/>
  <c r="FY38" i="34"/>
  <c r="GO54" i="34"/>
  <c r="GL54" i="34"/>
  <c r="FN54" i="34"/>
  <c r="GQ53" i="34"/>
  <c r="GD53" i="34"/>
  <c r="FI38" i="34"/>
  <c r="FV38" i="34"/>
  <c r="FK20" i="34"/>
  <c r="GH20" i="34"/>
  <c r="GB54" i="34"/>
  <c r="FP53" i="34"/>
  <c r="FU53" i="34"/>
  <c r="FM38" i="34"/>
  <c r="EL20" i="34"/>
  <c r="FL54" i="34"/>
  <c r="GM20" i="34"/>
  <c r="FS35" i="34"/>
  <c r="FY35" i="34"/>
  <c r="FL35" i="34"/>
  <c r="FZ31" i="34"/>
  <c r="FW53" i="34"/>
  <c r="FL53" i="34"/>
  <c r="FQ53" i="34"/>
  <c r="FE53" i="34"/>
  <c r="EV53" i="34"/>
  <c r="FH50" i="34"/>
  <c r="GH62" i="34"/>
  <c r="FH62" i="34"/>
  <c r="FS62" i="34"/>
  <c r="FW50" i="34"/>
  <c r="GL62" i="34"/>
  <c r="FN48" i="34"/>
  <c r="EL50" i="34"/>
  <c r="FP48" i="34"/>
  <c r="GQ62" i="34"/>
  <c r="GE50" i="34"/>
  <c r="GN62" i="34"/>
  <c r="GF48" i="34"/>
  <c r="EM58" i="34"/>
  <c r="EO58" i="34"/>
  <c r="EU58" i="34"/>
  <c r="FN58" i="34"/>
  <c r="GM58" i="34"/>
  <c r="EQ58" i="34"/>
  <c r="FU58" i="34"/>
  <c r="EZ58" i="34"/>
  <c r="GQ58" i="34"/>
  <c r="EY58" i="34"/>
  <c r="GH58" i="34"/>
  <c r="GO58" i="34"/>
  <c r="GI20" i="34"/>
  <c r="GF50" i="34"/>
  <c r="FB62" i="34"/>
  <c r="FS50" i="34"/>
  <c r="FQ62" i="34"/>
  <c r="FB48" i="34"/>
  <c r="GL50" i="34"/>
  <c r="GK48" i="34"/>
  <c r="GJ62" i="34"/>
  <c r="EQ50" i="34"/>
  <c r="FC50" i="34"/>
  <c r="GI50" i="34"/>
  <c r="FF48" i="34"/>
  <c r="FK62" i="34"/>
  <c r="FM58" i="34"/>
  <c r="EL58" i="34"/>
  <c r="GL58" i="34"/>
  <c r="FO58" i="34"/>
  <c r="FT58" i="34"/>
  <c r="FE58" i="34"/>
  <c r="FG58" i="34"/>
  <c r="FY58" i="34"/>
  <c r="GR58" i="34"/>
  <c r="FD58" i="34"/>
  <c r="FR58" i="34"/>
  <c r="FC58" i="34"/>
  <c r="ES48" i="34"/>
  <c r="FQ29" i="34"/>
  <c r="EN50" i="34"/>
  <c r="FB29" i="37"/>
  <c r="EK29" i="37"/>
  <c r="FP5" i="37"/>
  <c r="EY5" i="37"/>
  <c r="FY29" i="37"/>
  <c r="GK5" i="37"/>
  <c r="EM5" i="37"/>
  <c r="FZ5" i="37"/>
  <c r="EQ5" i="37"/>
  <c r="FY5" i="37"/>
  <c r="GC5" i="37"/>
  <c r="GQ11" i="37"/>
  <c r="ET11" i="37"/>
  <c r="GM11" i="37"/>
  <c r="GJ44" i="37"/>
  <c r="EP44" i="37"/>
  <c r="EY44" i="37"/>
  <c r="FP23" i="37"/>
  <c r="EN23" i="37"/>
  <c r="FO23" i="37"/>
  <c r="GB23" i="37"/>
  <c r="FD38" i="37"/>
  <c r="EU35" i="37"/>
  <c r="EK23" i="37"/>
  <c r="GP23" i="37"/>
  <c r="FY29" i="34"/>
  <c r="GB38" i="34"/>
  <c r="EV38" i="34"/>
  <c r="GO29" i="34"/>
  <c r="GH54" i="34"/>
  <c r="FD38" i="34"/>
  <c r="EW38" i="34"/>
  <c r="GE54" i="34"/>
  <c r="FT35" i="34"/>
  <c r="ET35" i="34"/>
  <c r="EX35" i="34"/>
  <c r="GB20" i="34"/>
  <c r="ET29" i="34"/>
  <c r="FS29" i="34"/>
  <c r="FE29" i="34"/>
  <c r="EP38" i="34"/>
  <c r="FB31" i="34"/>
  <c r="GN34" i="34"/>
  <c r="EW58" i="34"/>
  <c r="GP29" i="34"/>
  <c r="FW29" i="34"/>
  <c r="EX29" i="34"/>
  <c r="FR29" i="34"/>
  <c r="FE31" i="34"/>
  <c r="FY62" i="34"/>
  <c r="EU62" i="34"/>
  <c r="FJ62" i="34"/>
  <c r="GC62" i="34"/>
  <c r="FG62" i="34"/>
  <c r="GR62" i="34"/>
  <c r="FT62" i="34"/>
  <c r="EV62" i="34"/>
  <c r="EM62" i="34"/>
  <c r="GG62" i="34"/>
  <c r="FR62" i="34"/>
  <c r="FC62" i="34"/>
  <c r="GO62" i="34"/>
  <c r="FP62" i="34"/>
  <c r="FW62" i="34"/>
  <c r="FM62" i="34"/>
  <c r="GM47" i="34"/>
  <c r="EO47" i="34"/>
  <c r="FG47" i="34"/>
  <c r="FT47" i="34"/>
  <c r="EM38" i="34"/>
  <c r="EO38" i="34"/>
  <c r="FH38" i="34"/>
  <c r="GN38" i="34"/>
  <c r="GR29" i="34"/>
  <c r="FG38" i="34"/>
  <c r="GI29" i="34"/>
  <c r="FJ31" i="34"/>
  <c r="GF31" i="34"/>
  <c r="FY31" i="34"/>
  <c r="FJ20" i="34"/>
  <c r="EN34" i="34"/>
  <c r="GG58" i="34"/>
  <c r="GK58" i="34"/>
  <c r="EZ54" i="34"/>
  <c r="EX62" i="34"/>
  <c r="FO62" i="34"/>
  <c r="EQ62" i="34"/>
  <c r="EW62" i="34"/>
  <c r="FZ62" i="34"/>
  <c r="FX62" i="34"/>
  <c r="FA62" i="34"/>
  <c r="FZ38" i="34"/>
  <c r="EX31" i="34"/>
  <c r="FK31" i="34"/>
  <c r="GE31" i="34"/>
  <c r="ER31" i="34"/>
  <c r="EZ34" i="34"/>
  <c r="GP58" i="34"/>
  <c r="FW58" i="34"/>
  <c r="FI29" i="34"/>
  <c r="GD54" i="34"/>
  <c r="GP62" i="34"/>
  <c r="EP62" i="34"/>
  <c r="GK62" i="34"/>
  <c r="ET62" i="34"/>
  <c r="FU62" i="34"/>
  <c r="GE62" i="34"/>
  <c r="GM62" i="34"/>
  <c r="FE62" i="34"/>
  <c r="FV62" i="34"/>
  <c r="GF62" i="34"/>
  <c r="GD62" i="34"/>
  <c r="ER62" i="34"/>
  <c r="FT31" i="34"/>
  <c r="GL31" i="34"/>
  <c r="FA31" i="34"/>
  <c r="EP31" i="34"/>
  <c r="GN58" i="34"/>
  <c r="EP58" i="34"/>
  <c r="FX54" i="34"/>
  <c r="GK42" i="34"/>
  <c r="FV34" i="34"/>
  <c r="EV18" i="37"/>
  <c r="FJ18" i="37"/>
  <c r="GA18" i="37"/>
  <c r="FE18" i="37"/>
  <c r="FL18" i="37"/>
  <c r="FQ18" i="37"/>
  <c r="GL26" i="37"/>
  <c r="GT34" i="37"/>
  <c r="FZ34" i="37"/>
  <c r="EL34" i="37"/>
  <c r="GR50" i="34"/>
  <c r="FV50" i="34"/>
  <c r="FM50" i="34"/>
  <c r="GQ50" i="34"/>
  <c r="FR7" i="37"/>
  <c r="GL34" i="37"/>
  <c r="FN34" i="37"/>
  <c r="GR34" i="37"/>
  <c r="ET25" i="37"/>
  <c r="GC25" i="37"/>
  <c r="EQ25" i="37"/>
  <c r="FL25" i="37"/>
  <c r="FB11" i="37"/>
  <c r="EU25" i="37"/>
  <c r="GI18" i="37"/>
  <c r="FD34" i="37"/>
  <c r="EV34" i="37"/>
  <c r="FG34" i="37"/>
  <c r="FJ23" i="37"/>
  <c r="FS23" i="37"/>
  <c r="FX23" i="37"/>
  <c r="ER18" i="37"/>
  <c r="EM26" i="37"/>
  <c r="EV26" i="37"/>
  <c r="FO40" i="37"/>
  <c r="GP34" i="37"/>
  <c r="FA34" i="34"/>
  <c r="GD35" i="34"/>
  <c r="GA35" i="34"/>
  <c r="GI35" i="34"/>
  <c r="GH35" i="34"/>
  <c r="GC35" i="34"/>
  <c r="FP35" i="34"/>
  <c r="FR35" i="34"/>
  <c r="ES35" i="34"/>
  <c r="EV34" i="34"/>
  <c r="EW34" i="34"/>
  <c r="FU34" i="34"/>
  <c r="FZ34" i="34"/>
  <c r="GE34" i="37"/>
  <c r="ES50" i="34"/>
  <c r="GC50" i="34"/>
  <c r="FD50" i="34"/>
  <c r="FQ50" i="34"/>
  <c r="GA50" i="34"/>
  <c r="GK50" i="34"/>
  <c r="ER42" i="34"/>
  <c r="FF7" i="37"/>
  <c r="GC34" i="37"/>
  <c r="EU34" i="37"/>
  <c r="FM34" i="37"/>
  <c r="GG34" i="37"/>
  <c r="GN34" i="37"/>
  <c r="GB34" i="37"/>
  <c r="FY34" i="37"/>
  <c r="ET34" i="37"/>
  <c r="ES44" i="37"/>
  <c r="FE44" i="37"/>
  <c r="FO25" i="37"/>
  <c r="FW25" i="37"/>
  <c r="FK25" i="37"/>
  <c r="GG25" i="37"/>
  <c r="EN25" i="37"/>
  <c r="FK40" i="37"/>
  <c r="FB40" i="37"/>
  <c r="FX40" i="37"/>
  <c r="FR40" i="37"/>
  <c r="GC40" i="37"/>
  <c r="EY40" i="37"/>
  <c r="FJ40" i="37"/>
  <c r="GO40" i="37"/>
  <c r="FZ11" i="37"/>
  <c r="FG11" i="37"/>
  <c r="EU50" i="37"/>
  <c r="GI50" i="37"/>
  <c r="ER50" i="37"/>
  <c r="GA15" i="37"/>
  <c r="FJ15" i="37"/>
  <c r="GO15" i="37"/>
  <c r="FH15" i="37"/>
  <c r="EX15" i="37"/>
  <c r="GH25" i="37"/>
  <c r="GJ40" i="37"/>
  <c r="EN34" i="37"/>
  <c r="FR44" i="37"/>
  <c r="GR18" i="37"/>
  <c r="FS18" i="37"/>
  <c r="GD18" i="37"/>
  <c r="GN18" i="37"/>
  <c r="EQ18" i="37"/>
  <c r="GO18" i="37"/>
  <c r="EX11" i="37"/>
  <c r="FE11" i="37"/>
  <c r="EK11" i="37"/>
  <c r="FS35" i="37"/>
  <c r="EL35" i="37"/>
  <c r="FP35" i="37"/>
  <c r="FB35" i="37"/>
  <c r="FO35" i="37"/>
  <c r="GM35" i="37"/>
  <c r="GR35" i="37"/>
  <c r="GB35" i="37"/>
  <c r="EP35" i="37"/>
  <c r="FT34" i="37"/>
  <c r="GR26" i="37"/>
  <c r="FD29" i="34"/>
  <c r="FO34" i="37"/>
  <c r="FL34" i="37"/>
  <c r="GJ26" i="37"/>
  <c r="EN29" i="34"/>
  <c r="FA44" i="37"/>
  <c r="FQ23" i="37"/>
  <c r="EY23" i="37"/>
  <c r="EU23" i="37"/>
  <c r="ES23" i="37"/>
  <c r="GE23" i="37"/>
  <c r="EP23" i="37"/>
  <c r="FN23" i="37"/>
  <c r="FH23" i="37"/>
  <c r="EQ23" i="37"/>
  <c r="ES5" i="37"/>
  <c r="FE34" i="37"/>
  <c r="EP26" i="37"/>
  <c r="FZ29" i="34"/>
  <c r="GD29" i="34"/>
  <c r="GH29" i="34"/>
  <c r="FA26" i="37"/>
  <c r="GQ26" i="37"/>
  <c r="FM26" i="37"/>
  <c r="FF40" i="37"/>
  <c r="FW34" i="37"/>
  <c r="FR26" i="37"/>
  <c r="FC38" i="34"/>
  <c r="GG29" i="34"/>
  <c r="EM40" i="37"/>
  <c r="FX50" i="34"/>
  <c r="EN35" i="34"/>
  <c r="GP35" i="34"/>
  <c r="GM35" i="34"/>
  <c r="EU35" i="34"/>
  <c r="FZ35" i="34"/>
  <c r="EM35" i="34"/>
  <c r="FW35" i="34"/>
  <c r="FX35" i="34"/>
  <c r="EV35" i="34"/>
  <c r="FU35" i="34"/>
  <c r="FE35" i="34"/>
  <c r="FF35" i="34"/>
  <c r="EP35" i="34"/>
  <c r="EO35" i="34"/>
  <c r="EK35" i="34"/>
  <c r="GQ31" i="34"/>
  <c r="FW31" i="34"/>
  <c r="GH31" i="34"/>
  <c r="EW31" i="34"/>
  <c r="FN31" i="34"/>
  <c r="GB31" i="34"/>
  <c r="GK31" i="34"/>
  <c r="GN31" i="34"/>
  <c r="FB50" i="34"/>
  <c r="FA50" i="34"/>
  <c r="FJ50" i="34"/>
  <c r="GK34" i="34"/>
  <c r="GR34" i="34"/>
  <c r="FN34" i="34"/>
  <c r="EX34" i="34"/>
  <c r="GA29" i="34"/>
  <c r="FQ34" i="37"/>
  <c r="GM8" i="37"/>
  <c r="EK8" i="37"/>
  <c r="FO8" i="37"/>
  <c r="FZ8" i="37"/>
  <c r="GQ8" i="37"/>
  <c r="GR8" i="37"/>
  <c r="EQ8" i="37"/>
  <c r="GP8" i="37"/>
  <c r="FC8" i="37"/>
  <c r="GC8" i="37"/>
  <c r="FK26" i="37"/>
  <c r="FL26" i="37"/>
  <c r="FZ26" i="37"/>
  <c r="FN42" i="34"/>
  <c r="FZ50" i="34"/>
  <c r="FP50" i="34"/>
  <c r="GO50" i="34"/>
  <c r="FF50" i="34"/>
  <c r="FK50" i="34"/>
  <c r="EQ42" i="34"/>
  <c r="FS26" i="37"/>
  <c r="FT26" i="37"/>
  <c r="FI26" i="37"/>
  <c r="GH34" i="37"/>
  <c r="FU34" i="37"/>
  <c r="GM34" i="37"/>
  <c r="FA34" i="37"/>
  <c r="FJ11" i="37"/>
  <c r="EX34" i="37"/>
  <c r="EP18" i="37"/>
  <c r="FR18" i="37"/>
  <c r="GP18" i="37"/>
  <c r="FP18" i="37"/>
  <c r="FP11" i="37"/>
  <c r="EO11" i="37"/>
  <c r="FW11" i="37"/>
  <c r="GH26" i="37"/>
  <c r="FH26" i="37"/>
  <c r="ET50" i="34"/>
  <c r="GL23" i="37"/>
  <c r="FT23" i="37"/>
  <c r="EW23" i="37"/>
  <c r="GQ23" i="37"/>
  <c r="FZ23" i="37"/>
  <c r="GF23" i="37"/>
  <c r="FX34" i="37"/>
  <c r="EN26" i="37"/>
  <c r="GK35" i="34"/>
  <c r="GQ35" i="34"/>
  <c r="FK35" i="34"/>
  <c r="GB35" i="34"/>
  <c r="FB35" i="34"/>
  <c r="FO35" i="34"/>
  <c r="EW35" i="34"/>
  <c r="FI50" i="34"/>
  <c r="GN50" i="34"/>
  <c r="EW50" i="34"/>
  <c r="FN29" i="34"/>
  <c r="GK34" i="37"/>
  <c r="GP50" i="34"/>
  <c r="EU50" i="34"/>
  <c r="FY50" i="34"/>
  <c r="FN50" i="34"/>
  <c r="EV50" i="34"/>
  <c r="GG50" i="34"/>
  <c r="ES7" i="37"/>
  <c r="EL7" i="37"/>
  <c r="GP7" i="37"/>
  <c r="FJ26" i="37"/>
  <c r="EY26" i="37"/>
  <c r="EO50" i="34"/>
  <c r="ER50" i="34"/>
  <c r="FL50" i="34"/>
  <c r="FO50" i="34"/>
  <c r="FR50" i="34"/>
  <c r="FG50" i="34"/>
  <c r="EZ50" i="34"/>
  <c r="GH50" i="34"/>
  <c r="GD50" i="34"/>
  <c r="EP50" i="34"/>
  <c r="EM50" i="34"/>
  <c r="GB50" i="34"/>
  <c r="FU7" i="37"/>
  <c r="FE7" i="37"/>
  <c r="EK26" i="37"/>
  <c r="FP26" i="37"/>
  <c r="EQ34" i="37"/>
  <c r="EW34" i="37"/>
  <c r="FK34" i="37"/>
  <c r="FJ34" i="37"/>
  <c r="FV34" i="37"/>
  <c r="FI34" i="37"/>
  <c r="GD34" i="37"/>
  <c r="EZ34" i="37"/>
  <c r="GQ44" i="37"/>
  <c r="EZ44" i="37"/>
  <c r="FS25" i="37"/>
  <c r="FZ25" i="37"/>
  <c r="ER25" i="37"/>
  <c r="FD25" i="37"/>
  <c r="EP40" i="37"/>
  <c r="FY40" i="37"/>
  <c r="EU40" i="37"/>
  <c r="ER40" i="37"/>
  <c r="FN40" i="37"/>
  <c r="EZ40" i="37"/>
  <c r="FQ40" i="37"/>
  <c r="GO11" i="37"/>
  <c r="FV11" i="37"/>
  <c r="FW50" i="37"/>
  <c r="EW50" i="37"/>
  <c r="GF50" i="37"/>
  <c r="GP15" i="37"/>
  <c r="GN15" i="37"/>
  <c r="FL15" i="37"/>
  <c r="GD15" i="37"/>
  <c r="FW40" i="37"/>
  <c r="GJ34" i="37"/>
  <c r="GO34" i="37"/>
  <c r="FC40" i="37"/>
  <c r="FQ44" i="37"/>
  <c r="FM18" i="37"/>
  <c r="FV18" i="37"/>
  <c r="GC18" i="37"/>
  <c r="FD18" i="37"/>
  <c r="EM18" i="37"/>
  <c r="FR11" i="37"/>
  <c r="FY11" i="37"/>
  <c r="EM35" i="37"/>
  <c r="EV35" i="37"/>
  <c r="FX35" i="37"/>
  <c r="EK35" i="37"/>
  <c r="EW35" i="37"/>
  <c r="EY35" i="37"/>
  <c r="GE35" i="37"/>
  <c r="FJ35" i="37"/>
  <c r="EK44" i="37"/>
  <c r="ES40" i="37"/>
  <c r="FP40" i="37"/>
  <c r="FY26" i="37"/>
  <c r="FB34" i="37"/>
  <c r="FC34" i="37"/>
  <c r="EM29" i="34"/>
  <c r="GE44" i="37"/>
  <c r="FI23" i="37"/>
  <c r="GN23" i="37"/>
  <c r="EO23" i="37"/>
  <c r="FU23" i="37"/>
  <c r="GH23" i="37"/>
  <c r="FG23" i="37"/>
  <c r="GR23" i="37"/>
  <c r="EK5" i="37"/>
  <c r="FS34" i="37"/>
  <c r="FF26" i="37"/>
  <c r="EU38" i="34"/>
  <c r="GC38" i="34"/>
  <c r="GJ38" i="34"/>
  <c r="GR38" i="34"/>
  <c r="GN29" i="34"/>
  <c r="FF38" i="34"/>
  <c r="FX38" i="34"/>
  <c r="EU29" i="34"/>
  <c r="FB29" i="34"/>
  <c r="ET26" i="37"/>
  <c r="GE26" i="37"/>
  <c r="GN26" i="37"/>
  <c r="EX40" i="37"/>
  <c r="GI34" i="37"/>
  <c r="GQ34" i="37"/>
  <c r="FN26" i="37"/>
  <c r="FS38" i="34"/>
  <c r="GE29" i="34"/>
  <c r="FJ35" i="34"/>
  <c r="FH35" i="34"/>
  <c r="EY35" i="34"/>
  <c r="FA35" i="34"/>
  <c r="EQ35" i="34"/>
  <c r="ER35" i="34"/>
  <c r="GL35" i="34"/>
  <c r="FV35" i="34"/>
  <c r="FI35" i="34"/>
  <c r="FM35" i="34"/>
  <c r="EZ35" i="34"/>
  <c r="FC35" i="34"/>
  <c r="FG35" i="34"/>
  <c r="GG35" i="34"/>
  <c r="GD31" i="34"/>
  <c r="GG31" i="34"/>
  <c r="FL31" i="34"/>
  <c r="FM31" i="34"/>
  <c r="FI31" i="34"/>
  <c r="EK31" i="34"/>
  <c r="FP31" i="34"/>
  <c r="EO31" i="34"/>
  <c r="EY50" i="34"/>
  <c r="FE50" i="34"/>
  <c r="FF34" i="34"/>
  <c r="GO34" i="34"/>
  <c r="ES58" i="34"/>
  <c r="FX58" i="34"/>
  <c r="FK29" i="34"/>
  <c r="FS54" i="34"/>
  <c r="GN54" i="34"/>
  <c r="FD8" i="37"/>
  <c r="FA29" i="37"/>
  <c r="EQ29" i="37"/>
  <c r="GC29" i="37"/>
  <c r="EY29" i="37"/>
  <c r="FT29" i="37"/>
  <c r="ER29" i="37"/>
  <c r="FE29" i="37"/>
  <c r="FP29" i="37"/>
  <c r="GB29" i="37"/>
  <c r="FJ29" i="37"/>
  <c r="EW29" i="37"/>
  <c r="FX29" i="37"/>
  <c r="GJ29" i="37"/>
  <c r="ES29" i="37"/>
  <c r="FL29" i="37"/>
  <c r="FW29" i="37"/>
  <c r="GQ29" i="37"/>
  <c r="GL29" i="37"/>
  <c r="FO29" i="37"/>
  <c r="FN29" i="37"/>
  <c r="FK29" i="37"/>
  <c r="FV29" i="37"/>
  <c r="GM29" i="37"/>
  <c r="FI29" i="37"/>
  <c r="FF29" i="37"/>
  <c r="GI29" i="37"/>
  <c r="EL29" i="37"/>
  <c r="GE29" i="37"/>
  <c r="EP29" i="37"/>
  <c r="GR29" i="37"/>
  <c r="GN29" i="37"/>
  <c r="GD29" i="37"/>
  <c r="GO29" i="37"/>
  <c r="GF29" i="37"/>
  <c r="EN29" i="37"/>
  <c r="FR29" i="37"/>
  <c r="GH29" i="37"/>
  <c r="FH29" i="37"/>
  <c r="EX29" i="37"/>
  <c r="GP29" i="37"/>
  <c r="GA29" i="37"/>
  <c r="EZ29" i="37"/>
  <c r="ET29" i="37"/>
  <c r="GG29" i="37"/>
  <c r="FZ29" i="37"/>
  <c r="FU22" i="37"/>
  <c r="FJ22" i="37"/>
  <c r="GQ22" i="37"/>
  <c r="EV22" i="37"/>
  <c r="GP22" i="37"/>
  <c r="EM22" i="37"/>
  <c r="FG22" i="37"/>
  <c r="GJ22" i="37"/>
  <c r="GL22" i="37"/>
  <c r="EL22" i="37"/>
  <c r="FZ22" i="37"/>
  <c r="GF22" i="37"/>
  <c r="EK22" i="37"/>
  <c r="GA22" i="37"/>
  <c r="FI22" i="37"/>
  <c r="FE22" i="37"/>
  <c r="FX22" i="37"/>
  <c r="FW22" i="37"/>
  <c r="FO22" i="37"/>
  <c r="EP22" i="37"/>
  <c r="EW22" i="37"/>
  <c r="FK22" i="37"/>
  <c r="FM22" i="37"/>
  <c r="EX22" i="37"/>
  <c r="ER22" i="37"/>
  <c r="ET22" i="37"/>
  <c r="GK22" i="37"/>
  <c r="EN22" i="37"/>
  <c r="EZ22" i="37"/>
  <c r="FA22" i="37"/>
  <c r="FP22" i="37"/>
  <c r="FQ22" i="37"/>
  <c r="FH22" i="37"/>
  <c r="GG22" i="37"/>
  <c r="GD22" i="37"/>
  <c r="FL22" i="37"/>
  <c r="GC22" i="37"/>
  <c r="GM22" i="37"/>
  <c r="GE22" i="37"/>
  <c r="FY22" i="37"/>
  <c r="GO22" i="37"/>
  <c r="GH22" i="37"/>
  <c r="FB22" i="37"/>
  <c r="FS22" i="37"/>
  <c r="GN22" i="37"/>
  <c r="ES22" i="37"/>
  <c r="FN22" i="37"/>
  <c r="FT22" i="37"/>
  <c r="EO22" i="37"/>
  <c r="GB22" i="37"/>
  <c r="FR22" i="37"/>
  <c r="GR22" i="37"/>
  <c r="FF22" i="37"/>
  <c r="EU22" i="37"/>
  <c r="FC22" i="37"/>
  <c r="FD22" i="37"/>
  <c r="EQ22" i="37"/>
  <c r="FV22" i="37"/>
  <c r="GI22" i="37"/>
  <c r="EY22" i="37"/>
  <c r="GK12" i="37"/>
  <c r="GI12" i="37"/>
  <c r="FN12" i="37"/>
  <c r="FJ12" i="37"/>
  <c r="FQ12" i="37"/>
  <c r="EU12" i="37"/>
  <c r="FR12" i="37"/>
  <c r="FM12" i="37"/>
  <c r="EQ12" i="37"/>
  <c r="FB12" i="37"/>
  <c r="EK12" i="37"/>
  <c r="EX12" i="37"/>
  <c r="FP12" i="37"/>
  <c r="FW12" i="37"/>
  <c r="FZ12" i="37"/>
  <c r="FU12" i="37"/>
  <c r="FC12" i="37"/>
  <c r="GP12" i="37"/>
  <c r="EW12" i="37"/>
  <c r="GJ12" i="37"/>
  <c r="GG12" i="37"/>
  <c r="FF12" i="37"/>
  <c r="GC12" i="37"/>
  <c r="GL12" i="37"/>
  <c r="GQ12" i="37"/>
  <c r="FY12" i="37"/>
  <c r="EL12" i="37"/>
  <c r="FS12" i="37"/>
  <c r="FL12" i="37"/>
  <c r="GO12" i="37"/>
  <c r="FV12" i="37"/>
  <c r="ER12" i="37"/>
  <c r="FK12" i="37"/>
  <c r="FX12" i="37"/>
  <c r="FG12" i="37"/>
  <c r="ET12" i="37"/>
  <c r="FD12" i="37"/>
  <c r="GD12" i="37"/>
  <c r="GR12" i="37"/>
  <c r="FO12" i="37"/>
  <c r="GE12" i="37"/>
  <c r="GA12" i="37"/>
  <c r="EZ12" i="37"/>
  <c r="EV12" i="37"/>
  <c r="FH12" i="37"/>
  <c r="EN12" i="37"/>
  <c r="EM12" i="37"/>
  <c r="GM12" i="37"/>
  <c r="ES12" i="37"/>
  <c r="FI12" i="37"/>
  <c r="EP12" i="37"/>
  <c r="FE12" i="37"/>
  <c r="GN12" i="37"/>
  <c r="GB12" i="37"/>
  <c r="FT12" i="37"/>
  <c r="EY12" i="37"/>
  <c r="EO12" i="37"/>
  <c r="GF12" i="37"/>
  <c r="GH12" i="37"/>
  <c r="FA12" i="37"/>
  <c r="FQ29" i="37"/>
  <c r="FN38" i="37"/>
  <c r="GE48" i="34"/>
  <c r="EZ48" i="34"/>
  <c r="FD48" i="34"/>
  <c r="GB48" i="34"/>
  <c r="FX48" i="34"/>
  <c r="ET48" i="34"/>
  <c r="EW48" i="34"/>
  <c r="GN42" i="34"/>
  <c r="GP42" i="34"/>
  <c r="FE42" i="34"/>
  <c r="FR42" i="34"/>
  <c r="GP48" i="34"/>
  <c r="GL48" i="34"/>
  <c r="FS29" i="37"/>
  <c r="EW38" i="37"/>
  <c r="FT38" i="37"/>
  <c r="GI38" i="37"/>
  <c r="EK38" i="37"/>
  <c r="FQ37" i="37"/>
  <c r="GM37" i="37"/>
  <c r="FW37" i="37"/>
  <c r="FZ37" i="37"/>
  <c r="FL37" i="37"/>
  <c r="GO37" i="37"/>
  <c r="FI37" i="37"/>
  <c r="EZ37" i="37"/>
  <c r="FS37" i="37"/>
  <c r="GC37" i="37"/>
  <c r="GF37" i="37"/>
  <c r="EP37" i="37"/>
  <c r="EO37" i="37"/>
  <c r="GP37" i="37"/>
  <c r="GQ37" i="37"/>
  <c r="FY37" i="37"/>
  <c r="GD37" i="37"/>
  <c r="FP37" i="37"/>
  <c r="FH37" i="37"/>
  <c r="FX37" i="37"/>
  <c r="EW37" i="37"/>
  <c r="FV37" i="37"/>
  <c r="FO37" i="37"/>
  <c r="EV37" i="37"/>
  <c r="EN37" i="37"/>
  <c r="ET37" i="37"/>
  <c r="GH37" i="37"/>
  <c r="GE37" i="37"/>
  <c r="FK37" i="37"/>
  <c r="GN37" i="37"/>
  <c r="FD37" i="37"/>
  <c r="EQ37" i="37"/>
  <c r="FJ37" i="37"/>
  <c r="EK37" i="37"/>
  <c r="FU37" i="37"/>
  <c r="EM37" i="37"/>
  <c r="FM37" i="37"/>
  <c r="GI37" i="37"/>
  <c r="GJ37" i="37"/>
  <c r="GB37" i="37"/>
  <c r="FF37" i="37"/>
  <c r="GL37" i="37"/>
  <c r="EL37" i="37"/>
  <c r="FB37" i="37"/>
  <c r="FC37" i="37"/>
  <c r="FE37" i="37"/>
  <c r="GK37" i="37"/>
  <c r="EY37" i="37"/>
  <c r="EX37" i="37"/>
  <c r="ES37" i="37"/>
  <c r="FG37" i="37"/>
  <c r="EU37" i="37"/>
  <c r="FR37" i="37"/>
  <c r="ER37" i="37"/>
  <c r="FA37" i="37"/>
  <c r="FT37" i="37"/>
  <c r="GA37" i="37"/>
  <c r="GG37" i="37"/>
  <c r="FN37" i="37"/>
  <c r="GR37" i="37"/>
  <c r="GD21" i="37"/>
  <c r="ES21" i="37"/>
  <c r="FH21" i="37"/>
  <c r="EN21" i="37"/>
  <c r="EV21" i="37"/>
  <c r="GL21" i="37"/>
  <c r="GG21" i="37"/>
  <c r="GA21" i="37"/>
  <c r="GM38" i="37"/>
  <c r="FG38" i="37"/>
  <c r="ES38" i="37"/>
  <c r="EZ38" i="37"/>
  <c r="FO5" i="37"/>
  <c r="FH5" i="37"/>
  <c r="EV5" i="37"/>
  <c r="FE38" i="37"/>
  <c r="GI48" i="34"/>
  <c r="FO48" i="34"/>
  <c r="FR48" i="37"/>
  <c r="ER48" i="37"/>
  <c r="EQ48" i="37"/>
  <c r="ET48" i="37"/>
  <c r="FA48" i="37"/>
  <c r="GM48" i="37"/>
  <c r="FL48" i="37"/>
  <c r="GK48" i="37"/>
  <c r="FD48" i="37"/>
  <c r="FX48" i="37"/>
  <c r="EX48" i="37"/>
  <c r="EP48" i="37"/>
  <c r="FN48" i="37"/>
  <c r="EZ48" i="37"/>
  <c r="FT48" i="37"/>
  <c r="GN48" i="37"/>
  <c r="GP48" i="37"/>
  <c r="EM48" i="37"/>
  <c r="FP48" i="37"/>
  <c r="GF48" i="37"/>
  <c r="GB48" i="37"/>
  <c r="FG48" i="37"/>
  <c r="EO48" i="37"/>
  <c r="GC48" i="37"/>
  <c r="FJ48" i="37"/>
  <c r="GD48" i="37"/>
  <c r="FW48" i="37"/>
  <c r="FU48" i="37"/>
  <c r="GL48" i="37"/>
  <c r="FI48" i="37"/>
  <c r="ES48" i="37"/>
  <c r="EW48" i="37"/>
  <c r="FH48" i="37"/>
  <c r="GE48" i="37"/>
  <c r="EL48" i="37"/>
  <c r="EK48" i="37"/>
  <c r="FS48" i="37"/>
  <c r="EU48" i="37"/>
  <c r="FB48" i="37"/>
  <c r="FQ48" i="37"/>
  <c r="FM48" i="37"/>
  <c r="FO48" i="37"/>
  <c r="GI48" i="37"/>
  <c r="FY48" i="37"/>
  <c r="EV48" i="37"/>
  <c r="EN48" i="37"/>
  <c r="GG48" i="37"/>
  <c r="FV48" i="37"/>
  <c r="GJ48" i="37"/>
  <c r="GO48" i="37"/>
  <c r="GR48" i="37"/>
  <c r="FZ48" i="37"/>
  <c r="GQ48" i="37"/>
  <c r="GA48" i="37"/>
  <c r="FF48" i="37"/>
  <c r="GH48" i="37"/>
  <c r="FK48" i="37"/>
  <c r="FE48" i="37"/>
  <c r="EY48" i="37"/>
  <c r="FC48" i="37"/>
  <c r="GF25" i="37"/>
  <c r="FP25" i="37"/>
  <c r="EO25" i="37"/>
  <c r="FE25" i="37"/>
  <c r="GO25" i="37"/>
  <c r="GD25" i="37"/>
  <c r="FY25" i="37"/>
  <c r="GJ25" i="37"/>
  <c r="FV25" i="37"/>
  <c r="FC25" i="37"/>
  <c r="FM25" i="37"/>
  <c r="GI25" i="37"/>
  <c r="EX25" i="37"/>
  <c r="FI25" i="37"/>
  <c r="FR25" i="37"/>
  <c r="FN25" i="37"/>
  <c r="EP25" i="37"/>
  <c r="FR48" i="34"/>
  <c r="GT44" i="37"/>
  <c r="GC44" i="37"/>
  <c r="EN44" i="37"/>
  <c r="FB44" i="37"/>
  <c r="ET44" i="37"/>
  <c r="FV44" i="37"/>
  <c r="FJ44" i="37"/>
  <c r="FM44" i="37"/>
  <c r="GR44" i="37"/>
  <c r="GD44" i="37"/>
  <c r="EW44" i="37"/>
  <c r="FI44" i="37"/>
  <c r="GI44" i="37"/>
  <c r="EL44" i="37"/>
  <c r="FX44" i="37"/>
  <c r="FF44" i="37"/>
  <c r="GG44" i="37"/>
  <c r="FN44" i="37"/>
  <c r="FG44" i="37"/>
  <c r="GA44" i="37"/>
  <c r="FP44" i="37"/>
  <c r="GK44" i="37"/>
  <c r="FW44" i="37"/>
  <c r="EV44" i="37"/>
  <c r="FW63" i="34"/>
  <c r="EY63" i="34"/>
  <c r="ER63" i="34"/>
  <c r="GA63" i="34"/>
  <c r="GD63" i="34"/>
  <c r="FD63" i="34"/>
  <c r="GN63" i="34"/>
  <c r="GB63" i="34"/>
  <c r="EO63" i="34"/>
  <c r="FN63" i="34"/>
  <c r="GK63" i="34"/>
  <c r="ES63" i="34"/>
  <c r="FA63" i="34"/>
  <c r="FV63" i="34"/>
  <c r="FX63" i="34"/>
  <c r="FZ63" i="34"/>
  <c r="GI63" i="34"/>
  <c r="FL63" i="34"/>
  <c r="GG63" i="34"/>
  <c r="GJ63" i="34"/>
  <c r="EZ63" i="34"/>
  <c r="GC63" i="34"/>
  <c r="FJ63" i="34"/>
  <c r="GE63" i="34"/>
  <c r="EX63" i="34"/>
  <c r="GM63" i="34"/>
  <c r="FT63" i="34"/>
  <c r="FO63" i="34"/>
  <c r="GR63" i="34"/>
  <c r="EM63" i="34"/>
  <c r="EN63" i="34"/>
  <c r="FC63" i="34"/>
  <c r="FS63" i="34"/>
  <c r="ET63" i="34"/>
  <c r="FK63" i="34"/>
  <c r="FY63" i="34"/>
  <c r="FF63" i="34"/>
  <c r="EK63" i="34"/>
  <c r="GL63" i="34"/>
  <c r="FI63" i="34"/>
  <c r="GF63" i="34"/>
  <c r="FQ63" i="34"/>
  <c r="GH63" i="34"/>
  <c r="GQ63" i="34"/>
  <c r="FH63" i="34"/>
  <c r="EP48" i="34"/>
  <c r="FZ38" i="37"/>
  <c r="EZ20" i="34"/>
  <c r="GJ20" i="34"/>
  <c r="FP20" i="34"/>
  <c r="GJ29" i="34"/>
  <c r="GQ34" i="34"/>
  <c r="GA34" i="34"/>
  <c r="FH34" i="34"/>
  <c r="GB34" i="34"/>
  <c r="ES34" i="34"/>
  <c r="GM34" i="34"/>
  <c r="EY34" i="34"/>
  <c r="FL34" i="34"/>
  <c r="ES29" i="34"/>
  <c r="EW29" i="34"/>
  <c r="GR48" i="34"/>
  <c r="FK48" i="34"/>
  <c r="GD48" i="34"/>
  <c r="EV63" i="34"/>
  <c r="FP63" i="34"/>
  <c r="FG48" i="34"/>
  <c r="GE42" i="34"/>
  <c r="FQ42" i="34"/>
  <c r="FZ42" i="34"/>
  <c r="EP42" i="34"/>
  <c r="EO29" i="37"/>
  <c r="EV29" i="37"/>
  <c r="FD29" i="37"/>
  <c r="ER38" i="37"/>
  <c r="FU18" i="37"/>
  <c r="EW18" i="37"/>
  <c r="FF18" i="37"/>
  <c r="FA18" i="37"/>
  <c r="FN18" i="37"/>
  <c r="FC18" i="37"/>
  <c r="GB18" i="37"/>
  <c r="FZ18" i="37"/>
  <c r="FO18" i="37"/>
  <c r="EK18" i="37"/>
  <c r="GQ18" i="37"/>
  <c r="GH18" i="37"/>
  <c r="FY18" i="37"/>
  <c r="GM44" i="37"/>
  <c r="FD44" i="37"/>
  <c r="GK25" i="37"/>
  <c r="FA25" i="37"/>
  <c r="GP25" i="37"/>
  <c r="FQ25" i="37"/>
  <c r="EV25" i="37"/>
  <c r="ES25" i="37"/>
  <c r="EL25" i="37"/>
  <c r="FB25" i="37"/>
  <c r="FJ5" i="37"/>
  <c r="GA5" i="37"/>
  <c r="GM5" i="37"/>
  <c r="GR5" i="37"/>
  <c r="GL5" i="37"/>
  <c r="EZ5" i="37"/>
  <c r="GM25" i="37"/>
  <c r="FG18" i="37"/>
  <c r="FB18" i="37"/>
  <c r="GE18" i="37"/>
  <c r="GF18" i="37"/>
  <c r="ET18" i="37"/>
  <c r="GL18" i="37"/>
  <c r="GG18" i="37"/>
  <c r="GM18" i="37"/>
  <c r="FS11" i="37"/>
  <c r="FA11" i="37"/>
  <c r="GF11" i="37"/>
  <c r="FF11" i="37"/>
  <c r="FS21" i="37"/>
  <c r="GQ48" i="34"/>
  <c r="FY48" i="34"/>
  <c r="EY48" i="34"/>
  <c r="EL63" i="34"/>
  <c r="EW63" i="34"/>
  <c r="FG63" i="34"/>
  <c r="FR63" i="34"/>
  <c r="GC48" i="34"/>
  <c r="EX48" i="34"/>
  <c r="EO48" i="34"/>
  <c r="GA48" i="34"/>
  <c r="EM42" i="34"/>
  <c r="GH42" i="34"/>
  <c r="EY42" i="34"/>
  <c r="EV42" i="34"/>
  <c r="FG42" i="34"/>
  <c r="FQ48" i="34"/>
  <c r="FA48" i="34"/>
  <c r="FG29" i="37"/>
  <c r="FM29" i="37"/>
  <c r="FC29" i="37"/>
  <c r="GK29" i="37"/>
  <c r="GP38" i="37"/>
  <c r="ET38" i="37"/>
  <c r="FQ38" i="37"/>
  <c r="GB26" i="37"/>
  <c r="FC26" i="37"/>
  <c r="GK26" i="37"/>
  <c r="GI26" i="37"/>
  <c r="FR31" i="37"/>
  <c r="FM31" i="37"/>
  <c r="FL31" i="37"/>
  <c r="FS31" i="37"/>
  <c r="GO31" i="37"/>
  <c r="FT31" i="37"/>
  <c r="GE31" i="37"/>
  <c r="GK31" i="37"/>
  <c r="FP31" i="37"/>
  <c r="EY31" i="37"/>
  <c r="GG31" i="37"/>
  <c r="FH31" i="37"/>
  <c r="FJ31" i="37"/>
  <c r="FX31" i="37"/>
  <c r="GD31" i="37"/>
  <c r="GH31" i="37"/>
  <c r="EW31" i="37"/>
  <c r="GA31" i="37"/>
  <c r="FF31" i="37"/>
  <c r="EZ31" i="37"/>
  <c r="FV31" i="37"/>
  <c r="GJ31" i="37"/>
  <c r="GL31" i="37"/>
  <c r="EO31" i="37"/>
  <c r="FC31" i="37"/>
  <c r="EM31" i="37"/>
  <c r="GQ31" i="37"/>
  <c r="GC31" i="37"/>
  <c r="EV31" i="37"/>
  <c r="FZ31" i="37"/>
  <c r="GN31" i="37"/>
  <c r="GP31" i="37"/>
  <c r="ES31" i="37"/>
  <c r="GI31" i="37"/>
  <c r="FI31" i="37"/>
  <c r="GM31" i="37"/>
  <c r="EP31" i="37"/>
  <c r="FE31" i="37"/>
  <c r="EL31" i="37"/>
  <c r="FO31" i="37"/>
  <c r="EQ31" i="37"/>
  <c r="EU31" i="37"/>
  <c r="EN31" i="37"/>
  <c r="FD31" i="37"/>
  <c r="EX31" i="37"/>
  <c r="GB31" i="37"/>
  <c r="FA31" i="37"/>
  <c r="ET31" i="37"/>
  <c r="FB31" i="37"/>
  <c r="FW31" i="37"/>
  <c r="FK31" i="37"/>
  <c r="ER31" i="37"/>
  <c r="GF31" i="37"/>
  <c r="FY31" i="37"/>
  <c r="GR31" i="37"/>
  <c r="FU31" i="37"/>
  <c r="FN31" i="37"/>
  <c r="EK31" i="37"/>
  <c r="FQ31" i="37"/>
  <c r="FG31" i="37"/>
  <c r="EK7" i="37"/>
  <c r="GN7" i="37"/>
  <c r="FO7" i="37"/>
  <c r="GA7" i="37"/>
  <c r="EU7" i="37"/>
  <c r="GK7" i="37"/>
  <c r="EV7" i="37"/>
  <c r="FZ7" i="37"/>
  <c r="FV7" i="37"/>
  <c r="EP7" i="37"/>
  <c r="FT7" i="37"/>
  <c r="GC7" i="37"/>
  <c r="GI7" i="37"/>
  <c r="FQ7" i="37"/>
  <c r="EO7" i="37"/>
  <c r="GQ7" i="37"/>
  <c r="FJ7" i="37"/>
  <c r="FS7" i="37"/>
  <c r="GD7" i="37"/>
  <c r="GF7" i="37"/>
  <c r="EY7" i="37"/>
  <c r="EM7" i="37"/>
  <c r="GJ7" i="37"/>
  <c r="GB7" i="37"/>
  <c r="GR7" i="37"/>
  <c r="GO7" i="37"/>
  <c r="FL7" i="37"/>
  <c r="FG7" i="37"/>
  <c r="ET7" i="37"/>
  <c r="FX7" i="37"/>
  <c r="FW7" i="37"/>
  <c r="FN7" i="37"/>
  <c r="FY7" i="37"/>
  <c r="FC7" i="37"/>
  <c r="EW7" i="37"/>
  <c r="ER7" i="37"/>
  <c r="GG7" i="37"/>
  <c r="FD7" i="37"/>
  <c r="GH7" i="37"/>
  <c r="EN7" i="37"/>
  <c r="FA7" i="37"/>
  <c r="FB7" i="37"/>
  <c r="EZ7" i="37"/>
  <c r="FK7" i="37"/>
  <c r="FI7" i="37"/>
  <c r="FO44" i="37"/>
  <c r="FU44" i="37"/>
  <c r="GH44" i="37"/>
  <c r="FC44" i="37"/>
  <c r="GE25" i="37"/>
  <c r="EY25" i="37"/>
  <c r="GR25" i="37"/>
  <c r="GQ25" i="37"/>
  <c r="GA25" i="37"/>
  <c r="FG25" i="37"/>
  <c r="FH25" i="37"/>
  <c r="EZ25" i="37"/>
  <c r="FU25" i="37"/>
  <c r="EY11" i="37"/>
  <c r="FT11" i="37"/>
  <c r="EW11" i="37"/>
  <c r="FQ11" i="37"/>
  <c r="FT5" i="37"/>
  <c r="GE5" i="37"/>
  <c r="FV5" i="37"/>
  <c r="EW5" i="37"/>
  <c r="FM5" i="37"/>
  <c r="GB5" i="37"/>
  <c r="GF5" i="37"/>
  <c r="EN5" i="37"/>
  <c r="EP5" i="37"/>
  <c r="FS5" i="37"/>
  <c r="GL25" i="37"/>
  <c r="FT44" i="37"/>
  <c r="GP44" i="37"/>
  <c r="FZ44" i="37"/>
  <c r="FZ50" i="37"/>
  <c r="GN50" i="37"/>
  <c r="FC50" i="37"/>
  <c r="ET50" i="37"/>
  <c r="FP50" i="37"/>
  <c r="FK50" i="37"/>
  <c r="FD50" i="37"/>
  <c r="GB50" i="37"/>
  <c r="FB50" i="37"/>
  <c r="EM50" i="37"/>
  <c r="FM50" i="37"/>
  <c r="GO50" i="37"/>
  <c r="FI50" i="37"/>
  <c r="FG50" i="37"/>
  <c r="FR50" i="37"/>
  <c r="EK50" i="37"/>
  <c r="GE50" i="37"/>
  <c r="GJ50" i="37"/>
  <c r="GC50" i="37"/>
  <c r="GP50" i="37"/>
  <c r="EN50" i="37"/>
  <c r="EP50" i="37"/>
  <c r="EX50" i="37"/>
  <c r="FH50" i="37"/>
  <c r="FA50" i="37"/>
  <c r="FE50" i="37"/>
  <c r="FS50" i="37"/>
  <c r="FL50" i="37"/>
  <c r="EY50" i="37"/>
  <c r="GA50" i="37"/>
  <c r="FY50" i="37"/>
  <c r="GM50" i="37"/>
  <c r="FT50" i="37"/>
  <c r="GD50" i="37"/>
  <c r="FX50" i="37"/>
  <c r="FQ50" i="37"/>
  <c r="FV50" i="37"/>
  <c r="EV50" i="37"/>
  <c r="GH50" i="37"/>
  <c r="EL50" i="37"/>
  <c r="EZ50" i="37"/>
  <c r="FU50" i="37"/>
  <c r="FO50" i="37"/>
  <c r="GL50" i="37"/>
  <c r="FJ50" i="37"/>
  <c r="FR15" i="37"/>
  <c r="FU15" i="37"/>
  <c r="GQ15" i="37"/>
  <c r="GK15" i="37"/>
  <c r="FX15" i="37"/>
  <c r="EO15" i="37"/>
  <c r="FV15" i="37"/>
  <c r="FP15" i="37"/>
  <c r="GB15" i="37"/>
  <c r="GI15" i="37"/>
  <c r="FN15" i="37"/>
  <c r="ER15" i="37"/>
  <c r="FB15" i="37"/>
  <c r="EK15" i="37"/>
  <c r="EM15" i="37"/>
  <c r="EY15" i="37"/>
  <c r="FA15" i="37"/>
  <c r="FC15" i="37"/>
  <c r="FO15" i="37"/>
  <c r="FK15" i="37"/>
  <c r="FZ15" i="37"/>
  <c r="FE15" i="37"/>
  <c r="GG15" i="37"/>
  <c r="GL15" i="37"/>
  <c r="FW15" i="37"/>
  <c r="EZ15" i="37"/>
  <c r="FI15" i="37"/>
  <c r="GR15" i="37"/>
  <c r="GE15" i="37"/>
  <c r="EQ15" i="37"/>
  <c r="FQ15" i="37"/>
  <c r="FT15" i="37"/>
  <c r="GC15" i="37"/>
  <c r="FF15" i="37"/>
  <c r="FS15" i="37"/>
  <c r="ET15" i="37"/>
  <c r="GF15" i="37"/>
  <c r="FY15" i="37"/>
  <c r="GJ15" i="37"/>
  <c r="EW15" i="37"/>
  <c r="EP15" i="37"/>
  <c r="GM15" i="37"/>
  <c r="EY18" i="37"/>
  <c r="GJ18" i="37"/>
  <c r="ES18" i="37"/>
  <c r="EZ18" i="37"/>
  <c r="FH18" i="37"/>
  <c r="EL18" i="37"/>
  <c r="FK18" i="37"/>
  <c r="FX18" i="37"/>
  <c r="FI18" i="37"/>
  <c r="EU18" i="37"/>
  <c r="EN18" i="37"/>
  <c r="FD11" i="37"/>
  <c r="GJ11" i="37"/>
  <c r="GL11" i="37"/>
  <c r="FL11" i="37"/>
  <c r="EL11" i="37"/>
  <c r="FE21" i="37"/>
  <c r="GR21" i="37"/>
  <c r="GF21" i="37"/>
  <c r="FY21" i="37"/>
  <c r="GJ21" i="37"/>
  <c r="FZ21" i="37"/>
  <c r="FP21" i="37"/>
  <c r="FM21" i="37"/>
  <c r="FG21" i="37"/>
  <c r="FB21" i="37"/>
  <c r="EW21" i="37"/>
  <c r="EK21" i="37"/>
  <c r="GF38" i="37"/>
  <c r="FU26" i="37"/>
  <c r="FC29" i="34"/>
  <c r="GA20" i="34"/>
  <c r="EQ38" i="37"/>
  <c r="GK38" i="37"/>
  <c r="FH38" i="37"/>
  <c r="EU38" i="37"/>
  <c r="FW38" i="37"/>
  <c r="FM38" i="37"/>
  <c r="FM48" i="34"/>
  <c r="GM29" i="34"/>
  <c r="EY29" i="34"/>
  <c r="FE20" i="34"/>
  <c r="FL23" i="37"/>
  <c r="FE23" i="37"/>
  <c r="GA23" i="37"/>
  <c r="FM23" i="37"/>
  <c r="EM23" i="37"/>
  <c r="FD23" i="37"/>
  <c r="FV23" i="37"/>
  <c r="GG23" i="37"/>
  <c r="GK23" i="37"/>
  <c r="EX23" i="37"/>
  <c r="FF23" i="37"/>
  <c r="GD23" i="37"/>
  <c r="FR23" i="37"/>
  <c r="ER23" i="37"/>
  <c r="FK44" i="37"/>
  <c r="EQ44" i="37"/>
  <c r="EO44" i="37"/>
  <c r="EZ23" i="37"/>
  <c r="GM23" i="37"/>
  <c r="GC23" i="37"/>
  <c r="FW23" i="37"/>
  <c r="FY23" i="37"/>
  <c r="EV23" i="37"/>
  <c r="GJ23" i="37"/>
  <c r="GO23" i="37"/>
  <c r="ET23" i="37"/>
  <c r="FK23" i="37"/>
  <c r="FB23" i="37"/>
  <c r="ER5" i="37"/>
  <c r="FU5" i="37"/>
  <c r="FT40" i="37"/>
  <c r="GE40" i="37"/>
  <c r="EY38" i="37"/>
  <c r="EW26" i="37"/>
  <c r="GG26" i="37"/>
  <c r="EL47" i="34"/>
  <c r="GN47" i="34"/>
  <c r="GE47" i="34"/>
  <c r="GH47" i="34"/>
  <c r="ET47" i="34"/>
  <c r="FQ47" i="34"/>
  <c r="FF47" i="34"/>
  <c r="FN47" i="34"/>
  <c r="GG47" i="34"/>
  <c r="FW47" i="34"/>
  <c r="FC47" i="34"/>
  <c r="EM47" i="34"/>
  <c r="GF47" i="34"/>
  <c r="EW47" i="34"/>
  <c r="GC47" i="34"/>
  <c r="FV47" i="34"/>
  <c r="EV48" i="34"/>
  <c r="EP29" i="34"/>
  <c r="FO29" i="34"/>
  <c r="FU29" i="34"/>
  <c r="GF29" i="34"/>
  <c r="EX20" i="34"/>
  <c r="GQ20" i="34"/>
  <c r="FL20" i="34"/>
  <c r="EW20" i="34"/>
  <c r="FS48" i="34"/>
  <c r="FG29" i="34"/>
  <c r="FV29" i="34"/>
  <c r="FB20" i="34"/>
  <c r="FT20" i="34"/>
  <c r="GL36" i="37"/>
  <c r="GN36" i="37"/>
  <c r="EQ36" i="37"/>
  <c r="EK36" i="37"/>
  <c r="GA36" i="37"/>
  <c r="GB36" i="37"/>
  <c r="GD36" i="37"/>
  <c r="FM36" i="37"/>
  <c r="FE36" i="37"/>
  <c r="ET36" i="37"/>
  <c r="GI36" i="37"/>
  <c r="FC36" i="37"/>
  <c r="FW36" i="37"/>
  <c r="FH36" i="37"/>
  <c r="GE36" i="37"/>
  <c r="FK35" i="37"/>
  <c r="FT35" i="37"/>
  <c r="FH35" i="37"/>
  <c r="FL35" i="37"/>
  <c r="GJ35" i="37"/>
  <c r="FI35" i="37"/>
  <c r="FF35" i="37"/>
  <c r="FQ35" i="37"/>
  <c r="GO35" i="37"/>
  <c r="GA35" i="37"/>
  <c r="GN35" i="37"/>
  <c r="FM35" i="37"/>
  <c r="FY35" i="37"/>
  <c r="GC35" i="37"/>
  <c r="EO35" i="37"/>
  <c r="EQ35" i="37"/>
  <c r="GP35" i="37"/>
  <c r="GK35" i="37"/>
  <c r="GF35" i="37"/>
  <c r="FE35" i="37"/>
  <c r="GD35" i="37"/>
  <c r="FR35" i="37"/>
  <c r="FD35" i="37"/>
  <c r="FQ26" i="37"/>
  <c r="FE26" i="37"/>
  <c r="GF26" i="37"/>
  <c r="GP26" i="37"/>
  <c r="GD26" i="37"/>
  <c r="FG40" i="37"/>
  <c r="EZ26" i="37"/>
  <c r="FJ38" i="34"/>
  <c r="FQ38" i="34"/>
  <c r="FT38" i="34"/>
  <c r="FK38" i="34"/>
  <c r="FN38" i="34"/>
  <c r="GD38" i="34"/>
  <c r="GI38" i="34"/>
  <c r="GF38" i="34"/>
  <c r="GL38" i="34"/>
  <c r="GG38" i="34"/>
  <c r="GE38" i="34"/>
  <c r="EK38" i="34"/>
  <c r="FR38" i="34"/>
  <c r="EX38" i="34"/>
  <c r="GP38" i="34"/>
  <c r="EN48" i="34"/>
  <c r="EL38" i="34"/>
  <c r="EN38" i="34"/>
  <c r="FP38" i="34"/>
  <c r="EK29" i="34"/>
  <c r="EQ29" i="34"/>
  <c r="EK20" i="34"/>
  <c r="GP20" i="34"/>
  <c r="FR42" i="37"/>
  <c r="FM42" i="37"/>
  <c r="FL42" i="37"/>
  <c r="FK42" i="37"/>
  <c r="EX42" i="37"/>
  <c r="GJ42" i="37"/>
  <c r="GA42" i="37"/>
  <c r="ET42" i="37"/>
  <c r="GF42" i="37"/>
  <c r="EU42" i="37"/>
  <c r="FY42" i="37"/>
  <c r="FD42" i="37"/>
  <c r="FZ42" i="37"/>
  <c r="GN42" i="37"/>
  <c r="GM42" i="37"/>
  <c r="EL42" i="37"/>
  <c r="GB42" i="37"/>
  <c r="FW42" i="37"/>
  <c r="FQ42" i="37"/>
  <c r="EM42" i="37"/>
  <c r="GG42" i="37"/>
  <c r="EN42" i="37"/>
  <c r="EP42" i="37"/>
  <c r="GI42" i="37"/>
  <c r="FC42" i="37"/>
  <c r="FT42" i="37"/>
  <c r="FB42" i="37"/>
  <c r="GR42" i="37"/>
  <c r="FO42" i="37"/>
  <c r="GK42" i="37"/>
  <c r="ER42" i="37"/>
  <c r="FN42" i="37"/>
  <c r="FH42" i="37"/>
  <c r="FJ42" i="37"/>
  <c r="FX42" i="37"/>
  <c r="FA42" i="37"/>
  <c r="GO42" i="37"/>
  <c r="GH42" i="37"/>
  <c r="FS42" i="37"/>
  <c r="FP42" i="37"/>
  <c r="EO42" i="37"/>
  <c r="EK42" i="37"/>
  <c r="GQ42" i="37"/>
  <c r="GP42" i="37"/>
  <c r="EY42" i="37"/>
  <c r="GL42" i="37"/>
  <c r="EQ42" i="37"/>
  <c r="EV42" i="37"/>
  <c r="ES42" i="37"/>
  <c r="FI42" i="37"/>
  <c r="FE42" i="37"/>
  <c r="FF42" i="37"/>
  <c r="GC42" i="37"/>
  <c r="FG42" i="37"/>
  <c r="GE42" i="37"/>
  <c r="FU42" i="37"/>
  <c r="EW42" i="37"/>
  <c r="FV42" i="37"/>
  <c r="GD42" i="37"/>
  <c r="EZ42" i="37"/>
  <c r="GO48" i="34"/>
  <c r="FH48" i="34"/>
  <c r="GQ38" i="34"/>
  <c r="EU31" i="34"/>
  <c r="ES31" i="34"/>
  <c r="EY31" i="34"/>
  <c r="GO31" i="34"/>
  <c r="EV31" i="34"/>
  <c r="EN31" i="34"/>
  <c r="FO31" i="34"/>
  <c r="EQ31" i="34"/>
  <c r="GC31" i="34"/>
  <c r="FV31" i="34"/>
  <c r="FR31" i="34"/>
  <c r="FX31" i="34"/>
  <c r="EL31" i="34"/>
  <c r="FF31" i="34"/>
  <c r="ET31" i="34"/>
  <c r="FV20" i="34"/>
  <c r="FG20" i="34"/>
  <c r="FI20" i="34"/>
  <c r="GF34" i="34"/>
  <c r="FI34" i="34"/>
  <c r="FK34" i="34"/>
  <c r="FJ34" i="34"/>
  <c r="EM34" i="34"/>
  <c r="EU34" i="34"/>
  <c r="FM34" i="34"/>
  <c r="FW34" i="34"/>
  <c r="FX34" i="34"/>
  <c r="GJ34" i="34"/>
  <c r="FD34" i="34"/>
  <c r="FP34" i="34"/>
  <c r="FS34" i="34"/>
  <c r="GH34" i="34"/>
  <c r="EL34" i="34"/>
  <c r="FP58" i="34"/>
  <c r="FZ58" i="34"/>
  <c r="FV58" i="34"/>
  <c r="GQ29" i="34"/>
  <c r="FP29" i="34"/>
  <c r="GL29" i="34"/>
  <c r="FM29" i="34"/>
  <c r="EK54" i="34"/>
  <c r="FZ54" i="34"/>
  <c r="GQ54" i="34"/>
  <c r="FW9" i="37"/>
  <c r="FR9" i="37"/>
  <c r="FM9" i="37"/>
  <c r="FX9" i="37"/>
  <c r="EU9" i="37"/>
  <c r="FY9" i="37"/>
  <c r="ER9" i="37"/>
  <c r="FZ9" i="37"/>
  <c r="FA9" i="37"/>
  <c r="GA9" i="37"/>
  <c r="EX9" i="37"/>
  <c r="EZ9" i="37"/>
  <c r="GG9" i="37"/>
  <c r="EN9" i="37"/>
  <c r="FS9" i="37"/>
  <c r="EQ9" i="37"/>
  <c r="GC9" i="37"/>
  <c r="FT9" i="37"/>
  <c r="FJ9" i="37"/>
  <c r="FL9" i="37"/>
  <c r="FF9" i="37"/>
  <c r="EV9" i="37"/>
  <c r="FV9" i="37"/>
  <c r="GN9" i="37"/>
  <c r="GL9" i="37"/>
  <c r="EO9" i="37"/>
  <c r="FG9" i="37"/>
  <c r="EL9" i="37"/>
  <c r="GB9" i="37"/>
  <c r="GD9" i="37"/>
  <c r="EK9" i="37"/>
  <c r="EM9" i="37"/>
  <c r="FP9" i="37"/>
  <c r="GP9" i="37"/>
  <c r="ES9" i="37"/>
  <c r="FH9" i="37"/>
  <c r="FN9" i="37"/>
  <c r="FB9" i="37"/>
  <c r="FO9" i="37"/>
  <c r="FK9" i="37"/>
  <c r="FC9" i="37"/>
  <c r="EY9" i="37"/>
  <c r="GR9" i="37"/>
  <c r="EW9" i="37"/>
  <c r="GK9" i="37"/>
  <c r="GM9" i="37"/>
  <c r="FE9" i="37"/>
  <c r="FQ9" i="37"/>
  <c r="GH9" i="37"/>
  <c r="GI9" i="37"/>
  <c r="GE9" i="37"/>
  <c r="GJ9" i="37"/>
  <c r="FD9" i="37"/>
  <c r="ET9" i="37"/>
  <c r="EP9" i="37"/>
  <c r="GO9" i="37"/>
  <c r="FI9" i="37"/>
  <c r="GF9" i="37"/>
  <c r="FU9" i="37"/>
  <c r="GQ9" i="37"/>
  <c r="ER21" i="37"/>
  <c r="EP21" i="37"/>
  <c r="ET21" i="37"/>
  <c r="FQ21" i="37"/>
  <c r="FD21" i="37"/>
  <c r="GP21" i="37"/>
  <c r="FK21" i="37"/>
  <c r="FN21" i="37"/>
  <c r="EU21" i="37"/>
  <c r="GO21" i="37"/>
  <c r="EO16" i="37"/>
  <c r="EN16" i="37"/>
  <c r="GD16" i="37"/>
  <c r="GC16" i="37"/>
  <c r="FH16" i="37"/>
  <c r="FN16" i="37"/>
  <c r="FA16" i="37"/>
  <c r="GM16" i="37"/>
  <c r="GL16" i="37"/>
  <c r="EW16" i="37"/>
  <c r="GI16" i="37"/>
  <c r="FF16" i="37"/>
  <c r="FJ16" i="37"/>
  <c r="GF16" i="37"/>
  <c r="EM16" i="37"/>
  <c r="FE16" i="37"/>
  <c r="FD16" i="37"/>
  <c r="EY16" i="37"/>
  <c r="FR16" i="37"/>
  <c r="GB16" i="37"/>
  <c r="FC16" i="37"/>
  <c r="FY16" i="37"/>
  <c r="EZ16" i="37"/>
  <c r="EX16" i="37"/>
  <c r="FQ16" i="37"/>
  <c r="EV16" i="37"/>
  <c r="GP16" i="37"/>
  <c r="ER16" i="37"/>
  <c r="EP16" i="37"/>
  <c r="FL16" i="37"/>
  <c r="FU16" i="37"/>
  <c r="FO16" i="37"/>
  <c r="EK16" i="37"/>
  <c r="GH16" i="37"/>
  <c r="EU16" i="37"/>
  <c r="FP16" i="37"/>
  <c r="FM16" i="37"/>
  <c r="GG16" i="37"/>
  <c r="GK16" i="37"/>
  <c r="GE16" i="37"/>
  <c r="FI16" i="37"/>
  <c r="ET16" i="37"/>
  <c r="FS16" i="37"/>
  <c r="GN16" i="37"/>
  <c r="EL16" i="37"/>
  <c r="FG16" i="37"/>
  <c r="FV16" i="37"/>
  <c r="FX16" i="37"/>
  <c r="EQ16" i="37"/>
  <c r="GQ16" i="37"/>
  <c r="FZ16" i="37"/>
  <c r="GR16" i="37"/>
  <c r="FK16" i="37"/>
  <c r="GJ16" i="37"/>
  <c r="FB16" i="37"/>
  <c r="ES16" i="37"/>
  <c r="FT16" i="37"/>
  <c r="FW16" i="37"/>
  <c r="GO16" i="37"/>
  <c r="GA16" i="37"/>
  <c r="FO21" i="37"/>
  <c r="EZ21" i="37"/>
  <c r="EM21" i="37"/>
  <c r="FU21" i="37"/>
  <c r="GE21" i="37"/>
  <c r="EX21" i="37"/>
  <c r="EO21" i="37"/>
  <c r="FT21" i="37"/>
  <c r="GN21" i="37"/>
  <c r="FJ21" i="37"/>
  <c r="FV21" i="37"/>
  <c r="EQ21" i="37"/>
  <c r="GN38" i="37"/>
  <c r="GE38" i="37"/>
  <c r="GD38" i="37"/>
  <c r="FR38" i="37"/>
  <c r="EV38" i="37"/>
  <c r="GQ38" i="37"/>
  <c r="GO38" i="37"/>
  <c r="GL38" i="37"/>
  <c r="FJ38" i="37"/>
  <c r="FX38" i="37"/>
  <c r="FI38" i="37"/>
  <c r="FK38" i="37"/>
  <c r="EX23" i="34"/>
  <c r="FT23" i="34"/>
  <c r="FM23" i="34"/>
  <c r="GJ23" i="34"/>
  <c r="EV23" i="34"/>
  <c r="GE23" i="34"/>
  <c r="FE23" i="34"/>
  <c r="FY23" i="34"/>
  <c r="GQ23" i="34"/>
  <c r="FF23" i="34"/>
  <c r="EY23" i="34"/>
  <c r="EO23" i="34"/>
  <c r="FB23" i="34"/>
  <c r="FX23" i="34"/>
  <c r="GF23" i="34"/>
  <c r="ET23" i="34"/>
  <c r="GI23" i="34"/>
  <c r="EK23" i="34"/>
  <c r="FA23" i="34"/>
  <c r="GA23" i="34"/>
  <c r="GC23" i="34"/>
  <c r="FP23" i="34"/>
  <c r="GL23" i="34"/>
  <c r="GB23" i="34"/>
  <c r="FZ23" i="34"/>
  <c r="FJ23" i="34"/>
  <c r="FD23" i="34"/>
  <c r="FW23" i="34"/>
  <c r="FC23" i="34"/>
  <c r="FQ23" i="34"/>
  <c r="GH23" i="34"/>
  <c r="GO23" i="34"/>
  <c r="GR23" i="34"/>
  <c r="EU23" i="34"/>
  <c r="FO23" i="34"/>
  <c r="GP23" i="34"/>
  <c r="EZ23" i="34"/>
  <c r="FR23" i="34"/>
  <c r="FK23" i="34"/>
  <c r="EQ23" i="34"/>
  <c r="FH23" i="34"/>
  <c r="ES23" i="34"/>
  <c r="GD23" i="34"/>
  <c r="FN23" i="34"/>
  <c r="EL23" i="34"/>
  <c r="EW23" i="34"/>
  <c r="EM23" i="34"/>
  <c r="GG23" i="34"/>
  <c r="GM23" i="34"/>
  <c r="FG23" i="34"/>
  <c r="FS23" i="34"/>
  <c r="EN23" i="34"/>
  <c r="FI23" i="34"/>
  <c r="EP23" i="34"/>
  <c r="FV23" i="34"/>
  <c r="ER23" i="34"/>
  <c r="FL23" i="34"/>
  <c r="GK23" i="34"/>
  <c r="GN23" i="34"/>
  <c r="FU23" i="34"/>
  <c r="ET19" i="37"/>
  <c r="EU19" i="37"/>
  <c r="GI19" i="37"/>
  <c r="FC19" i="37"/>
  <c r="GC19" i="37"/>
  <c r="EW19" i="37"/>
  <c r="GE19" i="37"/>
  <c r="EO19" i="37"/>
  <c r="EM19" i="37"/>
  <c r="GM19" i="37"/>
  <c r="FZ19" i="37"/>
  <c r="GN19" i="37"/>
  <c r="EX19" i="37"/>
  <c r="ER19" i="37"/>
  <c r="FT19" i="37"/>
  <c r="EL19" i="37"/>
  <c r="EK19" i="37"/>
  <c r="FG19" i="37"/>
  <c r="FK19" i="37"/>
  <c r="GQ19" i="37"/>
  <c r="FM19" i="37"/>
  <c r="FL19" i="37"/>
  <c r="EQ19" i="37"/>
  <c r="GR19" i="37"/>
  <c r="FV19" i="37"/>
  <c r="FO19" i="37"/>
  <c r="EV19" i="37"/>
  <c r="EZ19" i="37"/>
  <c r="GK19" i="37"/>
  <c r="GP19" i="37"/>
  <c r="GA19" i="37"/>
  <c r="FN19" i="37"/>
  <c r="FA19" i="37"/>
  <c r="FI19" i="37"/>
  <c r="ES19" i="37"/>
  <c r="FF19" i="37"/>
  <c r="FH19" i="37"/>
  <c r="GB19" i="37"/>
  <c r="FP19" i="37"/>
  <c r="FR19" i="37"/>
  <c r="FW19" i="37"/>
  <c r="GL19" i="37"/>
  <c r="EY19" i="37"/>
  <c r="FJ19" i="37"/>
  <c r="FU19" i="37"/>
  <c r="FE19" i="37"/>
  <c r="FX19" i="37"/>
  <c r="FQ19" i="37"/>
  <c r="EP19" i="37"/>
  <c r="GO19" i="37"/>
  <c r="EN19" i="37"/>
  <c r="GD19" i="37"/>
  <c r="FS19" i="37"/>
  <c r="GG19" i="37"/>
  <c r="GJ19" i="37"/>
  <c r="FY19" i="37"/>
  <c r="GF19" i="37"/>
  <c r="FD19" i="37"/>
  <c r="FB19" i="37"/>
  <c r="GH19" i="37"/>
  <c r="EU48" i="34"/>
  <c r="GH48" i="34"/>
  <c r="FD42" i="34"/>
  <c r="FW48" i="34"/>
  <c r="EU29" i="37"/>
  <c r="EM29" i="37"/>
  <c r="FW21" i="37"/>
  <c r="GB21" i="37"/>
  <c r="FA21" i="37"/>
  <c r="GG48" i="34"/>
  <c r="FG5" i="37"/>
  <c r="GO5" i="37"/>
  <c r="FA5" i="37"/>
  <c r="GG5" i="37"/>
  <c r="FR5" i="37"/>
  <c r="GH5" i="37"/>
  <c r="FQ5" i="37"/>
  <c r="ET5" i="37"/>
  <c r="FI5" i="37"/>
  <c r="EX38" i="37"/>
  <c r="FB38" i="37"/>
  <c r="EM47" i="37"/>
  <c r="EO47" i="37"/>
  <c r="FU47" i="37"/>
  <c r="GF47" i="37"/>
  <c r="EP47" i="37"/>
  <c r="ET47" i="37"/>
  <c r="GB47" i="37"/>
  <c r="FC47" i="37"/>
  <c r="FW47" i="37"/>
  <c r="GG47" i="37"/>
  <c r="EV47" i="37"/>
  <c r="FK47" i="37"/>
  <c r="ER47" i="37"/>
  <c r="FA47" i="37"/>
  <c r="EL47" i="37"/>
  <c r="GP47" i="37"/>
  <c r="EY47" i="37"/>
  <c r="FI47" i="37"/>
  <c r="GO47" i="37"/>
  <c r="GN47" i="37"/>
  <c r="FY47" i="37"/>
  <c r="GE47" i="37"/>
  <c r="FF47" i="37"/>
  <c r="EU47" i="37"/>
  <c r="GM47" i="37"/>
  <c r="FN47" i="37"/>
  <c r="FG47" i="37"/>
  <c r="GH47" i="37"/>
  <c r="FE47" i="37"/>
  <c r="GC47" i="37"/>
  <c r="FX47" i="37"/>
  <c r="FZ47" i="37"/>
  <c r="FH47" i="37"/>
  <c r="GA47" i="37"/>
  <c r="FV47" i="37"/>
  <c r="GI47" i="37"/>
  <c r="ES47" i="37"/>
  <c r="FS47" i="37"/>
  <c r="EK47" i="37"/>
  <c r="GR47" i="37"/>
  <c r="GL47" i="37"/>
  <c r="FB47" i="37"/>
  <c r="FJ47" i="37"/>
  <c r="FR47" i="37"/>
  <c r="GJ47" i="37"/>
  <c r="FD47" i="37"/>
  <c r="FP47" i="37"/>
  <c r="GK47" i="37"/>
  <c r="EW47" i="37"/>
  <c r="GQ47" i="37"/>
  <c r="FT47" i="37"/>
  <c r="FL47" i="37"/>
  <c r="EX47" i="37"/>
  <c r="GD47" i="37"/>
  <c r="FO47" i="37"/>
  <c r="FM47" i="37"/>
  <c r="EZ47" i="37"/>
  <c r="FQ47" i="37"/>
  <c r="EN47" i="37"/>
  <c r="EQ47" i="37"/>
  <c r="EU5" i="37"/>
  <c r="FE48" i="34"/>
  <c r="GT11" i="37"/>
  <c r="GG11" i="37"/>
  <c r="GH11" i="37"/>
  <c r="GI11" i="37"/>
  <c r="ES11" i="37"/>
  <c r="EZ11" i="37"/>
  <c r="EN11" i="37"/>
  <c r="FH11" i="37"/>
  <c r="GN11" i="37"/>
  <c r="GK11" i="37"/>
  <c r="EP11" i="37"/>
  <c r="EQ11" i="37"/>
  <c r="GB11" i="37"/>
  <c r="FI11" i="37"/>
  <c r="FU11" i="37"/>
  <c r="FK11" i="37"/>
  <c r="GC11" i="37"/>
  <c r="GD11" i="37"/>
  <c r="EV11" i="37"/>
  <c r="EU11" i="37"/>
  <c r="FM11" i="37"/>
  <c r="FN11" i="37"/>
  <c r="ER11" i="37"/>
  <c r="EN27" i="37"/>
  <c r="GP27" i="37"/>
  <c r="FU27" i="37"/>
  <c r="GF27" i="37"/>
  <c r="GA27" i="37"/>
  <c r="FV27" i="37"/>
  <c r="FA27" i="37"/>
  <c r="GB27" i="37"/>
  <c r="FW27" i="37"/>
  <c r="FR27" i="37"/>
  <c r="EK27" i="37"/>
  <c r="FC27" i="37"/>
  <c r="GK27" i="37"/>
  <c r="GG27" i="37"/>
  <c r="FM27" i="37"/>
  <c r="GE27" i="37"/>
  <c r="FJ27" i="37"/>
  <c r="EW27" i="37"/>
  <c r="FK27" i="37"/>
  <c r="EP27" i="37"/>
  <c r="GR27" i="37"/>
  <c r="FG27" i="37"/>
  <c r="EL27" i="37"/>
  <c r="FH27" i="37"/>
  <c r="GN27" i="37"/>
  <c r="FS27" i="37"/>
  <c r="FD27" i="37"/>
  <c r="FZ27" i="37"/>
  <c r="FY27" i="37"/>
  <c r="GQ27" i="37"/>
  <c r="FF27" i="37"/>
  <c r="GC27" i="37"/>
  <c r="GM27" i="37"/>
  <c r="FB27" i="37"/>
  <c r="GO27" i="37"/>
  <c r="EM27" i="37"/>
  <c r="FX27" i="37"/>
  <c r="EY27" i="37"/>
  <c r="EZ27" i="37"/>
  <c r="FI27" i="37"/>
  <c r="GH27" i="37"/>
  <c r="ER27" i="37"/>
  <c r="EU27" i="37"/>
  <c r="GI27" i="37"/>
  <c r="FQ27" i="37"/>
  <c r="EV27" i="37"/>
  <c r="GD27" i="37"/>
  <c r="FO27" i="37"/>
  <c r="FP27" i="37"/>
  <c r="FE27" i="37"/>
  <c r="EQ27" i="37"/>
  <c r="EX27" i="37"/>
  <c r="FN27" i="37"/>
  <c r="GJ27" i="37"/>
  <c r="ET27" i="37"/>
  <c r="FL27" i="37"/>
  <c r="EO27" i="37"/>
  <c r="FT27" i="37"/>
  <c r="GL27" i="37"/>
  <c r="ES27" i="37"/>
  <c r="GN20" i="34"/>
  <c r="FB34" i="34"/>
  <c r="FG34" i="34"/>
  <c r="EK34" i="34"/>
  <c r="ER34" i="34"/>
  <c r="FE34" i="34"/>
  <c r="GI34" i="34"/>
  <c r="EO34" i="34"/>
  <c r="FI21" i="37"/>
  <c r="EO29" i="34"/>
  <c r="FH29" i="34"/>
  <c r="FU20" i="34"/>
  <c r="FU63" i="34"/>
  <c r="EK48" i="34"/>
  <c r="GM48" i="34"/>
  <c r="GJ48" i="34"/>
  <c r="FJ48" i="34"/>
  <c r="EQ48" i="34"/>
  <c r="GA38" i="37"/>
  <c r="GG38" i="37"/>
  <c r="GL44" i="37"/>
  <c r="FF25" i="37"/>
  <c r="GB25" i="37"/>
  <c r="GP11" i="37"/>
  <c r="FX11" i="37"/>
  <c r="GR11" i="37"/>
  <c r="EO5" i="37"/>
  <c r="EL5" i="37"/>
  <c r="GN5" i="37"/>
  <c r="EX5" i="37"/>
  <c r="GN25" i="37"/>
  <c r="EM44" i="37"/>
  <c r="ER44" i="37"/>
  <c r="FL44" i="37"/>
  <c r="EX18" i="37"/>
  <c r="FT18" i="37"/>
  <c r="FW18" i="37"/>
  <c r="FO11" i="37"/>
  <c r="GE11" i="37"/>
  <c r="EL21" i="37"/>
  <c r="GK21" i="37"/>
  <c r="EY21" i="37"/>
  <c r="FC21" i="37"/>
  <c r="FL21" i="37"/>
  <c r="FF21" i="37"/>
  <c r="GQ21" i="37"/>
  <c r="FR21" i="37"/>
  <c r="GI21" i="37"/>
  <c r="GM21" i="37"/>
  <c r="GH21" i="37"/>
  <c r="EN38" i="37"/>
  <c r="EZ29" i="34"/>
  <c r="EM20" i="34"/>
  <c r="GE20" i="34"/>
  <c r="FB26" i="37"/>
  <c r="GA26" i="37"/>
  <c r="GM26" i="37"/>
  <c r="ER26" i="37"/>
  <c r="FG26" i="37"/>
  <c r="EO26" i="37"/>
  <c r="FP38" i="37"/>
  <c r="FV38" i="37"/>
  <c r="EP38" i="37"/>
  <c r="FU38" i="37"/>
  <c r="FC38" i="37"/>
  <c r="ER48" i="34"/>
  <c r="GK29" i="34"/>
  <c r="EU20" i="34"/>
  <c r="EY20" i="34"/>
  <c r="GB44" i="37"/>
  <c r="FH44" i="37"/>
  <c r="FS44" i="37"/>
  <c r="GP5" i="37"/>
  <c r="FK5" i="37"/>
  <c r="FE5" i="37"/>
  <c r="FX21" i="37"/>
  <c r="FO38" i="37"/>
  <c r="FV26" i="37"/>
  <c r="FC48" i="34"/>
  <c r="FL48" i="34"/>
  <c r="FJ29" i="34"/>
  <c r="GC29" i="34"/>
  <c r="EV29" i="34"/>
  <c r="GB29" i="34"/>
  <c r="FF20" i="34"/>
  <c r="FH20" i="34"/>
  <c r="EQ20" i="34"/>
  <c r="GO20" i="34"/>
  <c r="EM48" i="34"/>
  <c r="FL29" i="34"/>
  <c r="EL29" i="34"/>
  <c r="FY20" i="34"/>
  <c r="GK20" i="34"/>
  <c r="FE40" i="37"/>
  <c r="FH40" i="37"/>
  <c r="GI40" i="37"/>
  <c r="FS40" i="37"/>
  <c r="GT40" i="37"/>
  <c r="FL40" i="37"/>
  <c r="EQ26" i="37"/>
  <c r="EU26" i="37"/>
  <c r="EL26" i="37"/>
  <c r="ES26" i="37"/>
  <c r="FX26" i="37"/>
  <c r="GF40" i="37"/>
  <c r="GK40" i="37"/>
  <c r="FD26" i="37"/>
  <c r="EL48" i="34"/>
  <c r="FT29" i="34"/>
  <c r="FX29" i="34"/>
  <c r="FD20" i="34"/>
  <c r="FS20" i="34"/>
  <c r="GH33" i="37"/>
  <c r="GF33" i="37"/>
  <c r="FI33" i="37"/>
  <c r="EW33" i="37"/>
  <c r="FN33" i="37"/>
  <c r="ER33" i="37"/>
  <c r="FE33" i="37"/>
  <c r="EP33" i="37"/>
  <c r="FA33" i="37"/>
  <c r="FK33" i="37"/>
  <c r="FX33" i="37"/>
  <c r="FO33" i="37"/>
  <c r="FV33" i="37"/>
  <c r="FY33" i="37"/>
  <c r="EM33" i="37"/>
  <c r="EL33" i="37"/>
  <c r="GM33" i="37"/>
  <c r="EU33" i="37"/>
  <c r="FL33" i="37"/>
  <c r="FS33" i="37"/>
  <c r="FH33" i="37"/>
  <c r="EO33" i="37"/>
  <c r="FD33" i="37"/>
  <c r="GQ33" i="37"/>
  <c r="EX33" i="37"/>
  <c r="GP33" i="37"/>
  <c r="FB33" i="37"/>
  <c r="GO33" i="37"/>
  <c r="GA33" i="37"/>
  <c r="GJ33" i="37"/>
  <c r="EQ33" i="37"/>
  <c r="GB33" i="37"/>
  <c r="GK33" i="37"/>
  <c r="GR33" i="37"/>
  <c r="FU33" i="37"/>
  <c r="FM33" i="37"/>
  <c r="EK33" i="37"/>
  <c r="EZ33" i="37"/>
  <c r="ET33" i="37"/>
  <c r="FJ33" i="37"/>
  <c r="FF33" i="37"/>
  <c r="EV33" i="37"/>
  <c r="EY33" i="37"/>
  <c r="EN33" i="37"/>
  <c r="GI33" i="37"/>
  <c r="GC33" i="37"/>
  <c r="ES33" i="37"/>
  <c r="FP33" i="37"/>
  <c r="GL33" i="37"/>
  <c r="GD33" i="37"/>
  <c r="FZ33" i="37"/>
  <c r="FC33" i="37"/>
  <c r="FT33" i="37"/>
  <c r="FG33" i="37"/>
  <c r="FQ33" i="37"/>
  <c r="GG33" i="37"/>
  <c r="FR33" i="37"/>
  <c r="GE33" i="37"/>
  <c r="FW33" i="37"/>
  <c r="GN33" i="37"/>
  <c r="GK18" i="37"/>
  <c r="FS31" i="34"/>
  <c r="GM31" i="34"/>
  <c r="GR31" i="34"/>
  <c r="GP31" i="34"/>
  <c r="GJ31" i="34"/>
  <c r="EM31" i="34"/>
  <c r="FC31" i="34"/>
  <c r="EZ31" i="34"/>
  <c r="GI31" i="34"/>
  <c r="FQ31" i="34"/>
  <c r="FU31" i="34"/>
  <c r="FD31" i="34"/>
  <c r="FH31" i="34"/>
  <c r="FG31" i="34"/>
  <c r="FA20" i="34"/>
  <c r="EO20" i="34"/>
  <c r="GR20" i="34"/>
  <c r="FX20" i="34"/>
  <c r="GE34" i="34"/>
  <c r="EP34" i="34"/>
  <c r="FQ34" i="34"/>
  <c r="FC34" i="34"/>
  <c r="GG34" i="34"/>
  <c r="FY34" i="34"/>
  <c r="FO34" i="34"/>
  <c r="GC34" i="34"/>
  <c r="FT34" i="34"/>
  <c r="FR34" i="34"/>
  <c r="ET34" i="34"/>
  <c r="EQ34" i="34"/>
  <c r="GL34" i="34"/>
  <c r="GP34" i="34"/>
  <c r="EQ54" i="34"/>
  <c r="GA62" i="34"/>
  <c r="EL62" i="34"/>
  <c r="FD62" i="34"/>
  <c r="EZ62" i="34"/>
  <c r="FL62" i="34"/>
  <c r="EK62" i="34"/>
  <c r="EO62" i="34"/>
  <c r="EN62" i="34"/>
  <c r="GB62" i="34"/>
  <c r="FF62" i="34"/>
  <c r="EY62" i="34"/>
  <c r="FI62" i="34"/>
  <c r="FF29" i="34"/>
  <c r="ER29" i="34"/>
  <c r="FO54" i="34"/>
  <c r="GI54" i="34"/>
  <c r="FV60" i="34"/>
  <c r="FL60" i="34"/>
  <c r="EN60" i="34"/>
  <c r="EO60" i="34"/>
  <c r="GN60" i="34"/>
  <c r="GH60" i="34"/>
  <c r="GO60" i="34"/>
  <c r="GF60" i="34"/>
  <c r="GQ60" i="34"/>
  <c r="GA60" i="34"/>
  <c r="GG60" i="34"/>
  <c r="GR60" i="34"/>
  <c r="EU60" i="34"/>
  <c r="EQ60" i="34"/>
  <c r="FS60" i="34"/>
  <c r="FF60" i="34"/>
  <c r="GJ60" i="34"/>
  <c r="FN60" i="34"/>
  <c r="FZ60" i="34"/>
  <c r="ER60" i="34"/>
  <c r="EM60" i="34"/>
  <c r="FP60" i="34"/>
  <c r="FK60" i="34"/>
  <c r="GM60" i="34"/>
  <c r="FU60" i="34"/>
  <c r="FQ60" i="34"/>
  <c r="EW60" i="34"/>
  <c r="FE60" i="34"/>
  <c r="FM60" i="34"/>
  <c r="FG60" i="34"/>
  <c r="FR60" i="34"/>
  <c r="EY60" i="34"/>
  <c r="GP60" i="34"/>
  <c r="EK60" i="34"/>
  <c r="FH60" i="34"/>
  <c r="GD60" i="34"/>
  <c r="EP60" i="34"/>
  <c r="GB60" i="34"/>
  <c r="ET60" i="34"/>
  <c r="FO60" i="34"/>
  <c r="FW60" i="34"/>
  <c r="GL60" i="34"/>
  <c r="FT60" i="34"/>
  <c r="FB60" i="34"/>
  <c r="EZ60" i="34"/>
  <c r="FX60" i="34"/>
  <c r="FJ60" i="34"/>
  <c r="FC60" i="34"/>
  <c r="GI60" i="34"/>
  <c r="FD60" i="34"/>
  <c r="ES60" i="34"/>
  <c r="EL60" i="34"/>
  <c r="FY60" i="34"/>
  <c r="EV60" i="34"/>
  <c r="GE60" i="34"/>
  <c r="GK60" i="34"/>
  <c r="FA60" i="34"/>
  <c r="EX60" i="34"/>
  <c r="FI60" i="34"/>
  <c r="GC60" i="34"/>
  <c r="ET46" i="34"/>
  <c r="GK46" i="34"/>
  <c r="FF46" i="34"/>
  <c r="FW46" i="34"/>
  <c r="GD46" i="34"/>
  <c r="EM46" i="34"/>
  <c r="FE46" i="34"/>
  <c r="FR46" i="34"/>
  <c r="FG46" i="34"/>
  <c r="EY46" i="34"/>
  <c r="EQ46" i="34"/>
  <c r="FP46" i="34"/>
  <c r="FC46" i="34"/>
  <c r="EW46" i="34"/>
  <c r="FH46" i="34"/>
  <c r="FU46" i="34"/>
  <c r="GC46" i="34"/>
  <c r="EL46" i="34"/>
  <c r="GP46" i="34"/>
  <c r="FK46" i="34"/>
  <c r="GQ46" i="34"/>
  <c r="FV46" i="34"/>
  <c r="FN46" i="34"/>
  <c r="FT46" i="34"/>
  <c r="EX46" i="34"/>
  <c r="FD46" i="34"/>
  <c r="EK46" i="34"/>
  <c r="EV46" i="34"/>
  <c r="GN46" i="34"/>
  <c r="ER46" i="34"/>
  <c r="GA46" i="34"/>
  <c r="FX46" i="34"/>
  <c r="GR46" i="34"/>
  <c r="EZ55" i="34"/>
  <c r="EQ55" i="34"/>
  <c r="FY55" i="34"/>
  <c r="GO55" i="34"/>
  <c r="FF55" i="34"/>
  <c r="EU55" i="34"/>
  <c r="GC55" i="34"/>
  <c r="ER55" i="34"/>
  <c r="FE55" i="34"/>
  <c r="FR55" i="34"/>
  <c r="EL55" i="34"/>
  <c r="GQ55" i="34"/>
  <c r="FO55" i="34"/>
  <c r="EX55" i="34"/>
  <c r="EM55" i="34"/>
  <c r="FS55" i="34"/>
  <c r="EN55" i="34"/>
  <c r="GL55" i="34"/>
  <c r="FJ55" i="34"/>
  <c r="GE55" i="34"/>
  <c r="EP55" i="34"/>
  <c r="GG55" i="34"/>
  <c r="FI55" i="34"/>
  <c r="EO55" i="34"/>
  <c r="FW55" i="34"/>
  <c r="FQ55" i="34"/>
  <c r="FP55" i="34"/>
  <c r="FH55" i="34"/>
  <c r="GN55" i="34"/>
  <c r="GI55" i="34"/>
  <c r="FA55" i="34"/>
  <c r="EV55" i="34"/>
  <c r="GD55" i="34"/>
  <c r="EY55" i="34"/>
  <c r="FC55" i="34"/>
  <c r="GP55" i="34"/>
  <c r="FD55" i="34"/>
  <c r="GB55" i="34"/>
  <c r="FX55" i="34"/>
  <c r="GR55" i="34"/>
  <c r="FZ55" i="34"/>
  <c r="GH55" i="34"/>
  <c r="FG55" i="34"/>
  <c r="GM55" i="34"/>
  <c r="GA55" i="34"/>
  <c r="ET55" i="34"/>
  <c r="FL55" i="34"/>
  <c r="FB55" i="34"/>
  <c r="GF55" i="34"/>
  <c r="EK55" i="34"/>
  <c r="EW55" i="34"/>
  <c r="ES55" i="34"/>
  <c r="FK55" i="34"/>
  <c r="GJ55" i="34"/>
  <c r="FV55" i="34"/>
  <c r="GK55" i="34"/>
  <c r="FN55" i="34"/>
  <c r="FM55" i="34"/>
  <c r="FU55" i="34"/>
  <c r="FT55" i="34"/>
  <c r="FM27" i="34"/>
  <c r="EP27" i="34"/>
  <c r="GR27" i="34"/>
  <c r="FJ27" i="34"/>
  <c r="EX27" i="34"/>
  <c r="EY27" i="34"/>
  <c r="GP27" i="34"/>
  <c r="GL27" i="34"/>
  <c r="FN27" i="34"/>
  <c r="GH27" i="34"/>
  <c r="GM27" i="34"/>
  <c r="FU27" i="34"/>
  <c r="GA27" i="34"/>
  <c r="GQ27" i="34"/>
  <c r="GG27" i="34"/>
  <c r="FR27" i="34"/>
  <c r="EN27" i="34"/>
  <c r="GF27" i="34"/>
  <c r="FT27" i="34"/>
  <c r="FV27" i="34"/>
  <c r="GJ27" i="34"/>
  <c r="GB27" i="34"/>
  <c r="FA27" i="34"/>
  <c r="ER27" i="34"/>
  <c r="GI27" i="34"/>
  <c r="FB27" i="34"/>
  <c r="FH27" i="34"/>
  <c r="FZ27" i="34"/>
  <c r="EZ27" i="34"/>
  <c r="EU27" i="34"/>
  <c r="FX27" i="34"/>
  <c r="ET27" i="34"/>
  <c r="EV27" i="34"/>
  <c r="FF27" i="34"/>
  <c r="GD27" i="34"/>
  <c r="FP27" i="34"/>
  <c r="GE27" i="34"/>
  <c r="GO27" i="34"/>
  <c r="EL27" i="34"/>
  <c r="FC27" i="34"/>
  <c r="FO27" i="34"/>
  <c r="FS27" i="34"/>
  <c r="FK27" i="34"/>
  <c r="FY27" i="34"/>
  <c r="FQ27" i="34"/>
  <c r="FW27" i="34"/>
  <c r="EQ27" i="34"/>
  <c r="EW27" i="34"/>
  <c r="FG27" i="34"/>
  <c r="GK27" i="34"/>
  <c r="FI27" i="34"/>
  <c r="GN27" i="34"/>
  <c r="FE27" i="34"/>
  <c r="ES27" i="34"/>
  <c r="FL27" i="34"/>
  <c r="GC27" i="34"/>
  <c r="EO27" i="34"/>
  <c r="FD27" i="34"/>
  <c r="EK27" i="34"/>
  <c r="EM27" i="34"/>
  <c r="FY40" i="34"/>
  <c r="EM40" i="34"/>
  <c r="GJ40" i="34"/>
  <c r="GF40" i="34"/>
  <c r="EQ40" i="34"/>
  <c r="FZ40" i="34"/>
  <c r="FP40" i="34"/>
  <c r="EW40" i="34"/>
  <c r="FV40" i="34"/>
  <c r="GP40" i="34"/>
  <c r="FN40" i="34"/>
  <c r="ES40" i="34"/>
  <c r="EN40" i="34"/>
  <c r="FM40" i="34"/>
  <c r="FT40" i="34"/>
  <c r="FQ40" i="34"/>
  <c r="EU40" i="34"/>
  <c r="FJ40" i="34"/>
  <c r="FO40" i="34"/>
  <c r="GG40" i="34"/>
  <c r="EL40" i="34"/>
  <c r="FK40" i="34"/>
  <c r="FS40" i="34"/>
  <c r="EZ40" i="34"/>
  <c r="FA40" i="34"/>
  <c r="EX40" i="34"/>
  <c r="GE40" i="34"/>
  <c r="GI40" i="34"/>
  <c r="FB40" i="34"/>
  <c r="GM40" i="34"/>
  <c r="FL40" i="34"/>
  <c r="FC40" i="34"/>
  <c r="EY40" i="34"/>
  <c r="FR40" i="34"/>
  <c r="FW40" i="34"/>
  <c r="GL40" i="34"/>
  <c r="GH40" i="34"/>
  <c r="FU40" i="34"/>
  <c r="GK40" i="34"/>
  <c r="GO40" i="34"/>
  <c r="GN40" i="34"/>
  <c r="FH40" i="34"/>
  <c r="EP40" i="34"/>
  <c r="EO40" i="34"/>
  <c r="FF40" i="34"/>
  <c r="FE40" i="34"/>
  <c r="ER40" i="34"/>
  <c r="GR40" i="34"/>
  <c r="FX40" i="34"/>
  <c r="GC40" i="34"/>
  <c r="FD40" i="34"/>
  <c r="GQ40" i="34"/>
  <c r="EK40" i="34"/>
  <c r="FG40" i="34"/>
  <c r="GD40" i="34"/>
  <c r="EV40" i="34"/>
  <c r="FI40" i="34"/>
  <c r="GA40" i="34"/>
  <c r="GB40" i="34"/>
  <c r="ET40" i="34"/>
  <c r="FL46" i="34"/>
  <c r="EU46" i="34"/>
  <c r="GF46" i="34"/>
  <c r="EO46" i="34"/>
  <c r="EZ46" i="34"/>
  <c r="GJ46" i="34"/>
  <c r="GL46" i="34"/>
  <c r="EY37" i="34"/>
  <c r="FF37" i="34"/>
  <c r="FN37" i="34"/>
  <c r="ET37" i="34"/>
  <c r="FP37" i="34"/>
  <c r="FS37" i="34"/>
  <c r="FE37" i="34"/>
  <c r="FQ37" i="34"/>
  <c r="FR37" i="34"/>
  <c r="FM37" i="34"/>
  <c r="GF37" i="34"/>
  <c r="FY37" i="34"/>
  <c r="FT37" i="34"/>
  <c r="GQ37" i="34"/>
  <c r="EN37" i="34"/>
  <c r="EU37" i="34"/>
  <c r="GK37" i="34"/>
  <c r="GA37" i="34"/>
  <c r="EM37" i="34"/>
  <c r="FL37" i="34"/>
  <c r="GG37" i="34"/>
  <c r="GD37" i="34"/>
  <c r="ER37" i="34"/>
  <c r="EX37" i="34"/>
  <c r="ES37" i="34"/>
  <c r="FI37" i="34"/>
  <c r="FD37" i="34"/>
  <c r="GL37" i="34"/>
  <c r="EV37" i="34"/>
  <c r="GC37" i="34"/>
  <c r="EL37" i="34"/>
  <c r="GM37" i="34"/>
  <c r="EP37" i="34"/>
  <c r="EO37" i="34"/>
  <c r="FH37" i="34"/>
  <c r="FC37" i="34"/>
  <c r="GP37" i="34"/>
  <c r="FX37" i="34"/>
  <c r="FB37" i="34"/>
  <c r="FZ37" i="34"/>
  <c r="FK37" i="34"/>
  <c r="FA37" i="34"/>
  <c r="GJ37" i="34"/>
  <c r="FO37" i="34"/>
  <c r="EQ37" i="34"/>
  <c r="EW37" i="34"/>
  <c r="FV37" i="34"/>
  <c r="GH37" i="34"/>
  <c r="GR37" i="34"/>
  <c r="FU37" i="34"/>
  <c r="FW37" i="34"/>
  <c r="FG37" i="34"/>
  <c r="FJ37" i="34"/>
  <c r="GE37" i="34"/>
  <c r="EK37" i="34"/>
  <c r="GB37" i="34"/>
  <c r="GN37" i="34"/>
  <c r="EZ37" i="34"/>
  <c r="GI37" i="34"/>
  <c r="GO37" i="34"/>
  <c r="FP32" i="34"/>
  <c r="FM32" i="34"/>
  <c r="FW32" i="34"/>
  <c r="EQ32" i="34"/>
  <c r="FV32" i="34"/>
  <c r="EY32" i="34"/>
  <c r="GG32" i="34"/>
  <c r="EK32" i="34"/>
  <c r="GO32" i="34"/>
  <c r="ET32" i="34"/>
  <c r="EN32" i="34"/>
  <c r="EX32" i="34"/>
  <c r="GD32" i="34"/>
  <c r="EM32" i="34"/>
  <c r="FJ32" i="34"/>
  <c r="GJ32" i="34"/>
  <c r="FR32" i="34"/>
  <c r="FE32" i="34"/>
  <c r="GA32" i="34"/>
  <c r="FB32" i="34"/>
  <c r="GQ32" i="34"/>
  <c r="EU32" i="34"/>
  <c r="FF32" i="34"/>
  <c r="EO32" i="34"/>
  <c r="EL32" i="34"/>
  <c r="GF32" i="34"/>
  <c r="FO32" i="34"/>
  <c r="FU32" i="34"/>
  <c r="FS32" i="34"/>
  <c r="FI32" i="34"/>
  <c r="FN32" i="34"/>
  <c r="FT32" i="34"/>
  <c r="GB32" i="34"/>
  <c r="EW32" i="34"/>
  <c r="FG32" i="34"/>
  <c r="FY32" i="34"/>
  <c r="EP32" i="34"/>
  <c r="GH32" i="34"/>
  <c r="GI32" i="34"/>
  <c r="GE32" i="34"/>
  <c r="FH32" i="34"/>
  <c r="FX32" i="34"/>
  <c r="EV32" i="34"/>
  <c r="ER32" i="34"/>
  <c r="FA32" i="34"/>
  <c r="FD32" i="34"/>
  <c r="EZ32" i="34"/>
  <c r="GP32" i="34"/>
  <c r="GK32" i="34"/>
  <c r="FQ32" i="34"/>
  <c r="GR32" i="34"/>
  <c r="GM32" i="34"/>
  <c r="FZ32" i="34"/>
  <c r="FC32" i="34"/>
  <c r="ES32" i="34"/>
  <c r="GC32" i="34"/>
  <c r="GL32" i="34"/>
  <c r="FK32" i="34"/>
  <c r="FL32" i="34"/>
  <c r="GN32" i="34"/>
  <c r="GH46" i="34"/>
  <c r="GT26" i="34"/>
  <c r="FB26" i="34"/>
  <c r="FY26" i="34"/>
  <c r="FH26" i="34"/>
  <c r="EP26" i="34"/>
  <c r="ER26" i="34"/>
  <c r="EX26" i="34"/>
  <c r="GD26" i="34"/>
  <c r="FC26" i="34"/>
  <c r="FT26" i="34"/>
  <c r="GE26" i="34"/>
  <c r="EM26" i="34"/>
  <c r="GP26" i="34"/>
  <c r="GR26" i="34"/>
  <c r="EN26" i="34"/>
  <c r="EQ26" i="34"/>
  <c r="FX26" i="34"/>
  <c r="FE26" i="34"/>
  <c r="GB26" i="34"/>
  <c r="FQ26" i="34"/>
  <c r="FW26" i="34"/>
  <c r="EZ26" i="34"/>
  <c r="FJ26" i="34"/>
  <c r="GM26" i="34"/>
  <c r="FA26" i="34"/>
  <c r="FZ26" i="34"/>
  <c r="EY26" i="34"/>
  <c r="FU26" i="34"/>
  <c r="EU26" i="34"/>
  <c r="EL26" i="34"/>
  <c r="FO26" i="34"/>
  <c r="GF26" i="34"/>
  <c r="ES26" i="34"/>
  <c r="GL26" i="34"/>
  <c r="FI26" i="34"/>
  <c r="FL26" i="34"/>
  <c r="ET26" i="34"/>
  <c r="FM26" i="34"/>
  <c r="FN26" i="34"/>
  <c r="EV26" i="34"/>
  <c r="FK26" i="34"/>
  <c r="GI26" i="34"/>
  <c r="FV26" i="34"/>
  <c r="GN26" i="34"/>
  <c r="FF26" i="34"/>
  <c r="GA26" i="34"/>
  <c r="GG26" i="34"/>
  <c r="FR26" i="34"/>
  <c r="GQ26" i="34"/>
  <c r="GH26" i="34"/>
  <c r="GC26" i="34"/>
  <c r="FD26" i="34"/>
  <c r="EK26" i="34"/>
  <c r="EO26" i="34"/>
  <c r="GO26" i="34"/>
  <c r="GK26" i="34"/>
  <c r="EW26" i="34"/>
  <c r="FG26" i="34"/>
  <c r="FP26" i="34"/>
  <c r="GJ26" i="34"/>
  <c r="FS26" i="34"/>
  <c r="GI25" i="34"/>
  <c r="EM25" i="34"/>
  <c r="GN25" i="34"/>
  <c r="GL25" i="34"/>
  <c r="FG25" i="34"/>
  <c r="GO25" i="34"/>
  <c r="FY25" i="34"/>
  <c r="GE25" i="34"/>
  <c r="FP25" i="34"/>
  <c r="FH25" i="34"/>
  <c r="FZ25" i="34"/>
  <c r="FX25" i="34"/>
  <c r="EP25" i="34"/>
  <c r="GR25" i="34"/>
  <c r="EK25" i="34"/>
  <c r="GB25" i="34"/>
  <c r="FA25" i="34"/>
  <c r="FI25" i="34"/>
  <c r="FB25" i="34"/>
  <c r="GJ25" i="34"/>
  <c r="FF25" i="34"/>
  <c r="ES25" i="34"/>
  <c r="FM25" i="34"/>
  <c r="FN25" i="34"/>
  <c r="FD25" i="34"/>
  <c r="EO25" i="34"/>
  <c r="GP25" i="34"/>
  <c r="FQ25" i="34"/>
  <c r="EU25" i="34"/>
  <c r="ET25" i="34"/>
  <c r="EN25" i="34"/>
  <c r="GH25" i="34"/>
  <c r="GM25" i="34"/>
  <c r="FO25" i="34"/>
  <c r="FV25" i="34"/>
  <c r="FK25" i="34"/>
  <c r="EL25" i="34"/>
  <c r="FR25" i="34"/>
  <c r="GC25" i="34"/>
  <c r="EX25" i="34"/>
  <c r="FW25" i="34"/>
  <c r="FJ25" i="34"/>
  <c r="ER25" i="34"/>
  <c r="EW25" i="34"/>
  <c r="EY25" i="34"/>
  <c r="GF25" i="34"/>
  <c r="FT25" i="34"/>
  <c r="FS25" i="34"/>
  <c r="FE25" i="34"/>
  <c r="FC25" i="34"/>
  <c r="GD25" i="34"/>
  <c r="FU25" i="34"/>
  <c r="GQ25" i="34"/>
  <c r="GA25" i="34"/>
  <c r="FL25" i="34"/>
  <c r="GG25" i="34"/>
  <c r="EZ25" i="34"/>
  <c r="EV25" i="34"/>
  <c r="GK25" i="34"/>
  <c r="EQ25" i="34"/>
  <c r="FK41" i="34"/>
  <c r="EK41" i="34"/>
  <c r="GJ41" i="34"/>
  <c r="FF41" i="34"/>
  <c r="GQ41" i="34"/>
  <c r="EW41" i="34"/>
  <c r="GB41" i="34"/>
  <c r="FC41" i="34"/>
  <c r="EY41" i="34"/>
  <c r="GA41" i="34"/>
  <c r="FP41" i="34"/>
  <c r="EX41" i="34"/>
  <c r="EV41" i="34"/>
  <c r="FQ41" i="34"/>
  <c r="ER41" i="34"/>
  <c r="GP41" i="34"/>
  <c r="FW41" i="34"/>
  <c r="GG41" i="34"/>
  <c r="FI41" i="34"/>
  <c r="EU41" i="34"/>
  <c r="GF41" i="34"/>
  <c r="FV41" i="34"/>
  <c r="FT41" i="34"/>
  <c r="FD41" i="34"/>
  <c r="FL41" i="34"/>
  <c r="EZ41" i="34"/>
  <c r="FH41" i="34"/>
  <c r="FN41" i="34"/>
  <c r="FX41" i="34"/>
  <c r="GL41" i="34"/>
  <c r="GR41" i="34"/>
  <c r="EO41" i="34"/>
  <c r="EM41" i="34"/>
  <c r="FR41" i="34"/>
  <c r="ES41" i="34"/>
  <c r="FZ41" i="34"/>
  <c r="FO41" i="34"/>
  <c r="ET41" i="34"/>
  <c r="FS41" i="34"/>
  <c r="EL41" i="34"/>
  <c r="FY41" i="34"/>
  <c r="FM41" i="34"/>
  <c r="GI41" i="34"/>
  <c r="EP41" i="34"/>
  <c r="EN41" i="34"/>
  <c r="GC41" i="34"/>
  <c r="FU41" i="34"/>
  <c r="GM41" i="34"/>
  <c r="GN41" i="34"/>
  <c r="GK41" i="34"/>
  <c r="FG41" i="34"/>
  <c r="FA41" i="34"/>
  <c r="FB41" i="34"/>
  <c r="GH41" i="34"/>
  <c r="FE41" i="34"/>
  <c r="GO41" i="34"/>
  <c r="GD41" i="34"/>
  <c r="FJ41" i="34"/>
  <c r="EQ41" i="34"/>
  <c r="GE41" i="34"/>
  <c r="FA45" i="34"/>
  <c r="ET45" i="34"/>
  <c r="FT45" i="34"/>
  <c r="ES45" i="34"/>
  <c r="FL45" i="34"/>
  <c r="FS45" i="34"/>
  <c r="ER45" i="34"/>
  <c r="EL45" i="34"/>
  <c r="FH45" i="34"/>
  <c r="FX45" i="34"/>
  <c r="GP45" i="34"/>
  <c r="GE45" i="34"/>
  <c r="FO45" i="34"/>
  <c r="GA45" i="34"/>
  <c r="EW45" i="34"/>
  <c r="GT45" i="34"/>
  <c r="GO45" i="34"/>
  <c r="EN45" i="34"/>
  <c r="GB45" i="34"/>
  <c r="EX45" i="34"/>
  <c r="GH45" i="34"/>
  <c r="FD45" i="34"/>
  <c r="FQ45" i="34"/>
  <c r="EU45" i="34"/>
  <c r="FU45" i="34"/>
  <c r="GD45" i="34"/>
  <c r="EY45" i="34"/>
  <c r="GG45" i="34"/>
  <c r="EO45" i="34"/>
  <c r="GK45" i="34"/>
  <c r="FN45" i="34"/>
  <c r="FZ45" i="34"/>
  <c r="EV45" i="34"/>
  <c r="EQ45" i="34"/>
  <c r="GR45" i="34"/>
  <c r="FM45" i="34"/>
  <c r="FI45" i="34"/>
  <c r="FV45" i="34"/>
  <c r="GL45" i="34"/>
  <c r="FP45" i="34"/>
  <c r="EM45" i="34"/>
  <c r="FB45" i="34"/>
  <c r="GM45" i="34"/>
  <c r="GC45" i="34"/>
  <c r="GJ45" i="34"/>
  <c r="EP45" i="34"/>
  <c r="GN45" i="34"/>
  <c r="EK45" i="34"/>
  <c r="FG45" i="34"/>
  <c r="GF45" i="34"/>
  <c r="FR45" i="34"/>
  <c r="EZ45" i="34"/>
  <c r="FW45" i="34"/>
  <c r="GQ45" i="34"/>
  <c r="FF45" i="34"/>
  <c r="FC45" i="34"/>
  <c r="FY45" i="34"/>
  <c r="FK45" i="34"/>
  <c r="FJ45" i="34"/>
  <c r="GI45" i="34"/>
  <c r="FE45" i="34"/>
  <c r="ES43" i="34"/>
  <c r="EZ43" i="34"/>
  <c r="FG43" i="34"/>
  <c r="EP43" i="34"/>
  <c r="FP43" i="34"/>
  <c r="GL43" i="34"/>
  <c r="EK43" i="34"/>
  <c r="FN43" i="34"/>
  <c r="EX43" i="34"/>
  <c r="FI43" i="34"/>
  <c r="FH43" i="34"/>
  <c r="FQ43" i="34"/>
  <c r="FU43" i="34"/>
  <c r="GM43" i="34"/>
  <c r="FV43" i="34"/>
  <c r="GI43" i="34"/>
  <c r="GE43" i="34"/>
  <c r="GK43" i="34"/>
  <c r="FR43" i="34"/>
  <c r="GG43" i="34"/>
  <c r="GA43" i="34"/>
  <c r="EM43" i="34"/>
  <c r="EO43" i="34"/>
  <c r="FJ43" i="34"/>
  <c r="GJ43" i="34"/>
  <c r="FZ43" i="34"/>
  <c r="GF43" i="34"/>
  <c r="FX43" i="34"/>
  <c r="FT43" i="34"/>
  <c r="EN43" i="34"/>
  <c r="FS43" i="34"/>
  <c r="FE43" i="34"/>
  <c r="GD43" i="34"/>
  <c r="GR43" i="34"/>
  <c r="FW43" i="34"/>
  <c r="GH43" i="34"/>
  <c r="EW43" i="34"/>
  <c r="FC43" i="34"/>
  <c r="ET43" i="34"/>
  <c r="FM43" i="34"/>
  <c r="FO43" i="34"/>
  <c r="GN43" i="34"/>
  <c r="FF43" i="34"/>
  <c r="EY43" i="34"/>
  <c r="FB43" i="34"/>
  <c r="GO43" i="34"/>
  <c r="FY43" i="34"/>
  <c r="FD43" i="34"/>
  <c r="EQ43" i="34"/>
  <c r="EV43" i="34"/>
  <c r="FK43" i="34"/>
  <c r="ER43" i="34"/>
  <c r="FL43" i="34"/>
  <c r="GP43" i="34"/>
  <c r="EL43" i="34"/>
  <c r="GB43" i="34"/>
  <c r="EU43" i="34"/>
  <c r="GQ43" i="34"/>
  <c r="FA43" i="34"/>
  <c r="GC43" i="34"/>
  <c r="GP61" i="34"/>
  <c r="FN61" i="34"/>
  <c r="EP61" i="34"/>
  <c r="GA61" i="34"/>
  <c r="FF61" i="34"/>
  <c r="EO61" i="34"/>
  <c r="GF61" i="34"/>
  <c r="GH61" i="34"/>
  <c r="ES61" i="34"/>
  <c r="FU61" i="34"/>
  <c r="GC61" i="34"/>
  <c r="FD61" i="34"/>
  <c r="EY61" i="34"/>
  <c r="FW61" i="34"/>
  <c r="EQ61" i="34"/>
  <c r="FM61" i="34"/>
  <c r="FQ61" i="34"/>
  <c r="FK61" i="34"/>
  <c r="EW61" i="34"/>
  <c r="EM61" i="34"/>
  <c r="FE61" i="34"/>
  <c r="GL61" i="34"/>
  <c r="EV61" i="34"/>
  <c r="FV61" i="34"/>
  <c r="FO61" i="34"/>
  <c r="GI61" i="34"/>
  <c r="FZ61" i="34"/>
  <c r="GG61" i="34"/>
  <c r="FT61" i="34"/>
  <c r="GQ61" i="34"/>
  <c r="FB61" i="34"/>
  <c r="EZ61" i="34"/>
  <c r="FJ61" i="34"/>
  <c r="ET61" i="34"/>
  <c r="ER61" i="34"/>
  <c r="GJ61" i="34"/>
  <c r="EU61" i="34"/>
  <c r="GD61" i="34"/>
  <c r="GT61" i="34"/>
  <c r="FL61" i="34"/>
  <c r="FX61" i="34"/>
  <c r="FY61" i="34"/>
  <c r="GR61" i="34"/>
  <c r="FA61" i="34"/>
  <c r="FI61" i="34"/>
  <c r="FH61" i="34"/>
  <c r="FC61" i="34"/>
  <c r="EX61" i="34"/>
  <c r="FG61" i="34"/>
  <c r="FS61" i="34"/>
  <c r="GK61" i="34"/>
  <c r="GM61" i="34"/>
  <c r="GN61" i="34"/>
  <c r="FR61" i="34"/>
  <c r="GB61" i="34"/>
  <c r="GO61" i="34"/>
  <c r="EN61" i="34"/>
  <c r="EK61" i="34"/>
  <c r="EL61" i="34"/>
  <c r="FP61" i="34"/>
  <c r="GE61" i="34"/>
  <c r="ET42" i="34"/>
  <c r="GJ42" i="34"/>
  <c r="FX42" i="34"/>
  <c r="GI42" i="34"/>
  <c r="EK42" i="34"/>
  <c r="FL42" i="34"/>
  <c r="FU42" i="34"/>
  <c r="FP42" i="34"/>
  <c r="GF42" i="34"/>
  <c r="GQ42" i="34"/>
  <c r="FS42" i="34"/>
  <c r="EL42" i="34"/>
  <c r="GM42" i="34"/>
  <c r="FY42" i="34"/>
  <c r="GL42" i="34"/>
  <c r="FT42" i="34"/>
  <c r="GB42" i="34"/>
  <c r="EX42" i="34"/>
  <c r="FO42" i="34"/>
  <c r="FV42" i="34"/>
  <c r="FM42" i="34"/>
  <c r="FB42" i="34"/>
  <c r="GC42" i="34"/>
  <c r="FJ42" i="34"/>
  <c r="ES42" i="34"/>
  <c r="FC42" i="34"/>
  <c r="GA42" i="34"/>
  <c r="GD42" i="34"/>
  <c r="GG42" i="34"/>
  <c r="FW42" i="34"/>
  <c r="FA42" i="34"/>
  <c r="EN42" i="34"/>
  <c r="FI42" i="34"/>
  <c r="EZ42" i="34"/>
  <c r="ET22" i="34"/>
  <c r="FP22" i="34"/>
  <c r="FF22" i="34"/>
  <c r="FQ22" i="34"/>
  <c r="GQ22" i="34"/>
  <c r="GI22" i="34"/>
  <c r="GC22" i="34"/>
  <c r="GL22" i="34"/>
  <c r="GJ22" i="34"/>
  <c r="GE22" i="34"/>
  <c r="FN22" i="34"/>
  <c r="FM22" i="34"/>
  <c r="GH22" i="34"/>
  <c r="EN22" i="34"/>
  <c r="GR22" i="34"/>
  <c r="GB22" i="34"/>
  <c r="GN22" i="34"/>
  <c r="GM22" i="34"/>
  <c r="FT22" i="34"/>
  <c r="FK22" i="34"/>
  <c r="FW22" i="34"/>
  <c r="FJ22" i="34"/>
  <c r="FZ22" i="34"/>
  <c r="GK22" i="34"/>
  <c r="FY22" i="34"/>
  <c r="EX22" i="34"/>
  <c r="EW22" i="34"/>
  <c r="GP22" i="34"/>
  <c r="EO22" i="34"/>
  <c r="ER22" i="34"/>
  <c r="GD22" i="34"/>
  <c r="ES22" i="34"/>
  <c r="FU22" i="34"/>
  <c r="FD22" i="34"/>
  <c r="GF22" i="34"/>
  <c r="FR22" i="34"/>
  <c r="EL22" i="34"/>
  <c r="FH22" i="34"/>
  <c r="EP22" i="34"/>
  <c r="FI22" i="34"/>
  <c r="EM22" i="34"/>
  <c r="GG22" i="34"/>
  <c r="FX22" i="34"/>
  <c r="FV22" i="34"/>
  <c r="FS22" i="34"/>
  <c r="FA22" i="34"/>
  <c r="EY22" i="34"/>
  <c r="FC22" i="34"/>
  <c r="FO22" i="34"/>
  <c r="FL22" i="34"/>
  <c r="FE22" i="34"/>
  <c r="EK22" i="34"/>
  <c r="EV22" i="34"/>
  <c r="EQ22" i="34"/>
  <c r="GA22" i="34"/>
  <c r="GO22" i="34"/>
  <c r="FG22" i="34"/>
  <c r="EU22" i="34"/>
  <c r="FB22" i="34"/>
  <c r="EZ22" i="34"/>
  <c r="EO42" i="34"/>
  <c r="GO42" i="34"/>
  <c r="FH42" i="34"/>
  <c r="FK42" i="34"/>
  <c r="GR42" i="34"/>
  <c r="EW42" i="34"/>
  <c r="FF42" i="34"/>
  <c r="FO46" i="34"/>
  <c r="EN46" i="34"/>
  <c r="FM46" i="34"/>
  <c r="FI46" i="34"/>
  <c r="GE46" i="34"/>
  <c r="FZ46" i="34"/>
  <c r="GB46" i="34"/>
  <c r="GJ30" i="34"/>
  <c r="GK30" i="34"/>
  <c r="GA30" i="34"/>
  <c r="FQ30" i="34"/>
  <c r="EN30" i="34"/>
  <c r="ES30" i="34"/>
  <c r="GD30" i="34"/>
  <c r="GI30" i="34"/>
  <c r="GQ30" i="34"/>
  <c r="EZ30" i="34"/>
  <c r="ET30" i="34"/>
  <c r="FW30" i="34"/>
  <c r="GN30" i="34"/>
  <c r="GE30" i="34"/>
  <c r="EM30" i="34"/>
  <c r="EO30" i="34"/>
  <c r="FI30" i="34"/>
  <c r="EV30" i="34"/>
  <c r="EP30" i="34"/>
  <c r="FY30" i="34"/>
  <c r="GF30" i="34"/>
  <c r="EU30" i="34"/>
  <c r="EK30" i="34"/>
  <c r="GL30" i="34"/>
  <c r="FA30" i="34"/>
  <c r="FU30" i="34"/>
  <c r="GC30" i="34"/>
  <c r="EL30" i="34"/>
  <c r="FZ30" i="34"/>
  <c r="FC30" i="34"/>
  <c r="GG30" i="34"/>
  <c r="FL30" i="34"/>
  <c r="FS30" i="34"/>
  <c r="FH30" i="34"/>
  <c r="GH30" i="34"/>
  <c r="FP30" i="34"/>
  <c r="ER30" i="34"/>
  <c r="FX30" i="34"/>
  <c r="FD30" i="34"/>
  <c r="FV30" i="34"/>
  <c r="FK30" i="34"/>
  <c r="FE30" i="34"/>
  <c r="GP30" i="34"/>
  <c r="FF30" i="34"/>
  <c r="FN30" i="34"/>
  <c r="EY30" i="34"/>
  <c r="FM30" i="34"/>
  <c r="FG30" i="34"/>
  <c r="EX30" i="34"/>
  <c r="FT30" i="34"/>
  <c r="GO30" i="34"/>
  <c r="GM30" i="34"/>
  <c r="GB30" i="34"/>
  <c r="FJ30" i="34"/>
  <c r="FB30" i="34"/>
  <c r="GR30" i="34"/>
  <c r="FR30" i="34"/>
  <c r="EQ30" i="34"/>
  <c r="FO30" i="34"/>
  <c r="EW30" i="34"/>
  <c r="EP24" i="34"/>
  <c r="GD24" i="34"/>
  <c r="GQ24" i="34"/>
  <c r="EX24" i="34"/>
  <c r="GP24" i="34"/>
  <c r="FL24" i="34"/>
  <c r="ER24" i="34"/>
  <c r="GJ24" i="34"/>
  <c r="FX24" i="34"/>
  <c r="FW24" i="34"/>
  <c r="EN24" i="34"/>
  <c r="EO24" i="34"/>
  <c r="ET24" i="34"/>
  <c r="FB24" i="34"/>
  <c r="FY24" i="34"/>
  <c r="FP24" i="34"/>
  <c r="FK24" i="34"/>
  <c r="FU24" i="34"/>
  <c r="FD24" i="34"/>
  <c r="GM24" i="34"/>
  <c r="FJ24" i="34"/>
  <c r="EK24" i="34"/>
  <c r="FF24" i="34"/>
  <c r="FZ24" i="34"/>
  <c r="GO24" i="34"/>
  <c r="FA24" i="34"/>
  <c r="FT24" i="34"/>
  <c r="FR24" i="34"/>
  <c r="EY24" i="34"/>
  <c r="FI24" i="34"/>
  <c r="GI24" i="34"/>
  <c r="GH24" i="34"/>
  <c r="GN24" i="34"/>
  <c r="EU24" i="34"/>
  <c r="EV24" i="34"/>
  <c r="ES24" i="34"/>
  <c r="GL24" i="34"/>
  <c r="EW24" i="34"/>
  <c r="EZ24" i="34"/>
  <c r="FN24" i="34"/>
  <c r="FQ24" i="34"/>
  <c r="FE24" i="34"/>
  <c r="GF24" i="34"/>
  <c r="FG24" i="34"/>
  <c r="FC24" i="34"/>
  <c r="GR24" i="34"/>
  <c r="GE24" i="34"/>
  <c r="GB24" i="34"/>
  <c r="FO24" i="34"/>
  <c r="FV24" i="34"/>
  <c r="EL24" i="34"/>
  <c r="FM24" i="34"/>
  <c r="GA24" i="34"/>
  <c r="GK24" i="34"/>
  <c r="EQ24" i="34"/>
  <c r="FH24" i="34"/>
  <c r="EM24" i="34"/>
  <c r="GG24" i="34"/>
  <c r="GC24" i="34"/>
  <c r="FS24" i="34"/>
  <c r="FB46" i="34"/>
  <c r="FA46" i="34"/>
  <c r="GI46" i="34"/>
  <c r="ES46" i="34"/>
  <c r="GM46" i="34"/>
  <c r="BW3" i="34"/>
  <c r="GA52" i="34"/>
  <c r="FG52" i="34"/>
  <c r="FD52" i="34"/>
  <c r="FI52" i="34"/>
  <c r="EP52" i="34"/>
  <c r="EO52" i="34"/>
  <c r="GD52" i="34"/>
  <c r="EM52" i="34"/>
  <c r="FQ52" i="34"/>
  <c r="FL52" i="34"/>
  <c r="FY52" i="34"/>
  <c r="GK52" i="34"/>
  <c r="FW52" i="34"/>
  <c r="ES52" i="34"/>
  <c r="GP52" i="34"/>
  <c r="GN52" i="34"/>
  <c r="GI52" i="34"/>
  <c r="FS52" i="34"/>
  <c r="EU52" i="34"/>
  <c r="FM52" i="34"/>
  <c r="FH52" i="34"/>
  <c r="FT52" i="34"/>
  <c r="FZ52" i="34"/>
  <c r="GM52" i="34"/>
  <c r="FX52" i="34"/>
  <c r="EW52" i="34"/>
  <c r="FE52" i="34"/>
  <c r="GC52" i="34"/>
  <c r="FP52" i="34"/>
  <c r="FN52" i="34"/>
  <c r="FO52" i="34"/>
  <c r="GF52" i="34"/>
  <c r="GE52" i="34"/>
  <c r="ET52" i="34"/>
  <c r="EQ52" i="34"/>
  <c r="GO52" i="34"/>
  <c r="FJ52" i="34"/>
  <c r="GB52" i="34"/>
  <c r="GJ52" i="34"/>
  <c r="EV52" i="34"/>
  <c r="FB52" i="34"/>
  <c r="GQ52" i="34"/>
  <c r="GL52" i="34"/>
  <c r="FF52" i="34"/>
  <c r="FU52" i="34"/>
  <c r="FV52" i="34"/>
  <c r="EL52" i="34"/>
  <c r="FA52" i="34"/>
  <c r="GR52" i="34"/>
  <c r="FC52" i="34"/>
  <c r="FR52" i="34"/>
  <c r="EZ52" i="34"/>
  <c r="EX52" i="34"/>
  <c r="EN52" i="34"/>
  <c r="FK52" i="34"/>
  <c r="GH52" i="34"/>
  <c r="EY52" i="34"/>
  <c r="ER52" i="34"/>
  <c r="EK52" i="34"/>
  <c r="GG52" i="34"/>
  <c r="GR33" i="34"/>
  <c r="FX33" i="34"/>
  <c r="FI33" i="34"/>
  <c r="ER33" i="34"/>
  <c r="GO33" i="34"/>
  <c r="FJ33" i="34"/>
  <c r="GH33" i="34"/>
  <c r="GA33" i="34"/>
  <c r="EL33" i="34"/>
  <c r="GI33" i="34"/>
  <c r="FO33" i="34"/>
  <c r="FA33" i="34"/>
  <c r="FV33" i="34"/>
  <c r="GL33" i="34"/>
  <c r="EW33" i="34"/>
  <c r="FC33" i="34"/>
  <c r="EN33" i="34"/>
  <c r="ET33" i="34"/>
  <c r="FT33" i="34"/>
  <c r="GK33" i="34"/>
  <c r="FD33" i="34"/>
  <c r="EZ33" i="34"/>
  <c r="FG33" i="34"/>
  <c r="EO33" i="34"/>
  <c r="GJ33" i="34"/>
  <c r="GN33" i="34"/>
  <c r="ES33" i="34"/>
  <c r="GM33" i="34"/>
  <c r="EM33" i="34"/>
  <c r="FU33" i="34"/>
  <c r="FN33" i="34"/>
  <c r="EU33" i="34"/>
  <c r="FF33" i="34"/>
  <c r="FZ33" i="34"/>
  <c r="FS33" i="34"/>
  <c r="GP33" i="34"/>
  <c r="FH33" i="34"/>
  <c r="EK33" i="34"/>
  <c r="GG33" i="34"/>
  <c r="GQ33" i="34"/>
  <c r="FW33" i="34"/>
  <c r="FM33" i="34"/>
  <c r="FR33" i="34"/>
  <c r="EP33" i="34"/>
  <c r="FY33" i="34"/>
  <c r="EV33" i="34"/>
  <c r="GF33" i="34"/>
  <c r="GC33" i="34"/>
  <c r="FP33" i="34"/>
  <c r="GD33" i="34"/>
  <c r="EY33" i="34"/>
  <c r="GB33" i="34"/>
  <c r="FK33" i="34"/>
  <c r="EQ33" i="34"/>
  <c r="EX33" i="34"/>
  <c r="FB33" i="34"/>
  <c r="FE33" i="34"/>
  <c r="GE33" i="34"/>
  <c r="FL33" i="34"/>
  <c r="FQ33" i="34"/>
  <c r="FY46" i="34"/>
  <c r="GG46" i="34"/>
  <c r="FS46" i="34"/>
  <c r="FJ46" i="34"/>
  <c r="EP46" i="34"/>
  <c r="FQ46" i="34"/>
  <c r="GO46" i="34"/>
  <c r="DF8" i="33" l="1"/>
  <c r="DD8" i="33"/>
  <c r="DC8" i="33"/>
  <c r="DB8" i="33"/>
  <c r="DE8" i="33"/>
  <c r="CZ8" i="33"/>
  <c r="DG8" i="33"/>
  <c r="DA8" i="33"/>
  <c r="DH8" i="33"/>
  <c r="CW8" i="33"/>
  <c r="CY8" i="33"/>
  <c r="CX8" i="33"/>
  <c r="CV8" i="33"/>
  <c r="N69" i="34"/>
  <c r="GT52" i="37"/>
  <c r="CR10" i="33"/>
  <c r="CR9" i="33"/>
  <c r="BP77" i="33"/>
  <c r="BB4" i="33" s="1"/>
  <c r="CR11" i="33"/>
  <c r="CR8" i="33"/>
  <c r="B3" i="33"/>
  <c r="B93" i="33"/>
  <c r="B48" i="33"/>
  <c r="BY12" i="34"/>
  <c r="BX12" i="34"/>
  <c r="BV8" i="34"/>
  <c r="BX55" i="37"/>
  <c r="BZ7" i="34"/>
  <c r="BX7" i="34"/>
  <c r="BW7" i="34"/>
  <c r="BW55" i="37"/>
  <c r="BV56" i="37"/>
  <c r="CA55" i="37"/>
  <c r="BY61" i="37"/>
  <c r="BV61" i="37"/>
  <c r="J114" i="37" s="1"/>
  <c r="BY8" i="34"/>
  <c r="CA7" i="34"/>
  <c r="BV12" i="34"/>
  <c r="BZ55" i="37"/>
  <c r="CA12" i="34"/>
  <c r="BY56" i="37"/>
  <c r="BX61" i="37"/>
  <c r="CA61" i="37"/>
  <c r="BX4" i="37"/>
  <c r="B105" i="37"/>
  <c r="BZ52" i="37"/>
  <c r="N117" i="37" s="1"/>
  <c r="B70" i="37"/>
  <c r="BW59" i="37"/>
  <c r="BX60" i="37"/>
  <c r="BZ59" i="37"/>
  <c r="CA60" i="37"/>
  <c r="GT12" i="34"/>
  <c r="BZ4" i="37"/>
  <c r="BX53" i="37"/>
  <c r="BW56" i="37"/>
  <c r="K118" i="37" s="1"/>
  <c r="B96" i="37"/>
  <c r="BY52" i="37"/>
  <c r="BV55" i="37"/>
  <c r="BW63" i="37"/>
  <c r="BV60" i="37"/>
  <c r="BY55" i="37"/>
  <c r="BV63" i="37"/>
  <c r="B73" i="37"/>
  <c r="B101" i="37"/>
  <c r="B93" i="37"/>
  <c r="CA4" i="37"/>
  <c r="BY63" i="37"/>
  <c r="BV52" i="37"/>
  <c r="B67" i="37"/>
  <c r="BZ62" i="37"/>
  <c r="BY4" i="37"/>
  <c r="B87" i="37"/>
  <c r="B74" i="37"/>
  <c r="B106" i="37"/>
  <c r="B71" i="37"/>
  <c r="BY57" i="37"/>
  <c r="CA56" i="37"/>
  <c r="BX56" i="37"/>
  <c r="BZ56" i="37"/>
  <c r="BV59" i="37"/>
  <c r="J119" i="37" s="1"/>
  <c r="BZ60" i="37"/>
  <c r="B76" i="37"/>
  <c r="B94" i="37"/>
  <c r="B81" i="37"/>
  <c r="B95" i="37"/>
  <c r="BX59" i="37"/>
  <c r="B103" i="37"/>
  <c r="B75" i="37"/>
  <c r="BW62" i="37"/>
  <c r="BY62" i="37"/>
  <c r="CA54" i="37"/>
  <c r="BV58" i="37"/>
  <c r="BX54" i="37"/>
  <c r="CA59" i="37"/>
  <c r="BZ58" i="37"/>
  <c r="CA63" i="37"/>
  <c r="BW60" i="37"/>
  <c r="BW58" i="37"/>
  <c r="BX62" i="37"/>
  <c r="BX57" i="37"/>
  <c r="BZ63" i="37"/>
  <c r="B77" i="37"/>
  <c r="B100" i="37"/>
  <c r="B72" i="37"/>
  <c r="B78" i="37"/>
  <c r="B80" i="37"/>
  <c r="B104" i="37"/>
  <c r="B98" i="37"/>
  <c r="B69" i="37"/>
  <c r="B89" i="37"/>
  <c r="P1" i="37"/>
  <c r="BV62" i="37"/>
  <c r="BX58" i="37"/>
  <c r="BV53" i="37"/>
  <c r="CA62" i="37"/>
  <c r="CA58" i="37"/>
  <c r="BY59" i="37"/>
  <c r="B83" i="37"/>
  <c r="B92" i="37"/>
  <c r="B68" i="37"/>
  <c r="B108" i="37"/>
  <c r="B84" i="37"/>
  <c r="BW4" i="37"/>
  <c r="BY58" i="37"/>
  <c r="BV4" i="37"/>
  <c r="BZ53" i="37"/>
  <c r="CA57" i="37"/>
  <c r="O114" i="37" s="1"/>
  <c r="GT61" i="37" s="1"/>
  <c r="BZ61" i="37"/>
  <c r="N114" i="37" s="1"/>
  <c r="CA53" i="37"/>
  <c r="BY53" i="37"/>
  <c r="BW61" i="37"/>
  <c r="BY60" i="37"/>
  <c r="BW52" i="37"/>
  <c r="B90" i="37"/>
  <c r="B107" i="37"/>
  <c r="B79" i="37"/>
  <c r="B91" i="37"/>
  <c r="B66" i="37"/>
  <c r="BV57" i="37"/>
  <c r="B102" i="37"/>
  <c r="BW53" i="37"/>
  <c r="B97" i="37"/>
  <c r="B82" i="37"/>
  <c r="B86" i="37"/>
  <c r="B88" i="37"/>
  <c r="B99" i="37"/>
  <c r="BX63" i="37"/>
  <c r="M114" i="37"/>
  <c r="BY4" i="34"/>
  <c r="BZ11" i="34"/>
  <c r="CA6" i="34"/>
  <c r="BZ10" i="34"/>
  <c r="CA16" i="34"/>
  <c r="BY15" i="34"/>
  <c r="CA9" i="34"/>
  <c r="BY9" i="34"/>
  <c r="BZ12" i="34"/>
  <c r="BY11" i="34"/>
  <c r="CA15" i="34"/>
  <c r="BZ4" i="34"/>
  <c r="CA11" i="34"/>
  <c r="BZ16" i="34"/>
  <c r="BY7" i="34"/>
  <c r="BX9" i="34"/>
  <c r="BZ8" i="34"/>
  <c r="BW12" i="34"/>
  <c r="BY10" i="34"/>
  <c r="CA10" i="34"/>
  <c r="BX6" i="34"/>
  <c r="CA8" i="34"/>
  <c r="BZ15" i="34"/>
  <c r="BY16" i="34"/>
  <c r="BW8" i="34"/>
  <c r="BW4" i="34"/>
  <c r="BY5" i="34"/>
  <c r="BY13" i="34"/>
  <c r="CA14" i="34"/>
  <c r="BZ5" i="34"/>
  <c r="N79" i="34" s="1"/>
  <c r="CA5" i="34"/>
  <c r="BZ13" i="34"/>
  <c r="BY14" i="34"/>
  <c r="BV10" i="34"/>
  <c r="CA13" i="34"/>
  <c r="BZ14" i="34"/>
  <c r="BV7" i="34"/>
  <c r="BV11" i="34"/>
  <c r="BX10" i="34"/>
  <c r="BV4" i="34"/>
  <c r="BX15" i="34"/>
  <c r="BV14" i="34"/>
  <c r="BV9" i="34"/>
  <c r="BW16" i="34"/>
  <c r="BX16" i="34"/>
  <c r="L78" i="34" s="1"/>
  <c r="GT16" i="34" s="1"/>
  <c r="BX11" i="34"/>
  <c r="BV15" i="34"/>
  <c r="BX13" i="34"/>
  <c r="BW5" i="34"/>
  <c r="BV13" i="34"/>
  <c r="BW14" i="34"/>
  <c r="BW13" i="34"/>
  <c r="BW15" i="34"/>
  <c r="BX8" i="34"/>
  <c r="BV5" i="34"/>
  <c r="BX5" i="34"/>
  <c r="B58" i="34"/>
  <c r="B62" i="34"/>
  <c r="B44" i="34"/>
  <c r="B78" i="34"/>
  <c r="B94" i="34"/>
  <c r="B55" i="34"/>
  <c r="B67" i="34"/>
  <c r="B83" i="34"/>
  <c r="B99" i="34"/>
  <c r="B50" i="34"/>
  <c r="B76" i="34"/>
  <c r="B92" i="34"/>
  <c r="B108" i="34"/>
  <c r="B73" i="34"/>
  <c r="B89" i="34"/>
  <c r="B105" i="34"/>
  <c r="B30" i="34"/>
  <c r="B14" i="34"/>
  <c r="B37" i="34"/>
  <c r="B21" i="34"/>
  <c r="B5" i="34"/>
  <c r="B28" i="34"/>
  <c r="B12" i="34"/>
  <c r="B35" i="34"/>
  <c r="B19" i="34"/>
  <c r="P1" i="34"/>
  <c r="B57" i="34"/>
  <c r="B52" i="34"/>
  <c r="B74" i="34"/>
  <c r="B98" i="34"/>
  <c r="B47" i="34"/>
  <c r="B79" i="34"/>
  <c r="B103" i="34"/>
  <c r="B68" i="34"/>
  <c r="B88" i="34"/>
  <c r="B53" i="34"/>
  <c r="B81" i="34"/>
  <c r="B101" i="34"/>
  <c r="B26" i="34"/>
  <c r="B6" i="34"/>
  <c r="B25" i="34"/>
  <c r="B40" i="34"/>
  <c r="B20" i="34"/>
  <c r="B39" i="34"/>
  <c r="B15" i="34"/>
  <c r="BV16" i="34"/>
  <c r="B63" i="34"/>
  <c r="B56" i="34"/>
  <c r="B66" i="34"/>
  <c r="B86" i="34"/>
  <c r="B106" i="34"/>
  <c r="B71" i="34"/>
  <c r="B91" i="34"/>
  <c r="B54" i="34"/>
  <c r="B80" i="34"/>
  <c r="B100" i="34"/>
  <c r="B69" i="34"/>
  <c r="B93" i="34"/>
  <c r="B38" i="34"/>
  <c r="B18" i="34"/>
  <c r="B33" i="34"/>
  <c r="B13" i="34"/>
  <c r="B32" i="34"/>
  <c r="B8" i="34"/>
  <c r="B27" i="34"/>
  <c r="B7" i="34"/>
  <c r="B59" i="34"/>
  <c r="B70" i="34"/>
  <c r="B51" i="34"/>
  <c r="B95" i="34"/>
  <c r="B84" i="34"/>
  <c r="B77" i="34"/>
  <c r="B34" i="34"/>
  <c r="B29" i="34"/>
  <c r="B24" i="34"/>
  <c r="B23" i="34"/>
  <c r="B60" i="34"/>
  <c r="B82" i="34"/>
  <c r="B43" i="34"/>
  <c r="B107" i="34"/>
  <c r="B96" i="34"/>
  <c r="B85" i="34"/>
  <c r="B22" i="34"/>
  <c r="B17" i="34"/>
  <c r="B16" i="34"/>
  <c r="B11" i="34"/>
  <c r="B48" i="34"/>
  <c r="B87" i="34"/>
  <c r="B49" i="34"/>
  <c r="B41" i="34"/>
  <c r="B31" i="34"/>
  <c r="B90" i="34"/>
  <c r="B46" i="34"/>
  <c r="B97" i="34"/>
  <c r="B9" i="34"/>
  <c r="B61" i="34"/>
  <c r="B75" i="34"/>
  <c r="B104" i="34"/>
  <c r="B10" i="34"/>
  <c r="B4" i="34"/>
  <c r="B45" i="34"/>
  <c r="B36" i="34"/>
  <c r="B102" i="34"/>
  <c r="B72" i="34"/>
  <c r="B42" i="34"/>
  <c r="BX14" i="34"/>
  <c r="BW10" i="34"/>
  <c r="BW11" i="34"/>
  <c r="BW9" i="34"/>
  <c r="L67" i="37" l="1"/>
  <c r="L116" i="37"/>
  <c r="L70" i="34"/>
  <c r="O70" i="34"/>
  <c r="L79" i="34"/>
  <c r="J124" i="37"/>
  <c r="N78" i="34"/>
  <c r="J67" i="34"/>
  <c r="K79" i="34"/>
  <c r="N67" i="34"/>
  <c r="O78" i="34"/>
  <c r="K116" i="37"/>
  <c r="K67" i="37"/>
  <c r="N67" i="37"/>
  <c r="O79" i="34"/>
  <c r="M79" i="34"/>
  <c r="K78" i="34"/>
  <c r="M78" i="34"/>
  <c r="M67" i="34"/>
  <c r="CQ5" i="33"/>
  <c r="K122" i="37"/>
  <c r="M125" i="37"/>
  <c r="N116" i="37"/>
  <c r="L122" i="37"/>
  <c r="L115" i="37"/>
  <c r="N74" i="34"/>
  <c r="J125" i="37"/>
  <c r="L126" i="37"/>
  <c r="K74" i="34"/>
  <c r="J116" i="37"/>
  <c r="O77" i="34"/>
  <c r="M121" i="37"/>
  <c r="M67" i="37"/>
  <c r="FC5" i="37" s="1"/>
  <c r="O121" i="37"/>
  <c r="O67" i="37"/>
  <c r="N1" i="37"/>
  <c r="J67" i="37"/>
  <c r="M117" i="37"/>
  <c r="J117" i="37"/>
  <c r="O122" i="37"/>
  <c r="M123" i="37"/>
  <c r="N126" i="37"/>
  <c r="N120" i="37"/>
  <c r="O125" i="37"/>
  <c r="N123" i="37"/>
  <c r="L1" i="37"/>
  <c r="M122" i="37"/>
  <c r="N75" i="34"/>
  <c r="L75" i="34"/>
  <c r="L74" i="34"/>
  <c r="J77" i="34"/>
  <c r="M74" i="34"/>
  <c r="M76" i="34"/>
  <c r="O67" i="34"/>
  <c r="N68" i="34"/>
  <c r="L67" i="34"/>
  <c r="K76" i="34"/>
  <c r="M75" i="34"/>
  <c r="O75" i="34"/>
  <c r="O74" i="34"/>
  <c r="M69" i="34"/>
  <c r="N122" i="37"/>
  <c r="J122" i="37"/>
  <c r="O123" i="37"/>
  <c r="GT59" i="37" s="1"/>
  <c r="M120" i="37"/>
  <c r="L123" i="37"/>
  <c r="K124" i="37"/>
  <c r="K119" i="37"/>
  <c r="O126" i="37"/>
  <c r="N115" i="37"/>
  <c r="K73" i="34"/>
  <c r="L73" i="34"/>
  <c r="N73" i="34"/>
  <c r="M73" i="34"/>
  <c r="N70" i="34"/>
  <c r="N77" i="34"/>
  <c r="K68" i="34"/>
  <c r="L76" i="34"/>
  <c r="K77" i="34"/>
  <c r="K75" i="34"/>
  <c r="J71" i="34"/>
  <c r="L77" i="34"/>
  <c r="O73" i="34"/>
  <c r="N76" i="34"/>
  <c r="M77" i="34"/>
  <c r="O76" i="34"/>
  <c r="L119" i="37"/>
  <c r="L117" i="37"/>
  <c r="M124" i="37"/>
  <c r="K117" i="37"/>
  <c r="L121" i="37"/>
  <c r="K115" i="37"/>
  <c r="O119" i="37"/>
  <c r="L114" i="37"/>
  <c r="L124" i="37"/>
  <c r="M126" i="37"/>
  <c r="J120" i="37"/>
  <c r="L118" i="37"/>
  <c r="O124" i="37"/>
  <c r="J121" i="37"/>
  <c r="J123" i="37"/>
  <c r="M118" i="37"/>
  <c r="M116" i="37"/>
  <c r="N125" i="37"/>
  <c r="M119" i="37"/>
  <c r="O117" i="37"/>
  <c r="N124" i="37"/>
  <c r="O118" i="37"/>
  <c r="K125" i="37"/>
  <c r="L120" i="37"/>
  <c r="N121" i="37"/>
  <c r="O116" i="37"/>
  <c r="N119" i="37"/>
  <c r="K123" i="37"/>
  <c r="L125" i="37"/>
  <c r="N118" i="37"/>
  <c r="O115" i="37"/>
  <c r="EE55" i="37"/>
  <c r="GT60" i="37"/>
  <c r="EE61" i="37"/>
  <c r="BU54" i="37"/>
  <c r="J115" i="37"/>
  <c r="GT57" i="37"/>
  <c r="BU53" i="37"/>
  <c r="BU55" i="37"/>
  <c r="I59" i="37"/>
  <c r="EE4" i="37"/>
  <c r="EE57" i="37"/>
  <c r="BU60" i="37"/>
  <c r="EE60" i="37"/>
  <c r="M115" i="37"/>
  <c r="BU56" i="37"/>
  <c r="O120" i="37"/>
  <c r="GT62" i="37" s="1"/>
  <c r="I55" i="37"/>
  <c r="GT55" i="37"/>
  <c r="BU57" i="37"/>
  <c r="I61" i="37"/>
  <c r="J118" i="37"/>
  <c r="I52" i="37"/>
  <c r="BU4" i="37"/>
  <c r="I60" i="37"/>
  <c r="EE54" i="37"/>
  <c r="I62" i="37"/>
  <c r="I57" i="37"/>
  <c r="BU61" i="37"/>
  <c r="J126" i="37"/>
  <c r="EE58" i="37"/>
  <c r="K114" i="37"/>
  <c r="I58" i="37"/>
  <c r="I53" i="37"/>
  <c r="EE62" i="37"/>
  <c r="K121" i="37"/>
  <c r="I54" i="37"/>
  <c r="BU58" i="37"/>
  <c r="BU59" i="37"/>
  <c r="EE53" i="37"/>
  <c r="K126" i="37"/>
  <c r="I4" i="37"/>
  <c r="EE56" i="37"/>
  <c r="EE52" i="37"/>
  <c r="I56" i="37"/>
  <c r="BU62" i="37"/>
  <c r="K120" i="37"/>
  <c r="EE59" i="37"/>
  <c r="BU52" i="37"/>
  <c r="I63" i="37"/>
  <c r="GT53" i="37"/>
  <c r="BU63" i="37"/>
  <c r="GT54" i="37"/>
  <c r="EE63" i="37"/>
  <c r="GT14" i="34"/>
  <c r="EE16" i="34"/>
  <c r="GT11" i="34"/>
  <c r="L1" i="34"/>
  <c r="GT58" i="37"/>
  <c r="GT56" i="37"/>
  <c r="EE5" i="34"/>
  <c r="O72" i="34"/>
  <c r="GT63" i="37"/>
  <c r="GT4" i="37"/>
  <c r="M70" i="34"/>
  <c r="M68" i="34"/>
  <c r="O68" i="34"/>
  <c r="O69" i="34"/>
  <c r="GT5" i="34"/>
  <c r="GT13" i="34"/>
  <c r="EE4" i="34"/>
  <c r="M72" i="34"/>
  <c r="M71" i="34"/>
  <c r="EE8" i="34"/>
  <c r="L72" i="34"/>
  <c r="EE13" i="34"/>
  <c r="K69" i="34"/>
  <c r="K70" i="34"/>
  <c r="O71" i="34"/>
  <c r="K67" i="34"/>
  <c r="N1" i="34"/>
  <c r="I12" i="34"/>
  <c r="EE12" i="34"/>
  <c r="BU12" i="34"/>
  <c r="K72" i="34"/>
  <c r="K71" i="34"/>
  <c r="GT15" i="34"/>
  <c r="EE7" i="34"/>
  <c r="J68" i="34"/>
  <c r="L68" i="34"/>
  <c r="BU6" i="34"/>
  <c r="I6" i="34"/>
  <c r="EE6" i="34"/>
  <c r="L69" i="34"/>
  <c r="N71" i="34"/>
  <c r="N72" i="34"/>
  <c r="BU10" i="34"/>
  <c r="EE14" i="34"/>
  <c r="EE11" i="34"/>
  <c r="EE15" i="34"/>
  <c r="EE9" i="34"/>
  <c r="EE10" i="34"/>
  <c r="J69" i="34"/>
  <c r="I4" i="34"/>
  <c r="BU4" i="34"/>
  <c r="J79" i="34"/>
  <c r="BU5" i="34"/>
  <c r="I5" i="34"/>
  <c r="I15" i="34"/>
  <c r="BU15" i="34"/>
  <c r="J76" i="34"/>
  <c r="BU16" i="34"/>
  <c r="J78" i="34"/>
  <c r="I16" i="34"/>
  <c r="L71" i="34"/>
  <c r="I8" i="34"/>
  <c r="BU8" i="34"/>
  <c r="J73" i="34"/>
  <c r="BU13" i="34"/>
  <c r="I13" i="34"/>
  <c r="J75" i="34"/>
  <c r="I14" i="34"/>
  <c r="BU14" i="34"/>
  <c r="J74" i="34"/>
  <c r="BU11" i="34"/>
  <c r="I11" i="34"/>
  <c r="BU9" i="34"/>
  <c r="J72" i="34"/>
  <c r="I9" i="34"/>
  <c r="I7" i="34"/>
  <c r="J70" i="34"/>
  <c r="BU7" i="34"/>
  <c r="B47" i="33" l="1"/>
  <c r="B92" i="33"/>
  <c r="B2" i="33"/>
  <c r="B137" i="33"/>
  <c r="ES51" i="37"/>
  <c r="GA56" i="37"/>
  <c r="GK54" i="37"/>
  <c r="EL10" i="34"/>
  <c r="EO63" i="37"/>
  <c r="FX53" i="37"/>
  <c r="EY52" i="37"/>
  <c r="EQ54" i="37"/>
  <c r="EX59" i="37"/>
  <c r="ET54" i="37"/>
  <c r="FO63" i="37"/>
  <c r="GK59" i="37"/>
  <c r="FP53" i="37"/>
  <c r="FA53" i="37"/>
  <c r="EO54" i="37"/>
  <c r="FK63" i="37"/>
  <c r="FU53" i="37"/>
  <c r="GR10" i="34"/>
  <c r="GG63" i="37"/>
  <c r="FD53" i="37"/>
  <c r="FD63" i="37"/>
  <c r="GR53" i="37"/>
  <c r="GO4" i="37"/>
  <c r="GL59" i="37"/>
  <c r="FH54" i="37"/>
  <c r="EN51" i="37"/>
  <c r="FF57" i="37"/>
  <c r="GT10" i="34"/>
  <c r="FF10" i="34"/>
  <c r="GM51" i="37"/>
  <c r="GA51" i="37"/>
  <c r="FG51" i="37"/>
  <c r="FL51" i="37"/>
  <c r="FQ51" i="37"/>
  <c r="FT51" i="37"/>
  <c r="EW51" i="37"/>
  <c r="FF51" i="37"/>
  <c r="EZ51" i="37"/>
  <c r="FJ51" i="37"/>
  <c r="EX51" i="37"/>
  <c r="EL51" i="37"/>
  <c r="FS51" i="37"/>
  <c r="GK51" i="37"/>
  <c r="FN51" i="37"/>
  <c r="GQ51" i="37"/>
  <c r="GN51" i="37"/>
  <c r="GJ51" i="37"/>
  <c r="FY54" i="37"/>
  <c r="FQ54" i="37"/>
  <c r="FS54" i="37"/>
  <c r="FS63" i="37"/>
  <c r="GM53" i="37"/>
  <c r="GQ53" i="37"/>
  <c r="GN54" i="37"/>
  <c r="GJ54" i="37"/>
  <c r="GO54" i="37"/>
  <c r="GQ63" i="37"/>
  <c r="FU63" i="37"/>
  <c r="EX56" i="37"/>
  <c r="FW53" i="37"/>
  <c r="GD53" i="37"/>
  <c r="EX53" i="37"/>
  <c r="FQ4" i="37"/>
  <c r="FB63" i="37"/>
  <c r="EY53" i="37"/>
  <c r="FM51" i="37"/>
  <c r="GO51" i="37"/>
  <c r="GF51" i="37"/>
  <c r="FZ51" i="37"/>
  <c r="FX51" i="37"/>
  <c r="ER51" i="37"/>
  <c r="EQ51" i="37"/>
  <c r="FV51" i="37"/>
  <c r="GG51" i="37"/>
  <c r="FR51" i="37"/>
  <c r="FE51" i="37"/>
  <c r="EU51" i="37"/>
  <c r="FY51" i="37"/>
  <c r="GH51" i="37"/>
  <c r="GB51" i="37"/>
  <c r="FO51" i="37"/>
  <c r="GP51" i="37"/>
  <c r="GR51" i="37"/>
  <c r="EM51" i="37"/>
  <c r="EY51" i="37"/>
  <c r="FK51" i="37"/>
  <c r="FF54" i="37"/>
  <c r="FW54" i="37"/>
  <c r="EV54" i="37"/>
  <c r="EY54" i="37"/>
  <c r="EP51" i="37"/>
  <c r="FW51" i="37"/>
  <c r="FP51" i="37"/>
  <c r="EV51" i="37"/>
  <c r="FA51" i="37"/>
  <c r="GJ4" i="37"/>
  <c r="GJ59" i="37"/>
  <c r="EU63" i="37"/>
  <c r="FR4" i="37"/>
  <c r="FI52" i="37"/>
  <c r="FE56" i="37"/>
  <c r="FD51" i="37"/>
  <c r="EO51" i="37"/>
  <c r="GL51" i="37"/>
  <c r="GD51" i="37"/>
  <c r="GE51" i="37"/>
  <c r="GC51" i="37"/>
  <c r="EK51" i="37"/>
  <c r="FB51" i="37"/>
  <c r="FU51" i="37"/>
  <c r="GI51" i="37"/>
  <c r="FC51" i="37"/>
  <c r="FI51" i="37"/>
  <c r="ET51" i="37"/>
  <c r="FH51" i="37"/>
  <c r="GM10" i="34"/>
  <c r="GI10" i="34"/>
  <c r="FG10" i="34"/>
  <c r="GQ10" i="34"/>
  <c r="EV63" i="37"/>
  <c r="GR63" i="37"/>
  <c r="EY63" i="37"/>
  <c r="FZ63" i="37"/>
  <c r="FF63" i="37"/>
  <c r="EP63" i="37"/>
  <c r="EK56" i="37"/>
  <c r="FO52" i="37"/>
  <c r="GO52" i="37"/>
  <c r="GT4" i="34"/>
  <c r="GC63" i="37"/>
  <c r="FT63" i="37"/>
  <c r="FL63" i="37"/>
  <c r="FN63" i="37"/>
  <c r="FM63" i="37"/>
  <c r="ER63" i="37"/>
  <c r="EN63" i="37"/>
  <c r="FF56" i="37"/>
  <c r="FK56" i="37"/>
  <c r="FT53" i="37"/>
  <c r="FY53" i="37"/>
  <c r="EV53" i="37"/>
  <c r="FM53" i="37"/>
  <c r="EQ53" i="37"/>
  <c r="FL53" i="37"/>
  <c r="GP52" i="37"/>
  <c r="EX52" i="37"/>
  <c r="FJ59" i="37"/>
  <c r="FJ4" i="37"/>
  <c r="FO4" i="37"/>
  <c r="FM52" i="37"/>
  <c r="FC52" i="37"/>
  <c r="GP54" i="37"/>
  <c r="GE56" i="37"/>
  <c r="FD10" i="34"/>
  <c r="FW10" i="34"/>
  <c r="EK63" i="37"/>
  <c r="GG4" i="37"/>
  <c r="FW57" i="37"/>
  <c r="FU10" i="34"/>
  <c r="ES10" i="34"/>
  <c r="EN10" i="34"/>
  <c r="FY10" i="34"/>
  <c r="GA10" i="34"/>
  <c r="ET10" i="34"/>
  <c r="GN10" i="34"/>
  <c r="EQ63" i="37"/>
  <c r="GJ63" i="37"/>
  <c r="GM63" i="37"/>
  <c r="FI63" i="37"/>
  <c r="GN63" i="37"/>
  <c r="FP63" i="37"/>
  <c r="FV63" i="37"/>
  <c r="FY56" i="37"/>
  <c r="EW53" i="37"/>
  <c r="GA53" i="37"/>
  <c r="GE53" i="37"/>
  <c r="FO53" i="37"/>
  <c r="FZ53" i="37"/>
  <c r="FR52" i="37"/>
  <c r="FY59" i="37"/>
  <c r="GF59" i="37"/>
  <c r="EY4" i="37"/>
  <c r="GE10" i="34"/>
  <c r="GB10" i="34"/>
  <c r="EV10" i="34"/>
  <c r="GH10" i="34"/>
  <c r="EZ10" i="34"/>
  <c r="EY10" i="34"/>
  <c r="FB10" i="34"/>
  <c r="EM10" i="34"/>
  <c r="EQ10" i="34"/>
  <c r="FL10" i="34"/>
  <c r="GP10" i="34"/>
  <c r="FE10" i="34"/>
  <c r="GF10" i="34"/>
  <c r="EW10" i="34"/>
  <c r="FM10" i="34"/>
  <c r="GD10" i="34"/>
  <c r="FP10" i="34"/>
  <c r="GO10" i="34"/>
  <c r="FQ10" i="34"/>
  <c r="EX10" i="34"/>
  <c r="FC10" i="34"/>
  <c r="FZ10" i="34"/>
  <c r="FJ10" i="34"/>
  <c r="GK10" i="34"/>
  <c r="GJ10" i="34"/>
  <c r="FR10" i="34"/>
  <c r="FN10" i="34"/>
  <c r="GC10" i="34"/>
  <c r="FS10" i="34"/>
  <c r="FT10" i="34"/>
  <c r="EU10" i="34"/>
  <c r="FO10" i="34"/>
  <c r="FI10" i="34"/>
  <c r="FA10" i="34"/>
  <c r="FV10" i="34"/>
  <c r="GL10" i="34"/>
  <c r="EK10" i="34"/>
  <c r="EP10" i="34"/>
  <c r="FH10" i="34"/>
  <c r="GG10" i="34"/>
  <c r="FX10" i="34"/>
  <c r="ER10" i="34"/>
  <c r="EO10" i="34"/>
  <c r="FK10" i="34"/>
  <c r="EZ4" i="37"/>
  <c r="GE4" i="37"/>
  <c r="FL4" i="37"/>
  <c r="FN4" i="37"/>
  <c r="FC4" i="37"/>
  <c r="EX4" i="37"/>
  <c r="FV4" i="37"/>
  <c r="ES4" i="37"/>
  <c r="FX4" i="37"/>
  <c r="EP4" i="37"/>
  <c r="EQ4" i="37"/>
  <c r="GF4" i="37"/>
  <c r="FU4" i="37"/>
  <c r="GR4" i="37"/>
  <c r="EV4" i="37"/>
  <c r="FD4" i="37"/>
  <c r="FW4" i="37"/>
  <c r="FG4" i="37"/>
  <c r="FM4" i="37"/>
  <c r="FK4" i="37"/>
  <c r="FF4" i="37"/>
  <c r="GL4" i="37"/>
  <c r="GH4" i="37"/>
  <c r="GA4" i="37"/>
  <c r="GP4" i="37"/>
  <c r="EM4" i="37"/>
  <c r="FA4" i="37"/>
  <c r="GM4" i="37"/>
  <c r="FP4" i="37"/>
  <c r="FB4" i="37"/>
  <c r="FS59" i="37"/>
  <c r="GP59" i="37"/>
  <c r="FG59" i="37"/>
  <c r="GH59" i="37"/>
  <c r="EM59" i="37"/>
  <c r="EO59" i="37"/>
  <c r="FF59" i="37"/>
  <c r="GG59" i="37"/>
  <c r="GB59" i="37"/>
  <c r="EL59" i="37"/>
  <c r="EW59" i="37"/>
  <c r="GE59" i="37"/>
  <c r="ES59" i="37"/>
  <c r="FH59" i="37"/>
  <c r="FM59" i="37"/>
  <c r="FO59" i="37"/>
  <c r="EY59" i="37"/>
  <c r="FV59" i="37"/>
  <c r="FX59" i="37"/>
  <c r="FP59" i="37"/>
  <c r="FK59" i="37"/>
  <c r="ET59" i="37"/>
  <c r="FC59" i="37"/>
  <c r="FA59" i="37"/>
  <c r="EK59" i="37"/>
  <c r="ER59" i="37"/>
  <c r="FB59" i="37"/>
  <c r="GA59" i="37"/>
  <c r="GC59" i="37"/>
  <c r="EP59" i="37"/>
  <c r="GD54" i="37"/>
  <c r="FX54" i="37"/>
  <c r="ES54" i="37"/>
  <c r="ER54" i="37"/>
  <c r="FE54" i="37"/>
  <c r="EZ54" i="37"/>
  <c r="GL54" i="37"/>
  <c r="GM54" i="37"/>
  <c r="FC54" i="37"/>
  <c r="GG54" i="37"/>
  <c r="FN54" i="37"/>
  <c r="EP54" i="37"/>
  <c r="EN54" i="37"/>
  <c r="FP54" i="37"/>
  <c r="EV56" i="37"/>
  <c r="FO56" i="37"/>
  <c r="EL56" i="37"/>
  <c r="GJ56" i="37"/>
  <c r="EW56" i="37"/>
  <c r="FX56" i="37"/>
  <c r="GR56" i="37"/>
  <c r="EW52" i="37"/>
  <c r="FE52" i="37"/>
  <c r="EV52" i="37"/>
  <c r="FK52" i="37"/>
  <c r="EK52" i="37"/>
  <c r="GK52" i="37"/>
  <c r="GQ52" i="37"/>
  <c r="GD59" i="37"/>
  <c r="FN59" i="37"/>
  <c r="GM59" i="37"/>
  <c r="GO59" i="37"/>
  <c r="FZ59" i="37"/>
  <c r="FU59" i="37"/>
  <c r="EU59" i="37"/>
  <c r="GK4" i="37"/>
  <c r="GN4" i="37"/>
  <c r="GD4" i="37"/>
  <c r="FE4" i="37"/>
  <c r="GC4" i="37"/>
  <c r="FT4" i="37"/>
  <c r="GI4" i="37"/>
  <c r="FY4" i="37"/>
  <c r="EV58" i="37"/>
  <c r="EL61" i="37"/>
  <c r="GK63" i="37"/>
  <c r="GA63" i="37"/>
  <c r="EL63" i="37"/>
  <c r="FH63" i="37"/>
  <c r="FQ63" i="37"/>
  <c r="GO63" i="37"/>
  <c r="GH63" i="37"/>
  <c r="EW63" i="37"/>
  <c r="GD63" i="37"/>
  <c r="EX63" i="37"/>
  <c r="GB63" i="37"/>
  <c r="FC63" i="37"/>
  <c r="FW63" i="37"/>
  <c r="FE63" i="37"/>
  <c r="GP63" i="37"/>
  <c r="EZ63" i="37"/>
  <c r="GF63" i="37"/>
  <c r="GE63" i="37"/>
  <c r="FA63" i="37"/>
  <c r="ES53" i="37"/>
  <c r="EL53" i="37"/>
  <c r="GC53" i="37"/>
  <c r="ER53" i="37"/>
  <c r="EU53" i="37"/>
  <c r="FR53" i="37"/>
  <c r="FF53" i="37"/>
  <c r="FC53" i="37"/>
  <c r="ET53" i="37"/>
  <c r="GB53" i="37"/>
  <c r="FH53" i="37"/>
  <c r="GP53" i="37"/>
  <c r="FV53" i="37"/>
  <c r="GN53" i="37"/>
  <c r="FJ53" i="37"/>
  <c r="EO53" i="37"/>
  <c r="FK53" i="37"/>
  <c r="GL53" i="37"/>
  <c r="GF53" i="37"/>
  <c r="GG53" i="37"/>
  <c r="GO53" i="37"/>
  <c r="FE53" i="37"/>
  <c r="FG53" i="37"/>
  <c r="FS53" i="37"/>
  <c r="GJ53" i="37"/>
  <c r="FQ53" i="37"/>
  <c r="GK53" i="37"/>
  <c r="GH53" i="37"/>
  <c r="FB53" i="37"/>
  <c r="EM53" i="37"/>
  <c r="EX54" i="37"/>
  <c r="EW54" i="37"/>
  <c r="FZ54" i="37"/>
  <c r="GB54" i="37"/>
  <c r="FR54" i="37"/>
  <c r="FV54" i="37"/>
  <c r="EU54" i="37"/>
  <c r="FL54" i="37"/>
  <c r="FK54" i="37"/>
  <c r="GH54" i="37"/>
  <c r="FG54" i="37"/>
  <c r="FU54" i="37"/>
  <c r="FA54" i="37"/>
  <c r="EM54" i="37"/>
  <c r="FM54" i="37"/>
  <c r="EM63" i="37"/>
  <c r="ES63" i="37"/>
  <c r="FR63" i="37"/>
  <c r="GL63" i="37"/>
  <c r="FG63" i="37"/>
  <c r="GI63" i="37"/>
  <c r="FX63" i="37"/>
  <c r="ET63" i="37"/>
  <c r="FY63" i="37"/>
  <c r="FJ63" i="37"/>
  <c r="GL56" i="37"/>
  <c r="GH56" i="37"/>
  <c r="FZ56" i="37"/>
  <c r="ER56" i="37"/>
  <c r="FH56" i="37"/>
  <c r="EY56" i="37"/>
  <c r="EN56" i="37"/>
  <c r="EZ53" i="37"/>
  <c r="EK53" i="37"/>
  <c r="FN53" i="37"/>
  <c r="GI53" i="37"/>
  <c r="FI53" i="37"/>
  <c r="EN53" i="37"/>
  <c r="EP53" i="37"/>
  <c r="GB52" i="37"/>
  <c r="GN52" i="37"/>
  <c r="FA52" i="37"/>
  <c r="FD52" i="37"/>
  <c r="EM52" i="37"/>
  <c r="GJ52" i="37"/>
  <c r="FQ59" i="37"/>
  <c r="FT59" i="37"/>
  <c r="EZ59" i="37"/>
  <c r="FD59" i="37"/>
  <c r="EV59" i="37"/>
  <c r="GI59" i="37"/>
  <c r="FE59" i="37"/>
  <c r="FW59" i="37"/>
  <c r="EL4" i="37"/>
  <c r="GB4" i="37"/>
  <c r="FS4" i="37"/>
  <c r="ET4" i="37"/>
  <c r="FZ4" i="37"/>
  <c r="EN4" i="37"/>
  <c r="FI4" i="37"/>
  <c r="EN52" i="37"/>
  <c r="GE52" i="37"/>
  <c r="EQ52" i="37"/>
  <c r="GR52" i="37"/>
  <c r="GI52" i="37"/>
  <c r="FL52" i="37"/>
  <c r="FZ52" i="37"/>
  <c r="GD52" i="37"/>
  <c r="FT52" i="37"/>
  <c r="GL52" i="37"/>
  <c r="EP52" i="37"/>
  <c r="FS52" i="37"/>
  <c r="GA52" i="37"/>
  <c r="EZ52" i="37"/>
  <c r="GG52" i="37"/>
  <c r="GM52" i="37"/>
  <c r="GF52" i="37"/>
  <c r="FG52" i="37"/>
  <c r="FF52" i="37"/>
  <c r="GC52" i="37"/>
  <c r="FY52" i="37"/>
  <c r="FP52" i="37"/>
  <c r="FN52" i="37"/>
  <c r="EO52" i="37"/>
  <c r="FW52" i="37"/>
  <c r="ES52" i="37"/>
  <c r="FB52" i="37"/>
  <c r="FX52" i="37"/>
  <c r="EU52" i="37"/>
  <c r="FH52" i="37"/>
  <c r="FQ56" i="37"/>
  <c r="ES56" i="37"/>
  <c r="GQ56" i="37"/>
  <c r="GO56" i="37"/>
  <c r="GF56" i="37"/>
  <c r="FT56" i="37"/>
  <c r="FP56" i="37"/>
  <c r="EM56" i="37"/>
  <c r="FL56" i="37"/>
  <c r="EO56" i="37"/>
  <c r="EU56" i="37"/>
  <c r="GI56" i="37"/>
  <c r="FU56" i="37"/>
  <c r="FG56" i="37"/>
  <c r="FW56" i="37"/>
  <c r="EP56" i="37"/>
  <c r="GM56" i="37"/>
  <c r="FI56" i="37"/>
  <c r="FJ56" i="37"/>
  <c r="FD56" i="37"/>
  <c r="GP56" i="37"/>
  <c r="GB56" i="37"/>
  <c r="GG56" i="37"/>
  <c r="EZ56" i="37"/>
  <c r="FS56" i="37"/>
  <c r="FA56" i="37"/>
  <c r="GC56" i="37"/>
  <c r="GK56" i="37"/>
  <c r="GD56" i="37"/>
  <c r="FB56" i="37"/>
  <c r="GA54" i="37"/>
  <c r="EK54" i="37"/>
  <c r="FO54" i="37"/>
  <c r="FB54" i="37"/>
  <c r="FI54" i="37"/>
  <c r="GF54" i="37"/>
  <c r="GE54" i="37"/>
  <c r="GR54" i="37"/>
  <c r="FD54" i="37"/>
  <c r="EL54" i="37"/>
  <c r="FT54" i="37"/>
  <c r="GI54" i="37"/>
  <c r="FJ54" i="37"/>
  <c r="GQ54" i="37"/>
  <c r="GC54" i="37"/>
  <c r="FR56" i="37"/>
  <c r="FN56" i="37"/>
  <c r="EQ56" i="37"/>
  <c r="FC56" i="37"/>
  <c r="ET56" i="37"/>
  <c r="FV56" i="37"/>
  <c r="GN56" i="37"/>
  <c r="FM56" i="37"/>
  <c r="FJ52" i="37"/>
  <c r="ER52" i="37"/>
  <c r="FU52" i="37"/>
  <c r="FV52" i="37"/>
  <c r="ET52" i="37"/>
  <c r="FQ52" i="37"/>
  <c r="EL52" i="37"/>
  <c r="GH52" i="37"/>
  <c r="GR59" i="37"/>
  <c r="GN59" i="37"/>
  <c r="EN59" i="37"/>
  <c r="FL59" i="37"/>
  <c r="FI59" i="37"/>
  <c r="FR59" i="37"/>
  <c r="EQ59" i="37"/>
  <c r="GQ59" i="37"/>
  <c r="GQ4" i="37"/>
  <c r="EK4" i="37"/>
  <c r="FH4" i="37"/>
  <c r="ER4" i="37"/>
  <c r="EW4" i="37"/>
  <c r="EO4" i="37"/>
  <c r="EU4" i="37"/>
  <c r="FI55" i="37"/>
  <c r="EN57" i="37"/>
  <c r="GD57" i="37"/>
  <c r="FR57" i="37"/>
  <c r="EK61" i="37"/>
  <c r="FT61" i="37"/>
  <c r="FB57" i="37"/>
  <c r="GF57" i="37"/>
  <c r="GE57" i="37"/>
  <c r="GB57" i="37"/>
  <c r="EO57" i="37"/>
  <c r="GG57" i="37"/>
  <c r="FA57" i="37"/>
  <c r="GN57" i="37"/>
  <c r="FE57" i="37"/>
  <c r="FN57" i="37"/>
  <c r="GM57" i="37"/>
  <c r="FQ60" i="37"/>
  <c r="H4" i="37"/>
  <c r="H55" i="37"/>
  <c r="EX61" i="37"/>
  <c r="GQ61" i="37"/>
  <c r="FK61" i="37"/>
  <c r="EL58" i="37"/>
  <c r="H62" i="37"/>
  <c r="FR61" i="37"/>
  <c r="EQ58" i="37"/>
  <c r="H52" i="37"/>
  <c r="H61" i="37"/>
  <c r="GG55" i="37"/>
  <c r="GL61" i="37"/>
  <c r="EW61" i="37"/>
  <c r="GA61" i="37"/>
  <c r="FV58" i="37"/>
  <c r="GB62" i="37"/>
  <c r="FF61" i="37"/>
  <c r="GM61" i="37"/>
  <c r="FH61" i="37"/>
  <c r="GH61" i="37"/>
  <c r="FI58" i="37"/>
  <c r="EK55" i="37"/>
  <c r="H60" i="37"/>
  <c r="FW55" i="37"/>
  <c r="EZ55" i="37"/>
  <c r="FG55" i="37"/>
  <c r="GB55" i="37"/>
  <c r="EQ55" i="37"/>
  <c r="FF55" i="37"/>
  <c r="FC55" i="37"/>
  <c r="FM55" i="37"/>
  <c r="EW55" i="37"/>
  <c r="FU61" i="37"/>
  <c r="FY61" i="37"/>
  <c r="FN61" i="37"/>
  <c r="FE61" i="37"/>
  <c r="ET61" i="37"/>
  <c r="ER55" i="37"/>
  <c r="GJ55" i="37"/>
  <c r="GA55" i="37"/>
  <c r="FM58" i="37"/>
  <c r="H54" i="37"/>
  <c r="EL55" i="37"/>
  <c r="FG58" i="37"/>
  <c r="FT58" i="37"/>
  <c r="GT9" i="34"/>
  <c r="FA55" i="37"/>
  <c r="FM61" i="37"/>
  <c r="ER61" i="37"/>
  <c r="GD61" i="37"/>
  <c r="GK61" i="37"/>
  <c r="GG61" i="37"/>
  <c r="EM61" i="37"/>
  <c r="EO61" i="37"/>
  <c r="FG61" i="37"/>
  <c r="GC61" i="37"/>
  <c r="FS55" i="37"/>
  <c r="FZ55" i="37"/>
  <c r="GL55" i="37"/>
  <c r="FL55" i="37"/>
  <c r="GK55" i="37"/>
  <c r="EY55" i="37"/>
  <c r="GI55" i="37"/>
  <c r="GG58" i="37"/>
  <c r="GK58" i="37"/>
  <c r="GF58" i="37"/>
  <c r="EY58" i="37"/>
  <c r="FM57" i="37"/>
  <c r="EM57" i="37"/>
  <c r="GR57" i="37"/>
  <c r="EV57" i="37"/>
  <c r="FP57" i="37"/>
  <c r="GL57" i="37"/>
  <c r="FZ57" i="37"/>
  <c r="GQ57" i="37"/>
  <c r="GC62" i="37"/>
  <c r="H58" i="37"/>
  <c r="FO61" i="37"/>
  <c r="FP61" i="37"/>
  <c r="FD61" i="37"/>
  <c r="GR61" i="37"/>
  <c r="FA61" i="37"/>
  <c r="FC61" i="37"/>
  <c r="FJ61" i="37"/>
  <c r="GJ61" i="37"/>
  <c r="FI61" i="37"/>
  <c r="EN55" i="37"/>
  <c r="GF55" i="37"/>
  <c r="GP55" i="37"/>
  <c r="FO55" i="37"/>
  <c r="EM55" i="37"/>
  <c r="FQ55" i="37"/>
  <c r="FH55" i="37"/>
  <c r="ET55" i="37"/>
  <c r="GM58" i="37"/>
  <c r="FU58" i="37"/>
  <c r="GH58" i="37"/>
  <c r="ER58" i="37"/>
  <c r="FW62" i="37"/>
  <c r="FY57" i="37"/>
  <c r="FG57" i="37"/>
  <c r="FV57" i="37"/>
  <c r="EX57" i="37"/>
  <c r="EL57" i="37"/>
  <c r="GO57" i="37"/>
  <c r="EU57" i="37"/>
  <c r="H57" i="37"/>
  <c r="FE55" i="37"/>
  <c r="GD55" i="37"/>
  <c r="FJ55" i="37"/>
  <c r="GR55" i="37"/>
  <c r="GN55" i="37"/>
  <c r="FP55" i="37"/>
  <c r="FT55" i="37"/>
  <c r="ES55" i="37"/>
  <c r="FV55" i="37"/>
  <c r="FX55" i="37"/>
  <c r="EU55" i="37"/>
  <c r="GQ55" i="37"/>
  <c r="EO55" i="37"/>
  <c r="EP55" i="37"/>
  <c r="FU62" i="37"/>
  <c r="GG62" i="37"/>
  <c r="FH57" i="37"/>
  <c r="GA57" i="37"/>
  <c r="FJ57" i="37"/>
  <c r="GK57" i="37"/>
  <c r="GI57" i="37"/>
  <c r="EK57" i="37"/>
  <c r="FT57" i="37"/>
  <c r="GH57" i="37"/>
  <c r="ER57" i="37"/>
  <c r="EZ57" i="37"/>
  <c r="GP57" i="37"/>
  <c r="EW57" i="37"/>
  <c r="GJ57" i="37"/>
  <c r="EY57" i="37"/>
  <c r="FD57" i="37"/>
  <c r="FD60" i="37"/>
  <c r="GM62" i="37"/>
  <c r="GJ62" i="37"/>
  <c r="FU55" i="37"/>
  <c r="FK55" i="37"/>
  <c r="EX55" i="37"/>
  <c r="GC55" i="37"/>
  <c r="GO55" i="37"/>
  <c r="FN55" i="37"/>
  <c r="GH55" i="37"/>
  <c r="FR55" i="37"/>
  <c r="GM55" i="37"/>
  <c r="EV55" i="37"/>
  <c r="FY55" i="37"/>
  <c r="FD55" i="37"/>
  <c r="FB55" i="37"/>
  <c r="GE55" i="37"/>
  <c r="FI62" i="37"/>
  <c r="GH62" i="37"/>
  <c r="FQ57" i="37"/>
  <c r="GC57" i="37"/>
  <c r="EQ57" i="37"/>
  <c r="FO57" i="37"/>
  <c r="FI57" i="37"/>
  <c r="ES57" i="37"/>
  <c r="EP57" i="37"/>
  <c r="FU57" i="37"/>
  <c r="FX57" i="37"/>
  <c r="ET57" i="37"/>
  <c r="FC57" i="37"/>
  <c r="FK57" i="37"/>
  <c r="FL57" i="37"/>
  <c r="FS57" i="37"/>
  <c r="H53" i="37"/>
  <c r="EO62" i="37"/>
  <c r="FS62" i="37"/>
  <c r="FL62" i="37"/>
  <c r="FZ60" i="37"/>
  <c r="H56" i="37"/>
  <c r="EX62" i="37"/>
  <c r="EU62" i="37"/>
  <c r="FR62" i="37"/>
  <c r="FH62" i="37"/>
  <c r="EL62" i="37"/>
  <c r="FG62" i="37"/>
  <c r="EP62" i="37"/>
  <c r="FC62" i="37"/>
  <c r="FA62" i="37"/>
  <c r="FY62" i="37"/>
  <c r="FK62" i="37"/>
  <c r="EM62" i="37"/>
  <c r="GQ62" i="37"/>
  <c r="EK62" i="37"/>
  <c r="EV62" i="37"/>
  <c r="GF62" i="37"/>
  <c r="FN62" i="37"/>
  <c r="GI62" i="37"/>
  <c r="GN62" i="37"/>
  <c r="GT7" i="34"/>
  <c r="FF62" i="37"/>
  <c r="EZ62" i="37"/>
  <c r="GO62" i="37"/>
  <c r="GA62" i="37"/>
  <c r="ES62" i="37"/>
  <c r="GE62" i="37"/>
  <c r="FT62" i="37"/>
  <c r="FM62" i="37"/>
  <c r="GL62" i="37"/>
  <c r="FX62" i="37"/>
  <c r="EN62" i="37"/>
  <c r="FB62" i="37"/>
  <c r="FJ62" i="37"/>
  <c r="GK62" i="37"/>
  <c r="FV62" i="37"/>
  <c r="GO60" i="37"/>
  <c r="H59" i="37"/>
  <c r="GD62" i="37"/>
  <c r="FO62" i="37"/>
  <c r="FE62" i="37"/>
  <c r="FP62" i="37"/>
  <c r="FD62" i="37"/>
  <c r="GP62" i="37"/>
  <c r="ET62" i="37"/>
  <c r="FQ62" i="37"/>
  <c r="EW62" i="37"/>
  <c r="EQ62" i="37"/>
  <c r="EY62" i="37"/>
  <c r="GR62" i="37"/>
  <c r="ER62" i="37"/>
  <c r="FZ62" i="37"/>
  <c r="FJ60" i="37"/>
  <c r="EU61" i="37"/>
  <c r="FW61" i="37"/>
  <c r="EP61" i="37"/>
  <c r="GO61" i="37"/>
  <c r="GE61" i="37"/>
  <c r="FV61" i="37"/>
  <c r="GF61" i="37"/>
  <c r="ES61" i="37"/>
  <c r="FB61" i="37"/>
  <c r="GI61" i="37"/>
  <c r="EY61" i="37"/>
  <c r="EN61" i="37"/>
  <c r="EQ61" i="37"/>
  <c r="FQ61" i="37"/>
  <c r="FS61" i="37"/>
  <c r="GR58" i="37"/>
  <c r="EO58" i="37"/>
  <c r="ES58" i="37"/>
  <c r="GI58" i="37"/>
  <c r="FF58" i="37"/>
  <c r="GE58" i="37"/>
  <c r="FZ58" i="37"/>
  <c r="ER60" i="37"/>
  <c r="GC60" i="37"/>
  <c r="GE60" i="37"/>
  <c r="FO60" i="37"/>
  <c r="GN60" i="37"/>
  <c r="EW60" i="37"/>
  <c r="EO60" i="37"/>
  <c r="EZ61" i="37"/>
  <c r="FZ61" i="37"/>
  <c r="GP61" i="37"/>
  <c r="FL61" i="37"/>
  <c r="FX61" i="37"/>
  <c r="EV61" i="37"/>
  <c r="GB61" i="37"/>
  <c r="GN61" i="37"/>
  <c r="FY58" i="37"/>
  <c r="EW58" i="37"/>
  <c r="ET58" i="37"/>
  <c r="FQ58" i="37"/>
  <c r="FX58" i="37"/>
  <c r="EP58" i="37"/>
  <c r="GJ58" i="37"/>
  <c r="EU58" i="37"/>
  <c r="EP60" i="37"/>
  <c r="FU60" i="37"/>
  <c r="FB60" i="37"/>
  <c r="GR60" i="37"/>
  <c r="FT60" i="37"/>
  <c r="GI60" i="37"/>
  <c r="EM60" i="37"/>
  <c r="GK60" i="37"/>
  <c r="GB60" i="37"/>
  <c r="FX60" i="37"/>
  <c r="FW60" i="37"/>
  <c r="GF60" i="37"/>
  <c r="FC60" i="37"/>
  <c r="GD60" i="37"/>
  <c r="FI60" i="37"/>
  <c r="GQ60" i="37"/>
  <c r="EN60" i="37"/>
  <c r="FR60" i="37"/>
  <c r="FE58" i="37"/>
  <c r="FB58" i="37"/>
  <c r="FJ58" i="37"/>
  <c r="FO58" i="37"/>
  <c r="FC58" i="37"/>
  <c r="FK58" i="37"/>
  <c r="FW58" i="37"/>
  <c r="FS58" i="37"/>
  <c r="EX58" i="37"/>
  <c r="GA58" i="37"/>
  <c r="EN58" i="37"/>
  <c r="FP58" i="37"/>
  <c r="GQ58" i="37"/>
  <c r="FH58" i="37"/>
  <c r="FS60" i="37"/>
  <c r="EX60" i="37"/>
  <c r="EY60" i="37"/>
  <c r="ET60" i="37"/>
  <c r="EV60" i="37"/>
  <c r="GM60" i="37"/>
  <c r="FG60" i="37"/>
  <c r="GA60" i="37"/>
  <c r="GP60" i="37"/>
  <c r="GH60" i="37"/>
  <c r="FH60" i="37"/>
  <c r="GJ60" i="37"/>
  <c r="ES60" i="37"/>
  <c r="FY60" i="37"/>
  <c r="GG60" i="37"/>
  <c r="EL60" i="37"/>
  <c r="EZ58" i="37"/>
  <c r="GL58" i="37"/>
  <c r="FD58" i="37"/>
  <c r="FN58" i="37"/>
  <c r="GB58" i="37"/>
  <c r="EM58" i="37"/>
  <c r="FL58" i="37"/>
  <c r="GP58" i="37"/>
  <c r="EK58" i="37"/>
  <c r="FR58" i="37"/>
  <c r="GD58" i="37"/>
  <c r="GN58" i="37"/>
  <c r="GO58" i="37"/>
  <c r="GC58" i="37"/>
  <c r="FA58" i="37"/>
  <c r="FF60" i="37"/>
  <c r="EU60" i="37"/>
  <c r="EK60" i="37"/>
  <c r="FA60" i="37"/>
  <c r="EZ60" i="37"/>
  <c r="FV60" i="37"/>
  <c r="GL60" i="37"/>
  <c r="FE60" i="37"/>
  <c r="EQ60" i="37"/>
  <c r="FP60" i="37"/>
  <c r="FM60" i="37"/>
  <c r="FN60" i="37"/>
  <c r="FL60" i="37"/>
  <c r="FK60" i="37"/>
  <c r="H63" i="37"/>
  <c r="H5" i="34"/>
  <c r="GT6" i="34"/>
  <c r="H16" i="34"/>
  <c r="H8" i="34"/>
  <c r="H7" i="34"/>
  <c r="H6" i="34"/>
  <c r="H12" i="34"/>
  <c r="H4" i="34"/>
  <c r="FZ12" i="34"/>
  <c r="GG12" i="34"/>
  <c r="EQ12" i="34"/>
  <c r="EV12" i="34"/>
  <c r="FO12" i="34"/>
  <c r="GQ12" i="34"/>
  <c r="EU12" i="34"/>
  <c r="GF12" i="34"/>
  <c r="FN12" i="34"/>
  <c r="FE12" i="34"/>
  <c r="FB12" i="34"/>
  <c r="FV12" i="34"/>
  <c r="ER12" i="34"/>
  <c r="FQ12" i="34"/>
  <c r="GK12" i="34"/>
  <c r="EM12" i="34"/>
  <c r="EO12" i="34"/>
  <c r="GE12" i="34"/>
  <c r="FJ12" i="34"/>
  <c r="GN12" i="34"/>
  <c r="GH12" i="34"/>
  <c r="GI12" i="34"/>
  <c r="FK12" i="34"/>
  <c r="EY12" i="34"/>
  <c r="FD12" i="34"/>
  <c r="FP12" i="34"/>
  <c r="EL12" i="34"/>
  <c r="GC12" i="34"/>
  <c r="FS12" i="34"/>
  <c r="GL12" i="34"/>
  <c r="GD12" i="34"/>
  <c r="ES12" i="34"/>
  <c r="FM12" i="34"/>
  <c r="GO12" i="34"/>
  <c r="FG12" i="34"/>
  <c r="FF12" i="34"/>
  <c r="ET12" i="34"/>
  <c r="FX12" i="34"/>
  <c r="FY12" i="34"/>
  <c r="FU12" i="34"/>
  <c r="GJ12" i="34"/>
  <c r="EW12" i="34"/>
  <c r="FH12" i="34"/>
  <c r="GM12" i="34"/>
  <c r="EK12" i="34"/>
  <c r="GA12" i="34"/>
  <c r="FL12" i="34"/>
  <c r="FC12" i="34"/>
  <c r="FT12" i="34"/>
  <c r="EZ12" i="34"/>
  <c r="FW12" i="34"/>
  <c r="EX12" i="34"/>
  <c r="GB12" i="34"/>
  <c r="FR12" i="34"/>
  <c r="FI12" i="34"/>
  <c r="EN12" i="34"/>
  <c r="EP12" i="34"/>
  <c r="GR12" i="34"/>
  <c r="FA12" i="34"/>
  <c r="GP12" i="34"/>
  <c r="H15" i="34"/>
  <c r="EX6" i="34"/>
  <c r="FQ6" i="34"/>
  <c r="FG6" i="34"/>
  <c r="EN6" i="34"/>
  <c r="GC6" i="34"/>
  <c r="EV6" i="34"/>
  <c r="FV6" i="34"/>
  <c r="ER6" i="34"/>
  <c r="GP6" i="34"/>
  <c r="FB6" i="34"/>
  <c r="GN6" i="34"/>
  <c r="GD6" i="34"/>
  <c r="GK6" i="34"/>
  <c r="FC6" i="34"/>
  <c r="GB6" i="34"/>
  <c r="GE6" i="34"/>
  <c r="FW6" i="34"/>
  <c r="EU6" i="34"/>
  <c r="FA6" i="34"/>
  <c r="FM6" i="34"/>
  <c r="EM6" i="34"/>
  <c r="FN6" i="34"/>
  <c r="FR6" i="34"/>
  <c r="GQ6" i="34"/>
  <c r="FL6" i="34"/>
  <c r="FS6" i="34"/>
  <c r="EO6" i="34"/>
  <c r="FF6" i="34"/>
  <c r="GL6" i="34"/>
  <c r="EK6" i="34"/>
  <c r="FP6" i="34"/>
  <c r="EL6" i="34"/>
  <c r="EW6" i="34"/>
  <c r="FY6" i="34"/>
  <c r="FO6" i="34"/>
  <c r="FI6" i="34"/>
  <c r="GA6" i="34"/>
  <c r="FX6" i="34"/>
  <c r="GR6" i="34"/>
  <c r="FH6" i="34"/>
  <c r="EZ6" i="34"/>
  <c r="GM6" i="34"/>
  <c r="GI6" i="34"/>
  <c r="EQ6" i="34"/>
  <c r="EP6" i="34"/>
  <c r="FZ6" i="34"/>
  <c r="GO6" i="34"/>
  <c r="FU6" i="34"/>
  <c r="EY6" i="34"/>
  <c r="GF6" i="34"/>
  <c r="ES6" i="34"/>
  <c r="GG6" i="34"/>
  <c r="ET6" i="34"/>
  <c r="FT6" i="34"/>
  <c r="FJ6" i="34"/>
  <c r="GH6" i="34"/>
  <c r="GJ6" i="34"/>
  <c r="FK6" i="34"/>
  <c r="FE6" i="34"/>
  <c r="FD6" i="34"/>
  <c r="H13" i="34"/>
  <c r="H9" i="34"/>
  <c r="H14" i="34"/>
  <c r="H11" i="34"/>
  <c r="FA9" i="34"/>
  <c r="GH9" i="34"/>
  <c r="FY9" i="34"/>
  <c r="GD9" i="34"/>
  <c r="FR9" i="34"/>
  <c r="FG9" i="34"/>
  <c r="FM9" i="34"/>
  <c r="FC9" i="34"/>
  <c r="FT9" i="34"/>
  <c r="FQ9" i="34"/>
  <c r="FX9" i="34"/>
  <c r="FZ9" i="34"/>
  <c r="EO9" i="34"/>
  <c r="EY9" i="34"/>
  <c r="GL9" i="34"/>
  <c r="GK9" i="34"/>
  <c r="EZ9" i="34"/>
  <c r="ET9" i="34"/>
  <c r="GN9" i="34"/>
  <c r="FV9" i="34"/>
  <c r="FP9" i="34"/>
  <c r="GG9" i="34"/>
  <c r="EX9" i="34"/>
  <c r="FL9" i="34"/>
  <c r="GI9" i="34"/>
  <c r="GB9" i="34"/>
  <c r="GF9" i="34"/>
  <c r="FJ9" i="34"/>
  <c r="GQ9" i="34"/>
  <c r="GE9" i="34"/>
  <c r="GR9" i="34"/>
  <c r="EN9" i="34"/>
  <c r="EV9" i="34"/>
  <c r="FI9" i="34"/>
  <c r="GA9" i="34"/>
  <c r="EW9" i="34"/>
  <c r="GJ9" i="34"/>
  <c r="FK9" i="34"/>
  <c r="EK9" i="34"/>
  <c r="FS9" i="34"/>
  <c r="GM9" i="34"/>
  <c r="FD9" i="34"/>
  <c r="ES9" i="34"/>
  <c r="FU9" i="34"/>
  <c r="GO9" i="34"/>
  <c r="GC9" i="34"/>
  <c r="FW9" i="34"/>
  <c r="FF9" i="34"/>
  <c r="EQ9" i="34"/>
  <c r="EL9" i="34"/>
  <c r="EU9" i="34"/>
  <c r="FO9" i="34"/>
  <c r="FN9" i="34"/>
  <c r="EP9" i="34"/>
  <c r="FB9" i="34"/>
  <c r="GP9" i="34"/>
  <c r="ER9" i="34"/>
  <c r="EM9" i="34"/>
  <c r="FH9" i="34"/>
  <c r="FE9" i="34"/>
  <c r="FB7" i="34"/>
  <c r="FC7" i="34"/>
  <c r="EN7" i="34"/>
  <c r="GD7" i="34"/>
  <c r="GA7" i="34"/>
  <c r="FZ7" i="34"/>
  <c r="GB7" i="34"/>
  <c r="EM7" i="34"/>
  <c r="FJ7" i="34"/>
  <c r="FW7" i="34"/>
  <c r="FH7" i="34"/>
  <c r="GG7" i="34"/>
  <c r="FI7" i="34"/>
  <c r="GK7" i="34"/>
  <c r="FR7" i="34"/>
  <c r="EZ7" i="34"/>
  <c r="FU7" i="34"/>
  <c r="EL7" i="34"/>
  <c r="GN7" i="34"/>
  <c r="FT7" i="34"/>
  <c r="EP7" i="34"/>
  <c r="GQ7" i="34"/>
  <c r="EW7" i="34"/>
  <c r="EQ7" i="34"/>
  <c r="EX7" i="34"/>
  <c r="GP7" i="34"/>
  <c r="FO7" i="34"/>
  <c r="FS7" i="34"/>
  <c r="GF7" i="34"/>
  <c r="GE7" i="34"/>
  <c r="GL7" i="34"/>
  <c r="ET7" i="34"/>
  <c r="FD7" i="34"/>
  <c r="FY7" i="34"/>
  <c r="FA7" i="34"/>
  <c r="FM7" i="34"/>
  <c r="GO7" i="34"/>
  <c r="FV7" i="34"/>
  <c r="GH7" i="34"/>
  <c r="EU7" i="34"/>
  <c r="GR7" i="34"/>
  <c r="FX7" i="34"/>
  <c r="GM7" i="34"/>
  <c r="FE7" i="34"/>
  <c r="FL7" i="34"/>
  <c r="GI7" i="34"/>
  <c r="ER7" i="34"/>
  <c r="FK7" i="34"/>
  <c r="EY7" i="34"/>
  <c r="FN7" i="34"/>
  <c r="EV7" i="34"/>
  <c r="GJ7" i="34"/>
  <c r="ES7" i="34"/>
  <c r="EK7" i="34"/>
  <c r="FQ7" i="34"/>
  <c r="FF7" i="34"/>
  <c r="GC7" i="34"/>
  <c r="EO7" i="34"/>
  <c r="FP7" i="34"/>
  <c r="FG7" i="34"/>
  <c r="EW14" i="34"/>
  <c r="EO14" i="34"/>
  <c r="GB14" i="34"/>
  <c r="FI14" i="34"/>
  <c r="FQ14" i="34"/>
  <c r="ET14" i="34"/>
  <c r="GL14" i="34"/>
  <c r="EP14" i="34"/>
  <c r="FO14" i="34"/>
  <c r="ES14" i="34"/>
  <c r="GQ14" i="34"/>
  <c r="EZ14" i="34"/>
  <c r="FX14" i="34"/>
  <c r="FD14" i="34"/>
  <c r="GI14" i="34"/>
  <c r="GK14" i="34"/>
  <c r="FR14" i="34"/>
  <c r="FY14" i="34"/>
  <c r="GD14" i="34"/>
  <c r="EU14" i="34"/>
  <c r="FK14" i="34"/>
  <c r="ER14" i="34"/>
  <c r="EQ14" i="34"/>
  <c r="GC14" i="34"/>
  <c r="GH14" i="34"/>
  <c r="GN14" i="34"/>
  <c r="EM14" i="34"/>
  <c r="FC14" i="34"/>
  <c r="FU14" i="34"/>
  <c r="GE14" i="34"/>
  <c r="GR14" i="34"/>
  <c r="EL14" i="34"/>
  <c r="FA14" i="34"/>
  <c r="FZ14" i="34"/>
  <c r="EK14" i="34"/>
  <c r="FM14" i="34"/>
  <c r="FH14" i="34"/>
  <c r="FF14" i="34"/>
  <c r="EX14" i="34"/>
  <c r="FJ14" i="34"/>
  <c r="FS14" i="34"/>
  <c r="FV14" i="34"/>
  <c r="FT14" i="34"/>
  <c r="EV14" i="34"/>
  <c r="GO14" i="34"/>
  <c r="GF14" i="34"/>
  <c r="FB14" i="34"/>
  <c r="EY14" i="34"/>
  <c r="FW14" i="34"/>
  <c r="GA14" i="34"/>
  <c r="GM14" i="34"/>
  <c r="FP14" i="34"/>
  <c r="GP14" i="34"/>
  <c r="EN14" i="34"/>
  <c r="FN14" i="34"/>
  <c r="GG14" i="34"/>
  <c r="FG14" i="34"/>
  <c r="FL14" i="34"/>
  <c r="GJ14" i="34"/>
  <c r="FE14" i="34"/>
  <c r="EL16" i="34"/>
  <c r="GF16" i="34"/>
  <c r="FU16" i="34"/>
  <c r="GQ16" i="34"/>
  <c r="GC16" i="34"/>
  <c r="GL16" i="34"/>
  <c r="EQ16" i="34"/>
  <c r="GJ16" i="34"/>
  <c r="FY16" i="34"/>
  <c r="FD16" i="34"/>
  <c r="FF16" i="34"/>
  <c r="GB16" i="34"/>
  <c r="GE16" i="34"/>
  <c r="FE16" i="34"/>
  <c r="GP16" i="34"/>
  <c r="EZ16" i="34"/>
  <c r="EX16" i="34"/>
  <c r="GR16" i="34"/>
  <c r="FA16" i="34"/>
  <c r="FO16" i="34"/>
  <c r="EK16" i="34"/>
  <c r="FG16" i="34"/>
  <c r="EY16" i="34"/>
  <c r="EU16" i="34"/>
  <c r="FL16" i="34"/>
  <c r="FX16" i="34"/>
  <c r="EN16" i="34"/>
  <c r="GH16" i="34"/>
  <c r="ER16" i="34"/>
  <c r="GA16" i="34"/>
  <c r="FS16" i="34"/>
  <c r="FB16" i="34"/>
  <c r="EM16" i="34"/>
  <c r="FW16" i="34"/>
  <c r="FH16" i="34"/>
  <c r="FJ16" i="34"/>
  <c r="GD16" i="34"/>
  <c r="FI16" i="34"/>
  <c r="FK16" i="34"/>
  <c r="EV16" i="34"/>
  <c r="FZ16" i="34"/>
  <c r="EP16" i="34"/>
  <c r="FV16" i="34"/>
  <c r="FP16" i="34"/>
  <c r="GK16" i="34"/>
  <c r="GN16" i="34"/>
  <c r="FQ16" i="34"/>
  <c r="FM16" i="34"/>
  <c r="GI16" i="34"/>
  <c r="FC16" i="34"/>
  <c r="ET16" i="34"/>
  <c r="FR16" i="34"/>
  <c r="GG16" i="34"/>
  <c r="FN16" i="34"/>
  <c r="ES16" i="34"/>
  <c r="FT16" i="34"/>
  <c r="GM16" i="34"/>
  <c r="GO16" i="34"/>
  <c r="EO16" i="34"/>
  <c r="EW16" i="34"/>
  <c r="ET5" i="34"/>
  <c r="FD5" i="34"/>
  <c r="GE5" i="34"/>
  <c r="GG5" i="34"/>
  <c r="GQ5" i="34"/>
  <c r="EL5" i="34"/>
  <c r="FR5" i="34"/>
  <c r="FH5" i="34"/>
  <c r="FL5" i="34"/>
  <c r="FF5" i="34"/>
  <c r="GJ5" i="34"/>
  <c r="GP5" i="34"/>
  <c r="EN5" i="34"/>
  <c r="GK5" i="34"/>
  <c r="GB5" i="34"/>
  <c r="FK5" i="34"/>
  <c r="FY5" i="34"/>
  <c r="ES5" i="34"/>
  <c r="FW5" i="34"/>
  <c r="EW5" i="34"/>
  <c r="GI5" i="34"/>
  <c r="GL5" i="34"/>
  <c r="EQ5" i="34"/>
  <c r="FQ5" i="34"/>
  <c r="FT5" i="34"/>
  <c r="EV5" i="34"/>
  <c r="GO5" i="34"/>
  <c r="FM5" i="34"/>
  <c r="GR5" i="34"/>
  <c r="FP5" i="34"/>
  <c r="GM5" i="34"/>
  <c r="EU5" i="34"/>
  <c r="FE5" i="34"/>
  <c r="EP5" i="34"/>
  <c r="FU5" i="34"/>
  <c r="GH5" i="34"/>
  <c r="FA5" i="34"/>
  <c r="GA5" i="34"/>
  <c r="EO5" i="34"/>
  <c r="FI5" i="34"/>
  <c r="FJ5" i="34"/>
  <c r="EK5" i="34"/>
  <c r="FZ5" i="34"/>
  <c r="FN5" i="34"/>
  <c r="GD5" i="34"/>
  <c r="FO5" i="34"/>
  <c r="FB5" i="34"/>
  <c r="FX5" i="34"/>
  <c r="EY5" i="34"/>
  <c r="FS5" i="34"/>
  <c r="GF5" i="34"/>
  <c r="FG5" i="34"/>
  <c r="GN5" i="34"/>
  <c r="GC5" i="34"/>
  <c r="EZ5" i="34"/>
  <c r="EM5" i="34"/>
  <c r="FC5" i="34"/>
  <c r="FV5" i="34"/>
  <c r="ER5" i="34"/>
  <c r="EX5" i="34"/>
  <c r="GN11" i="34"/>
  <c r="FZ11" i="34"/>
  <c r="EY11" i="34"/>
  <c r="FD11" i="34"/>
  <c r="FH11" i="34"/>
  <c r="FM11" i="34"/>
  <c r="ES11" i="34"/>
  <c r="ET11" i="34"/>
  <c r="EK11" i="34"/>
  <c r="GG11" i="34"/>
  <c r="GF11" i="34"/>
  <c r="GE11" i="34"/>
  <c r="FL11" i="34"/>
  <c r="FE11" i="34"/>
  <c r="GQ11" i="34"/>
  <c r="GL11" i="34"/>
  <c r="FX11" i="34"/>
  <c r="GC11" i="34"/>
  <c r="GP11" i="34"/>
  <c r="EP11" i="34"/>
  <c r="GO11" i="34"/>
  <c r="FC11" i="34"/>
  <c r="GD11" i="34"/>
  <c r="FP11" i="34"/>
  <c r="EQ11" i="34"/>
  <c r="FU11" i="34"/>
  <c r="FG11" i="34"/>
  <c r="EW11" i="34"/>
  <c r="FY11" i="34"/>
  <c r="GH11" i="34"/>
  <c r="GB11" i="34"/>
  <c r="FS11" i="34"/>
  <c r="FQ11" i="34"/>
  <c r="GI11" i="34"/>
  <c r="FF11" i="34"/>
  <c r="GM11" i="34"/>
  <c r="FB11" i="34"/>
  <c r="EO11" i="34"/>
  <c r="EX11" i="34"/>
  <c r="FR11" i="34"/>
  <c r="ER11" i="34"/>
  <c r="GJ11" i="34"/>
  <c r="EU11" i="34"/>
  <c r="EZ11" i="34"/>
  <c r="EL11" i="34"/>
  <c r="GK11" i="34"/>
  <c r="FA11" i="34"/>
  <c r="GR11" i="34"/>
  <c r="FO11" i="34"/>
  <c r="EN11" i="34"/>
  <c r="EV11" i="34"/>
  <c r="GA11" i="34"/>
  <c r="FV11" i="34"/>
  <c r="EM11" i="34"/>
  <c r="FI11" i="34"/>
  <c r="FN11" i="34"/>
  <c r="FT11" i="34"/>
  <c r="FK11" i="34"/>
  <c r="FW11" i="34"/>
  <c r="FJ11" i="34"/>
  <c r="GT8" i="34"/>
  <c r="EY8" i="34"/>
  <c r="FU8" i="34"/>
  <c r="GC8" i="34"/>
  <c r="GD8" i="34"/>
  <c r="FZ8" i="34"/>
  <c r="GQ8" i="34"/>
  <c r="GK8" i="34"/>
  <c r="EP8" i="34"/>
  <c r="EL8" i="34"/>
  <c r="FI8" i="34"/>
  <c r="EX8" i="34"/>
  <c r="EV8" i="34"/>
  <c r="GG8" i="34"/>
  <c r="FO8" i="34"/>
  <c r="GB8" i="34"/>
  <c r="ES8" i="34"/>
  <c r="FX8" i="34"/>
  <c r="ER8" i="34"/>
  <c r="FB8" i="34"/>
  <c r="EQ8" i="34"/>
  <c r="FC8" i="34"/>
  <c r="FH8" i="34"/>
  <c r="GP8" i="34"/>
  <c r="FV8" i="34"/>
  <c r="FL8" i="34"/>
  <c r="GO8" i="34"/>
  <c r="EN8" i="34"/>
  <c r="FP8" i="34"/>
  <c r="FG8" i="34"/>
  <c r="GI8" i="34"/>
  <c r="GF8" i="34"/>
  <c r="GL8" i="34"/>
  <c r="EO8" i="34"/>
  <c r="EM8" i="34"/>
  <c r="FN8" i="34"/>
  <c r="FJ8" i="34"/>
  <c r="FR8" i="34"/>
  <c r="GH8" i="34"/>
  <c r="FQ8" i="34"/>
  <c r="FM8" i="34"/>
  <c r="GA8" i="34"/>
  <c r="EU8" i="34"/>
  <c r="FD8" i="34"/>
  <c r="FW8" i="34"/>
  <c r="GM8" i="34"/>
  <c r="FA8" i="34"/>
  <c r="GR8" i="34"/>
  <c r="FY8" i="34"/>
  <c r="ET8" i="34"/>
  <c r="FS8" i="34"/>
  <c r="EW8" i="34"/>
  <c r="GE8" i="34"/>
  <c r="FK8" i="34"/>
  <c r="GN8" i="34"/>
  <c r="GJ8" i="34"/>
  <c r="EZ8" i="34"/>
  <c r="FE8" i="34"/>
  <c r="EK8" i="34"/>
  <c r="FT8" i="34"/>
  <c r="FF8" i="34"/>
  <c r="FL13" i="34"/>
  <c r="EL13" i="34"/>
  <c r="EN13" i="34"/>
  <c r="FZ13" i="34"/>
  <c r="FW13" i="34"/>
  <c r="FV13" i="34"/>
  <c r="GF13" i="34"/>
  <c r="GP13" i="34"/>
  <c r="EU13" i="34"/>
  <c r="FK13" i="34"/>
  <c r="FX13" i="34"/>
  <c r="FJ13" i="34"/>
  <c r="FS13" i="34"/>
  <c r="FY13" i="34"/>
  <c r="FI13" i="34"/>
  <c r="FR13" i="34"/>
  <c r="FA13" i="34"/>
  <c r="GL13" i="34"/>
  <c r="GB13" i="34"/>
  <c r="FU13" i="34"/>
  <c r="EX13" i="34"/>
  <c r="EQ13" i="34"/>
  <c r="ES13" i="34"/>
  <c r="FG13" i="34"/>
  <c r="FM13" i="34"/>
  <c r="GQ13" i="34"/>
  <c r="GM13" i="34"/>
  <c r="FD13" i="34"/>
  <c r="FQ13" i="34"/>
  <c r="GH13" i="34"/>
  <c r="GO13" i="34"/>
  <c r="EW13" i="34"/>
  <c r="GD13" i="34"/>
  <c r="EO13" i="34"/>
  <c r="FE13" i="34"/>
  <c r="FH13" i="34"/>
  <c r="EV13" i="34"/>
  <c r="EY13" i="34"/>
  <c r="GJ13" i="34"/>
  <c r="EM13" i="34"/>
  <c r="GI13" i="34"/>
  <c r="FN13" i="34"/>
  <c r="GN13" i="34"/>
  <c r="FP13" i="34"/>
  <c r="GG13" i="34"/>
  <c r="EZ13" i="34"/>
  <c r="GR13" i="34"/>
  <c r="EP13" i="34"/>
  <c r="ER13" i="34"/>
  <c r="FB13" i="34"/>
  <c r="GK13" i="34"/>
  <c r="ET13" i="34"/>
  <c r="FF13" i="34"/>
  <c r="FO13" i="34"/>
  <c r="FC13" i="34"/>
  <c r="GE13" i="34"/>
  <c r="FT13" i="34"/>
  <c r="EK13" i="34"/>
  <c r="GA13" i="34"/>
  <c r="GC13" i="34"/>
  <c r="FK15" i="34"/>
  <c r="FM15" i="34"/>
  <c r="EY15" i="34"/>
  <c r="FN15" i="34"/>
  <c r="GJ15" i="34"/>
  <c r="FJ15" i="34"/>
  <c r="FS15" i="34"/>
  <c r="FB15" i="34"/>
  <c r="GH15" i="34"/>
  <c r="EU15" i="34"/>
  <c r="EM15" i="34"/>
  <c r="EN15" i="34"/>
  <c r="FU15" i="34"/>
  <c r="EV15" i="34"/>
  <c r="GP15" i="34"/>
  <c r="EO15" i="34"/>
  <c r="GL15" i="34"/>
  <c r="GC15" i="34"/>
  <c r="FT15" i="34"/>
  <c r="FA15" i="34"/>
  <c r="GQ15" i="34"/>
  <c r="FG15" i="34"/>
  <c r="FO15" i="34"/>
  <c r="FW15" i="34"/>
  <c r="GD15" i="34"/>
  <c r="GR15" i="34"/>
  <c r="FI15" i="34"/>
  <c r="FZ15" i="34"/>
  <c r="GN15" i="34"/>
  <c r="FR15" i="34"/>
  <c r="ER15" i="34"/>
  <c r="EP15" i="34"/>
  <c r="FF15" i="34"/>
  <c r="GK15" i="34"/>
  <c r="FE15" i="34"/>
  <c r="GG15" i="34"/>
  <c r="FP15" i="34"/>
  <c r="GI15" i="34"/>
  <c r="EW15" i="34"/>
  <c r="EZ15" i="34"/>
  <c r="FY15" i="34"/>
  <c r="FH15" i="34"/>
  <c r="GM15" i="34"/>
  <c r="EK15" i="34"/>
  <c r="EL15" i="34"/>
  <c r="FX15" i="34"/>
  <c r="GF15" i="34"/>
  <c r="EQ15" i="34"/>
  <c r="GE15" i="34"/>
  <c r="FD15" i="34"/>
  <c r="ES15" i="34"/>
  <c r="GB15" i="34"/>
  <c r="FQ15" i="34"/>
  <c r="FV15" i="34"/>
  <c r="FC15" i="34"/>
  <c r="ET15" i="34"/>
  <c r="GO15" i="34"/>
  <c r="EX15" i="34"/>
  <c r="FL15" i="34"/>
  <c r="GA15" i="34"/>
  <c r="FQ4" i="34"/>
  <c r="GL4" i="34"/>
  <c r="EY4" i="34"/>
  <c r="FE4" i="34"/>
  <c r="GK4" i="34"/>
  <c r="FD4" i="34"/>
  <c r="EL4" i="34"/>
  <c r="FG4" i="34"/>
  <c r="FP4" i="34"/>
  <c r="FB4" i="34"/>
  <c r="FV4" i="34"/>
  <c r="EZ4" i="34"/>
  <c r="GF4" i="34"/>
  <c r="EQ4" i="34"/>
  <c r="FW4" i="34"/>
  <c r="GB4" i="34"/>
  <c r="GR4" i="34"/>
  <c r="FM4" i="34"/>
  <c r="GG4" i="34"/>
  <c r="FI4" i="34"/>
  <c r="GC4" i="34"/>
  <c r="FC4" i="34"/>
  <c r="EN4" i="34"/>
  <c r="FT4" i="34"/>
  <c r="GM4" i="34"/>
  <c r="ER4" i="34"/>
  <c r="GN4" i="34"/>
  <c r="EP4" i="34"/>
  <c r="FX4" i="34"/>
  <c r="EW4" i="34"/>
  <c r="FZ4" i="34"/>
  <c r="GD4" i="34"/>
  <c r="FR4" i="34"/>
  <c r="FS4" i="34"/>
  <c r="GH4" i="34"/>
  <c r="FU4" i="34"/>
  <c r="FA4" i="34"/>
  <c r="ET4" i="34"/>
  <c r="EX4" i="34"/>
  <c r="GJ4" i="34"/>
  <c r="GE4" i="34"/>
  <c r="EO4" i="34"/>
  <c r="FJ4" i="34"/>
  <c r="FF4" i="34"/>
  <c r="FL4" i="34"/>
  <c r="EV4" i="34"/>
  <c r="GI4" i="34"/>
  <c r="GP4" i="34"/>
  <c r="EM4" i="34"/>
  <c r="FN4" i="34"/>
  <c r="FY4" i="34"/>
  <c r="FO4" i="34"/>
  <c r="FH4" i="34"/>
  <c r="FK4" i="34"/>
  <c r="EU4" i="34"/>
  <c r="ES4" i="34"/>
  <c r="EK4" i="34"/>
  <c r="GQ4" i="34"/>
  <c r="GA4" i="34"/>
  <c r="GO4" i="34"/>
</calcChain>
</file>

<file path=xl/comments1.xml><?xml version="1.0" encoding="utf-8"?>
<comments xmlns="http://schemas.openxmlformats.org/spreadsheetml/2006/main">
  <authors>
    <author>Kostmann, Petter</author>
  </authors>
  <commentList>
    <comment ref="P4" authorId="0" shapeId="0">
      <text>
        <r>
          <rPr>
            <b/>
            <sz val="9"/>
            <color indexed="81"/>
            <rFont val="Tahoma"/>
            <family val="2"/>
          </rPr>
          <t>Kostmann, Petter:</t>
        </r>
        <r>
          <rPr>
            <sz val="9"/>
            <color indexed="81"/>
            <rFont val="Tahoma"/>
            <family val="2"/>
          </rPr>
          <t xml:space="preserve">
</t>
        </r>
        <r>
          <rPr>
            <b/>
            <sz val="9"/>
            <color indexed="81"/>
            <rFont val="Tahoma"/>
            <family val="2"/>
          </rPr>
          <t xml:space="preserve">Normal segling  </t>
        </r>
        <r>
          <rPr>
            <i/>
            <sz val="9"/>
            <color indexed="81"/>
            <rFont val="Tahoma"/>
            <family val="2"/>
          </rPr>
          <t>(rekommenderat för max 25 seglare)</t>
        </r>
        <r>
          <rPr>
            <b/>
            <sz val="9"/>
            <color indexed="81"/>
            <rFont val="Tahoma"/>
            <family val="2"/>
          </rPr>
          <t xml:space="preserve">
</t>
        </r>
        <r>
          <rPr>
            <sz val="9"/>
            <color indexed="81"/>
            <rFont val="Tahoma"/>
            <family val="2"/>
          </rPr>
          <t>Innebär segling i en grupp med borträkning vart fjärde race. Lämpligt för max 25 seglare.</t>
        </r>
        <r>
          <rPr>
            <b/>
            <sz val="9"/>
            <color indexed="81"/>
            <rFont val="Tahoma"/>
            <family val="2"/>
          </rPr>
          <t xml:space="preserve">
Heatsegling  </t>
        </r>
        <r>
          <rPr>
            <i/>
            <sz val="9"/>
            <color indexed="81"/>
            <rFont val="Tahoma"/>
            <family val="2"/>
          </rPr>
          <t>(rekommenderat för 20-50 deltagare)</t>
        </r>
        <r>
          <rPr>
            <b/>
            <sz val="9"/>
            <color indexed="81"/>
            <rFont val="Tahoma"/>
            <family val="2"/>
          </rPr>
          <t xml:space="preserve">
</t>
        </r>
        <r>
          <rPr>
            <sz val="9"/>
            <color indexed="81"/>
            <rFont val="Tahoma"/>
            <family val="2"/>
          </rPr>
          <t>Innebär segling i tre eller fyra grupper två seglar och de andra vilar enl. ett system som visas till höger om denna ruta när detta förkryssats. Borträkning görs med vart fjärde race, men resultatet måste räknas på ett jämt antal omgångar. Lämpligt för ca 20-50 seglare.</t>
        </r>
        <r>
          <rPr>
            <b/>
            <sz val="9"/>
            <color indexed="81"/>
            <rFont val="Tahoma"/>
            <family val="2"/>
          </rPr>
          <t xml:space="preserve">
Gruppsegling  </t>
        </r>
        <r>
          <rPr>
            <i/>
            <sz val="9"/>
            <color indexed="81"/>
            <rFont val="Tahoma"/>
            <family val="2"/>
          </rPr>
          <t>(rekommenderat för 20-50 deltagare)</t>
        </r>
        <r>
          <rPr>
            <b/>
            <sz val="9"/>
            <color indexed="81"/>
            <rFont val="Tahoma"/>
            <family val="2"/>
          </rPr>
          <t xml:space="preserve">
</t>
        </r>
        <r>
          <rPr>
            <sz val="9"/>
            <color indexed="81"/>
            <rFont val="Tahoma"/>
            <family val="2"/>
          </rPr>
          <t xml:space="preserve">Innebär segling i 2 fleets med gemensam resultatlista.  Vill man byta grupper ex. till nästa dag över en helgtävling får man spara ner och börja om en ny fil till dag två. OBS. Detta seglingsläge är ännu inte testat och under utveckling.
</t>
        </r>
      </text>
    </comment>
  </commentList>
</comments>
</file>

<file path=xl/sharedStrings.xml><?xml version="1.0" encoding="utf-8"?>
<sst xmlns="http://schemas.openxmlformats.org/spreadsheetml/2006/main" count="873" uniqueCount="119">
  <si>
    <t>PLATS</t>
  </si>
  <si>
    <t>NAMN</t>
  </si>
  <si>
    <t>Klubb</t>
  </si>
  <si>
    <t>KLUBB</t>
  </si>
  <si>
    <t>SEGEL Nr.</t>
  </si>
  <si>
    <t>DNF</t>
  </si>
  <si>
    <t>DSQ</t>
  </si>
  <si>
    <t>Grupp</t>
  </si>
  <si>
    <t>Deltagarlista</t>
  </si>
  <si>
    <t>Sid 1</t>
  </si>
  <si>
    <t>Sid 2</t>
  </si>
  <si>
    <t>NATION</t>
  </si>
  <si>
    <t>Nation</t>
  </si>
  <si>
    <t>NETTO</t>
  </si>
  <si>
    <t>RESULTAT</t>
  </si>
  <si>
    <t>Antal seglade race:</t>
  </si>
  <si>
    <t>.</t>
  </si>
  <si>
    <t>Tävling:</t>
  </si>
  <si>
    <t>Arrangör:</t>
  </si>
  <si>
    <t>Plats:</t>
  </si>
  <si>
    <t>Rankingplats</t>
  </si>
  <si>
    <t>Bland tävlande</t>
  </si>
  <si>
    <t>Arbetsgång</t>
  </si>
  <si>
    <t>Spara filen separat med tävlingens namn</t>
  </si>
  <si>
    <t>Fyll på deltagarlistan med tävlande</t>
  </si>
  <si>
    <t>Fyll i uppgifter om tävlingen</t>
  </si>
  <si>
    <t>Uppdatera om så behövs filen med den senaste DF-rankingen</t>
  </si>
  <si>
    <t>Skriv ut deltagarlistan, börja med att välja korrekt utskriftsområde</t>
  </si>
  <si>
    <t>Arrangörslista</t>
  </si>
  <si>
    <t>Resultatlista</t>
  </si>
  <si>
    <t>Skriv ut arrangörslistan, börja med att välja korrekt utskriftsområde</t>
  </si>
  <si>
    <t>INSTRUKTION</t>
  </si>
  <si>
    <t>Minsta res.</t>
  </si>
  <si>
    <t xml:space="preserve">näst minsta </t>
  </si>
  <si>
    <t>osv.</t>
  </si>
  <si>
    <t>antal tävlande</t>
  </si>
  <si>
    <t>resultat utan bokstäver</t>
  </si>
  <si>
    <t>Borträkning</t>
  </si>
  <si>
    <t>Deltagande</t>
  </si>
  <si>
    <t>Tävlingsform:</t>
  </si>
  <si>
    <t>2/3 av racen, det man max kan delta i</t>
  </si>
  <si>
    <t>Antal seglingar per delt</t>
  </si>
  <si>
    <t>0 om någon seglat mer än 2/3</t>
  </si>
  <si>
    <t>sista plac</t>
  </si>
  <si>
    <t>PLACERING</t>
  </si>
  <si>
    <t>Sid 3</t>
  </si>
  <si>
    <t>Sid 4</t>
  </si>
  <si>
    <t>Enbart till heatsegling:</t>
  </si>
  <si>
    <t>Kontroll om någon som inte finns i deltagarlistan registrerats:</t>
  </si>
  <si>
    <t>Kontroll om någon seglat för många seglingar:</t>
  </si>
  <si>
    <t>Ska vara 60:</t>
  </si>
  <si>
    <t>Fel eller ej</t>
  </si>
  <si>
    <r>
      <t xml:space="preserve">Datum:                </t>
    </r>
    <r>
      <rPr>
        <sz val="10"/>
        <rFont val="Helv"/>
      </rPr>
      <t>(ååmmdd)</t>
    </r>
  </si>
  <si>
    <t>Sista race grupp</t>
  </si>
  <si>
    <t>Seglade sista</t>
  </si>
  <si>
    <t xml:space="preserve"> </t>
  </si>
  <si>
    <t>Bara för heatsegling:</t>
  </si>
  <si>
    <t>Endast för heatsegling:</t>
  </si>
  <si>
    <t>Kontroll om någon seglar i fel heat:</t>
  </si>
  <si>
    <t>delt.</t>
  </si>
  <si>
    <t>Sista racets grupp</t>
  </si>
  <si>
    <t>B</t>
  </si>
  <si>
    <t>R</t>
  </si>
  <si>
    <t>Varningsflagga</t>
  </si>
  <si>
    <t>Tot</t>
  </si>
  <si>
    <t>Skriv ut resultat, börja med att välja korrekt utskriftsområde</t>
  </si>
  <si>
    <t>Dokumentet används som resultatmall för segling, de gula fälten editeras.</t>
  </si>
  <si>
    <t>Vid Heatsegling eller Gruppsegling, genomför gruppindelning. Notera att dessa tävlingslägen kräver att man arrangerar heaten i "rätt" ordning, efter arrangörslistan, för bra funktion. (vid heatsegling Grön/Röd, Grön/Blå, Blå/Röd osv.)</t>
  </si>
  <si>
    <t>Vid användande av den föreslagna grupperna, som utgår från rankingen, tryck på "Applicera gruppindelning". I annat fall, skriv "Grön", "Röd" och "Blå" manuellt</t>
  </si>
  <si>
    <t>Glöm inte att godkänna makron vid öppnande av dokumentet och kopiera inte in någon data i filen, detta kan påverka dess funktion.</t>
  </si>
  <si>
    <t>Antal</t>
  </si>
  <si>
    <t>Tävlingsf.</t>
  </si>
  <si>
    <t>Test om någon seglar i fel heat vid över 36 deltagare, 4 grupper</t>
  </si>
  <si>
    <t>Summa</t>
  </si>
  <si>
    <t>s</t>
  </si>
  <si>
    <t>dqdqwwdq</t>
  </si>
  <si>
    <t>dwqddw</t>
  </si>
  <si>
    <t>Funktionär:</t>
  </si>
  <si>
    <t>Grupp:</t>
  </si>
  <si>
    <t>Namn:</t>
  </si>
  <si>
    <t>Car Line</t>
  </si>
  <si>
    <t>Car On Line Green</t>
  </si>
  <si>
    <t>Car On Line Red</t>
  </si>
  <si>
    <t>Car On Line Blue</t>
  </si>
  <si>
    <t>Gu</t>
  </si>
  <si>
    <t>Gr</t>
  </si>
  <si>
    <t>Vid 4 grupper</t>
  </si>
  <si>
    <t>Funkt.</t>
  </si>
  <si>
    <t>GRUPP/
GRAND MASTER</t>
  </si>
  <si>
    <t>Grand Master</t>
  </si>
  <si>
    <t>Grand Master register:</t>
  </si>
  <si>
    <t/>
  </si>
  <si>
    <t>Resultatlista Grand Master</t>
  </si>
  <si>
    <t>Grand Master resultat:</t>
  </si>
  <si>
    <t>Avsluta med att sortera färg genom att klicka på knappen uppe till vänster</t>
  </si>
  <si>
    <t>Under tävlingen, fyll i fälten med segelnummer och hantera DNF och DSQ längst ner</t>
  </si>
  <si>
    <t>Om Grand Master resultat önskas, klicka i rutan och se till att alla deltagare över 65års segelnummer finns med i registret som öppnas till höger, fyll annars på detta.</t>
  </si>
  <si>
    <t>Uppdateringslogg</t>
  </si>
  <si>
    <t>DF_Resultatmall_6.0</t>
  </si>
  <si>
    <t>6.0</t>
  </si>
  <si>
    <t>Full funktionalitet för 4-gruppsegling</t>
  </si>
  <si>
    <t>Grand Master Resultathantering</t>
  </si>
  <si>
    <t>Version</t>
  </si>
  <si>
    <t>Större uppdateringar:</t>
  </si>
  <si>
    <t>Mindre förändringar:</t>
  </si>
  <si>
    <t>Utseende överlag</t>
  </si>
  <si>
    <t>Gruppfärger i resultatlista</t>
  </si>
  <si>
    <t>2-gruppsegling</t>
  </si>
  <si>
    <t>HMS</t>
  </si>
  <si>
    <t>Gruppsegling med Guld/Silverfinal</t>
  </si>
  <si>
    <t>Överstrukna borträkningar i resutatlista</t>
  </si>
  <si>
    <t>Manuellt angivet borträkningsantal</t>
  </si>
  <si>
    <t>Kopieringsmöjlighet från hemsida till deltagarlista</t>
  </si>
  <si>
    <t>Till framtiden i prio-ordning:</t>
  </si>
  <si>
    <t>Ökat antal DNF och borttagning av OCS i arrangörslista</t>
  </si>
  <si>
    <t>Genomgående dokumentlåsning för att förhindra oönskade ändringar i funktionalitet</t>
  </si>
  <si>
    <t>För problem, frågor eller förbättringsidéer vänligen kontakta Petter Kostmann (petter_k@hotmail.com)</t>
  </si>
  <si>
    <t>6.1</t>
  </si>
  <si>
    <t>Kodfel löst  - Blank rad i Resultatlista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</si>
</sst>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General_)"/>
  </numFmts>
  <fonts count="53" x14ac:knownFonts="1">
    <font>
      <sz val="12"/>
      <name val="Helv"/>
    </font>
    <font>
      <sz val="8"/>
      <name val="Helv"/>
    </font>
    <font>
      <u/>
      <sz val="9.6"/>
      <color indexed="36"/>
      <name val="Helv"/>
    </font>
    <font>
      <b/>
      <sz val="12"/>
      <name val="Helv"/>
    </font>
    <font>
      <b/>
      <sz val="10"/>
      <name val="Helv"/>
    </font>
    <font>
      <sz val="10"/>
      <name val="Tms Rmn"/>
    </font>
    <font>
      <b/>
      <sz val="12"/>
      <name val="Tms Rmn"/>
    </font>
    <font>
      <sz val="10"/>
      <name val="Helv"/>
    </font>
    <font>
      <b/>
      <sz val="16"/>
      <name val="Helv"/>
    </font>
    <font>
      <sz val="8"/>
      <color rgb="FF00B0F0"/>
      <name val="Helv"/>
    </font>
    <font>
      <sz val="12"/>
      <color theme="1"/>
      <name val="Helv"/>
    </font>
    <font>
      <sz val="12"/>
      <color theme="0"/>
      <name val="Helv"/>
    </font>
    <font>
      <b/>
      <sz val="14"/>
      <name val="Helv"/>
    </font>
    <font>
      <b/>
      <sz val="18"/>
      <name val="Helv"/>
    </font>
    <font>
      <sz val="10"/>
      <color rgb="FF000000"/>
      <name val="Arial"/>
      <family val="2"/>
    </font>
    <font>
      <b/>
      <u/>
      <sz val="12"/>
      <name val="Helv"/>
    </font>
    <font>
      <sz val="11"/>
      <name val="Helv"/>
    </font>
    <font>
      <sz val="11"/>
      <color theme="1"/>
      <name val="Helv"/>
    </font>
    <font>
      <b/>
      <sz val="16"/>
      <color rgb="FFFF0000"/>
      <name val="Helv"/>
    </font>
    <font>
      <b/>
      <sz val="14"/>
      <color rgb="FFFF0000"/>
      <name val="Helv"/>
    </font>
    <font>
      <b/>
      <sz val="11"/>
      <color rgb="FF000000"/>
      <name val="Helv"/>
    </font>
    <font>
      <sz val="9"/>
      <name val="Arial"/>
      <family val="2"/>
    </font>
    <font>
      <sz val="14"/>
      <name val="Helv"/>
    </font>
    <font>
      <sz val="10"/>
      <color theme="0"/>
      <name val="Arial"/>
      <family val="2"/>
    </font>
    <font>
      <sz val="8"/>
      <color rgb="FF000000"/>
      <name val="Segoe UI"/>
      <family val="2"/>
    </font>
    <font>
      <b/>
      <sz val="11"/>
      <name val="Helv"/>
    </font>
    <font>
      <b/>
      <sz val="11"/>
      <color theme="1"/>
      <name val="Helv"/>
    </font>
    <font>
      <sz val="9"/>
      <color indexed="81"/>
      <name val="Tahoma"/>
      <family val="2"/>
    </font>
    <font>
      <b/>
      <sz val="9"/>
      <color indexed="81"/>
      <name val="Tahoma"/>
      <family val="2"/>
    </font>
    <font>
      <b/>
      <sz val="12"/>
      <color theme="1"/>
      <name val="Helv"/>
    </font>
    <font>
      <b/>
      <sz val="9"/>
      <color rgb="FF000000"/>
      <name val="Helv"/>
    </font>
    <font>
      <b/>
      <sz val="12"/>
      <color rgb="FFFF0000"/>
      <name val="Helv"/>
    </font>
    <font>
      <i/>
      <sz val="11"/>
      <name val="Helv"/>
    </font>
    <font>
      <b/>
      <sz val="14"/>
      <name val="Calibri"/>
      <family val="2"/>
      <scheme val="minor"/>
    </font>
    <font>
      <sz val="18"/>
      <name val="Calibri"/>
      <family val="2"/>
      <scheme val="minor"/>
    </font>
    <font>
      <sz val="12"/>
      <name val="Calibri"/>
      <family val="2"/>
      <scheme val="minor"/>
    </font>
    <font>
      <b/>
      <sz val="18"/>
      <name val="Calibri"/>
      <family val="2"/>
      <scheme val="minor"/>
    </font>
    <font>
      <b/>
      <sz val="12"/>
      <name val="Calibri"/>
      <family val="2"/>
      <scheme val="minor"/>
    </font>
    <font>
      <b/>
      <sz val="8"/>
      <name val="Helv"/>
    </font>
    <font>
      <sz val="16"/>
      <name val="Calibri"/>
      <family val="2"/>
      <scheme val="minor"/>
    </font>
    <font>
      <b/>
      <sz val="16"/>
      <name val="Calibri"/>
      <family val="2"/>
      <scheme val="minor"/>
    </font>
    <font>
      <b/>
      <sz val="11"/>
      <color rgb="FFFF0000"/>
      <name val="Calibri"/>
      <family val="2"/>
      <scheme val="minor"/>
    </font>
    <font>
      <i/>
      <sz val="9"/>
      <color indexed="81"/>
      <name val="Tahoma"/>
      <family val="2"/>
    </font>
    <font>
      <b/>
      <sz val="20"/>
      <name val="Calibri"/>
      <family val="2"/>
      <scheme val="minor"/>
    </font>
    <font>
      <b/>
      <sz val="26"/>
      <name val="Calibri"/>
      <family val="2"/>
      <scheme val="minor"/>
    </font>
    <font>
      <i/>
      <sz val="18"/>
      <name val="Calibri"/>
      <family val="2"/>
      <scheme val="minor"/>
    </font>
    <font>
      <i/>
      <sz val="16"/>
      <name val="Calibri"/>
      <family val="2"/>
      <scheme val="minor"/>
    </font>
    <font>
      <i/>
      <sz val="12"/>
      <name val="Calibri"/>
      <family val="2"/>
      <scheme val="minor"/>
    </font>
    <font>
      <i/>
      <sz val="12"/>
      <name val="Helv"/>
    </font>
    <font>
      <i/>
      <sz val="18"/>
      <name val="Helv"/>
    </font>
    <font>
      <b/>
      <sz val="20"/>
      <name val="Helv"/>
    </font>
    <font>
      <u/>
      <sz val="12"/>
      <name val="Helv"/>
    </font>
    <font>
      <sz val="18"/>
      <color rgb="FFFF0000"/>
      <name val="Helv"/>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CC"/>
        <bgColor indexed="64"/>
      </patternFill>
    </fill>
    <fill>
      <patternFill patternType="solid">
        <fgColor rgb="FFFFCCCC"/>
        <bgColor indexed="64"/>
      </patternFill>
    </fill>
    <fill>
      <patternFill patternType="solid">
        <fgColor theme="0" tint="-0.14999847407452621"/>
        <bgColor indexed="64"/>
      </patternFill>
    </fill>
  </fills>
  <borders count="6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thin">
        <color indexed="64"/>
      </left>
      <right/>
      <top/>
      <bottom/>
      <diagonal/>
    </border>
    <border>
      <left/>
      <right style="thin">
        <color indexed="64"/>
      </right>
      <top/>
      <bottom/>
      <diagonal/>
    </border>
    <border>
      <left style="medium">
        <color indexed="64"/>
      </left>
      <right style="thin">
        <color indexed="64"/>
      </right>
      <top/>
      <bottom/>
      <diagonal/>
    </border>
    <border>
      <left/>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style="medium">
        <color indexed="64"/>
      </right>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style="thin">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s>
  <cellStyleXfs count="3">
    <xf numFmtId="164" fontId="0" fillId="0" borderId="0"/>
    <xf numFmtId="0" fontId="2" fillId="0" borderId="0" applyNumberFormat="0" applyFill="0" applyBorder="0" applyAlignment="0" applyProtection="0">
      <alignment vertical="top"/>
      <protection locked="0"/>
    </xf>
    <xf numFmtId="0" fontId="14" fillId="0" borderId="0"/>
  </cellStyleXfs>
  <cellXfs count="263">
    <xf numFmtId="164" fontId="0" fillId="0" borderId="0" xfId="0"/>
    <xf numFmtId="164" fontId="0" fillId="3" borderId="0" xfId="0" applyFill="1"/>
    <xf numFmtId="164" fontId="0" fillId="3" borderId="0" xfId="0" applyFill="1" applyBorder="1"/>
    <xf numFmtId="164" fontId="9" fillId="3" borderId="0" xfId="0" applyFont="1" applyFill="1" applyBorder="1" applyAlignment="1">
      <alignment horizontal="left"/>
    </xf>
    <xf numFmtId="164" fontId="11" fillId="3" borderId="0" xfId="0" applyFont="1" applyFill="1"/>
    <xf numFmtId="1" fontId="5" fillId="3" borderId="0" xfId="0" applyNumberFormat="1" applyFont="1" applyFill="1" applyBorder="1" applyAlignment="1">
      <alignment horizontal="center"/>
    </xf>
    <xf numFmtId="164" fontId="4" fillId="3" borderId="26" xfId="0" applyFont="1" applyFill="1" applyBorder="1" applyAlignment="1">
      <alignment horizontal="center" textRotation="90"/>
    </xf>
    <xf numFmtId="164" fontId="7" fillId="3" borderId="15" xfId="0" applyFont="1" applyFill="1" applyBorder="1" applyAlignment="1">
      <alignment horizontal="left"/>
    </xf>
    <xf numFmtId="164" fontId="7" fillId="3" borderId="0" xfId="0" applyFont="1" applyFill="1" applyBorder="1" applyAlignment="1">
      <alignment horizontal="left"/>
    </xf>
    <xf numFmtId="164" fontId="0" fillId="4" borderId="0" xfId="0" applyFill="1" applyAlignment="1" applyProtection="1">
      <alignment horizontal="left"/>
      <protection locked="0"/>
    </xf>
    <xf numFmtId="1" fontId="0" fillId="4" borderId="0" xfId="0" applyNumberFormat="1" applyFill="1" applyAlignment="1" applyProtection="1">
      <alignment horizontal="left"/>
      <protection locked="0"/>
    </xf>
    <xf numFmtId="164" fontId="4" fillId="3" borderId="23" xfId="0" applyFont="1" applyFill="1" applyBorder="1" applyAlignment="1">
      <alignment horizontal="center" textRotation="90"/>
    </xf>
    <xf numFmtId="164" fontId="6" fillId="3" borderId="22" xfId="0" applyFont="1" applyFill="1" applyBorder="1" applyAlignment="1">
      <alignment horizontal="center"/>
    </xf>
    <xf numFmtId="164" fontId="6" fillId="3" borderId="0" xfId="0" applyFont="1" applyFill="1" applyBorder="1" applyAlignment="1">
      <alignment horizontal="center"/>
    </xf>
    <xf numFmtId="164" fontId="4" fillId="3" borderId="22" xfId="0" applyFont="1" applyFill="1" applyBorder="1" applyAlignment="1">
      <alignment horizontal="left" textRotation="90"/>
    </xf>
    <xf numFmtId="164" fontId="4" fillId="3" borderId="23" xfId="0" applyFont="1" applyFill="1" applyBorder="1" applyAlignment="1">
      <alignment horizontal="left" textRotation="90"/>
    </xf>
    <xf numFmtId="164" fontId="4" fillId="3" borderId="9" xfId="0" applyFont="1" applyFill="1" applyBorder="1" applyAlignment="1">
      <alignment horizontal="center" textRotation="90"/>
    </xf>
    <xf numFmtId="164" fontId="0" fillId="3" borderId="0" xfId="0" applyNumberFormat="1" applyFont="1" applyFill="1" applyBorder="1" applyAlignment="1" applyProtection="1">
      <alignment horizontal="left" wrapText="1"/>
    </xf>
    <xf numFmtId="164" fontId="16" fillId="4" borderId="35" xfId="0" applyNumberFormat="1" applyFont="1" applyFill="1" applyBorder="1" applyAlignment="1" applyProtection="1">
      <alignment horizontal="left"/>
      <protection locked="0"/>
    </xf>
    <xf numFmtId="164" fontId="16" fillId="4" borderId="35" xfId="0" applyFont="1" applyFill="1" applyBorder="1" applyProtection="1">
      <protection locked="0"/>
    </xf>
    <xf numFmtId="164" fontId="8" fillId="3" borderId="0" xfId="0" applyFont="1" applyFill="1"/>
    <xf numFmtId="164" fontId="3" fillId="3" borderId="0" xfId="0" applyFont="1" applyFill="1" applyBorder="1" applyAlignment="1">
      <alignment horizontal="center"/>
    </xf>
    <xf numFmtId="164" fontId="3" fillId="3" borderId="8" xfId="0" applyFont="1" applyFill="1" applyBorder="1" applyAlignment="1">
      <alignment horizontal="center"/>
    </xf>
    <xf numFmtId="164" fontId="3" fillId="3" borderId="38" xfId="0" applyFont="1" applyFill="1" applyBorder="1" applyAlignment="1">
      <alignment horizontal="center"/>
    </xf>
    <xf numFmtId="164" fontId="21" fillId="4" borderId="11" xfId="0" applyFont="1" applyFill="1" applyBorder="1" applyAlignment="1" applyProtection="1">
      <alignment horizontal="center"/>
      <protection locked="0"/>
    </xf>
    <xf numFmtId="164" fontId="21" fillId="4" borderId="12" xfId="0" applyFont="1" applyFill="1" applyBorder="1" applyAlignment="1" applyProtection="1">
      <alignment horizontal="center"/>
      <protection locked="0"/>
    </xf>
    <xf numFmtId="164" fontId="21" fillId="4" borderId="13" xfId="0" applyFont="1" applyFill="1" applyBorder="1" applyAlignment="1" applyProtection="1">
      <alignment horizontal="center"/>
      <protection locked="0"/>
    </xf>
    <xf numFmtId="164" fontId="21" fillId="4" borderId="17" xfId="0" applyFont="1" applyFill="1" applyBorder="1" applyAlignment="1" applyProtection="1">
      <alignment horizontal="center"/>
      <protection locked="0"/>
    </xf>
    <xf numFmtId="164" fontId="21" fillId="4" borderId="10" xfId="0" applyFont="1" applyFill="1" applyBorder="1" applyAlignment="1" applyProtection="1">
      <alignment horizontal="center"/>
      <protection locked="0"/>
    </xf>
    <xf numFmtId="164" fontId="21" fillId="4" borderId="27" xfId="0" applyFont="1" applyFill="1" applyBorder="1" applyAlignment="1" applyProtection="1">
      <alignment horizontal="center"/>
      <protection locked="0"/>
    </xf>
    <xf numFmtId="164" fontId="21" fillId="4" borderId="24" xfId="0" applyFont="1" applyFill="1" applyBorder="1" applyAlignment="1" applyProtection="1">
      <alignment horizontal="center"/>
      <protection locked="0"/>
    </xf>
    <xf numFmtId="164" fontId="21" fillId="4" borderId="25" xfId="0" applyFont="1" applyFill="1" applyBorder="1" applyAlignment="1" applyProtection="1">
      <alignment horizontal="center"/>
      <protection locked="0"/>
    </xf>
    <xf numFmtId="164" fontId="21" fillId="4" borderId="28" xfId="0" applyFont="1" applyFill="1" applyBorder="1" applyAlignment="1" applyProtection="1">
      <alignment horizontal="center"/>
      <protection locked="0"/>
    </xf>
    <xf numFmtId="164" fontId="7" fillId="3" borderId="0" xfId="0" applyNumberFormat="1" applyFont="1" applyFill="1" applyBorder="1" applyAlignment="1" applyProtection="1">
      <alignment horizontal="center"/>
    </xf>
    <xf numFmtId="164" fontId="0" fillId="4" borderId="40" xfId="0" applyNumberFormat="1" applyFont="1" applyFill="1" applyBorder="1" applyProtection="1">
      <protection locked="0"/>
    </xf>
    <xf numFmtId="164" fontId="0" fillId="4" borderId="40" xfId="0" applyFont="1" applyFill="1" applyBorder="1" applyProtection="1">
      <protection locked="0"/>
    </xf>
    <xf numFmtId="164" fontId="0" fillId="4" borderId="40" xfId="0" applyNumberFormat="1" applyFont="1" applyFill="1" applyBorder="1" applyAlignment="1" applyProtection="1">
      <alignment horizontal="left"/>
      <protection locked="0"/>
    </xf>
    <xf numFmtId="164" fontId="21" fillId="4" borderId="39" xfId="0" applyFont="1" applyFill="1" applyBorder="1" applyAlignment="1" applyProtection="1">
      <alignment horizontal="center"/>
      <protection locked="0"/>
    </xf>
    <xf numFmtId="164" fontId="21" fillId="4" borderId="40" xfId="0" applyFont="1" applyFill="1" applyBorder="1" applyAlignment="1" applyProtection="1">
      <alignment horizontal="center"/>
      <protection locked="0"/>
    </xf>
    <xf numFmtId="164" fontId="21" fillId="4" borderId="43" xfId="0" applyFont="1" applyFill="1" applyBorder="1" applyAlignment="1" applyProtection="1">
      <alignment horizontal="center"/>
      <protection locked="0"/>
    </xf>
    <xf numFmtId="164" fontId="21" fillId="4" borderId="44" xfId="0" applyFont="1" applyFill="1" applyBorder="1" applyAlignment="1" applyProtection="1">
      <alignment horizontal="center"/>
      <protection locked="0"/>
    </xf>
    <xf numFmtId="164" fontId="21" fillId="4" borderId="36" xfId="0" applyFont="1" applyFill="1" applyBorder="1" applyAlignment="1" applyProtection="1">
      <alignment horizontal="center"/>
      <protection locked="0"/>
    </xf>
    <xf numFmtId="164" fontId="21" fillId="4" borderId="45" xfId="0" applyFont="1" applyFill="1" applyBorder="1" applyAlignment="1" applyProtection="1">
      <alignment horizontal="center"/>
      <protection locked="0"/>
    </xf>
    <xf numFmtId="1" fontId="23" fillId="3" borderId="0" xfId="2" applyNumberFormat="1" applyFont="1" applyFill="1" applyBorder="1" applyAlignment="1" applyProtection="1">
      <alignment horizontal="center"/>
      <protection locked="0"/>
    </xf>
    <xf numFmtId="1" fontId="23" fillId="3" borderId="0" xfId="0" applyNumberFormat="1" applyFont="1" applyFill="1" applyAlignment="1" applyProtection="1">
      <alignment horizontal="center"/>
      <protection locked="0"/>
    </xf>
    <xf numFmtId="164" fontId="0" fillId="3" borderId="0" xfId="0" applyNumberFormat="1" applyFont="1" applyFill="1" applyBorder="1" applyAlignment="1" applyProtection="1">
      <alignment horizontal="left"/>
    </xf>
    <xf numFmtId="164" fontId="0" fillId="3" borderId="0" xfId="0" applyNumberFormat="1" applyFont="1" applyFill="1" applyBorder="1" applyAlignment="1" applyProtection="1">
      <alignment horizontal="right"/>
    </xf>
    <xf numFmtId="164" fontId="0" fillId="3" borderId="0" xfId="0" applyFill="1" applyProtection="1"/>
    <xf numFmtId="164" fontId="0" fillId="3" borderId="0" xfId="0" applyFill="1" applyBorder="1" applyProtection="1"/>
    <xf numFmtId="164" fontId="0" fillId="3" borderId="0" xfId="0" applyFont="1" applyFill="1" applyBorder="1" applyProtection="1"/>
    <xf numFmtId="164" fontId="0" fillId="3" borderId="0" xfId="0" applyFont="1" applyFill="1" applyProtection="1"/>
    <xf numFmtId="1" fontId="0" fillId="3" borderId="0" xfId="0" applyNumberFormat="1" applyFill="1" applyBorder="1" applyProtection="1"/>
    <xf numFmtId="164" fontId="16" fillId="4" borderId="35" xfId="0" applyFont="1" applyFill="1" applyBorder="1" applyAlignment="1" applyProtection="1">
      <protection locked="0"/>
    </xf>
    <xf numFmtId="164" fontId="16" fillId="4" borderId="35" xfId="0" applyNumberFormat="1" applyFont="1" applyFill="1" applyBorder="1" applyAlignment="1" applyProtection="1">
      <protection locked="0"/>
    </xf>
    <xf numFmtId="1" fontId="16" fillId="4" borderId="35" xfId="0" applyNumberFormat="1" applyFont="1" applyFill="1" applyBorder="1" applyAlignment="1" applyProtection="1">
      <alignment horizontal="left"/>
      <protection locked="0"/>
    </xf>
    <xf numFmtId="164" fontId="3" fillId="3" borderId="22" xfId="0" applyFont="1" applyFill="1" applyBorder="1" applyAlignment="1">
      <alignment horizontal="center"/>
    </xf>
    <xf numFmtId="1" fontId="5" fillId="3" borderId="15" xfId="0" applyNumberFormat="1" applyFont="1" applyFill="1" applyBorder="1" applyAlignment="1">
      <alignment horizontal="center"/>
    </xf>
    <xf numFmtId="164" fontId="16" fillId="4" borderId="5" xfId="0" applyFont="1" applyFill="1" applyBorder="1" applyAlignment="1" applyProtection="1">
      <protection locked="0"/>
    </xf>
    <xf numFmtId="164" fontId="0" fillId="4" borderId="41" xfId="0" applyFont="1" applyFill="1" applyBorder="1" applyProtection="1">
      <protection locked="0"/>
    </xf>
    <xf numFmtId="1" fontId="16" fillId="4" borderId="37" xfId="0" applyNumberFormat="1" applyFont="1" applyFill="1" applyBorder="1" applyAlignment="1" applyProtection="1">
      <alignment horizontal="left"/>
      <protection locked="0"/>
    </xf>
    <xf numFmtId="164" fontId="16" fillId="4" borderId="34" xfId="0" applyFont="1" applyFill="1" applyBorder="1" applyAlignment="1" applyProtection="1">
      <protection locked="0"/>
    </xf>
    <xf numFmtId="164" fontId="0" fillId="5" borderId="0" xfId="0" applyFont="1" applyFill="1"/>
    <xf numFmtId="164" fontId="0" fillId="5" borderId="0" xfId="0" applyFill="1"/>
    <xf numFmtId="164" fontId="3" fillId="5" borderId="0" xfId="0" applyFont="1" applyFill="1" applyBorder="1" applyAlignment="1" applyProtection="1">
      <alignment vertical="center"/>
      <protection hidden="1"/>
    </xf>
    <xf numFmtId="164" fontId="8" fillId="5" borderId="0" xfId="0" applyFont="1" applyFill="1" applyBorder="1" applyAlignment="1" applyProtection="1">
      <alignment horizontal="center" vertical="center"/>
      <protection hidden="1"/>
    </xf>
    <xf numFmtId="164" fontId="0" fillId="5" borderId="31" xfId="0" applyFill="1" applyBorder="1"/>
    <xf numFmtId="164" fontId="0" fillId="5" borderId="0" xfId="0" applyFont="1" applyFill="1" applyBorder="1"/>
    <xf numFmtId="164" fontId="3" fillId="5" borderId="0" xfId="0" applyFont="1" applyFill="1"/>
    <xf numFmtId="164" fontId="15" fillId="5" borderId="0" xfId="0" applyFont="1" applyFill="1"/>
    <xf numFmtId="164" fontId="0" fillId="5" borderId="0" xfId="0" applyFill="1" applyBorder="1"/>
    <xf numFmtId="0" fontId="0" fillId="3" borderId="0" xfId="0" applyNumberFormat="1" applyFill="1"/>
    <xf numFmtId="1" fontId="0" fillId="5" borderId="32" xfId="0" applyNumberFormat="1" applyFill="1" applyBorder="1" applyProtection="1"/>
    <xf numFmtId="164" fontId="6" fillId="3" borderId="33" xfId="0" applyFont="1" applyFill="1" applyBorder="1" applyAlignment="1">
      <alignment horizontal="center"/>
    </xf>
    <xf numFmtId="0" fontId="23" fillId="3" borderId="0" xfId="2" applyNumberFormat="1" applyFont="1" applyFill="1" applyBorder="1" applyAlignment="1" applyProtection="1">
      <alignment horizontal="center"/>
      <protection locked="0"/>
    </xf>
    <xf numFmtId="0" fontId="23" fillId="3" borderId="0" xfId="0" applyNumberFormat="1" applyFont="1" applyFill="1" applyAlignment="1" applyProtection="1">
      <alignment horizontal="center"/>
      <protection locked="0"/>
    </xf>
    <xf numFmtId="1" fontId="16" fillId="4" borderId="0" xfId="0" applyNumberFormat="1" applyFont="1" applyFill="1" applyBorder="1" applyAlignment="1" applyProtection="1">
      <alignment horizontal="left"/>
      <protection locked="0"/>
    </xf>
    <xf numFmtId="164" fontId="6" fillId="3" borderId="15" xfId="0" applyFont="1" applyFill="1" applyBorder="1" applyAlignment="1">
      <alignment horizontal="center"/>
    </xf>
    <xf numFmtId="1" fontId="5" fillId="3" borderId="14" xfId="0" applyNumberFormat="1" applyFont="1" applyFill="1" applyBorder="1" applyAlignment="1">
      <alignment horizontal="center"/>
    </xf>
    <xf numFmtId="1" fontId="5" fillId="3" borderId="16" xfId="0" applyNumberFormat="1" applyFont="1" applyFill="1" applyBorder="1" applyAlignment="1">
      <alignment horizontal="center"/>
    </xf>
    <xf numFmtId="1" fontId="5" fillId="3" borderId="6" xfId="0" applyNumberFormat="1" applyFont="1" applyFill="1" applyBorder="1" applyAlignment="1">
      <alignment horizontal="center"/>
    </xf>
    <xf numFmtId="1" fontId="5" fillId="3" borderId="7" xfId="0" applyNumberFormat="1" applyFont="1" applyFill="1" applyBorder="1" applyAlignment="1">
      <alignment horizontal="center"/>
    </xf>
    <xf numFmtId="1" fontId="5" fillId="3" borderId="4" xfId="0" applyNumberFormat="1" applyFont="1" applyFill="1" applyBorder="1" applyAlignment="1">
      <alignment horizontal="center"/>
    </xf>
    <xf numFmtId="1" fontId="5" fillId="3" borderId="5" xfId="0" applyNumberFormat="1" applyFont="1" applyFill="1" applyBorder="1" applyAlignment="1">
      <alignment horizontal="center"/>
    </xf>
    <xf numFmtId="1" fontId="5" fillId="3" borderId="47" xfId="0" applyNumberFormat="1" applyFont="1" applyFill="1" applyBorder="1" applyAlignment="1">
      <alignment horizontal="center"/>
    </xf>
    <xf numFmtId="164" fontId="13" fillId="3" borderId="16" xfId="0" applyFont="1" applyFill="1" applyBorder="1" applyAlignment="1">
      <alignment horizontal="right"/>
    </xf>
    <xf numFmtId="164" fontId="3" fillId="3" borderId="49" xfId="0" applyFont="1" applyFill="1" applyBorder="1" applyAlignment="1">
      <alignment horizontal="center"/>
    </xf>
    <xf numFmtId="164" fontId="7" fillId="3" borderId="5" xfId="0" applyFont="1" applyFill="1" applyBorder="1" applyAlignment="1">
      <alignment horizontal="left"/>
    </xf>
    <xf numFmtId="164" fontId="6" fillId="3" borderId="50" xfId="0" applyFont="1" applyFill="1" applyBorder="1" applyAlignment="1">
      <alignment horizontal="center"/>
    </xf>
    <xf numFmtId="164" fontId="6" fillId="3" borderId="5" xfId="0" applyFont="1" applyFill="1" applyBorder="1" applyAlignment="1">
      <alignment horizontal="center"/>
    </xf>
    <xf numFmtId="164" fontId="0" fillId="3" borderId="0" xfId="0" applyFill="1" applyAlignment="1">
      <alignment horizontal="center"/>
    </xf>
    <xf numFmtId="164" fontId="0" fillId="3" borderId="0" xfId="0" applyFill="1" applyBorder="1" applyAlignment="1">
      <alignment horizontal="center"/>
    </xf>
    <xf numFmtId="164" fontId="7" fillId="3" borderId="14" xfId="0" applyFont="1" applyFill="1" applyBorder="1" applyAlignment="1">
      <alignment horizontal="left"/>
    </xf>
    <xf numFmtId="164" fontId="7" fillId="3" borderId="6" xfId="0" applyFont="1" applyFill="1" applyBorder="1" applyAlignment="1">
      <alignment horizontal="left"/>
    </xf>
    <xf numFmtId="164" fontId="7" fillId="3" borderId="4" xfId="0" applyFont="1" applyFill="1" applyBorder="1" applyAlignment="1">
      <alignment horizontal="left"/>
    </xf>
    <xf numFmtId="164" fontId="7" fillId="3" borderId="51" xfId="0" applyFont="1" applyFill="1" applyBorder="1" applyAlignment="1">
      <alignment horizontal="left"/>
    </xf>
    <xf numFmtId="164" fontId="7" fillId="3" borderId="52" xfId="0" applyFont="1" applyFill="1" applyBorder="1" applyAlignment="1">
      <alignment horizontal="left"/>
    </xf>
    <xf numFmtId="164" fontId="7" fillId="3" borderId="53" xfId="0" applyFont="1" applyFill="1" applyBorder="1" applyAlignment="1">
      <alignment horizontal="left"/>
    </xf>
    <xf numFmtId="164" fontId="3" fillId="3" borderId="0" xfId="0" applyFont="1" applyFill="1" applyAlignment="1" applyProtection="1">
      <alignment horizontal="center"/>
    </xf>
    <xf numFmtId="14" fontId="36" fillId="3" borderId="2" xfId="0" applyNumberFormat="1" applyFont="1" applyFill="1" applyBorder="1" applyAlignment="1"/>
    <xf numFmtId="164" fontId="37" fillId="3" borderId="2" xfId="0" applyFont="1" applyFill="1" applyBorder="1" applyAlignment="1"/>
    <xf numFmtId="164" fontId="37" fillId="3" borderId="2" xfId="0" applyFont="1" applyFill="1" applyBorder="1" applyAlignment="1">
      <alignment horizontal="center"/>
    </xf>
    <xf numFmtId="164" fontId="37" fillId="3" borderId="3" xfId="0" applyFont="1" applyFill="1" applyBorder="1" applyAlignment="1"/>
    <xf numFmtId="164" fontId="10" fillId="4" borderId="40" xfId="0" applyFont="1" applyFill="1" applyBorder="1" applyProtection="1">
      <protection locked="0"/>
    </xf>
    <xf numFmtId="1" fontId="17" fillId="4" borderId="35" xfId="0" applyNumberFormat="1" applyFont="1" applyFill="1" applyBorder="1" applyAlignment="1" applyProtection="1">
      <alignment horizontal="left"/>
      <protection locked="0"/>
    </xf>
    <xf numFmtId="164" fontId="13" fillId="3" borderId="15" xfId="0" applyFont="1" applyFill="1" applyBorder="1" applyAlignment="1">
      <alignment horizontal="right"/>
    </xf>
    <xf numFmtId="164" fontId="38" fillId="3" borderId="48" xfId="0" applyFont="1" applyFill="1" applyBorder="1" applyAlignment="1">
      <alignment horizontal="center" textRotation="90" wrapText="1"/>
    </xf>
    <xf numFmtId="164" fontId="0" fillId="3" borderId="7" xfId="0" applyNumberFormat="1" applyFont="1" applyFill="1" applyBorder="1" applyAlignment="1" applyProtection="1">
      <alignment horizontal="center" wrapText="1"/>
    </xf>
    <xf numFmtId="164" fontId="4" fillId="3" borderId="23" xfId="0" applyFont="1" applyFill="1" applyBorder="1" applyAlignment="1">
      <alignment horizontal="left"/>
    </xf>
    <xf numFmtId="164" fontId="4" fillId="3" borderId="54" xfId="0" applyFont="1" applyFill="1" applyBorder="1" applyAlignment="1">
      <alignment horizontal="left"/>
    </xf>
    <xf numFmtId="164" fontId="4" fillId="3" borderId="10" xfId="0" applyFont="1" applyFill="1" applyBorder="1" applyAlignment="1">
      <alignment horizontal="left"/>
    </xf>
    <xf numFmtId="0" fontId="23" fillId="0" borderId="0" xfId="0" applyNumberFormat="1" applyFont="1" applyFill="1" applyAlignment="1" applyProtection="1">
      <alignment horizontal="center"/>
      <protection locked="0"/>
    </xf>
    <xf numFmtId="1" fontId="16" fillId="4" borderId="34" xfId="0" applyNumberFormat="1" applyFont="1" applyFill="1" applyBorder="1" applyAlignment="1" applyProtection="1">
      <alignment horizontal="left"/>
      <protection locked="0"/>
    </xf>
    <xf numFmtId="164" fontId="35" fillId="3" borderId="0" xfId="0" applyNumberFormat="1" applyFont="1" applyFill="1" applyBorder="1" applyAlignment="1" applyProtection="1">
      <alignment wrapText="1"/>
    </xf>
    <xf numFmtId="164" fontId="0" fillId="4" borderId="42" xfId="0" applyFont="1" applyFill="1" applyBorder="1" applyProtection="1">
      <protection locked="0"/>
    </xf>
    <xf numFmtId="1" fontId="16" fillId="4" borderId="5" xfId="0" applyNumberFormat="1" applyFont="1" applyFill="1" applyBorder="1" applyAlignment="1" applyProtection="1">
      <alignment horizontal="left"/>
      <protection locked="0"/>
    </xf>
    <xf numFmtId="1" fontId="25" fillId="4" borderId="40" xfId="0" applyNumberFormat="1" applyFont="1" applyFill="1" applyBorder="1" applyAlignment="1" applyProtection="1">
      <alignment horizontal="center"/>
      <protection locked="0"/>
    </xf>
    <xf numFmtId="164" fontId="25" fillId="4" borderId="40" xfId="0" applyFont="1" applyFill="1" applyBorder="1" applyAlignment="1" applyProtection="1">
      <alignment horizontal="center"/>
      <protection locked="0"/>
    </xf>
    <xf numFmtId="1" fontId="26" fillId="4" borderId="40" xfId="0" applyNumberFormat="1" applyFont="1" applyFill="1" applyBorder="1" applyAlignment="1" applyProtection="1">
      <alignment horizontal="center"/>
      <protection locked="0"/>
    </xf>
    <xf numFmtId="164" fontId="0" fillId="4" borderId="41" xfId="0" applyNumberFormat="1" applyFont="1" applyFill="1" applyBorder="1" applyProtection="1">
      <protection locked="0"/>
    </xf>
    <xf numFmtId="164" fontId="13" fillId="3" borderId="15" xfId="0" applyFont="1" applyFill="1" applyBorder="1" applyAlignment="1">
      <alignment horizontal="right"/>
    </xf>
    <xf numFmtId="164" fontId="0" fillId="4" borderId="31" xfId="0" applyNumberFormat="1" applyFont="1" applyFill="1" applyBorder="1" applyProtection="1">
      <protection locked="0"/>
    </xf>
    <xf numFmtId="164" fontId="16" fillId="4" borderId="34" xfId="0" applyNumberFormat="1" applyFont="1" applyFill="1" applyBorder="1" applyAlignment="1" applyProtection="1">
      <alignment horizontal="left"/>
      <protection locked="0"/>
    </xf>
    <xf numFmtId="164" fontId="16" fillId="4" borderId="5" xfId="0" applyFont="1" applyFill="1" applyBorder="1" applyProtection="1">
      <protection locked="0"/>
    </xf>
    <xf numFmtId="164" fontId="0" fillId="4" borderId="39" xfId="0" applyNumberFormat="1" applyFont="1" applyFill="1" applyBorder="1" applyAlignment="1" applyProtection="1">
      <alignment horizontal="left"/>
      <protection locked="0"/>
    </xf>
    <xf numFmtId="164" fontId="0" fillId="4" borderId="31" xfId="0" applyFont="1" applyFill="1" applyBorder="1" applyProtection="1">
      <protection locked="0"/>
    </xf>
    <xf numFmtId="1" fontId="25" fillId="4" borderId="39" xfId="0" applyNumberFormat="1" applyFont="1" applyFill="1" applyBorder="1" applyAlignment="1" applyProtection="1">
      <alignment horizontal="center"/>
      <protection locked="0"/>
    </xf>
    <xf numFmtId="164" fontId="25" fillId="4" borderId="43" xfId="0" applyFont="1" applyFill="1" applyBorder="1" applyAlignment="1" applyProtection="1">
      <alignment horizontal="center"/>
      <protection locked="0"/>
    </xf>
    <xf numFmtId="164" fontId="0" fillId="3" borderId="0" xfId="0" applyFill="1" applyAlignment="1" applyProtection="1">
      <alignment horizontal="right"/>
    </xf>
    <xf numFmtId="164" fontId="0" fillId="3" borderId="0" xfId="0" applyFill="1" applyAlignment="1" applyProtection="1">
      <alignment horizontal="left"/>
    </xf>
    <xf numFmtId="164" fontId="0" fillId="5" borderId="0" xfId="0" applyFont="1" applyFill="1" applyProtection="1"/>
    <xf numFmtId="164" fontId="31" fillId="3" borderId="0" xfId="0" applyFont="1" applyFill="1" applyProtection="1"/>
    <xf numFmtId="164" fontId="39" fillId="3" borderId="14" xfId="0" applyFont="1" applyFill="1" applyBorder="1" applyProtection="1"/>
    <xf numFmtId="164" fontId="33" fillId="3" borderId="15" xfId="0" applyFont="1" applyFill="1" applyBorder="1" applyProtection="1"/>
    <xf numFmtId="164" fontId="33" fillId="3" borderId="15" xfId="0" applyFont="1" applyFill="1" applyBorder="1" applyAlignment="1" applyProtection="1">
      <alignment horizontal="right"/>
    </xf>
    <xf numFmtId="164" fontId="33" fillId="3" borderId="15" xfId="0" applyFont="1" applyFill="1" applyBorder="1" applyAlignment="1" applyProtection="1">
      <alignment horizontal="left"/>
    </xf>
    <xf numFmtId="164" fontId="12" fillId="3" borderId="0" xfId="0" applyFont="1" applyFill="1" applyBorder="1" applyProtection="1"/>
    <xf numFmtId="164" fontId="0" fillId="5" borderId="0" xfId="0" applyFont="1" applyFill="1" applyAlignment="1" applyProtection="1">
      <alignment horizontal="right"/>
    </xf>
    <xf numFmtId="164" fontId="31" fillId="3" borderId="0" xfId="0" applyFont="1" applyFill="1" applyAlignment="1" applyProtection="1">
      <alignment vertical="top"/>
    </xf>
    <xf numFmtId="164" fontId="40" fillId="3" borderId="6" xfId="0" applyFont="1" applyFill="1" applyBorder="1" applyProtection="1"/>
    <xf numFmtId="164" fontId="37" fillId="3" borderId="0" xfId="0" applyFont="1" applyFill="1" applyBorder="1" applyAlignment="1" applyProtection="1"/>
    <xf numFmtId="164" fontId="35" fillId="3" borderId="0" xfId="0" applyFont="1" applyFill="1" applyBorder="1" applyAlignment="1" applyProtection="1">
      <alignment horizontal="right"/>
    </xf>
    <xf numFmtId="14" fontId="41" fillId="3" borderId="0" xfId="0" applyNumberFormat="1" applyFont="1" applyFill="1" applyBorder="1" applyAlignment="1" applyProtection="1">
      <alignment horizontal="left"/>
    </xf>
    <xf numFmtId="164" fontId="35" fillId="3" borderId="0" xfId="0" applyFont="1" applyFill="1" applyBorder="1" applyAlignment="1" applyProtection="1"/>
    <xf numFmtId="164" fontId="35" fillId="3" borderId="0" xfId="0" applyFont="1" applyFill="1" applyBorder="1" applyAlignment="1" applyProtection="1">
      <alignment wrapText="1"/>
    </xf>
    <xf numFmtId="164" fontId="35" fillId="3" borderId="7" xfId="0" applyFont="1" applyFill="1" applyBorder="1" applyAlignment="1" applyProtection="1"/>
    <xf numFmtId="164" fontId="0" fillId="3" borderId="0" xfId="0" applyFill="1" applyBorder="1" applyAlignment="1" applyProtection="1"/>
    <xf numFmtId="164" fontId="3" fillId="5" borderId="0" xfId="0" applyFont="1" applyFill="1" applyProtection="1"/>
    <xf numFmtId="164" fontId="29" fillId="3" borderId="0" xfId="0" applyFont="1" applyFill="1" applyProtection="1"/>
    <xf numFmtId="164" fontId="12" fillId="3" borderId="0" xfId="0" applyFont="1" applyFill="1" applyProtection="1"/>
    <xf numFmtId="164" fontId="0" fillId="3" borderId="6" xfId="0" applyFill="1" applyBorder="1" applyProtection="1"/>
    <xf numFmtId="164" fontId="0" fillId="3" borderId="0" xfId="0" applyFill="1" applyBorder="1" applyAlignment="1" applyProtection="1">
      <alignment wrapText="1"/>
    </xf>
    <xf numFmtId="164" fontId="0" fillId="3" borderId="0" xfId="0" applyFont="1" applyFill="1" applyBorder="1" applyAlignment="1" applyProtection="1">
      <alignment wrapText="1"/>
    </xf>
    <xf numFmtId="164" fontId="0" fillId="3" borderId="14" xfId="0" applyFill="1" applyBorder="1" applyProtection="1"/>
    <xf numFmtId="164" fontId="16" fillId="3" borderId="0" xfId="0" applyFont="1" applyFill="1" applyAlignment="1" applyProtection="1">
      <alignment horizontal="center"/>
    </xf>
    <xf numFmtId="164" fontId="3" fillId="3" borderId="0" xfId="0" applyFont="1" applyFill="1" applyProtection="1"/>
    <xf numFmtId="164" fontId="3" fillId="3" borderId="0" xfId="0" applyFont="1" applyFill="1" applyAlignment="1" applyProtection="1"/>
    <xf numFmtId="1" fontId="11" fillId="3" borderId="0" xfId="0" applyNumberFormat="1" applyFont="1" applyFill="1" applyProtection="1"/>
    <xf numFmtId="164" fontId="0" fillId="3" borderId="4" xfId="0" applyFill="1" applyBorder="1" applyProtection="1"/>
    <xf numFmtId="164" fontId="0" fillId="5" borderId="0" xfId="0" applyFont="1" applyFill="1" applyAlignment="1" applyProtection="1">
      <alignment horizontal="center"/>
    </xf>
    <xf numFmtId="164" fontId="0" fillId="4" borderId="0" xfId="0" applyFill="1" applyProtection="1">
      <protection locked="0"/>
    </xf>
    <xf numFmtId="164" fontId="3" fillId="5" borderId="0" xfId="0" applyFont="1" applyFill="1" applyProtection="1">
      <protection locked="0"/>
    </xf>
    <xf numFmtId="164" fontId="19" fillId="3" borderId="0" xfId="0" applyFont="1" applyFill="1" applyProtection="1"/>
    <xf numFmtId="164" fontId="0" fillId="5" borderId="0" xfId="0" applyFill="1" applyProtection="1"/>
    <xf numFmtId="164" fontId="0" fillId="0" borderId="0" xfId="0" applyProtection="1"/>
    <xf numFmtId="164" fontId="19" fillId="3" borderId="0" xfId="0" applyFont="1" applyFill="1" applyAlignment="1" applyProtection="1">
      <alignment horizontal="left"/>
    </xf>
    <xf numFmtId="164" fontId="18" fillId="3" borderId="0" xfId="0" applyFont="1" applyFill="1" applyProtection="1"/>
    <xf numFmtId="164" fontId="0" fillId="5" borderId="32" xfId="0" applyFont="1" applyFill="1" applyBorder="1" applyProtection="1"/>
    <xf numFmtId="164" fontId="0" fillId="5" borderId="32" xfId="0" applyFill="1" applyBorder="1" applyProtection="1"/>
    <xf numFmtId="164" fontId="34" fillId="3" borderId="1" xfId="0" applyFont="1" applyFill="1" applyBorder="1" applyAlignment="1" applyProtection="1">
      <alignment vertical="center"/>
    </xf>
    <xf numFmtId="164" fontId="35" fillId="3" borderId="2" xfId="0" applyFont="1" applyFill="1" applyBorder="1" applyAlignment="1" applyProtection="1"/>
    <xf numFmtId="164" fontId="36" fillId="3" borderId="3" xfId="0" applyFont="1" applyFill="1" applyBorder="1" applyAlignment="1" applyProtection="1">
      <alignment horizontal="right"/>
    </xf>
    <xf numFmtId="164" fontId="3" fillId="5" borderId="0" xfId="0" applyFont="1" applyFill="1" applyBorder="1" applyAlignment="1" applyProtection="1">
      <alignment vertical="center"/>
    </xf>
    <xf numFmtId="164" fontId="22" fillId="0" borderId="14" xfId="0" applyFont="1" applyBorder="1" applyAlignment="1" applyProtection="1">
      <alignment horizontal="center"/>
    </xf>
    <xf numFmtId="164" fontId="4" fillId="3" borderId="1" xfId="0" applyFont="1" applyFill="1" applyBorder="1" applyAlignment="1" applyProtection="1">
      <alignment horizontal="center"/>
    </xf>
    <xf numFmtId="164" fontId="4" fillId="3" borderId="2" xfId="0" applyFont="1" applyFill="1" applyBorder="1" applyAlignment="1" applyProtection="1">
      <alignment horizontal="center"/>
    </xf>
    <xf numFmtId="164" fontId="4" fillId="3" borderId="3" xfId="0" applyFont="1" applyFill="1" applyBorder="1" applyAlignment="1" applyProtection="1">
      <alignment horizontal="center"/>
    </xf>
    <xf numFmtId="164" fontId="22" fillId="0" borderId="16" xfId="0" applyFont="1" applyBorder="1" applyAlignment="1" applyProtection="1">
      <alignment horizontal="center"/>
    </xf>
    <xf numFmtId="164" fontId="3" fillId="5" borderId="0" xfId="0" applyFont="1" applyFill="1" applyAlignment="1" applyProtection="1">
      <alignment horizontal="center"/>
    </xf>
    <xf numFmtId="164" fontId="4" fillId="0" borderId="8" xfId="0" applyFont="1" applyBorder="1" applyAlignment="1" applyProtection="1">
      <alignment horizontal="left"/>
    </xf>
    <xf numFmtId="164" fontId="4" fillId="0" borderId="33" xfId="0" applyFont="1" applyBorder="1" applyAlignment="1" applyProtection="1">
      <alignment horizontal="center"/>
    </xf>
    <xf numFmtId="164" fontId="4" fillId="0" borderId="46" xfId="0" applyFont="1" applyBorder="1" applyAlignment="1" applyProtection="1">
      <alignment horizontal="center"/>
    </xf>
    <xf numFmtId="164" fontId="4" fillId="0" borderId="31" xfId="0" applyFont="1" applyBorder="1" applyAlignment="1" applyProtection="1">
      <alignment horizontal="center"/>
    </xf>
    <xf numFmtId="164" fontId="1" fillId="5" borderId="0" xfId="0" applyFont="1" applyFill="1" applyProtection="1"/>
    <xf numFmtId="1" fontId="0" fillId="5" borderId="0" xfId="0" applyNumberFormat="1" applyFill="1" applyProtection="1"/>
    <xf numFmtId="164" fontId="0" fillId="5" borderId="31" xfId="0" applyFill="1" applyBorder="1" applyProtection="1"/>
    <xf numFmtId="164" fontId="15" fillId="5" borderId="0" xfId="0" applyFont="1" applyFill="1" applyProtection="1"/>
    <xf numFmtId="164" fontId="6" fillId="0" borderId="18" xfId="0" applyFont="1" applyBorder="1" applyAlignment="1" applyProtection="1">
      <alignment horizontal="center"/>
    </xf>
    <xf numFmtId="164" fontId="6" fillId="0" borderId="19" xfId="0" applyFont="1" applyBorder="1" applyAlignment="1" applyProtection="1">
      <alignment horizontal="center"/>
    </xf>
    <xf numFmtId="164" fontId="6" fillId="5" borderId="0" xfId="0" applyFont="1" applyFill="1" applyBorder="1" applyAlignment="1" applyProtection="1">
      <alignment horizontal="center"/>
    </xf>
    <xf numFmtId="164" fontId="6" fillId="0" borderId="21" xfId="0" applyFont="1" applyBorder="1" applyAlignment="1" applyProtection="1">
      <alignment horizontal="center"/>
    </xf>
    <xf numFmtId="164" fontId="6" fillId="0" borderId="29" xfId="0" applyFont="1" applyBorder="1" applyAlignment="1" applyProtection="1">
      <alignment horizontal="center"/>
    </xf>
    <xf numFmtId="164" fontId="6" fillId="0" borderId="20" xfId="0" applyFont="1" applyBorder="1" applyAlignment="1" applyProtection="1">
      <alignment horizontal="center"/>
    </xf>
    <xf numFmtId="164" fontId="6" fillId="0" borderId="30" xfId="0" applyFont="1" applyBorder="1" applyAlignment="1" applyProtection="1">
      <alignment horizontal="center"/>
    </xf>
    <xf numFmtId="164" fontId="33" fillId="3" borderId="0" xfId="0" applyFont="1" applyFill="1" applyBorder="1" applyAlignment="1" applyProtection="1">
      <alignment horizontal="right" vertical="center" wrapText="1"/>
    </xf>
    <xf numFmtId="164" fontId="21" fillId="3" borderId="0" xfId="0" applyFont="1" applyFill="1" applyBorder="1" applyAlignment="1" applyProtection="1">
      <alignment horizontal="center" textRotation="180"/>
    </xf>
    <xf numFmtId="164" fontId="6" fillId="3" borderId="0" xfId="0" applyFont="1" applyFill="1" applyBorder="1" applyAlignment="1" applyProtection="1">
      <alignment horizontal="center"/>
    </xf>
    <xf numFmtId="164" fontId="19" fillId="0" borderId="0" xfId="0" applyFont="1" applyBorder="1" applyAlignment="1" applyProtection="1">
      <alignment horizontal="left"/>
    </xf>
    <xf numFmtId="164" fontId="21" fillId="3" borderId="0" xfId="0" applyFont="1" applyFill="1" applyBorder="1" applyAlignment="1" applyProtection="1">
      <alignment horizontal="center"/>
    </xf>
    <xf numFmtId="164" fontId="6" fillId="0" borderId="0" xfId="0" applyFont="1" applyBorder="1" applyAlignment="1" applyProtection="1">
      <alignment horizontal="center"/>
    </xf>
    <xf numFmtId="164" fontId="18" fillId="3" borderId="0" xfId="0" applyFont="1" applyFill="1" applyBorder="1" applyProtection="1"/>
    <xf numFmtId="164" fontId="0" fillId="5" borderId="0" xfId="0" applyFont="1" applyFill="1" applyBorder="1" applyProtection="1"/>
    <xf numFmtId="164" fontId="22" fillId="0" borderId="1" xfId="0" applyFont="1" applyBorder="1" applyAlignment="1" applyProtection="1">
      <alignment horizontal="center"/>
    </xf>
    <xf numFmtId="164" fontId="22" fillId="0" borderId="3" xfId="0" applyFont="1" applyBorder="1" applyAlignment="1" applyProtection="1">
      <alignment horizontal="center"/>
    </xf>
    <xf numFmtId="164" fontId="4" fillId="0" borderId="38" xfId="0" applyFont="1" applyBorder="1" applyAlignment="1" applyProtection="1">
      <alignment horizontal="left"/>
    </xf>
    <xf numFmtId="164" fontId="0" fillId="5" borderId="0" xfId="0" quotePrefix="1" applyFill="1" applyProtection="1"/>
    <xf numFmtId="14" fontId="43" fillId="3" borderId="2" xfId="0" applyNumberFormat="1" applyFont="1" applyFill="1" applyBorder="1" applyAlignment="1"/>
    <xf numFmtId="164" fontId="44" fillId="3" borderId="1" xfId="0" applyFont="1" applyFill="1" applyBorder="1" applyAlignment="1">
      <alignment horizontal="left"/>
    </xf>
    <xf numFmtId="164" fontId="46" fillId="3" borderId="3" xfId="0" applyFont="1" applyFill="1" applyBorder="1" applyAlignment="1">
      <alignment horizontal="right"/>
    </xf>
    <xf numFmtId="164" fontId="45" fillId="3" borderId="14" xfId="0" applyFont="1" applyFill="1" applyBorder="1" applyAlignment="1">
      <alignment horizontal="left"/>
    </xf>
    <xf numFmtId="164" fontId="47" fillId="3" borderId="15" xfId="0" applyFont="1" applyFill="1" applyBorder="1" applyAlignment="1"/>
    <xf numFmtId="164" fontId="45" fillId="3" borderId="2" xfId="0" applyFont="1" applyFill="1" applyBorder="1" applyAlignment="1"/>
    <xf numFmtId="164" fontId="45" fillId="3" borderId="15" xfId="0" applyFont="1" applyFill="1" applyBorder="1" applyAlignment="1">
      <alignment horizontal="right"/>
    </xf>
    <xf numFmtId="164" fontId="45" fillId="3" borderId="15" xfId="0" applyFont="1" applyFill="1" applyBorder="1" applyAlignment="1"/>
    <xf numFmtId="164" fontId="45" fillId="3" borderId="15" xfId="0" applyFont="1" applyFill="1" applyBorder="1"/>
    <xf numFmtId="164" fontId="48" fillId="3" borderId="15" xfId="0" applyFont="1" applyFill="1" applyBorder="1"/>
    <xf numFmtId="164" fontId="49" fillId="3" borderId="15" xfId="0" applyFont="1" applyFill="1" applyBorder="1" applyAlignment="1">
      <alignment horizontal="right"/>
    </xf>
    <xf numFmtId="164" fontId="11" fillId="3" borderId="0" xfId="0" applyFont="1" applyFill="1" applyBorder="1"/>
    <xf numFmtId="164" fontId="21" fillId="4" borderId="55" xfId="0" applyFont="1" applyFill="1" applyBorder="1" applyAlignment="1" applyProtection="1">
      <alignment horizontal="center"/>
      <protection locked="0"/>
    </xf>
    <xf numFmtId="164" fontId="21" fillId="4" borderId="56" xfId="0" applyFont="1" applyFill="1" applyBorder="1" applyAlignment="1" applyProtection="1">
      <alignment horizontal="center"/>
      <protection locked="0"/>
    </xf>
    <xf numFmtId="164" fontId="21" fillId="4" borderId="41" xfId="0" applyFont="1" applyFill="1" applyBorder="1" applyAlignment="1" applyProtection="1">
      <alignment horizontal="center"/>
      <protection locked="0"/>
    </xf>
    <xf numFmtId="164" fontId="21" fillId="4" borderId="57" xfId="0" applyFont="1" applyFill="1" applyBorder="1" applyAlignment="1" applyProtection="1">
      <alignment horizontal="center"/>
      <protection locked="0"/>
    </xf>
    <xf numFmtId="164" fontId="21" fillId="4" borderId="58" xfId="0" applyFont="1" applyFill="1" applyBorder="1" applyAlignment="1" applyProtection="1">
      <alignment horizontal="center"/>
      <protection locked="0"/>
    </xf>
    <xf numFmtId="164" fontId="11" fillId="3" borderId="0" xfId="0" applyFont="1" applyFill="1" applyProtection="1"/>
    <xf numFmtId="164" fontId="7" fillId="3" borderId="0" xfId="0" applyFont="1" applyFill="1" applyProtection="1"/>
    <xf numFmtId="164" fontId="11" fillId="3" borderId="0" xfId="0" applyFont="1" applyFill="1" applyProtection="1">
      <protection locked="0"/>
    </xf>
    <xf numFmtId="164" fontId="3" fillId="6" borderId="62" xfId="0" applyFont="1" applyFill="1" applyBorder="1" applyAlignment="1" applyProtection="1">
      <alignment horizontal="center"/>
    </xf>
    <xf numFmtId="164" fontId="3" fillId="6" borderId="18" xfId="0" applyFont="1" applyFill="1" applyBorder="1" applyAlignment="1" applyProtection="1">
      <alignment horizontal="center"/>
    </xf>
    <xf numFmtId="164" fontId="3" fillId="6" borderId="20" xfId="0" applyFont="1" applyFill="1" applyBorder="1" applyAlignment="1" applyProtection="1">
      <alignment horizontal="center"/>
    </xf>
    <xf numFmtId="0" fontId="25" fillId="4" borderId="59" xfId="0" applyNumberFormat="1" applyFont="1" applyFill="1" applyBorder="1" applyAlignment="1" applyProtection="1">
      <alignment horizontal="center"/>
      <protection locked="0"/>
    </xf>
    <xf numFmtId="164" fontId="25" fillId="4" borderId="60" xfId="0" applyFont="1" applyFill="1" applyBorder="1" applyAlignment="1" applyProtection="1">
      <alignment horizontal="center"/>
      <protection locked="0"/>
    </xf>
    <xf numFmtId="0" fontId="25" fillId="4" borderId="60" xfId="0" applyNumberFormat="1" applyFont="1" applyFill="1" applyBorder="1" applyAlignment="1" applyProtection="1">
      <alignment horizontal="center"/>
      <protection locked="0"/>
    </xf>
    <xf numFmtId="0" fontId="26" fillId="4" borderId="60" xfId="0" applyNumberFormat="1" applyFont="1" applyFill="1" applyBorder="1" applyAlignment="1" applyProtection="1">
      <alignment horizontal="center"/>
      <protection locked="0"/>
    </xf>
    <xf numFmtId="164" fontId="25" fillId="4" borderId="61" xfId="0" applyFont="1" applyFill="1" applyBorder="1" applyAlignment="1" applyProtection="1">
      <alignment horizontal="center"/>
      <protection locked="0"/>
    </xf>
    <xf numFmtId="164" fontId="8" fillId="3" borderId="0" xfId="0" applyFont="1" applyFill="1" applyAlignment="1">
      <alignment wrapText="1"/>
    </xf>
    <xf numFmtId="164" fontId="0" fillId="3" borderId="0" xfId="0" applyFill="1" applyAlignment="1">
      <alignment wrapText="1"/>
    </xf>
    <xf numFmtId="164" fontId="12" fillId="3" borderId="0" xfId="0" applyFont="1" applyFill="1" applyAlignment="1">
      <alignment wrapText="1"/>
    </xf>
    <xf numFmtId="164" fontId="15" fillId="3" borderId="0" xfId="0" applyFont="1" applyFill="1" applyAlignment="1">
      <alignment wrapText="1"/>
    </xf>
    <xf numFmtId="164" fontId="50" fillId="3" borderId="0" xfId="0" applyFont="1" applyFill="1"/>
    <xf numFmtId="164" fontId="51" fillId="0" borderId="0" xfId="0" applyFont="1"/>
    <xf numFmtId="164" fontId="51" fillId="3" borderId="0" xfId="0" applyFont="1" applyFill="1"/>
    <xf numFmtId="164" fontId="52" fillId="3" borderId="0" xfId="0" applyFont="1" applyFill="1"/>
    <xf numFmtId="164" fontId="33" fillId="3" borderId="15" xfId="0" applyFont="1" applyFill="1" applyBorder="1" applyAlignment="1" applyProtection="1">
      <alignment horizontal="right"/>
    </xf>
    <xf numFmtId="164" fontId="33" fillId="3" borderId="16" xfId="0" applyFont="1" applyFill="1" applyBorder="1" applyAlignment="1" applyProtection="1">
      <alignment horizontal="right"/>
    </xf>
    <xf numFmtId="164" fontId="32" fillId="3" borderId="0" xfId="0" applyFont="1" applyFill="1" applyAlignment="1" applyProtection="1">
      <alignment horizontal="left" vertical="top" wrapText="1"/>
    </xf>
    <xf numFmtId="164" fontId="3" fillId="3" borderId="0" xfId="0" applyFont="1" applyFill="1" applyAlignment="1" applyProtection="1">
      <alignment horizontal="left"/>
    </xf>
    <xf numFmtId="1" fontId="7" fillId="4" borderId="0" xfId="0" applyNumberFormat="1" applyFont="1" applyFill="1" applyAlignment="1" applyProtection="1">
      <alignment horizontal="center"/>
      <protection locked="0"/>
    </xf>
    <xf numFmtId="1" fontId="0" fillId="4" borderId="0" xfId="0" applyNumberFormat="1" applyFont="1" applyFill="1" applyAlignment="1" applyProtection="1">
      <alignment horizontal="center"/>
      <protection locked="0"/>
    </xf>
    <xf numFmtId="1" fontId="37" fillId="2" borderId="1" xfId="0" applyNumberFormat="1" applyFont="1" applyFill="1" applyBorder="1" applyAlignment="1" applyProtection="1">
      <alignment horizontal="left" vertical="center"/>
    </xf>
    <xf numFmtId="1" fontId="37" fillId="0" borderId="15" xfId="0" applyNumberFormat="1" applyFont="1" applyBorder="1" applyAlignment="1" applyProtection="1">
      <alignment vertical="center"/>
    </xf>
    <xf numFmtId="1" fontId="35" fillId="0" borderId="15" xfId="0" applyNumberFormat="1" applyFont="1" applyBorder="1" applyAlignment="1" applyProtection="1">
      <alignment vertical="center"/>
    </xf>
    <xf numFmtId="1" fontId="35" fillId="0" borderId="16" xfId="0" applyNumberFormat="1" applyFont="1" applyBorder="1" applyAlignment="1" applyProtection="1">
      <alignment vertical="center"/>
    </xf>
    <xf numFmtId="164" fontId="37" fillId="2" borderId="14" xfId="0" applyFont="1" applyFill="1" applyBorder="1" applyAlignment="1" applyProtection="1">
      <alignment vertical="center"/>
    </xf>
    <xf numFmtId="164" fontId="37" fillId="0" borderId="15" xfId="0" applyFont="1" applyBorder="1" applyAlignment="1" applyProtection="1">
      <alignment vertical="center"/>
    </xf>
    <xf numFmtId="164" fontId="37" fillId="0" borderId="3" xfId="0" applyFont="1" applyBorder="1" applyAlignment="1" applyProtection="1">
      <alignment vertical="center"/>
    </xf>
    <xf numFmtId="0" fontId="37" fillId="2" borderId="14" xfId="0" applyNumberFormat="1" applyFont="1" applyFill="1" applyBorder="1" applyAlignment="1" applyProtection="1">
      <alignment vertical="center"/>
    </xf>
    <xf numFmtId="0" fontId="37" fillId="0" borderId="15" xfId="0" applyNumberFormat="1" applyFont="1" applyBorder="1" applyAlignment="1" applyProtection="1">
      <alignment vertical="center"/>
    </xf>
    <xf numFmtId="0" fontId="37" fillId="0" borderId="3" xfId="0" applyNumberFormat="1" applyFont="1" applyBorder="1" applyAlignment="1" applyProtection="1">
      <alignment vertical="center"/>
    </xf>
    <xf numFmtId="1" fontId="37" fillId="2" borderId="14" xfId="0" applyNumberFormat="1" applyFont="1" applyFill="1" applyBorder="1" applyAlignment="1" applyProtection="1">
      <alignment horizontal="left" vertical="center"/>
    </xf>
    <xf numFmtId="164" fontId="37" fillId="0" borderId="16" xfId="0" applyFont="1" applyBorder="1" applyAlignment="1" applyProtection="1">
      <alignment vertical="center"/>
    </xf>
    <xf numFmtId="164" fontId="45" fillId="3" borderId="15" xfId="0" applyFont="1" applyFill="1" applyBorder="1" applyAlignment="1">
      <alignment horizontal="right"/>
    </xf>
    <xf numFmtId="164" fontId="49" fillId="3" borderId="15" xfId="0" applyFont="1" applyFill="1" applyBorder="1" applyAlignment="1">
      <alignment horizontal="right"/>
    </xf>
    <xf numFmtId="164" fontId="45" fillId="3" borderId="2" xfId="0" applyFont="1" applyFill="1" applyBorder="1" applyAlignment="1">
      <alignment horizontal="left"/>
    </xf>
    <xf numFmtId="164" fontId="0" fillId="3" borderId="0" xfId="0" applyFill="1" applyAlignment="1"/>
  </cellXfs>
  <cellStyles count="3">
    <cellStyle name="Följde hyperlänken" xfId="1"/>
    <cellStyle name="Normal" xfId="0" builtinId="0"/>
    <cellStyle name="Normal 2" xfId="2"/>
  </cellStyles>
  <dxfs count="161">
    <dxf>
      <border>
        <left style="thin">
          <color auto="1"/>
        </left>
        <vertical/>
        <horizontal/>
      </border>
    </dxf>
    <dxf>
      <border>
        <left style="thin">
          <color auto="1"/>
        </left>
        <vertical/>
        <horizontal/>
      </border>
    </dxf>
    <dxf>
      <font>
        <b/>
        <i val="0"/>
      </font>
      <fill>
        <patternFill>
          <bgColor theme="6" tint="0.59996337778862885"/>
        </patternFill>
      </fill>
    </dxf>
    <dxf>
      <font>
        <b/>
        <i val="0"/>
      </font>
      <fill>
        <patternFill>
          <bgColor theme="5" tint="0.59996337778862885"/>
        </patternFill>
      </fill>
    </dxf>
    <dxf>
      <font>
        <b/>
        <i val="0"/>
      </font>
      <fill>
        <patternFill>
          <bgColor theme="4" tint="0.59996337778862885"/>
        </patternFill>
      </fill>
    </dxf>
    <dxf>
      <font>
        <color theme="6" tint="0.59996337778862885"/>
      </font>
      <fill>
        <patternFill>
          <bgColor theme="6" tint="0.59996337778862885"/>
        </patternFill>
      </fill>
    </dxf>
    <dxf>
      <font>
        <color theme="5" tint="0.59996337778862885"/>
      </font>
      <fill>
        <patternFill>
          <bgColor theme="5" tint="0.59996337778862885"/>
        </patternFill>
      </fill>
    </dxf>
    <dxf>
      <font>
        <color rgb="FFFFFF00"/>
      </font>
      <fill>
        <patternFill>
          <bgColor rgb="FFFFFF00"/>
        </patternFill>
      </fill>
    </dxf>
    <dxf>
      <font>
        <color theme="4" tint="0.59996337778862885"/>
      </font>
      <fill>
        <patternFill>
          <bgColor theme="4" tint="0.59996337778862885"/>
        </patternFill>
      </fill>
    </dxf>
    <dxf>
      <font>
        <b/>
        <i val="0"/>
      </font>
      <fill>
        <patternFill>
          <bgColor theme="6" tint="0.59996337778862885"/>
        </patternFill>
      </fill>
    </dxf>
    <dxf>
      <font>
        <b/>
        <i val="0"/>
      </font>
      <fill>
        <patternFill>
          <bgColor theme="5" tint="0.59996337778862885"/>
        </patternFill>
      </fill>
    </dxf>
    <dxf>
      <font>
        <b/>
        <i val="0"/>
      </font>
      <fill>
        <patternFill>
          <bgColor theme="4" tint="0.59996337778862885"/>
        </patternFill>
      </fill>
    </dxf>
    <dxf>
      <font>
        <b/>
        <i val="0"/>
      </font>
      <fill>
        <patternFill>
          <bgColor rgb="FFFFFF00"/>
        </patternFill>
      </fill>
    </dxf>
    <dxf>
      <border>
        <left style="thin">
          <color auto="1"/>
        </left>
        <vertical/>
        <horizontal/>
      </border>
    </dxf>
    <dxf>
      <border>
        <left style="thin">
          <color auto="1"/>
        </left>
        <vertical/>
        <horizontal/>
      </border>
    </dxf>
    <dxf>
      <font>
        <b/>
        <i val="0"/>
      </font>
      <fill>
        <patternFill>
          <bgColor theme="6" tint="0.59996337778862885"/>
        </patternFill>
      </fill>
    </dxf>
    <dxf>
      <font>
        <b/>
        <i val="0"/>
      </font>
      <fill>
        <patternFill>
          <bgColor theme="5" tint="0.59996337778862885"/>
        </patternFill>
      </fill>
    </dxf>
    <dxf>
      <font>
        <b/>
        <i val="0"/>
      </font>
      <fill>
        <patternFill>
          <bgColor theme="4" tint="0.59996337778862885"/>
        </patternFill>
      </fill>
    </dxf>
    <dxf>
      <font>
        <color theme="6" tint="0.59996337778862885"/>
      </font>
      <fill>
        <patternFill>
          <bgColor theme="6" tint="0.59996337778862885"/>
        </patternFill>
      </fill>
    </dxf>
    <dxf>
      <font>
        <color theme="5" tint="0.59996337778862885"/>
      </font>
      <fill>
        <patternFill>
          <bgColor theme="5" tint="0.59996337778862885"/>
        </patternFill>
      </fill>
    </dxf>
    <dxf>
      <font>
        <color rgb="FFFFFF00"/>
      </font>
      <fill>
        <patternFill>
          <bgColor rgb="FFFFFF00"/>
        </patternFill>
      </fill>
    </dxf>
    <dxf>
      <font>
        <color theme="4" tint="0.59996337778862885"/>
      </font>
      <fill>
        <patternFill>
          <bgColor theme="4" tint="0.59996337778862885"/>
        </patternFill>
      </fill>
    </dxf>
    <dxf>
      <font>
        <b/>
        <i val="0"/>
      </font>
      <fill>
        <patternFill>
          <bgColor theme="6" tint="0.59996337778862885"/>
        </patternFill>
      </fill>
    </dxf>
    <dxf>
      <font>
        <b/>
        <i val="0"/>
      </font>
      <fill>
        <patternFill>
          <bgColor theme="5" tint="0.59996337778862885"/>
        </patternFill>
      </fill>
    </dxf>
    <dxf>
      <font>
        <b/>
        <i val="0"/>
      </font>
      <fill>
        <patternFill>
          <bgColor theme="4" tint="0.59996337778862885"/>
        </patternFill>
      </fill>
    </dxf>
    <dxf>
      <font>
        <b/>
        <i val="0"/>
        <color auto="1"/>
      </font>
      <fill>
        <patternFill>
          <bgColor rgb="FFFFFF00"/>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tint="0.59996337778862885"/>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tint="0.59996337778862885"/>
        </patternFill>
      </fill>
    </dxf>
    <dxf>
      <fill>
        <patternFill>
          <bgColor theme="5" tint="0.59996337778862885"/>
        </patternFill>
      </fill>
    </dxf>
    <dxf>
      <fill>
        <patternFill>
          <bgColor theme="5"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fill>
        <patternFill>
          <bgColor theme="0"/>
        </patternFill>
      </fill>
    </dxf>
    <dxf>
      <font>
        <color auto="1"/>
      </font>
      <fill>
        <patternFill>
          <bgColor rgb="FFFFFFCC"/>
        </patternFill>
      </fill>
    </dxf>
    <dxf>
      <font>
        <color rgb="FF9C0006"/>
      </font>
      <fill>
        <patternFill>
          <bgColor rgb="FFFFC7CE"/>
        </patternFill>
      </fill>
    </dxf>
    <dxf>
      <font>
        <color auto="1"/>
      </font>
      <fill>
        <patternFill>
          <bgColor rgb="FFFFFFCC"/>
        </patternFill>
      </fill>
    </dxf>
    <dxf>
      <fill>
        <patternFill>
          <bgColor rgb="FFCCFF99"/>
        </patternFill>
      </fill>
      <border>
        <left style="thin">
          <color auto="1"/>
        </left>
        <right style="thin">
          <color auto="1"/>
        </right>
        <top style="thin">
          <color auto="1"/>
        </top>
        <bottom style="thin">
          <color auto="1"/>
        </bottom>
      </border>
    </dxf>
    <dxf>
      <fill>
        <patternFill>
          <bgColor rgb="FFFFCCCC"/>
        </patternFill>
      </fill>
      <border>
        <left style="thin">
          <color auto="1"/>
        </left>
        <right style="thin">
          <color auto="1"/>
        </right>
        <top style="thin">
          <color auto="1"/>
        </top>
        <bottom style="thin">
          <color auto="1"/>
        </bottom>
      </border>
    </dxf>
    <dxf>
      <fill>
        <patternFill>
          <bgColor theme="4" tint="0.59996337778862885"/>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ont>
        <color auto="1"/>
      </font>
      <fill>
        <patternFill>
          <bgColor rgb="FFCCFF99"/>
        </patternFill>
      </fill>
    </dxf>
    <dxf>
      <fill>
        <patternFill>
          <bgColor theme="3" tint="0.79998168889431442"/>
        </patternFill>
      </fill>
    </dxf>
    <dxf>
      <font>
        <color auto="1"/>
      </font>
      <fill>
        <patternFill>
          <bgColor rgb="FFFFC7CE"/>
        </patternFill>
      </fill>
    </dxf>
    <dxf>
      <fill>
        <patternFill>
          <bgColor rgb="FFFFFF00"/>
        </patternFill>
      </fill>
    </dxf>
    <dxf>
      <font>
        <color auto="1"/>
      </font>
      <fill>
        <patternFill patternType="solid">
          <bgColor rgb="FFFFFFCC"/>
        </patternFill>
      </fill>
    </dxf>
    <dxf>
      <font>
        <color auto="1"/>
      </font>
      <fill>
        <patternFill>
          <bgColor rgb="FFFFFFCC"/>
        </patternFill>
      </fill>
    </dxf>
    <dxf>
      <font>
        <b val="0"/>
        <i val="0"/>
        <color auto="1"/>
      </font>
      <fill>
        <patternFill patternType="solid">
          <bgColor rgb="FFFFFFCC"/>
        </patternFill>
      </fill>
    </dxf>
    <dxf>
      <font>
        <color auto="1"/>
      </font>
      <fill>
        <patternFill>
          <bgColor rgb="FFFFC7CE"/>
        </patternFill>
      </fill>
    </dxf>
    <dxf>
      <fill>
        <patternFill>
          <bgColor rgb="FFCCFF99"/>
        </patternFill>
      </fill>
    </dxf>
    <dxf>
      <fill>
        <patternFill>
          <bgColor theme="3" tint="0.79998168889431442"/>
        </patternFill>
      </fill>
    </dxf>
    <dxf>
      <fill>
        <patternFill>
          <bgColor rgb="FFFFFF00"/>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CC"/>
      <color rgb="FFCCFF99"/>
      <color rgb="FFFFCCCC"/>
      <color rgb="FFFF7C80"/>
      <color rgb="FFD1FEB0"/>
      <color rgb="FFCAFED3"/>
      <color rgb="FFFFFF99"/>
      <color rgb="FFFF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06/relationships/vbaProject" Target="vbaProject.bin"/><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Radio" checked="Checked" firstButton="1" fmlaLink="K3"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CheckBox" fmlaLink="S14"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0</xdr:colOff>
          <xdr:row>0</xdr:row>
          <xdr:rowOff>144780</xdr:rowOff>
        </xdr:from>
        <xdr:to>
          <xdr:col>2</xdr:col>
          <xdr:colOff>876300</xdr:colOff>
          <xdr:row>0</xdr:row>
          <xdr:rowOff>502920</xdr:rowOff>
        </xdr:to>
        <xdr:sp macro="" textlink="">
          <xdr:nvSpPr>
            <xdr:cNvPr id="7172" name="Button 4" hidden="1">
              <a:extLst>
                <a:ext uri="{63B3BB69-23CF-44E3-9099-C40C66FF867C}">
                  <a14:compatExt spid="_x0000_s7172"/>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100" b="1" i="0" u="none" strike="noStrike" baseline="0">
                  <a:solidFill>
                    <a:srgbClr val="000000"/>
                  </a:solidFill>
                  <a:latin typeface="Helv"/>
                </a:rPr>
                <a:t>Sortera lista</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15</xdr:col>
          <xdr:colOff>24737</xdr:colOff>
          <xdr:row>3</xdr:row>
          <xdr:rowOff>30256</xdr:rowOff>
        </xdr:from>
        <xdr:to>
          <xdr:col>16</xdr:col>
          <xdr:colOff>3502</xdr:colOff>
          <xdr:row>4</xdr:row>
          <xdr:rowOff>145604</xdr:rowOff>
        </xdr:to>
        <xdr:grpSp>
          <xdr:nvGrpSpPr>
            <xdr:cNvPr id="2" name="Group 1"/>
            <xdr:cNvGrpSpPr/>
          </xdr:nvGrpSpPr>
          <xdr:grpSpPr>
            <a:xfrm>
              <a:off x="6802055" y="1410821"/>
              <a:ext cx="2148223" cy="698054"/>
              <a:chOff x="14026758" y="579778"/>
              <a:chExt cx="1667579" cy="698056"/>
            </a:xfrm>
          </xdr:grpSpPr>
          <xdr:sp macro="" textlink="">
            <xdr:nvSpPr>
              <xdr:cNvPr id="7175" name="Option Button 7" hidden="1">
                <a:extLst>
                  <a:ext uri="{63B3BB69-23CF-44E3-9099-C40C66FF867C}">
                    <a14:compatExt spid="_x0000_s7175"/>
                  </a:ext>
                </a:extLst>
              </xdr:cNvPr>
              <xdr:cNvSpPr/>
            </xdr:nvSpPr>
            <xdr:spPr bwMode="auto">
              <a:xfrm>
                <a:off x="14026758" y="579778"/>
                <a:ext cx="1183818" cy="18183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ea typeface="Segoe UI"/>
                    <a:cs typeface="Segoe UI"/>
                  </a:rPr>
                  <a:t>Normal segling</a:t>
                </a:r>
              </a:p>
            </xdr:txBody>
          </xdr:sp>
          <xdr:sp macro="" textlink="">
            <xdr:nvSpPr>
              <xdr:cNvPr id="7176" name="Option Button 8" hidden="1">
                <a:extLst>
                  <a:ext uri="{63B3BB69-23CF-44E3-9099-C40C66FF867C}">
                    <a14:compatExt spid="_x0000_s7176"/>
                  </a:ext>
                </a:extLst>
              </xdr:cNvPr>
              <xdr:cNvSpPr/>
            </xdr:nvSpPr>
            <xdr:spPr bwMode="auto">
              <a:xfrm>
                <a:off x="14031686" y="757892"/>
                <a:ext cx="1662651" cy="18383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ea typeface="Segoe UI"/>
                    <a:cs typeface="Segoe UI"/>
                  </a:rPr>
                  <a:t>Heatsegling enl. tyska systemet, 3 grupper</a:t>
                </a:r>
              </a:p>
            </xdr:txBody>
          </xdr:sp>
          <xdr:sp macro="" textlink="">
            <xdr:nvSpPr>
              <xdr:cNvPr id="7177" name="Option Button 9" hidden="1">
                <a:extLst>
                  <a:ext uri="{63B3BB69-23CF-44E3-9099-C40C66FF867C}">
                    <a14:compatExt spid="_x0000_s7177"/>
                  </a:ext>
                </a:extLst>
              </xdr:cNvPr>
              <xdr:cNvSpPr/>
            </xdr:nvSpPr>
            <xdr:spPr bwMode="auto">
              <a:xfrm>
                <a:off x="14031679" y="1115081"/>
                <a:ext cx="1479094" cy="1627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ea typeface="Segoe UI"/>
                    <a:cs typeface="Segoe UI"/>
                  </a:rPr>
                  <a:t>Gruppsegling i 2 fleets</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1028700</xdr:colOff>
          <xdr:row>0</xdr:row>
          <xdr:rowOff>144780</xdr:rowOff>
        </xdr:from>
        <xdr:to>
          <xdr:col>4</xdr:col>
          <xdr:colOff>426720</xdr:colOff>
          <xdr:row>0</xdr:row>
          <xdr:rowOff>502920</xdr:rowOff>
        </xdr:to>
        <xdr:sp macro="" textlink="">
          <xdr:nvSpPr>
            <xdr:cNvPr id="7178" name="Button 10" hidden="1">
              <a:extLst>
                <a:ext uri="{63B3BB69-23CF-44E3-9099-C40C66FF867C}">
                  <a14:compatExt spid="_x0000_s7178"/>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GB" sz="900" b="1" i="0" u="none" strike="noStrike" baseline="0">
                  <a:solidFill>
                    <a:srgbClr val="000000"/>
                  </a:solidFill>
                  <a:latin typeface="Helv"/>
                </a:rPr>
                <a:t>Applicera föreslagen gruppindelning</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30480</xdr:colOff>
          <xdr:row>3</xdr:row>
          <xdr:rowOff>365760</xdr:rowOff>
        </xdr:from>
        <xdr:to>
          <xdr:col>15</xdr:col>
          <xdr:colOff>2141220</xdr:colOff>
          <xdr:row>3</xdr:row>
          <xdr:rowOff>571500</xdr:rowOff>
        </xdr:to>
        <xdr:sp macro="" textlink="">
          <xdr:nvSpPr>
            <xdr:cNvPr id="7182" name="Option Button 14" hidden="1">
              <a:extLst>
                <a:ext uri="{63B3BB69-23CF-44E3-9099-C40C66FF867C}">
                  <a14:compatExt spid="_x0000_s7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ea typeface="Segoe UI"/>
                  <a:cs typeface="Segoe UI"/>
                </a:rPr>
                <a:t>Heatsegling enl. tyska systemet, 4 grupper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xdr:colOff>
          <xdr:row>14</xdr:row>
          <xdr:rowOff>0</xdr:rowOff>
        </xdr:from>
        <xdr:to>
          <xdr:col>16</xdr:col>
          <xdr:colOff>0</xdr:colOff>
          <xdr:row>15</xdr:row>
          <xdr:rowOff>7620</xdr:rowOff>
        </xdr:to>
        <xdr:sp macro="" textlink="">
          <xdr:nvSpPr>
            <xdr:cNvPr id="7183" name="Check Box 15" hidden="1">
              <a:extLst>
                <a:ext uri="{63B3BB69-23CF-44E3-9099-C40C66FF867C}">
                  <a14:compatExt spid="_x0000_s7183"/>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ea typeface="Segoe UI"/>
                  <a:cs typeface="Segoe UI"/>
                </a:rPr>
                <a:t>Inkludera Grand Master resultat</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2</xdr:col>
      <xdr:colOff>228601</xdr:colOff>
      <xdr:row>2</xdr:row>
      <xdr:rowOff>76200</xdr:rowOff>
    </xdr:from>
    <xdr:to>
      <xdr:col>2</xdr:col>
      <xdr:colOff>1132115</xdr:colOff>
      <xdr:row>2</xdr:row>
      <xdr:rowOff>979714</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9972" y="881743"/>
          <a:ext cx="903514" cy="90351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omments" Target="../comments1.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
  <sheetViews>
    <sheetView workbookViewId="0"/>
  </sheetViews>
  <sheetFormatPr defaultRowHeight="15.6" x14ac:dyDescent="0.3"/>
  <sheetData/>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0"/>
  </sheetPr>
  <dimension ref="A1:AH177"/>
  <sheetViews>
    <sheetView tabSelected="1" zoomScale="70" zoomScaleNormal="70" workbookViewId="0"/>
  </sheetViews>
  <sheetFormatPr defaultRowHeight="15.6" x14ac:dyDescent="0.3"/>
  <cols>
    <col min="2" max="2" width="101.90625" customWidth="1"/>
    <col min="4" max="4" width="10" customWidth="1"/>
    <col min="5" max="5" width="29.26953125" customWidth="1"/>
    <col min="6" max="6" width="39.36328125" customWidth="1"/>
  </cols>
  <sheetData>
    <row r="1" spans="1:34" x14ac:dyDescent="0.3">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row>
    <row r="2" spans="1:34" ht="40.799999999999997" customHeight="1" x14ac:dyDescent="0.45">
      <c r="A2" s="1"/>
      <c r="B2" s="237" t="s">
        <v>98</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1:34" ht="22.8" customHeight="1" x14ac:dyDescent="0.3">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row>
    <row r="4" spans="1:34" ht="19.8" customHeight="1" x14ac:dyDescent="0.35">
      <c r="A4" s="1"/>
      <c r="B4" s="233" t="s">
        <v>31</v>
      </c>
      <c r="C4" s="1"/>
      <c r="D4" s="20" t="s">
        <v>97</v>
      </c>
      <c r="E4" s="1"/>
      <c r="F4" s="1"/>
      <c r="G4" s="1"/>
      <c r="H4" s="1"/>
      <c r="I4" s="1"/>
      <c r="J4" s="1"/>
      <c r="K4" s="1"/>
      <c r="L4" s="1"/>
      <c r="M4" s="1"/>
      <c r="N4" s="1"/>
      <c r="O4" s="1"/>
      <c r="P4" s="1"/>
      <c r="Q4" s="1"/>
      <c r="R4" s="1"/>
      <c r="S4" s="1"/>
      <c r="T4" s="1"/>
      <c r="U4" s="1"/>
      <c r="V4" s="1"/>
      <c r="W4" s="1"/>
      <c r="X4" s="1"/>
      <c r="Y4" s="1"/>
      <c r="Z4" s="1"/>
      <c r="AA4" s="1"/>
      <c r="AB4" s="1"/>
      <c r="AC4" s="1"/>
      <c r="AD4" s="1"/>
      <c r="AE4" s="1"/>
      <c r="AF4" s="1"/>
      <c r="AG4" s="1"/>
      <c r="AH4" s="1"/>
    </row>
    <row r="5" spans="1:34" x14ac:dyDescent="0.3">
      <c r="A5" s="1"/>
      <c r="B5" s="234"/>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row>
    <row r="6" spans="1:34" x14ac:dyDescent="0.3">
      <c r="A6" s="1"/>
      <c r="B6" s="234" t="s">
        <v>66</v>
      </c>
      <c r="C6" s="1"/>
      <c r="D6" s="238" t="s">
        <v>102</v>
      </c>
      <c r="E6" s="239" t="s">
        <v>103</v>
      </c>
      <c r="F6" s="239" t="s">
        <v>104</v>
      </c>
      <c r="G6" s="1"/>
      <c r="H6" s="1"/>
      <c r="I6" s="1"/>
      <c r="J6" s="1"/>
      <c r="K6" s="1"/>
      <c r="L6" s="1"/>
      <c r="M6" s="1"/>
      <c r="N6" s="1"/>
      <c r="O6" s="1"/>
      <c r="P6" s="1"/>
      <c r="Q6" s="1"/>
      <c r="R6" s="1"/>
      <c r="S6" s="1"/>
      <c r="T6" s="1"/>
      <c r="U6" s="1"/>
      <c r="V6" s="1"/>
      <c r="W6" s="1"/>
      <c r="X6" s="1"/>
      <c r="Y6" s="1"/>
      <c r="Z6" s="1"/>
      <c r="AA6" s="1"/>
      <c r="AB6" s="1"/>
      <c r="AC6" s="1"/>
      <c r="AD6" s="1"/>
      <c r="AE6" s="1"/>
      <c r="AF6" s="1"/>
      <c r="AG6" s="1"/>
      <c r="AH6" s="1"/>
    </row>
    <row r="7" spans="1:34" ht="31.2" x14ac:dyDescent="0.3">
      <c r="A7" s="1"/>
      <c r="B7" s="234" t="s">
        <v>69</v>
      </c>
      <c r="C7" s="1"/>
      <c r="D7" s="262" t="s">
        <v>117</v>
      </c>
      <c r="E7" s="262"/>
      <c r="F7" s="262" t="s">
        <v>118</v>
      </c>
      <c r="G7" s="262"/>
      <c r="H7" s="262"/>
      <c r="I7" s="262"/>
      <c r="K7" s="1"/>
      <c r="L7" s="1"/>
      <c r="M7" s="1"/>
      <c r="N7" s="1"/>
      <c r="O7" s="1"/>
      <c r="P7" s="1"/>
      <c r="Q7" s="1"/>
      <c r="R7" s="1"/>
      <c r="S7" s="1"/>
      <c r="T7" s="1"/>
      <c r="U7" s="1"/>
      <c r="V7" s="1"/>
      <c r="W7" s="1"/>
      <c r="X7" s="1"/>
      <c r="Y7" s="1"/>
      <c r="Z7" s="1"/>
      <c r="AA7" s="1"/>
      <c r="AB7" s="1"/>
      <c r="AC7" s="1"/>
      <c r="AD7" s="1"/>
      <c r="AE7" s="1"/>
      <c r="AF7" s="1"/>
      <c r="AG7" s="1"/>
      <c r="AH7" s="1"/>
    </row>
    <row r="8" spans="1:34" x14ac:dyDescent="0.3">
      <c r="A8" s="1"/>
      <c r="B8" s="234"/>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row>
    <row r="9" spans="1:34" ht="18" customHeight="1" x14ac:dyDescent="0.35">
      <c r="A9" s="1"/>
      <c r="B9" s="235" t="s">
        <v>22</v>
      </c>
      <c r="C9" s="1"/>
      <c r="D9" s="1" t="s">
        <v>99</v>
      </c>
      <c r="E9" s="1" t="s">
        <v>100</v>
      </c>
      <c r="F9" s="1" t="s">
        <v>105</v>
      </c>
      <c r="G9" s="1"/>
      <c r="H9" s="1"/>
      <c r="I9" s="1"/>
      <c r="J9" s="1"/>
      <c r="K9" s="1"/>
      <c r="L9" s="1"/>
      <c r="M9" s="1"/>
      <c r="N9" s="1"/>
      <c r="O9" s="1"/>
      <c r="P9" s="1"/>
      <c r="Q9" s="1"/>
      <c r="R9" s="1"/>
      <c r="S9" s="1"/>
      <c r="T9" s="1"/>
      <c r="U9" s="1"/>
      <c r="V9" s="1"/>
      <c r="W9" s="1"/>
      <c r="X9" s="1"/>
      <c r="Y9" s="1"/>
      <c r="Z9" s="1"/>
      <c r="AA9" s="1"/>
      <c r="AB9" s="1"/>
      <c r="AC9" s="1"/>
      <c r="AD9" s="1"/>
      <c r="AE9" s="1"/>
      <c r="AF9" s="1"/>
      <c r="AG9" s="1"/>
      <c r="AH9" s="1"/>
    </row>
    <row r="10" spans="1:34" x14ac:dyDescent="0.3">
      <c r="A10" s="1"/>
      <c r="B10" s="234"/>
      <c r="C10" s="1"/>
      <c r="D10" s="1"/>
      <c r="E10" s="1" t="s">
        <v>101</v>
      </c>
      <c r="F10" s="1" t="s">
        <v>106</v>
      </c>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row>
    <row r="11" spans="1:34" x14ac:dyDescent="0.3">
      <c r="A11" s="1"/>
      <c r="B11" s="234" t="s">
        <v>23</v>
      </c>
      <c r="C11" s="1"/>
      <c r="D11" s="1"/>
      <c r="E11" s="1"/>
      <c r="F11" s="1" t="s">
        <v>115</v>
      </c>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row>
    <row r="12" spans="1:34" x14ac:dyDescent="0.3">
      <c r="A12" s="1"/>
      <c r="B12" s="234"/>
      <c r="C12" s="1"/>
      <c r="D12" s="1"/>
      <c r="E12" s="1"/>
      <c r="F12" s="1" t="s">
        <v>114</v>
      </c>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row>
    <row r="13" spans="1:34" x14ac:dyDescent="0.3">
      <c r="A13" s="1"/>
      <c r="B13" s="236" t="s">
        <v>8</v>
      </c>
      <c r="C13" s="1"/>
      <c r="D13" s="1"/>
      <c r="E13" s="1"/>
      <c r="F13" s="1" t="s">
        <v>97</v>
      </c>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row>
    <row r="14" spans="1:34" x14ac:dyDescent="0.3">
      <c r="A14" s="1"/>
      <c r="B14" s="234"/>
      <c r="C14" s="1"/>
      <c r="E14" s="239" t="s">
        <v>113</v>
      </c>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row>
    <row r="15" spans="1:34" x14ac:dyDescent="0.3">
      <c r="A15" s="1"/>
      <c r="B15" s="234" t="s">
        <v>24</v>
      </c>
      <c r="C15" s="1"/>
      <c r="D15" s="1"/>
      <c r="E15" s="1" t="s">
        <v>109</v>
      </c>
      <c r="F15" s="1" t="s">
        <v>110</v>
      </c>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row>
    <row r="16" spans="1:34" x14ac:dyDescent="0.3">
      <c r="A16" s="1"/>
      <c r="B16" s="234" t="s">
        <v>25</v>
      </c>
      <c r="C16" s="1"/>
      <c r="D16" s="1"/>
      <c r="E16" t="s">
        <v>107</v>
      </c>
      <c r="F16" s="1" t="s">
        <v>111</v>
      </c>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row>
    <row r="17" spans="1:34" ht="31.2" x14ac:dyDescent="0.3">
      <c r="A17" s="1"/>
      <c r="B17" s="234" t="s">
        <v>67</v>
      </c>
      <c r="C17" s="1"/>
      <c r="E17" s="1" t="s">
        <v>108</v>
      </c>
      <c r="F17" s="1" t="s">
        <v>112</v>
      </c>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row>
    <row r="18" spans="1:34" ht="31.2" x14ac:dyDescent="0.3">
      <c r="A18" s="1"/>
      <c r="B18" s="234" t="s">
        <v>68</v>
      </c>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row>
    <row r="19" spans="1:34" x14ac:dyDescent="0.3">
      <c r="A19" s="1"/>
      <c r="B19" s="234" t="s">
        <v>26</v>
      </c>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row>
    <row r="20" spans="1:34" ht="32.4" x14ac:dyDescent="0.4">
      <c r="A20" s="1"/>
      <c r="B20" s="234" t="s">
        <v>96</v>
      </c>
      <c r="C20" s="1"/>
      <c r="D20" s="240" t="s">
        <v>116</v>
      </c>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row>
    <row r="21" spans="1:34" x14ac:dyDescent="0.3">
      <c r="A21" s="1"/>
      <c r="B21" s="234" t="s">
        <v>94</v>
      </c>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row>
    <row r="22" spans="1:34" x14ac:dyDescent="0.3">
      <c r="A22" s="1"/>
      <c r="B22" s="234" t="s">
        <v>27</v>
      </c>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row>
    <row r="23" spans="1:34" x14ac:dyDescent="0.3">
      <c r="A23" s="1"/>
      <c r="B23" s="234"/>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row>
    <row r="24" spans="1:34" x14ac:dyDescent="0.3">
      <c r="A24" s="1"/>
      <c r="B24" s="236" t="s">
        <v>28</v>
      </c>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row>
    <row r="25" spans="1:34" x14ac:dyDescent="0.3">
      <c r="A25" s="1"/>
      <c r="B25" s="234"/>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row>
    <row r="26" spans="1:34" x14ac:dyDescent="0.3">
      <c r="A26" s="1"/>
      <c r="B26" s="234" t="s">
        <v>30</v>
      </c>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row>
    <row r="27" spans="1:34" x14ac:dyDescent="0.3">
      <c r="A27" s="1"/>
      <c r="B27" s="234" t="s">
        <v>95</v>
      </c>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row>
    <row r="28" spans="1:34" x14ac:dyDescent="0.3">
      <c r="A28" s="1"/>
      <c r="B28" s="234"/>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row>
    <row r="29" spans="1:34" x14ac:dyDescent="0.3">
      <c r="A29" s="1"/>
      <c r="B29" s="236" t="s">
        <v>29</v>
      </c>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row>
    <row r="30" spans="1:34" x14ac:dyDescent="0.3">
      <c r="A30" s="1"/>
      <c r="B30" s="234"/>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row>
    <row r="31" spans="1:34" x14ac:dyDescent="0.3">
      <c r="A31" s="1"/>
      <c r="B31" s="234" t="s">
        <v>65</v>
      </c>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row>
    <row r="32" spans="1:34" x14ac:dyDescent="0.3">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row>
    <row r="33" spans="1:34" x14ac:dyDescent="0.3">
      <c r="A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row>
    <row r="34" spans="1:34" x14ac:dyDescent="0.3">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row>
    <row r="35" spans="1:34" x14ac:dyDescent="0.3">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row>
    <row r="36" spans="1:34" x14ac:dyDescent="0.3">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row>
    <row r="37" spans="1:34" x14ac:dyDescent="0.3">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row>
    <row r="38" spans="1:34" x14ac:dyDescent="0.3">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row>
    <row r="39" spans="1:34" x14ac:dyDescent="0.3">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row>
    <row r="40" spans="1:34" x14ac:dyDescent="0.3">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row>
    <row r="41" spans="1:34" x14ac:dyDescent="0.3">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row>
    <row r="42" spans="1:34" x14ac:dyDescent="0.3">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row>
    <row r="43" spans="1:34" x14ac:dyDescent="0.3">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row>
    <row r="44" spans="1:34" x14ac:dyDescent="0.3">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row>
    <row r="45" spans="1:34" x14ac:dyDescent="0.3">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row>
    <row r="46" spans="1:34" x14ac:dyDescent="0.3">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row>
    <row r="47" spans="1:34" x14ac:dyDescent="0.3">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row>
    <row r="48" spans="1:34" x14ac:dyDescent="0.3">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row>
    <row r="49" spans="1:34" x14ac:dyDescent="0.3">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row>
    <row r="50" spans="1:34" x14ac:dyDescent="0.3">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row>
    <row r="51" spans="1:34" x14ac:dyDescent="0.3">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row>
    <row r="52" spans="1:34" x14ac:dyDescent="0.3">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row>
    <row r="53" spans="1:34" x14ac:dyDescent="0.3">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row>
    <row r="54" spans="1:34" x14ac:dyDescent="0.3">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row>
    <row r="55" spans="1:34" x14ac:dyDescent="0.3">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row>
    <row r="56" spans="1:34" x14ac:dyDescent="0.3">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row>
    <row r="57" spans="1:34" x14ac:dyDescent="0.3">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row>
    <row r="58" spans="1:34" x14ac:dyDescent="0.3">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row>
    <row r="59" spans="1:34" x14ac:dyDescent="0.3">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row>
    <row r="60" spans="1:34" x14ac:dyDescent="0.3">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row>
    <row r="61" spans="1:34" x14ac:dyDescent="0.3">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row>
    <row r="62" spans="1:34" x14ac:dyDescent="0.3">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row>
    <row r="63" spans="1:34" x14ac:dyDescent="0.3">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row>
    <row r="64" spans="1:34" x14ac:dyDescent="0.3">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row>
    <row r="65" spans="1:34" x14ac:dyDescent="0.3">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row>
    <row r="66" spans="1:34" x14ac:dyDescent="0.3">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row>
    <row r="67" spans="1:34" x14ac:dyDescent="0.3">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row>
    <row r="68" spans="1:34" x14ac:dyDescent="0.3">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row>
    <row r="69" spans="1:34" x14ac:dyDescent="0.3">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row>
    <row r="70" spans="1:34" x14ac:dyDescent="0.3">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row>
    <row r="71" spans="1:34" x14ac:dyDescent="0.3">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row>
    <row r="72" spans="1:34" x14ac:dyDescent="0.3">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row>
    <row r="73" spans="1:34" x14ac:dyDescent="0.3">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row>
    <row r="74" spans="1:34" x14ac:dyDescent="0.3">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row>
    <row r="75" spans="1:34" x14ac:dyDescent="0.3">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row>
    <row r="76" spans="1:34" x14ac:dyDescent="0.3">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row>
    <row r="77" spans="1:34" x14ac:dyDescent="0.3">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row>
    <row r="78" spans="1:34" x14ac:dyDescent="0.3">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row>
    <row r="79" spans="1:34" x14ac:dyDescent="0.3">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row>
    <row r="80" spans="1:34" x14ac:dyDescent="0.3">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row>
    <row r="81" spans="1:34" x14ac:dyDescent="0.3">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row>
    <row r="82" spans="1:34" x14ac:dyDescent="0.3">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row>
    <row r="83" spans="1:34" x14ac:dyDescent="0.3">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row>
    <row r="84" spans="1:34" x14ac:dyDescent="0.3">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row>
    <row r="85" spans="1:34" x14ac:dyDescent="0.3">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row>
    <row r="86" spans="1:34" x14ac:dyDescent="0.3">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row>
    <row r="87" spans="1:34" x14ac:dyDescent="0.3">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row>
    <row r="88" spans="1:34" x14ac:dyDescent="0.3">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row>
    <row r="89" spans="1:34" x14ac:dyDescent="0.3">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row>
    <row r="90" spans="1:34" x14ac:dyDescent="0.3">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row>
    <row r="91" spans="1:34" x14ac:dyDescent="0.3">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row>
    <row r="92" spans="1:34" x14ac:dyDescent="0.3">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row>
    <row r="93" spans="1:34" x14ac:dyDescent="0.3">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row>
    <row r="94" spans="1:34" x14ac:dyDescent="0.3">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row>
    <row r="95" spans="1:34" x14ac:dyDescent="0.3">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row>
    <row r="96" spans="1:34" x14ac:dyDescent="0.3">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row>
    <row r="97" spans="1:34" x14ac:dyDescent="0.3">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row>
    <row r="98" spans="1:34" x14ac:dyDescent="0.3">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row>
    <row r="99" spans="1:34" x14ac:dyDescent="0.3">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row>
    <row r="100" spans="1:34" x14ac:dyDescent="0.3">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row>
    <row r="101" spans="1:34" x14ac:dyDescent="0.3">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row>
    <row r="102" spans="1:34" x14ac:dyDescent="0.3">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row>
    <row r="103" spans="1:34" x14ac:dyDescent="0.3">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row>
    <row r="104" spans="1:34" x14ac:dyDescent="0.3">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row>
    <row r="105" spans="1:34" x14ac:dyDescent="0.3">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row>
    <row r="106" spans="1:34" x14ac:dyDescent="0.3">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row>
    <row r="107" spans="1:34" x14ac:dyDescent="0.3">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row>
    <row r="108" spans="1:34" x14ac:dyDescent="0.3">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row>
    <row r="109" spans="1:34" x14ac:dyDescent="0.3">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row>
    <row r="110" spans="1:34" x14ac:dyDescent="0.3">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row>
    <row r="111" spans="1:34" x14ac:dyDescent="0.3">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row>
    <row r="112" spans="1:34" x14ac:dyDescent="0.3">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row>
    <row r="113" spans="1:34" x14ac:dyDescent="0.3">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row>
    <row r="114" spans="1:34" x14ac:dyDescent="0.3">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row>
    <row r="115" spans="1:34" x14ac:dyDescent="0.3">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row>
    <row r="116" spans="1:34" x14ac:dyDescent="0.3">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row>
    <row r="117" spans="1:34" x14ac:dyDescent="0.3">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row>
    <row r="118" spans="1:34" x14ac:dyDescent="0.3">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row>
    <row r="119" spans="1:34" x14ac:dyDescent="0.3">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row>
    <row r="120" spans="1:34" x14ac:dyDescent="0.3">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row>
    <row r="121" spans="1:34" x14ac:dyDescent="0.3">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row>
    <row r="122" spans="1:34" x14ac:dyDescent="0.3">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row>
    <row r="123" spans="1:34" x14ac:dyDescent="0.3">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row>
    <row r="124" spans="1:34" x14ac:dyDescent="0.3">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row>
    <row r="125" spans="1:34" x14ac:dyDescent="0.3">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row>
    <row r="126" spans="1:34" x14ac:dyDescent="0.3">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row>
    <row r="127" spans="1:34" x14ac:dyDescent="0.3">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row>
    <row r="128" spans="1:34" x14ac:dyDescent="0.3">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row>
    <row r="129" spans="1:34" x14ac:dyDescent="0.3">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row>
    <row r="130" spans="1:34" x14ac:dyDescent="0.3">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row>
    <row r="131" spans="1:34" x14ac:dyDescent="0.3">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row>
    <row r="132" spans="1:34" x14ac:dyDescent="0.3">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row>
    <row r="133" spans="1:34" x14ac:dyDescent="0.3">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row>
    <row r="134" spans="1:34" x14ac:dyDescent="0.3">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row>
    <row r="135" spans="1:34" x14ac:dyDescent="0.3">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row>
    <row r="136" spans="1:34" x14ac:dyDescent="0.3">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row>
    <row r="137" spans="1:34" x14ac:dyDescent="0.3">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row>
    <row r="138" spans="1:34" x14ac:dyDescent="0.3">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row>
    <row r="139" spans="1:34" x14ac:dyDescent="0.3">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row>
    <row r="140" spans="1:34" x14ac:dyDescent="0.3">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row>
    <row r="141" spans="1:34" x14ac:dyDescent="0.3">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row>
    <row r="142" spans="1:34" x14ac:dyDescent="0.3">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row>
    <row r="143" spans="1:34" x14ac:dyDescent="0.3">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row>
    <row r="144" spans="1:34" x14ac:dyDescent="0.3">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row>
    <row r="145" spans="1:34" x14ac:dyDescent="0.3">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row>
    <row r="146" spans="1:34" x14ac:dyDescent="0.3">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row>
    <row r="147" spans="1:34" x14ac:dyDescent="0.3">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row>
    <row r="148" spans="1:34" x14ac:dyDescent="0.3">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row>
    <row r="149" spans="1:34" x14ac:dyDescent="0.3">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row>
    <row r="150" spans="1:34" x14ac:dyDescent="0.3">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row>
    <row r="151" spans="1:34" x14ac:dyDescent="0.3">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row>
    <row r="152" spans="1:34" x14ac:dyDescent="0.3">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row>
    <row r="153" spans="1:34" x14ac:dyDescent="0.3">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row>
    <row r="154" spans="1:34" x14ac:dyDescent="0.3">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row>
    <row r="155" spans="1:34" x14ac:dyDescent="0.3">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row>
    <row r="156" spans="1:34" x14ac:dyDescent="0.3">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row>
    <row r="157" spans="1:34" x14ac:dyDescent="0.3">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row>
    <row r="158" spans="1:34" x14ac:dyDescent="0.3">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row>
    <row r="159" spans="1:34" x14ac:dyDescent="0.3">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row>
    <row r="160" spans="1:34" x14ac:dyDescent="0.3">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row>
    <row r="161" spans="1:34" x14ac:dyDescent="0.3">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row>
    <row r="162" spans="1:34" x14ac:dyDescent="0.3">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row>
    <row r="163" spans="1:34" x14ac:dyDescent="0.3">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row>
    <row r="164" spans="1:34" x14ac:dyDescent="0.3">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row>
    <row r="165" spans="1:34" x14ac:dyDescent="0.3">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row>
    <row r="166" spans="1:34" x14ac:dyDescent="0.3">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row>
    <row r="167" spans="1:34" x14ac:dyDescent="0.3">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row>
    <row r="168" spans="1:34" x14ac:dyDescent="0.3">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row>
    <row r="169" spans="1:34" x14ac:dyDescent="0.3">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row>
    <row r="170" spans="1:34" x14ac:dyDescent="0.3">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row>
    <row r="171" spans="1:34" x14ac:dyDescent="0.3">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row>
    <row r="172" spans="1:34" x14ac:dyDescent="0.3">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row>
    <row r="173" spans="1:34" x14ac:dyDescent="0.3">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row>
    <row r="174" spans="1:34" x14ac:dyDescent="0.3">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row>
    <row r="175" spans="1:34" x14ac:dyDescent="0.3">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row>
    <row r="176" spans="1:34" x14ac:dyDescent="0.3">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row>
    <row r="177" spans="1:34" x14ac:dyDescent="0.3">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row>
  </sheetData>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FFFFCC"/>
  </sheetPr>
  <dimension ref="A1:W105"/>
  <sheetViews>
    <sheetView zoomScale="85" zoomScaleNormal="85" workbookViewId="0"/>
  </sheetViews>
  <sheetFormatPr defaultColWidth="8.90625" defaultRowHeight="15.6" x14ac:dyDescent="0.3"/>
  <cols>
    <col min="1" max="1" width="3.36328125" style="47" customWidth="1"/>
    <col min="2" max="2" width="4" style="47" customWidth="1"/>
    <col min="3" max="3" width="17.453125" style="47" customWidth="1"/>
    <col min="4" max="4" width="5.54296875" style="127" customWidth="1"/>
    <col min="5" max="5" width="7.1796875" style="128" customWidth="1"/>
    <col min="6" max="6" width="10.54296875" style="47" customWidth="1"/>
    <col min="7" max="7" width="5.81640625" style="47" customWidth="1"/>
    <col min="8" max="8" width="11.81640625" style="47" hidden="1" customWidth="1"/>
    <col min="9" max="9" width="10.1796875" style="47" customWidth="1"/>
    <col min="10" max="10" width="12.7265625" style="47" customWidth="1"/>
    <col min="11" max="11" width="8.90625" style="129" hidden="1" customWidth="1"/>
    <col min="12" max="12" width="13.08984375" style="129" hidden="1" customWidth="1"/>
    <col min="13" max="13" width="14.90625" style="129" hidden="1" customWidth="1"/>
    <col min="14" max="14" width="8.90625" style="129" hidden="1" customWidth="1"/>
    <col min="15" max="15" width="4.1796875" style="47" customWidth="1"/>
    <col min="16" max="16" width="25.90625" style="47" customWidth="1"/>
    <col min="17" max="17" width="6.6328125" style="50" customWidth="1"/>
    <col min="18" max="18" width="3.81640625" style="47" customWidth="1"/>
    <col min="19" max="19" width="7.81640625" style="47" customWidth="1"/>
    <col min="20" max="20" width="5" style="47" customWidth="1"/>
    <col min="21" max="21" width="7.81640625" style="47" customWidth="1"/>
    <col min="22" max="16384" width="8.90625" style="47"/>
  </cols>
  <sheetData>
    <row r="1" spans="2:21" ht="55.2" customHeight="1" thickBot="1" x14ac:dyDescent="0.35">
      <c r="J1" s="48"/>
      <c r="P1" s="130" t="str">
        <f>IF($K$3=3,"OBS. Detta seglingsläge är färdigutvecklat ännu!","")</f>
        <v/>
      </c>
    </row>
    <row r="2" spans="2:21" ht="21.75" customHeight="1" x14ac:dyDescent="0.4">
      <c r="B2" s="131" t="str">
        <f>IF(ISBLANK(P7),"",P7)</f>
        <v/>
      </c>
      <c r="C2" s="132"/>
      <c r="D2" s="133"/>
      <c r="E2" s="134"/>
      <c r="F2" s="241" t="str">
        <f>CONCATENATE(IF(ISBLANK(P9),"",P9)," ",IF(ISBLANK(P13),"",P13))</f>
        <v xml:space="preserve"> </v>
      </c>
      <c r="G2" s="241"/>
      <c r="H2" s="241"/>
      <c r="I2" s="242"/>
      <c r="J2" s="135"/>
      <c r="K2" s="136" t="s">
        <v>71</v>
      </c>
      <c r="L2" s="136" t="s">
        <v>70</v>
      </c>
      <c r="P2" s="137" t="str">
        <f>IF(ISBLANK($E$5),"OBS. Kopiera inte in data i denna fil, då fungerar inte dess formler!","")</f>
        <v>OBS. Kopiera inte in data i denna fil, då fungerar inte dess formler!</v>
      </c>
    </row>
    <row r="3" spans="2:21" ht="32.25" customHeight="1" x14ac:dyDescent="0.4">
      <c r="B3" s="138" t="s">
        <v>8</v>
      </c>
      <c r="C3" s="139"/>
      <c r="D3" s="140"/>
      <c r="E3" s="141"/>
      <c r="F3" s="142"/>
      <c r="G3" s="112"/>
      <c r="H3" s="143"/>
      <c r="I3" s="144"/>
      <c r="J3" s="145"/>
      <c r="K3" s="160">
        <v>1</v>
      </c>
      <c r="L3" s="146">
        <f>COUNT($E$5:$E$64)</f>
        <v>0</v>
      </c>
      <c r="M3" s="129" t="str">
        <f>IF(AND($K$3=2,$L$3&lt;37),1,"")</f>
        <v/>
      </c>
      <c r="P3" s="147" t="s">
        <v>39</v>
      </c>
      <c r="R3" s="148" t="str">
        <f>IF(OR($K$3=2,$K$3=4),"Heatsystem","")</f>
        <v/>
      </c>
    </row>
    <row r="4" spans="2:21" ht="46.5" customHeight="1" thickBot="1" x14ac:dyDescent="0.35">
      <c r="B4" s="149"/>
      <c r="C4" s="45" t="str">
        <f>IF(ISBLANK($C$5),"Deltagare*","Deltagare")</f>
        <v>Deltagare*</v>
      </c>
      <c r="D4" s="46" t="s">
        <v>12</v>
      </c>
      <c r="E4" s="45" t="str">
        <f>IF(ISBLANK($E$5),"Segelnr*","Segelnr")</f>
        <v>Segelnr*</v>
      </c>
      <c r="F4" s="45" t="s">
        <v>2</v>
      </c>
      <c r="G4" s="150" t="s">
        <v>87</v>
      </c>
      <c r="H4" s="151" t="s">
        <v>89</v>
      </c>
      <c r="I4" s="106" t="str">
        <f>IF($K$3&lt;&gt;1,IF(ISBLANK($I$5),"Grupp*","Grupp"),"Betalt")</f>
        <v>Betalt</v>
      </c>
      <c r="J4" s="17" t="str">
        <f>IF(J5&lt;&gt;"","Föreslagen gruppindelning efter ranking","")</f>
        <v/>
      </c>
      <c r="L4" s="129" t="s">
        <v>20</v>
      </c>
      <c r="M4" s="136" t="s">
        <v>21</v>
      </c>
      <c r="N4" s="129" t="s">
        <v>7</v>
      </c>
      <c r="P4" s="159"/>
      <c r="R4" s="243" t="str">
        <f>IF(OR($K$3=2,$K$3=4),"Notera att ett jämt antal omgångar måste seglas för rättvist resultat","")</f>
        <v/>
      </c>
      <c r="S4" s="243"/>
      <c r="T4" s="243"/>
      <c r="U4" s="243"/>
    </row>
    <row r="5" spans="2:21" x14ac:dyDescent="0.3">
      <c r="B5" s="152">
        <v>1</v>
      </c>
      <c r="C5" s="123"/>
      <c r="D5" s="60"/>
      <c r="E5" s="111"/>
      <c r="F5" s="121"/>
      <c r="G5" s="125"/>
      <c r="H5" s="225" t="str">
        <f t="shared" ref="H5:H36" si="0">IF(ISERROR(VLOOKUP(E5,$S$17:$V$105,2,FALSE)),"","GM")</f>
        <v/>
      </c>
      <c r="I5" s="228"/>
      <c r="J5" s="33" t="str">
        <f t="shared" ref="J5:J36" si="1">IF(COUNTA($E$5:$E$64)=SUM(COUNTIF($I$5:$I$64,"GRÖN"),COUNTIF($I$5:$I$64,"RÖD"),COUNTIF($I$5:$I$64,"BLÅ"),COUNTIF($I$5:$I$64,"GUL")),"",IF(E5&lt;&gt;"",IF(N5=1,"GRÖN",IF(N5=2,"RÖD",IF(N5=3,"BLÅ",IF(N5=4,"GUL","")))),""))</f>
        <v/>
      </c>
      <c r="K5" s="129" t="str">
        <f t="shared" ref="K5:K36" si="2">IF(J5="GRÖN","1",IF(J5="RÖD","2",IF(J5="BLÅ","3",IF(J5="GUL","4",""))))</f>
        <v/>
      </c>
      <c r="L5" s="129">
        <f>IF(ISBLANK(E5),1000,IFERROR(VLOOKUP(E5,$P$17:$Q$105,2,FALSE),969))</f>
        <v>1000</v>
      </c>
      <c r="M5" s="129">
        <f t="shared" ref="M5:M36" si="3">RANK(L5,$L$5:$L$64,1)</f>
        <v>1</v>
      </c>
      <c r="N5" s="129" t="str">
        <f t="shared" ref="N5:N36" si="4">IF(AND($K$3=3,$L$3&lt;50),IF(L5=1000,"",IF(OR(M5=1,M5=3,M5=5,M5=7,M5=9,M5=11,M5=13,M5=15,M5=17,M5=19,M5=21,M5=23,M5=25,M5=27,M5=29,M5=31,M5=33,M5=35,M5=37,M5=39,M5=41,M5=43,M5=45,M5=47,M5=49,M5=51,M5=53,M5=55,M5=57,M5=59),1,2)),IF(AND($K$3=3,$L$3&gt;49),IF(L5=1000,"",IF(OR(M5=1,M5=5,M5=9,M5=13,M5=17,M5=21,M5=25,M5=29,M5=33,M5=37,M5=41,M5=45,M5=49,M5=53,M5=57),1,IF(OR(M5=2,M5=6,M5=10,M5=14,M5=18,M5=22,M5=26,M5=30,M5=34,M5=38,M5=42,M5=46,M5=50,M5=54,M5=58),2,IF(OR(M5=3,M5=7,M5=11,M5=15,M5=19,M5=23,M5=27,M5=31,M5=35,M5=39,M5=43,M5=47,M5=51,M5=55,M5=59),3,4)))),
IF($K$3=4,IF(L5=1000,"",IF(OR(M5=1,M5=5,M5=9,M5=13,M5=17,M5=21,M5=25,M5=29,M5=33,M5=37,M5=41,M5=45,M5=49,M5=53,M5=57),1,IF(OR(M5=2,M5=6,M5=10,M5=14,M5=18,M5=22,M5=26,M5=30,M5=34,M5=38,M5=42,M5=46,M5=50,M5=54,M5=58),2,IF(OR(M5=3,M5=7,M5=11,M5=15,M5=19,M5=23,M5=27,M5=31,M5=35,M5=39,M5=43,M5=47,M5=51,M5=55,M5=59),3,4)))),
IF($K$3=1,"",
IF(L5=1000,"",IF(OR(M5=1,M5=4,M5=7,M5=10,M5=13,M5=16,M5=19,M5=22,M5=25,M5=28,M5=31,M5=34,M5=37,M5=40,M5=43,M5=46,M5=49,M5=52,M5=55,M5=58),1,IF(OR(M5=2,M5=5,M5=8,M5=11,M5=14,M5=17,M5=20,M5=23,M5=26,M5=29,M5=32,M5=35,M5=38,M5=41,M5=44,M5=47,M5=50,M5=53,M5=56,M5=59),2,3)))))))</f>
        <v/>
      </c>
      <c r="P5" s="159"/>
      <c r="R5" s="97" t="str">
        <f>IF(OR($K$3=4,$K$3=2),1,"")</f>
        <v/>
      </c>
      <c r="S5" s="97" t="str">
        <f>IF(OR($K$3=2,$K$3=4),"GRÖN","")</f>
        <v/>
      </c>
      <c r="T5" s="153" t="str">
        <f>IF(OR($K$3=2,$K$3=4),"mot","")</f>
        <v/>
      </c>
      <c r="U5" s="97" t="str">
        <f>IF(OR($K$3=2,$K$3=4),"RÖD","")</f>
        <v/>
      </c>
    </row>
    <row r="6" spans="2:21" x14ac:dyDescent="0.3">
      <c r="B6" s="149">
        <v>2</v>
      </c>
      <c r="C6" s="35"/>
      <c r="D6" s="52"/>
      <c r="E6" s="54"/>
      <c r="F6" s="19"/>
      <c r="G6" s="116"/>
      <c r="H6" s="226" t="str">
        <f t="shared" si="0"/>
        <v/>
      </c>
      <c r="I6" s="229"/>
      <c r="J6" s="33" t="str">
        <f t="shared" si="1"/>
        <v/>
      </c>
      <c r="K6" s="129" t="str">
        <f t="shared" si="2"/>
        <v/>
      </c>
      <c r="L6" s="129">
        <f>IF(ISBLANK(E6),1000,IFERROR(VLOOKUP(E6,$P$17:$Q$105,2,FALSE),991))</f>
        <v>1000</v>
      </c>
      <c r="M6" s="129">
        <f t="shared" si="3"/>
        <v>1</v>
      </c>
      <c r="N6" s="129" t="str">
        <f t="shared" si="4"/>
        <v/>
      </c>
      <c r="P6" s="154" t="s">
        <v>17</v>
      </c>
      <c r="R6" s="97" t="str">
        <f>IF($K$3=2,2,"")</f>
        <v/>
      </c>
      <c r="S6" s="97" t="str">
        <f>IF(OR($K$3=2,$K$3=4),"BLÅ","")</f>
        <v/>
      </c>
      <c r="T6" s="153" t="str">
        <f>IF(OR($K$3=2,$K$3=4),"mot","")</f>
        <v/>
      </c>
      <c r="U6" s="97" t="str">
        <f>IF(OR($K$3=2,$K$3=4),IF($K$3=4,"GUL","GRÖN"),"")</f>
        <v/>
      </c>
    </row>
    <row r="7" spans="2:21" x14ac:dyDescent="0.3">
      <c r="B7" s="149">
        <v>3</v>
      </c>
      <c r="C7" s="35"/>
      <c r="D7" s="52"/>
      <c r="E7" s="54"/>
      <c r="F7" s="18"/>
      <c r="G7" s="115"/>
      <c r="H7" s="226" t="str">
        <f t="shared" si="0"/>
        <v/>
      </c>
      <c r="I7" s="230"/>
      <c r="J7" s="33" t="str">
        <f t="shared" si="1"/>
        <v/>
      </c>
      <c r="K7" s="129" t="str">
        <f t="shared" si="2"/>
        <v/>
      </c>
      <c r="L7" s="129">
        <f>IF(ISBLANK(E7),1000,IFERROR(VLOOKUP(E7,$P$17:$Q$105,2,FALSE),962))</f>
        <v>1000</v>
      </c>
      <c r="M7" s="129">
        <f t="shared" si="3"/>
        <v>1</v>
      </c>
      <c r="N7" s="129" t="str">
        <f t="shared" si="4"/>
        <v/>
      </c>
      <c r="P7" s="9"/>
      <c r="R7" s="97" t="str">
        <f>IF($K$3=4,2,IF($K$3=2,3,""))</f>
        <v/>
      </c>
      <c r="S7" s="97" t="str">
        <f>IF(OR($K$3=2,$K$3=4),IF($K$3=4,"GRÖN","RÖD"),"")</f>
        <v/>
      </c>
      <c r="T7" s="153" t="str">
        <f>IF(OR($K$3=2,$K$3=4),"mot","")</f>
        <v/>
      </c>
      <c r="U7" s="97" t="str">
        <f>IF(OR($K$3=2,$K$3=4),IF($K$3=4,"BLÅ","BLÅ"),"")</f>
        <v/>
      </c>
    </row>
    <row r="8" spans="2:21" x14ac:dyDescent="0.3">
      <c r="B8" s="149">
        <v>4</v>
      </c>
      <c r="C8" s="35"/>
      <c r="D8" s="52"/>
      <c r="E8" s="54"/>
      <c r="F8" s="18"/>
      <c r="G8" s="115"/>
      <c r="H8" s="226" t="str">
        <f t="shared" si="0"/>
        <v/>
      </c>
      <c r="I8" s="230"/>
      <c r="J8" s="33" t="str">
        <f t="shared" si="1"/>
        <v/>
      </c>
      <c r="K8" s="129" t="str">
        <f t="shared" si="2"/>
        <v/>
      </c>
      <c r="L8" s="129">
        <f>IF(ISBLANK(E8),1000,IFERROR(VLOOKUP(E8,$P$17:$Q$105,2,FALSE),964))</f>
        <v>1000</v>
      </c>
      <c r="M8" s="129">
        <f t="shared" si="3"/>
        <v>1</v>
      </c>
      <c r="N8" s="129" t="str">
        <f t="shared" si="4"/>
        <v/>
      </c>
      <c r="P8" s="154" t="s">
        <v>19</v>
      </c>
      <c r="R8" s="154"/>
      <c r="S8" s="97" t="str">
        <f>IF($K$3=4,"GUL","")</f>
        <v/>
      </c>
      <c r="T8" s="153" t="str">
        <f>IF($K$3=4,"mot","")</f>
        <v/>
      </c>
      <c r="U8" s="97" t="str">
        <f>IF($K$3=4,"RÖD","")</f>
        <v/>
      </c>
    </row>
    <row r="9" spans="2:21" x14ac:dyDescent="0.3">
      <c r="B9" s="149">
        <v>5</v>
      </c>
      <c r="C9" s="35"/>
      <c r="D9" s="52"/>
      <c r="E9" s="54"/>
      <c r="F9" s="18"/>
      <c r="G9" s="116"/>
      <c r="H9" s="226" t="str">
        <f t="shared" si="0"/>
        <v/>
      </c>
      <c r="I9" s="229"/>
      <c r="J9" s="33" t="str">
        <f t="shared" si="1"/>
        <v/>
      </c>
      <c r="K9" s="129" t="str">
        <f t="shared" si="2"/>
        <v/>
      </c>
      <c r="L9" s="129">
        <f>IF(ISBLANK(E9),1000,IFERROR(VLOOKUP(E9,$P$17:$Q$105,2,FALSE),992))</f>
        <v>1000</v>
      </c>
      <c r="M9" s="129">
        <f t="shared" si="3"/>
        <v>1</v>
      </c>
      <c r="N9" s="129" t="str">
        <f t="shared" si="4"/>
        <v/>
      </c>
      <c r="P9" s="9"/>
      <c r="R9" s="97" t="str">
        <f>IF($K$3=4,3,"")</f>
        <v/>
      </c>
      <c r="S9" s="97" t="str">
        <f>IF($K$3=4,"RÖD","")</f>
        <v/>
      </c>
      <c r="T9" s="153" t="str">
        <f>IF($K$3=4,"mot","")</f>
        <v/>
      </c>
      <c r="U9" s="97" t="str">
        <f>IF($K$3=4,"BLÅ","")</f>
        <v/>
      </c>
    </row>
    <row r="10" spans="2:21" x14ac:dyDescent="0.3">
      <c r="B10" s="149">
        <v>6</v>
      </c>
      <c r="C10" s="34"/>
      <c r="D10" s="52"/>
      <c r="E10" s="54"/>
      <c r="F10" s="18"/>
      <c r="G10" s="115"/>
      <c r="H10" s="226" t="str">
        <f t="shared" si="0"/>
        <v/>
      </c>
      <c r="I10" s="230"/>
      <c r="J10" s="33" t="str">
        <f t="shared" si="1"/>
        <v/>
      </c>
      <c r="K10" s="129" t="str">
        <f t="shared" si="2"/>
        <v/>
      </c>
      <c r="L10" s="129">
        <f>IF(ISBLANK(E10),1000,IFERROR(VLOOKUP(E10,$P$17:$Q$105,2,FALSE),976))</f>
        <v>1000</v>
      </c>
      <c r="M10" s="129">
        <f t="shared" si="3"/>
        <v>1</v>
      </c>
      <c r="N10" s="129" t="str">
        <f t="shared" si="4"/>
        <v/>
      </c>
      <c r="P10" s="154" t="s">
        <v>18</v>
      </c>
      <c r="R10" s="154"/>
      <c r="S10" s="97" t="str">
        <f>IF($K$3=4,"GUL","")</f>
        <v/>
      </c>
      <c r="T10" s="153" t="str">
        <f>IF($K$3=4,"mot","")</f>
        <v/>
      </c>
      <c r="U10" s="97" t="str">
        <f>IF($K$3=4,"GRÖN","")</f>
        <v/>
      </c>
    </row>
    <row r="11" spans="2:21" x14ac:dyDescent="0.3">
      <c r="B11" s="149">
        <v>7</v>
      </c>
      <c r="C11" s="35"/>
      <c r="D11" s="52"/>
      <c r="E11" s="54"/>
      <c r="F11" s="19"/>
      <c r="G11" s="116"/>
      <c r="H11" s="226" t="str">
        <f t="shared" si="0"/>
        <v/>
      </c>
      <c r="I11" s="230"/>
      <c r="J11" s="33" t="str">
        <f t="shared" si="1"/>
        <v/>
      </c>
      <c r="K11" s="129" t="str">
        <f t="shared" si="2"/>
        <v/>
      </c>
      <c r="L11" s="129">
        <f>IF(ISBLANK(E11),1000,IFERROR(VLOOKUP(E11,$P$17:$Q$105,2,FALSE),941))</f>
        <v>1000</v>
      </c>
      <c r="M11" s="129">
        <f t="shared" si="3"/>
        <v>1</v>
      </c>
      <c r="N11" s="129" t="str">
        <f t="shared" si="4"/>
        <v/>
      </c>
      <c r="P11" s="9"/>
    </row>
    <row r="12" spans="2:21" x14ac:dyDescent="0.3">
      <c r="B12" s="149">
        <v>8</v>
      </c>
      <c r="C12" s="35"/>
      <c r="D12" s="52"/>
      <c r="E12" s="54"/>
      <c r="F12" s="18"/>
      <c r="G12" s="116"/>
      <c r="H12" s="226" t="str">
        <f t="shared" si="0"/>
        <v/>
      </c>
      <c r="I12" s="229"/>
      <c r="J12" s="33" t="str">
        <f t="shared" si="1"/>
        <v/>
      </c>
      <c r="K12" s="129" t="str">
        <f t="shared" si="2"/>
        <v/>
      </c>
      <c r="L12" s="129">
        <f>IF(ISBLANK(E12),1000,IFERROR(VLOOKUP(E12,$P$17:$Q$105,2,FALSE),996))</f>
        <v>1000</v>
      </c>
      <c r="M12" s="129">
        <f t="shared" si="3"/>
        <v>1</v>
      </c>
      <c r="N12" s="129" t="str">
        <f t="shared" si="4"/>
        <v/>
      </c>
      <c r="P12" s="154" t="s">
        <v>52</v>
      </c>
      <c r="S12" s="154"/>
    </row>
    <row r="13" spans="2:21" x14ac:dyDescent="0.3">
      <c r="B13" s="149">
        <v>9</v>
      </c>
      <c r="C13" s="35"/>
      <c r="D13" s="52"/>
      <c r="E13" s="54"/>
      <c r="F13" s="18"/>
      <c r="G13" s="116"/>
      <c r="H13" s="226" t="str">
        <f t="shared" si="0"/>
        <v/>
      </c>
      <c r="I13" s="229"/>
      <c r="J13" s="33" t="str">
        <f t="shared" si="1"/>
        <v/>
      </c>
      <c r="K13" s="129" t="str">
        <f t="shared" si="2"/>
        <v/>
      </c>
      <c r="L13" s="129">
        <f>IF(ISBLANK(E13),1000,IFERROR(VLOOKUP(E13,$P$17:$Q$105,2,FALSE),986))</f>
        <v>1000</v>
      </c>
      <c r="M13" s="129">
        <f t="shared" si="3"/>
        <v>1</v>
      </c>
      <c r="N13" s="129" t="str">
        <f t="shared" si="4"/>
        <v/>
      </c>
      <c r="P13" s="10"/>
      <c r="S13" s="224" t="str">
        <f>IF(AND($K$3=1,$S$14=FALSE),"1","")</f>
        <v>1</v>
      </c>
    </row>
    <row r="14" spans="2:21" x14ac:dyDescent="0.3">
      <c r="B14" s="149">
        <v>10</v>
      </c>
      <c r="C14" s="34"/>
      <c r="D14" s="52"/>
      <c r="E14" s="54"/>
      <c r="F14" s="18"/>
      <c r="G14" s="115"/>
      <c r="H14" s="226" t="str">
        <f t="shared" si="0"/>
        <v/>
      </c>
      <c r="I14" s="230"/>
      <c r="J14" s="33" t="str">
        <f t="shared" si="1"/>
        <v/>
      </c>
      <c r="K14" s="129" t="str">
        <f t="shared" si="2"/>
        <v/>
      </c>
      <c r="L14" s="129">
        <f>IF(ISBLANK(E14),1000,IFERROR(VLOOKUP(E14,$P$17:$Q$105,2,FALSE),965))</f>
        <v>1000</v>
      </c>
      <c r="M14" s="129">
        <f t="shared" si="3"/>
        <v>1</v>
      </c>
      <c r="N14" s="129" t="str">
        <f t="shared" si="4"/>
        <v/>
      </c>
      <c r="P14" s="154" t="s">
        <v>93</v>
      </c>
      <c r="S14" s="224" t="b">
        <v>0</v>
      </c>
      <c r="T14" s="222"/>
    </row>
    <row r="15" spans="2:21" x14ac:dyDescent="0.3">
      <c r="B15" s="149">
        <v>11</v>
      </c>
      <c r="C15" s="35"/>
      <c r="D15" s="52"/>
      <c r="E15" s="54"/>
      <c r="F15" s="18"/>
      <c r="G15" s="116"/>
      <c r="H15" s="226" t="str">
        <f t="shared" si="0"/>
        <v/>
      </c>
      <c r="I15" s="230"/>
      <c r="J15" s="33" t="str">
        <f t="shared" si="1"/>
        <v/>
      </c>
      <c r="K15" s="129" t="str">
        <f t="shared" si="2"/>
        <v/>
      </c>
      <c r="L15" s="129">
        <f>IF(ISBLANK(E15),1000,IFERROR(VLOOKUP(E15,$P$17:$Q$105,2,FALSE),966))</f>
        <v>1000</v>
      </c>
      <c r="M15" s="129">
        <f t="shared" si="3"/>
        <v>1</v>
      </c>
      <c r="N15" s="129" t="str">
        <f t="shared" si="4"/>
        <v/>
      </c>
      <c r="S15" s="223"/>
      <c r="T15" s="223"/>
    </row>
    <row r="16" spans="2:21" x14ac:dyDescent="0.3">
      <c r="B16" s="149">
        <v>12</v>
      </c>
      <c r="C16" s="35"/>
      <c r="D16" s="52"/>
      <c r="E16" s="54"/>
      <c r="F16" s="19"/>
      <c r="G16" s="116"/>
      <c r="H16" s="226" t="str">
        <f t="shared" si="0"/>
        <v/>
      </c>
      <c r="I16" s="229"/>
      <c r="J16" s="33" t="str">
        <f t="shared" si="1"/>
        <v/>
      </c>
      <c r="K16" s="129" t="str">
        <f t="shared" si="2"/>
        <v/>
      </c>
      <c r="L16" s="129">
        <f>IF(ISBLANK(E16),1000,IFERROR(VLOOKUP(E16,$P$17:$Q$105,2,FALSE),995))</f>
        <v>1000</v>
      </c>
      <c r="M16" s="129">
        <f t="shared" si="3"/>
        <v>1</v>
      </c>
      <c r="N16" s="129" t="str">
        <f t="shared" si="4"/>
        <v/>
      </c>
      <c r="P16" s="154" t="str">
        <f>IF($K$3=2,"Senaste rankingen:",IF($K$3=3,"Senaste rankingen:",IF($K$3=4,"Senaste rankingen:","")))</f>
        <v/>
      </c>
      <c r="R16" s="155"/>
      <c r="S16" s="244" t="s">
        <v>90</v>
      </c>
      <c r="T16" s="244"/>
      <c r="U16" s="244"/>
    </row>
    <row r="17" spans="2:23" x14ac:dyDescent="0.3">
      <c r="B17" s="149">
        <v>13</v>
      </c>
      <c r="C17" s="35"/>
      <c r="D17" s="52"/>
      <c r="E17" s="54"/>
      <c r="F17" s="18"/>
      <c r="G17" s="116"/>
      <c r="H17" s="226" t="str">
        <f t="shared" si="0"/>
        <v/>
      </c>
      <c r="I17" s="229"/>
      <c r="J17" s="33" t="str">
        <f t="shared" si="1"/>
        <v/>
      </c>
      <c r="K17" s="129" t="str">
        <f t="shared" si="2"/>
        <v/>
      </c>
      <c r="L17" s="129">
        <f>IF(ISBLANK(E17),1000,IFERROR(VLOOKUP(E17,$P$17:$Q$105,2,FALSE),997))</f>
        <v>1000</v>
      </c>
      <c r="M17" s="129">
        <f t="shared" si="3"/>
        <v>1</v>
      </c>
      <c r="N17" s="129" t="str">
        <f t="shared" si="4"/>
        <v/>
      </c>
      <c r="O17" s="47" t="str">
        <f>IF($K$3&lt;&gt;1,1,"")</f>
        <v/>
      </c>
      <c r="P17" s="73">
        <v>8</v>
      </c>
      <c r="Q17" s="156">
        <v>1</v>
      </c>
      <c r="R17" s="50">
        <v>1</v>
      </c>
      <c r="S17" s="245">
        <v>186</v>
      </c>
      <c r="T17" s="245"/>
      <c r="U17" s="245"/>
      <c r="V17" s="156">
        <f>S17</f>
        <v>186</v>
      </c>
    </row>
    <row r="18" spans="2:23" x14ac:dyDescent="0.3">
      <c r="B18" s="149">
        <v>14</v>
      </c>
      <c r="C18" s="35"/>
      <c r="D18" s="52"/>
      <c r="E18" s="54"/>
      <c r="F18" s="18"/>
      <c r="G18" s="116"/>
      <c r="H18" s="226" t="str">
        <f t="shared" si="0"/>
        <v/>
      </c>
      <c r="I18" s="229" t="s">
        <v>91</v>
      </c>
      <c r="J18" s="33" t="str">
        <f t="shared" si="1"/>
        <v/>
      </c>
      <c r="K18" s="129" t="str">
        <f t="shared" si="2"/>
        <v/>
      </c>
      <c r="L18" s="129">
        <f>IF(ISBLANK(E18),1000,IFERROR(VLOOKUP(E18,$P$17:$Q$105,2,FALSE),993))</f>
        <v>1000</v>
      </c>
      <c r="M18" s="129">
        <f t="shared" si="3"/>
        <v>1</v>
      </c>
      <c r="N18" s="129" t="str">
        <f t="shared" si="4"/>
        <v/>
      </c>
      <c r="O18" s="47" t="str">
        <f>IF($K$3&lt;&gt;1,2,"")</f>
        <v/>
      </c>
      <c r="P18" s="73">
        <v>2</v>
      </c>
      <c r="Q18" s="156">
        <v>2</v>
      </c>
      <c r="R18" s="50">
        <v>2</v>
      </c>
      <c r="S18" s="245">
        <v>4</v>
      </c>
      <c r="T18" s="245"/>
      <c r="U18" s="245"/>
      <c r="V18" s="156">
        <f t="shared" ref="V18:V81" si="5">S18</f>
        <v>4</v>
      </c>
    </row>
    <row r="19" spans="2:23" x14ac:dyDescent="0.3">
      <c r="B19" s="149">
        <v>15</v>
      </c>
      <c r="C19" s="35"/>
      <c r="D19" s="53"/>
      <c r="E19" s="54"/>
      <c r="F19" s="18"/>
      <c r="G19" s="115"/>
      <c r="H19" s="226" t="str">
        <f t="shared" si="0"/>
        <v/>
      </c>
      <c r="I19" s="230" t="s">
        <v>91</v>
      </c>
      <c r="J19" s="33" t="str">
        <f t="shared" si="1"/>
        <v/>
      </c>
      <c r="K19" s="129" t="str">
        <f t="shared" si="2"/>
        <v/>
      </c>
      <c r="L19" s="129">
        <f>IF(ISBLANK(E19),1000,IFERROR(VLOOKUP(E19,$P$17:$Q$105,2,FALSE),955))</f>
        <v>1000</v>
      </c>
      <c r="M19" s="129">
        <f t="shared" si="3"/>
        <v>1</v>
      </c>
      <c r="N19" s="129" t="str">
        <f t="shared" si="4"/>
        <v/>
      </c>
      <c r="O19" s="47" t="str">
        <f>IF($K$3&lt;&gt;1,3,"")</f>
        <v/>
      </c>
      <c r="P19" s="43">
        <v>12</v>
      </c>
      <c r="Q19" s="156">
        <v>3</v>
      </c>
      <c r="R19" s="50">
        <v>3</v>
      </c>
      <c r="S19" s="245">
        <v>49</v>
      </c>
      <c r="T19" s="245"/>
      <c r="U19" s="245"/>
      <c r="V19" s="156">
        <f t="shared" si="5"/>
        <v>49</v>
      </c>
    </row>
    <row r="20" spans="2:23" x14ac:dyDescent="0.3">
      <c r="B20" s="149">
        <v>16</v>
      </c>
      <c r="C20" s="35"/>
      <c r="D20" s="52"/>
      <c r="E20" s="54"/>
      <c r="F20" s="18"/>
      <c r="G20" s="116"/>
      <c r="H20" s="226" t="str">
        <f t="shared" si="0"/>
        <v/>
      </c>
      <c r="I20" s="229" t="s">
        <v>91</v>
      </c>
      <c r="J20" s="33" t="str">
        <f t="shared" si="1"/>
        <v/>
      </c>
      <c r="K20" s="129" t="str">
        <f t="shared" si="2"/>
        <v/>
      </c>
      <c r="L20" s="129">
        <f>IF(ISBLANK(E20),1000,IFERROR(VLOOKUP(E20,$P$17:$Q$105,2,FALSE),984))</f>
        <v>1000</v>
      </c>
      <c r="M20" s="129">
        <f t="shared" si="3"/>
        <v>1</v>
      </c>
      <c r="N20" s="129" t="str">
        <f t="shared" si="4"/>
        <v/>
      </c>
      <c r="O20" s="47" t="str">
        <f>IF($K$3&lt;&gt;1,4,"")</f>
        <v/>
      </c>
      <c r="P20" s="73">
        <v>17</v>
      </c>
      <c r="Q20" s="156">
        <v>4</v>
      </c>
      <c r="R20" s="50">
        <v>4</v>
      </c>
      <c r="S20" s="245">
        <v>88</v>
      </c>
      <c r="T20" s="245"/>
      <c r="U20" s="245"/>
      <c r="V20" s="156">
        <f t="shared" si="5"/>
        <v>88</v>
      </c>
    </row>
    <row r="21" spans="2:23" x14ac:dyDescent="0.3">
      <c r="B21" s="149">
        <v>17</v>
      </c>
      <c r="C21" s="34"/>
      <c r="D21" s="53"/>
      <c r="E21" s="54"/>
      <c r="F21" s="18"/>
      <c r="G21" s="115"/>
      <c r="H21" s="226" t="str">
        <f t="shared" si="0"/>
        <v/>
      </c>
      <c r="I21" s="230" t="s">
        <v>91</v>
      </c>
      <c r="J21" s="33" t="str">
        <f t="shared" si="1"/>
        <v/>
      </c>
      <c r="K21" s="129" t="str">
        <f t="shared" si="2"/>
        <v/>
      </c>
      <c r="L21" s="129">
        <f>IF(ISBLANK(E21),1000,IFERROR(VLOOKUP(E21,$P$17:$Q$105,2,FALSE),946))</f>
        <v>1000</v>
      </c>
      <c r="M21" s="129">
        <f t="shared" si="3"/>
        <v>1</v>
      </c>
      <c r="N21" s="129" t="str">
        <f t="shared" si="4"/>
        <v/>
      </c>
      <c r="O21" s="47" t="str">
        <f>IF($K$3&lt;&gt;1,5,"")</f>
        <v/>
      </c>
      <c r="P21" s="43">
        <v>6</v>
      </c>
      <c r="Q21" s="156">
        <v>5</v>
      </c>
      <c r="R21" s="50">
        <v>5</v>
      </c>
      <c r="S21" s="245">
        <v>157</v>
      </c>
      <c r="T21" s="245"/>
      <c r="U21" s="245"/>
      <c r="V21" s="156">
        <f t="shared" si="5"/>
        <v>157</v>
      </c>
    </row>
    <row r="22" spans="2:23" x14ac:dyDescent="0.3">
      <c r="B22" s="149">
        <v>18</v>
      </c>
      <c r="C22" s="35"/>
      <c r="D22" s="52"/>
      <c r="E22" s="54"/>
      <c r="F22" s="19"/>
      <c r="G22" s="116"/>
      <c r="H22" s="226" t="str">
        <f t="shared" si="0"/>
        <v/>
      </c>
      <c r="I22" s="230" t="s">
        <v>91</v>
      </c>
      <c r="J22" s="33" t="str">
        <f t="shared" si="1"/>
        <v/>
      </c>
      <c r="K22" s="129" t="str">
        <f t="shared" si="2"/>
        <v/>
      </c>
      <c r="L22" s="129">
        <f>IF(ISBLANK(E22),1000,IFERROR(VLOOKUP(E22,$P$17:$Q$105,2,FALSE),975))</f>
        <v>1000</v>
      </c>
      <c r="M22" s="129">
        <f t="shared" si="3"/>
        <v>1</v>
      </c>
      <c r="N22" s="129" t="str">
        <f t="shared" si="4"/>
        <v/>
      </c>
      <c r="O22" s="47" t="str">
        <f>IF($K$3&lt;&gt;1,6,"")</f>
        <v/>
      </c>
      <c r="P22" s="73">
        <v>222</v>
      </c>
      <c r="Q22" s="156">
        <v>6</v>
      </c>
      <c r="R22" s="50">
        <v>6</v>
      </c>
      <c r="S22" s="245">
        <v>208</v>
      </c>
      <c r="T22" s="245"/>
      <c r="U22" s="245"/>
      <c r="V22" s="156">
        <f t="shared" si="5"/>
        <v>208</v>
      </c>
    </row>
    <row r="23" spans="2:23" x14ac:dyDescent="0.3">
      <c r="B23" s="149">
        <v>19</v>
      </c>
      <c r="C23" s="34"/>
      <c r="D23" s="52"/>
      <c r="E23" s="54"/>
      <c r="F23" s="18"/>
      <c r="G23" s="115"/>
      <c r="H23" s="226" t="str">
        <f t="shared" si="0"/>
        <v/>
      </c>
      <c r="I23" s="230" t="s">
        <v>91</v>
      </c>
      <c r="J23" s="33" t="str">
        <f t="shared" si="1"/>
        <v/>
      </c>
      <c r="K23" s="129" t="str">
        <f t="shared" si="2"/>
        <v/>
      </c>
      <c r="L23" s="129">
        <f>IF(ISBLANK(E23),1000,IFERROR(VLOOKUP(E23,$P$17:$Q$105,2,FALSE),948))</f>
        <v>1000</v>
      </c>
      <c r="M23" s="129">
        <f t="shared" si="3"/>
        <v>1</v>
      </c>
      <c r="N23" s="129" t="str">
        <f t="shared" si="4"/>
        <v/>
      </c>
      <c r="O23" s="47" t="str">
        <f>IF($K$3&lt;&gt;1,7,"")</f>
        <v/>
      </c>
      <c r="P23" s="73">
        <v>60</v>
      </c>
      <c r="Q23" s="156">
        <v>7</v>
      </c>
      <c r="R23" s="50">
        <v>7</v>
      </c>
      <c r="S23" s="245">
        <v>252</v>
      </c>
      <c r="T23" s="245"/>
      <c r="U23" s="245"/>
      <c r="V23" s="156">
        <f t="shared" si="5"/>
        <v>252</v>
      </c>
    </row>
    <row r="24" spans="2:23" x14ac:dyDescent="0.3">
      <c r="B24" s="149">
        <v>20</v>
      </c>
      <c r="C24" s="35"/>
      <c r="D24" s="53"/>
      <c r="E24" s="54"/>
      <c r="F24" s="18"/>
      <c r="G24" s="115"/>
      <c r="H24" s="226" t="str">
        <f t="shared" si="0"/>
        <v/>
      </c>
      <c r="I24" s="230" t="s">
        <v>91</v>
      </c>
      <c r="J24" s="33" t="str">
        <f t="shared" si="1"/>
        <v/>
      </c>
      <c r="K24" s="129" t="str">
        <f t="shared" si="2"/>
        <v/>
      </c>
      <c r="L24" s="129">
        <f>IF(ISBLANK(E24),1000,IFERROR(VLOOKUP(E24,$P$17:$Q$105,2,FALSE),952))</f>
        <v>1000</v>
      </c>
      <c r="M24" s="129">
        <f t="shared" si="3"/>
        <v>1</v>
      </c>
      <c r="N24" s="129" t="str">
        <f t="shared" si="4"/>
        <v/>
      </c>
      <c r="O24" s="47" t="str">
        <f>IF($K$3&lt;&gt;1,8,"")</f>
        <v/>
      </c>
      <c r="P24" s="43">
        <v>3</v>
      </c>
      <c r="Q24" s="156">
        <v>8</v>
      </c>
      <c r="R24" s="50">
        <v>8</v>
      </c>
      <c r="S24" s="245">
        <v>296</v>
      </c>
      <c r="T24" s="245"/>
      <c r="U24" s="245"/>
      <c r="V24" s="156">
        <f t="shared" si="5"/>
        <v>296</v>
      </c>
    </row>
    <row r="25" spans="2:23" x14ac:dyDescent="0.3">
      <c r="B25" s="149">
        <v>21</v>
      </c>
      <c r="C25" s="36"/>
      <c r="D25" s="52"/>
      <c r="E25" s="54"/>
      <c r="F25" s="19"/>
      <c r="G25" s="115"/>
      <c r="H25" s="226" t="str">
        <f t="shared" si="0"/>
        <v/>
      </c>
      <c r="I25" s="230" t="s">
        <v>91</v>
      </c>
      <c r="J25" s="33" t="str">
        <f t="shared" si="1"/>
        <v/>
      </c>
      <c r="K25" s="129" t="str">
        <f t="shared" si="2"/>
        <v/>
      </c>
      <c r="L25" s="129">
        <f>IF(ISBLANK(E25),1000,IFERROR(VLOOKUP(E25,$P$17:$Q$105,2,FALSE),967))</f>
        <v>1000</v>
      </c>
      <c r="M25" s="129">
        <f t="shared" si="3"/>
        <v>1</v>
      </c>
      <c r="N25" s="129" t="str">
        <f t="shared" si="4"/>
        <v/>
      </c>
      <c r="O25" s="47" t="str">
        <f>IF($K$3&lt;&gt;1,9,"")</f>
        <v/>
      </c>
      <c r="P25" s="73">
        <v>378</v>
      </c>
      <c r="Q25" s="156">
        <v>9</v>
      </c>
      <c r="R25" s="50">
        <v>9</v>
      </c>
      <c r="S25" s="245">
        <v>447</v>
      </c>
      <c r="T25" s="245"/>
      <c r="U25" s="245"/>
      <c r="V25" s="156">
        <f t="shared" si="5"/>
        <v>447</v>
      </c>
    </row>
    <row r="26" spans="2:23" x14ac:dyDescent="0.3">
      <c r="B26" s="149">
        <v>22</v>
      </c>
      <c r="C26" s="34"/>
      <c r="D26" s="53"/>
      <c r="E26" s="54"/>
      <c r="F26" s="18"/>
      <c r="G26" s="115"/>
      <c r="H26" s="226" t="str">
        <f t="shared" si="0"/>
        <v/>
      </c>
      <c r="I26" s="230" t="s">
        <v>91</v>
      </c>
      <c r="J26" s="33" t="str">
        <f t="shared" si="1"/>
        <v/>
      </c>
      <c r="K26" s="129" t="str">
        <f t="shared" si="2"/>
        <v/>
      </c>
      <c r="L26" s="129">
        <f>IF(ISBLANK(E26),1000,IFERROR(VLOOKUP(E26,$P$17:$Q$105,2,FALSE),944))</f>
        <v>1000</v>
      </c>
      <c r="M26" s="129">
        <f t="shared" si="3"/>
        <v>1</v>
      </c>
      <c r="N26" s="129" t="str">
        <f t="shared" si="4"/>
        <v/>
      </c>
      <c r="O26" s="47" t="str">
        <f>IF($K$3&lt;&gt;1,10,"")</f>
        <v/>
      </c>
      <c r="P26" s="43">
        <v>91</v>
      </c>
      <c r="Q26" s="156">
        <v>10</v>
      </c>
      <c r="R26" s="50">
        <v>10</v>
      </c>
      <c r="S26" s="245">
        <v>636</v>
      </c>
      <c r="T26" s="245"/>
      <c r="U26" s="245"/>
      <c r="V26" s="156">
        <f t="shared" si="5"/>
        <v>636</v>
      </c>
    </row>
    <row r="27" spans="2:23" x14ac:dyDescent="0.3">
      <c r="B27" s="149">
        <v>23</v>
      </c>
      <c r="C27" s="35"/>
      <c r="D27" s="52"/>
      <c r="E27" s="54"/>
      <c r="F27" s="19"/>
      <c r="G27" s="116"/>
      <c r="H27" s="226" t="str">
        <f t="shared" si="0"/>
        <v/>
      </c>
      <c r="I27" s="229" t="s">
        <v>91</v>
      </c>
      <c r="J27" s="33" t="str">
        <f t="shared" si="1"/>
        <v/>
      </c>
      <c r="K27" s="129" t="str">
        <f t="shared" si="2"/>
        <v/>
      </c>
      <c r="L27" s="129">
        <f>IF(ISBLANK(E27),1000,IFERROR(VLOOKUP(E27,$P$17:$Q$105,2,FALSE),979))</f>
        <v>1000</v>
      </c>
      <c r="M27" s="129">
        <f t="shared" si="3"/>
        <v>1</v>
      </c>
      <c r="N27" s="129" t="str">
        <f t="shared" si="4"/>
        <v/>
      </c>
      <c r="O27" s="47" t="str">
        <f>IF($K$3&lt;&gt;1,11,"")</f>
        <v/>
      </c>
      <c r="P27" s="43">
        <v>9</v>
      </c>
      <c r="Q27" s="156">
        <v>11</v>
      </c>
      <c r="R27" s="50">
        <v>11</v>
      </c>
      <c r="S27" s="245">
        <v>145</v>
      </c>
      <c r="T27" s="245"/>
      <c r="U27" s="245"/>
      <c r="V27" s="156">
        <f t="shared" si="5"/>
        <v>145</v>
      </c>
    </row>
    <row r="28" spans="2:23" x14ac:dyDescent="0.3">
      <c r="B28" s="149">
        <v>24</v>
      </c>
      <c r="C28" s="35"/>
      <c r="D28" s="52"/>
      <c r="E28" s="54"/>
      <c r="F28" s="19"/>
      <c r="G28" s="116"/>
      <c r="H28" s="226" t="str">
        <f t="shared" si="0"/>
        <v/>
      </c>
      <c r="I28" s="229" t="s">
        <v>91</v>
      </c>
      <c r="J28" s="33" t="str">
        <f t="shared" si="1"/>
        <v/>
      </c>
      <c r="K28" s="129" t="str">
        <f t="shared" si="2"/>
        <v/>
      </c>
      <c r="L28" s="129">
        <f>IF(ISBLANK(E28),1000,IFERROR(VLOOKUP(E28,$P$17:$Q$105,2,FALSE),983))</f>
        <v>1000</v>
      </c>
      <c r="M28" s="129">
        <f t="shared" si="3"/>
        <v>1</v>
      </c>
      <c r="N28" s="129" t="str">
        <f t="shared" si="4"/>
        <v/>
      </c>
      <c r="O28" s="47" t="str">
        <f>IF($K$3&lt;&gt;1,12,"")</f>
        <v/>
      </c>
      <c r="P28" s="43">
        <v>413</v>
      </c>
      <c r="Q28" s="156">
        <v>12</v>
      </c>
      <c r="R28" s="50">
        <v>12</v>
      </c>
      <c r="S28" s="245">
        <v>413</v>
      </c>
      <c r="T28" s="245"/>
      <c r="U28" s="245"/>
      <c r="V28" s="156">
        <f t="shared" si="5"/>
        <v>413</v>
      </c>
    </row>
    <row r="29" spans="2:23" x14ac:dyDescent="0.3">
      <c r="B29" s="149">
        <v>25</v>
      </c>
      <c r="C29" s="36"/>
      <c r="D29" s="53"/>
      <c r="E29" s="54"/>
      <c r="F29" s="18"/>
      <c r="G29" s="115"/>
      <c r="H29" s="226" t="str">
        <f t="shared" si="0"/>
        <v/>
      </c>
      <c r="I29" s="230" t="s">
        <v>91</v>
      </c>
      <c r="J29" s="33" t="str">
        <f t="shared" si="1"/>
        <v/>
      </c>
      <c r="K29" s="129" t="str">
        <f t="shared" si="2"/>
        <v/>
      </c>
      <c r="L29" s="129">
        <f>IF(ISBLANK(E29),1000,IFERROR(VLOOKUP(E29,$P$17:$Q$105,2,FALSE),954))</f>
        <v>1000</v>
      </c>
      <c r="M29" s="129">
        <f t="shared" si="3"/>
        <v>1</v>
      </c>
      <c r="N29" s="129" t="str">
        <f t="shared" si="4"/>
        <v/>
      </c>
      <c r="O29" s="47" t="str">
        <f>IF($K$3&lt;&gt;1,13,"")</f>
        <v/>
      </c>
      <c r="P29" s="43">
        <v>577</v>
      </c>
      <c r="Q29" s="156">
        <v>13</v>
      </c>
      <c r="R29" s="50">
        <v>13</v>
      </c>
      <c r="S29" s="245">
        <v>429</v>
      </c>
      <c r="T29" s="245"/>
      <c r="U29" s="245"/>
      <c r="V29" s="156">
        <f t="shared" si="5"/>
        <v>429</v>
      </c>
    </row>
    <row r="30" spans="2:23" x14ac:dyDescent="0.3">
      <c r="B30" s="149">
        <v>26</v>
      </c>
      <c r="C30" s="35"/>
      <c r="D30" s="52"/>
      <c r="E30" s="54"/>
      <c r="F30" s="19"/>
      <c r="G30" s="115"/>
      <c r="H30" s="226" t="str">
        <f t="shared" si="0"/>
        <v/>
      </c>
      <c r="I30" s="230" t="s">
        <v>91</v>
      </c>
      <c r="J30" s="33" t="str">
        <f t="shared" si="1"/>
        <v/>
      </c>
      <c r="K30" s="129" t="str">
        <f t="shared" si="2"/>
        <v/>
      </c>
      <c r="L30" s="129">
        <f>IF(ISBLANK(E30),1000,IFERROR(VLOOKUP(E30,$P$17:$Q$105,2,FALSE),963))</f>
        <v>1000</v>
      </c>
      <c r="M30" s="129">
        <f t="shared" si="3"/>
        <v>1</v>
      </c>
      <c r="N30" s="129" t="str">
        <f t="shared" si="4"/>
        <v/>
      </c>
      <c r="O30" s="47" t="str">
        <f>IF($K$3&lt;&gt;1,14,"")</f>
        <v/>
      </c>
      <c r="P30" s="43">
        <v>20</v>
      </c>
      <c r="Q30" s="156">
        <v>14</v>
      </c>
      <c r="R30" s="50">
        <v>14</v>
      </c>
      <c r="S30" s="245">
        <v>329</v>
      </c>
      <c r="T30" s="245"/>
      <c r="U30" s="245"/>
      <c r="V30" s="156">
        <f t="shared" si="5"/>
        <v>329</v>
      </c>
      <c r="W30" s="47" t="s">
        <v>55</v>
      </c>
    </row>
    <row r="31" spans="2:23" x14ac:dyDescent="0.3">
      <c r="B31" s="149">
        <v>27</v>
      </c>
      <c r="C31" s="35"/>
      <c r="D31" s="52"/>
      <c r="E31" s="54"/>
      <c r="F31" s="18"/>
      <c r="G31" s="116"/>
      <c r="H31" s="226" t="str">
        <f t="shared" si="0"/>
        <v/>
      </c>
      <c r="I31" s="230" t="s">
        <v>91</v>
      </c>
      <c r="J31" s="33" t="str">
        <f t="shared" si="1"/>
        <v/>
      </c>
      <c r="K31" s="129" t="str">
        <f t="shared" si="2"/>
        <v/>
      </c>
      <c r="L31" s="129">
        <f>IF(ISBLANK(E31),1000,IFERROR(VLOOKUP(E31,$P$17:$Q$105,2,FALSE),956))</f>
        <v>1000</v>
      </c>
      <c r="M31" s="129">
        <f t="shared" si="3"/>
        <v>1</v>
      </c>
      <c r="N31" s="129" t="str">
        <f t="shared" si="4"/>
        <v/>
      </c>
      <c r="O31" s="47" t="str">
        <f>IF($K$3&lt;&gt;1,15,"")</f>
        <v/>
      </c>
      <c r="P31" s="73">
        <v>423</v>
      </c>
      <c r="Q31" s="156">
        <v>15</v>
      </c>
      <c r="R31" s="50">
        <v>15</v>
      </c>
      <c r="S31" s="245">
        <v>574</v>
      </c>
      <c r="T31" s="245"/>
      <c r="U31" s="245"/>
      <c r="V31" s="156">
        <f t="shared" si="5"/>
        <v>574</v>
      </c>
    </row>
    <row r="32" spans="2:23" x14ac:dyDescent="0.3">
      <c r="B32" s="149">
        <v>28</v>
      </c>
      <c r="C32" s="35"/>
      <c r="D32" s="52"/>
      <c r="E32" s="54"/>
      <c r="F32" s="18"/>
      <c r="G32" s="116"/>
      <c r="H32" s="226" t="str">
        <f t="shared" si="0"/>
        <v/>
      </c>
      <c r="I32" s="230" t="s">
        <v>91</v>
      </c>
      <c r="J32" s="33" t="str">
        <f t="shared" si="1"/>
        <v/>
      </c>
      <c r="K32" s="129" t="str">
        <f t="shared" si="2"/>
        <v/>
      </c>
      <c r="L32" s="129">
        <f>IF(ISBLANK(E32),1000,IFERROR(VLOOKUP(E32,$P$17:$Q$105,2,FALSE),961))</f>
        <v>1000</v>
      </c>
      <c r="M32" s="129">
        <f t="shared" si="3"/>
        <v>1</v>
      </c>
      <c r="N32" s="129" t="str">
        <f t="shared" si="4"/>
        <v/>
      </c>
      <c r="O32" s="47" t="str">
        <f>IF($K$3&lt;&gt;1,16,"")</f>
        <v/>
      </c>
      <c r="P32" s="43">
        <v>115</v>
      </c>
      <c r="Q32" s="156">
        <v>16</v>
      </c>
      <c r="R32" s="50">
        <v>16</v>
      </c>
      <c r="S32" s="245">
        <v>264</v>
      </c>
      <c r="T32" s="245"/>
      <c r="U32" s="245"/>
      <c r="V32" s="156">
        <f t="shared" si="5"/>
        <v>264</v>
      </c>
    </row>
    <row r="33" spans="1:22" x14ac:dyDescent="0.3">
      <c r="B33" s="149">
        <v>29</v>
      </c>
      <c r="C33" s="35"/>
      <c r="D33" s="52"/>
      <c r="E33" s="54"/>
      <c r="F33" s="19"/>
      <c r="G33" s="115"/>
      <c r="H33" s="226" t="str">
        <f t="shared" si="0"/>
        <v/>
      </c>
      <c r="I33" s="230" t="s">
        <v>91</v>
      </c>
      <c r="J33" s="33" t="str">
        <f t="shared" si="1"/>
        <v/>
      </c>
      <c r="K33" s="129" t="str">
        <f t="shared" si="2"/>
        <v/>
      </c>
      <c r="L33" s="129">
        <f>IF(ISBLANK(E33),1000,IFERROR(VLOOKUP(E33,$P$17:$Q$105,2,FALSE),943))</f>
        <v>1000</v>
      </c>
      <c r="M33" s="129">
        <f t="shared" si="3"/>
        <v>1</v>
      </c>
      <c r="N33" s="129" t="str">
        <f t="shared" si="4"/>
        <v/>
      </c>
      <c r="O33" s="47" t="str">
        <f>IF($K$3&lt;&gt;1,17,"")</f>
        <v/>
      </c>
      <c r="P33" s="43">
        <v>157</v>
      </c>
      <c r="Q33" s="156">
        <v>17</v>
      </c>
      <c r="R33" s="50">
        <v>17</v>
      </c>
      <c r="S33" s="245">
        <v>475</v>
      </c>
      <c r="T33" s="245"/>
      <c r="U33" s="245"/>
      <c r="V33" s="156">
        <f t="shared" si="5"/>
        <v>475</v>
      </c>
    </row>
    <row r="34" spans="1:22" x14ac:dyDescent="0.3">
      <c r="B34" s="149">
        <v>30</v>
      </c>
      <c r="C34" s="35"/>
      <c r="D34" s="52"/>
      <c r="E34" s="54"/>
      <c r="F34" s="19"/>
      <c r="G34" s="116"/>
      <c r="H34" s="226" t="str">
        <f t="shared" si="0"/>
        <v/>
      </c>
      <c r="I34" s="230" t="s">
        <v>91</v>
      </c>
      <c r="J34" s="33" t="str">
        <f t="shared" si="1"/>
        <v/>
      </c>
      <c r="K34" s="129" t="str">
        <f t="shared" si="2"/>
        <v/>
      </c>
      <c r="L34" s="129">
        <f>IF(ISBLANK(E34),1000,IFERROR(VLOOKUP(E34,$P$17:$Q$105,2,FALSE),947))</f>
        <v>1000</v>
      </c>
      <c r="M34" s="129">
        <f t="shared" si="3"/>
        <v>1</v>
      </c>
      <c r="N34" s="129" t="str">
        <f t="shared" si="4"/>
        <v/>
      </c>
      <c r="O34" s="47" t="str">
        <f>IF($K$3&lt;&gt;1,18,"")</f>
        <v/>
      </c>
      <c r="P34" s="43">
        <v>147</v>
      </c>
      <c r="Q34" s="156">
        <v>18</v>
      </c>
      <c r="R34" s="50">
        <v>18</v>
      </c>
      <c r="S34" s="245">
        <v>449</v>
      </c>
      <c r="T34" s="245"/>
      <c r="U34" s="245"/>
      <c r="V34" s="156">
        <f t="shared" si="5"/>
        <v>449</v>
      </c>
    </row>
    <row r="35" spans="1:22" x14ac:dyDescent="0.3">
      <c r="B35" s="149">
        <v>31</v>
      </c>
      <c r="C35" s="35"/>
      <c r="D35" s="52"/>
      <c r="E35" s="54"/>
      <c r="F35" s="18"/>
      <c r="G35" s="116"/>
      <c r="H35" s="226" t="str">
        <f t="shared" si="0"/>
        <v/>
      </c>
      <c r="I35" s="229" t="s">
        <v>91</v>
      </c>
      <c r="J35" s="33" t="str">
        <f t="shared" si="1"/>
        <v/>
      </c>
      <c r="K35" s="129" t="str">
        <f t="shared" si="2"/>
        <v/>
      </c>
      <c r="L35" s="129">
        <f>IF(ISBLANK(E35),1000,IFERROR(VLOOKUP(E35,$P$17:$Q$105,2,FALSE),982))</f>
        <v>1000</v>
      </c>
      <c r="M35" s="129">
        <f t="shared" si="3"/>
        <v>1</v>
      </c>
      <c r="N35" s="129" t="str">
        <f t="shared" si="4"/>
        <v/>
      </c>
      <c r="O35" s="47" t="str">
        <f>IF($K$3&lt;&gt;1,19,"")</f>
        <v/>
      </c>
      <c r="P35" s="43">
        <v>520</v>
      </c>
      <c r="Q35" s="156">
        <v>19</v>
      </c>
      <c r="R35" s="50">
        <v>19</v>
      </c>
      <c r="S35" s="245"/>
      <c r="T35" s="245"/>
      <c r="U35" s="245"/>
      <c r="V35" s="156">
        <f t="shared" si="5"/>
        <v>0</v>
      </c>
    </row>
    <row r="36" spans="1:22" x14ac:dyDescent="0.3">
      <c r="B36" s="149">
        <v>32</v>
      </c>
      <c r="C36" s="35"/>
      <c r="D36" s="52"/>
      <c r="E36" s="54"/>
      <c r="F36" s="19"/>
      <c r="G36" s="116"/>
      <c r="H36" s="226" t="str">
        <f t="shared" si="0"/>
        <v/>
      </c>
      <c r="I36" s="230" t="s">
        <v>91</v>
      </c>
      <c r="J36" s="33" t="str">
        <f t="shared" si="1"/>
        <v/>
      </c>
      <c r="K36" s="129" t="str">
        <f t="shared" si="2"/>
        <v/>
      </c>
      <c r="L36" s="129">
        <f>IF(ISBLANK(E36),1000,IFERROR(VLOOKUP(E36,$P$17:$Q$105,2,FALSE),951))</f>
        <v>1000</v>
      </c>
      <c r="M36" s="129">
        <f t="shared" si="3"/>
        <v>1</v>
      </c>
      <c r="N36" s="129" t="str">
        <f t="shared" si="4"/>
        <v/>
      </c>
      <c r="O36" s="47" t="str">
        <f>IF($K$3&lt;&gt;1,20,"")</f>
        <v/>
      </c>
      <c r="P36" s="43">
        <v>267</v>
      </c>
      <c r="Q36" s="156">
        <v>20</v>
      </c>
      <c r="R36" s="50">
        <v>20</v>
      </c>
      <c r="S36" s="245"/>
      <c r="T36" s="245"/>
      <c r="U36" s="245"/>
      <c r="V36" s="156">
        <f t="shared" si="5"/>
        <v>0</v>
      </c>
    </row>
    <row r="37" spans="1:22" x14ac:dyDescent="0.3">
      <c r="B37" s="149">
        <v>33</v>
      </c>
      <c r="C37" s="34"/>
      <c r="D37" s="53"/>
      <c r="E37" s="54"/>
      <c r="F37" s="18"/>
      <c r="G37" s="115"/>
      <c r="H37" s="226" t="str">
        <f t="shared" ref="H37:H64" si="6">IF(ISERROR(VLOOKUP(E37,$S$17:$V$105,2,FALSE)),"","GM")</f>
        <v/>
      </c>
      <c r="I37" s="230" t="s">
        <v>91</v>
      </c>
      <c r="J37" s="33" t="str">
        <f t="shared" ref="J37:J64" si="7">IF(COUNTA($E$5:$E$64)=SUM(COUNTIF($I$5:$I$64,"GRÖN"),COUNTIF($I$5:$I$64,"RÖD"),COUNTIF($I$5:$I$64,"BLÅ"),COUNTIF($I$5:$I$64,"GUL")),"",IF(E37&lt;&gt;"",IF(N37=1,"GRÖN",IF(N37=2,"RÖD",IF(N37=3,"BLÅ",IF(N37=4,"GUL","")))),""))</f>
        <v/>
      </c>
      <c r="K37" s="129" t="str">
        <f t="shared" ref="K37:K64" si="8">IF(J37="GRÖN","1",IF(J37="RÖD","2",IF(J37="BLÅ","3",IF(J37="GUL","4",""))))</f>
        <v/>
      </c>
      <c r="L37" s="129">
        <f>IF(ISBLANK(E37),1000,IFERROR(VLOOKUP(E37,$P$17:$Q$105,2,FALSE),949))</f>
        <v>1000</v>
      </c>
      <c r="M37" s="129">
        <f t="shared" ref="M37:M64" si="9">RANK(L37,$L$5:$L$64,1)</f>
        <v>1</v>
      </c>
      <c r="N37" s="129" t="str">
        <f t="shared" ref="N37:N64" si="10">IF(AND($K$3=3,$L$3&lt;50),IF(L37=1000,"",IF(OR(M37=1,M37=3,M37=5,M37=7,M37=9,M37=11,M37=13,M37=15,M37=17,M37=19,M37=21,M37=23,M37=25,M37=27,M37=29,M37=31,M37=33,M37=35,M37=37,M37=39,M37=41,M37=43,M37=45,M37=47,M37=49,M37=51,M37=53,M37=55,M37=57,M37=59),1,2)),IF(AND($K$3=3,$L$3&gt;49),IF(L37=1000,"",IF(OR(M37=1,M37=5,M37=9,M37=13,M37=17,M37=21,M37=25,M37=29,M37=33,M37=37,M37=41,M37=45,M37=49,M37=53,M37=57),1,IF(OR(M37=2,M37=6,M37=10,M37=14,M37=18,M37=22,M37=26,M37=30,M37=34,M37=38,M37=42,M37=46,M37=50,M37=54,M37=58),2,IF(OR(M37=3,M37=7,M37=11,M37=15,M37=19,M37=23,M37=27,M37=31,M37=35,M37=39,M37=43,M37=47,M37=51,M37=55,M37=59),3,4)))),
IF($K$3=4,IF(L37=1000,"",IF(OR(M37=1,M37=5,M37=9,M37=13,M37=17,M37=21,M37=25,M37=29,M37=33,M37=37,M37=41,M37=45,M37=49,M37=53,M37=57),1,IF(OR(M37=2,M37=6,M37=10,M37=14,M37=18,M37=22,M37=26,M37=30,M37=34,M37=38,M37=42,M37=46,M37=50,M37=54,M37=58),2,IF(OR(M37=3,M37=7,M37=11,M37=15,M37=19,M37=23,M37=27,M37=31,M37=35,M37=39,M37=43,M37=47,M37=51,M37=55,M37=59),3,4)))),
IF($K$3=1,"",
IF(L37=1000,"",IF(OR(M37=1,M37=4,M37=7,M37=10,M37=13,M37=16,M37=19,M37=22,M37=25,M37=28,M37=31,M37=34,M37=37,M37=40,M37=43,M37=46,M37=49,M37=52,M37=55,M37=58),1,IF(OR(M37=2,M37=5,M37=8,M37=11,M37=14,M37=17,M37=20,M37=23,M37=26,M37=29,M37=32,M37=35,M37=38,M37=41,M37=44,M37=47,M37=50,M37=53,M37=56,M37=59),2,3)))))))</f>
        <v/>
      </c>
      <c r="O37" s="47" t="str">
        <f>IF($K$3&lt;&gt;1,21,"")</f>
        <v/>
      </c>
      <c r="P37" s="43">
        <v>76</v>
      </c>
      <c r="Q37" s="156">
        <v>21</v>
      </c>
      <c r="R37" s="50">
        <v>21</v>
      </c>
      <c r="S37" s="245"/>
      <c r="T37" s="245"/>
      <c r="U37" s="245"/>
      <c r="V37" s="156">
        <f t="shared" si="5"/>
        <v>0</v>
      </c>
    </row>
    <row r="38" spans="1:22" x14ac:dyDescent="0.3">
      <c r="B38" s="149">
        <v>34</v>
      </c>
      <c r="C38" s="102"/>
      <c r="D38" s="52"/>
      <c r="E38" s="103"/>
      <c r="F38" s="18"/>
      <c r="G38" s="117"/>
      <c r="H38" s="226" t="str">
        <f t="shared" si="6"/>
        <v/>
      </c>
      <c r="I38" s="231" t="s">
        <v>91</v>
      </c>
      <c r="J38" s="33" t="str">
        <f t="shared" si="7"/>
        <v/>
      </c>
      <c r="K38" s="129" t="str">
        <f t="shared" si="8"/>
        <v/>
      </c>
      <c r="L38" s="129">
        <f>IF(ISBLANK(E38),1000,IFERROR(VLOOKUP(E38,$P$17:$Q$105,2,FALSE),960))</f>
        <v>1000</v>
      </c>
      <c r="M38" s="129">
        <f t="shared" si="9"/>
        <v>1</v>
      </c>
      <c r="N38" s="129" t="str">
        <f t="shared" si="10"/>
        <v/>
      </c>
      <c r="O38" s="47" t="str">
        <f>IF($K$3&lt;&gt;1,22,"")</f>
        <v/>
      </c>
      <c r="P38" s="73">
        <v>7</v>
      </c>
      <c r="Q38" s="156">
        <v>22</v>
      </c>
      <c r="R38" s="50">
        <v>22</v>
      </c>
      <c r="S38" s="245"/>
      <c r="T38" s="245"/>
      <c r="U38" s="245"/>
      <c r="V38" s="156">
        <f t="shared" si="5"/>
        <v>0</v>
      </c>
    </row>
    <row r="39" spans="1:22" x14ac:dyDescent="0.3">
      <c r="B39" s="149">
        <v>35</v>
      </c>
      <c r="C39" s="35"/>
      <c r="D39" s="52"/>
      <c r="E39" s="54"/>
      <c r="F39" s="18"/>
      <c r="G39" s="117"/>
      <c r="H39" s="226" t="str">
        <f t="shared" si="6"/>
        <v/>
      </c>
      <c r="I39" s="230" t="s">
        <v>91</v>
      </c>
      <c r="J39" s="33" t="str">
        <f t="shared" si="7"/>
        <v/>
      </c>
      <c r="K39" s="129" t="str">
        <f t="shared" si="8"/>
        <v/>
      </c>
      <c r="L39" s="129">
        <f>IF(ISBLANK(E39),1000,IFERROR(VLOOKUP(E39,$P$17:$Q$105,2,FALSE),953))</f>
        <v>1000</v>
      </c>
      <c r="M39" s="129">
        <f t="shared" si="9"/>
        <v>1</v>
      </c>
      <c r="N39" s="129" t="str">
        <f t="shared" si="10"/>
        <v/>
      </c>
      <c r="O39" s="47" t="str">
        <f>IF($K$3&lt;&gt;1,23,"")</f>
        <v/>
      </c>
      <c r="P39" s="43">
        <v>54</v>
      </c>
      <c r="Q39" s="156">
        <v>23</v>
      </c>
      <c r="R39" s="50">
        <v>23</v>
      </c>
      <c r="S39" s="245"/>
      <c r="T39" s="245"/>
      <c r="U39" s="245"/>
      <c r="V39" s="156">
        <f t="shared" si="5"/>
        <v>0</v>
      </c>
    </row>
    <row r="40" spans="1:22" x14ac:dyDescent="0.3">
      <c r="B40" s="149">
        <v>36</v>
      </c>
      <c r="C40" s="35"/>
      <c r="D40" s="52"/>
      <c r="E40" s="54"/>
      <c r="F40" s="19"/>
      <c r="G40" s="116"/>
      <c r="H40" s="226" t="str">
        <f t="shared" si="6"/>
        <v/>
      </c>
      <c r="I40" s="229" t="s">
        <v>91</v>
      </c>
      <c r="J40" s="33" t="str">
        <f t="shared" si="7"/>
        <v/>
      </c>
      <c r="K40" s="129" t="str">
        <f t="shared" si="8"/>
        <v/>
      </c>
      <c r="L40" s="129">
        <f>IF(ISBLANK(E40),1000,IFERROR(VLOOKUP(E40,$P$17:$Q$105,2,FALSE),999))</f>
        <v>1000</v>
      </c>
      <c r="M40" s="129">
        <f t="shared" si="9"/>
        <v>1</v>
      </c>
      <c r="N40" s="129" t="str">
        <f t="shared" si="10"/>
        <v/>
      </c>
      <c r="O40" s="47" t="str">
        <f>IF($K$3&lt;&gt;1,24,"")</f>
        <v/>
      </c>
      <c r="P40" s="43">
        <v>4</v>
      </c>
      <c r="Q40" s="156">
        <v>24</v>
      </c>
      <c r="R40" s="50">
        <v>24</v>
      </c>
      <c r="S40" s="245"/>
      <c r="T40" s="245"/>
      <c r="U40" s="245"/>
      <c r="V40" s="156">
        <f t="shared" si="5"/>
        <v>0</v>
      </c>
    </row>
    <row r="41" spans="1:22" x14ac:dyDescent="0.3">
      <c r="B41" s="149">
        <v>37</v>
      </c>
      <c r="C41" s="35"/>
      <c r="D41" s="52"/>
      <c r="E41" s="54"/>
      <c r="F41" s="18"/>
      <c r="G41" s="115"/>
      <c r="H41" s="226" t="str">
        <f t="shared" si="6"/>
        <v/>
      </c>
      <c r="I41" s="230" t="s">
        <v>91</v>
      </c>
      <c r="J41" s="33" t="str">
        <f t="shared" si="7"/>
        <v/>
      </c>
      <c r="K41" s="129" t="str">
        <f t="shared" si="8"/>
        <v/>
      </c>
      <c r="L41" s="129">
        <f>IF(ISBLANK(E41),1000,IFERROR(VLOOKUP(E41,$P$17:$Q$105,2,FALSE),940))</f>
        <v>1000</v>
      </c>
      <c r="M41" s="129">
        <f t="shared" si="9"/>
        <v>1</v>
      </c>
      <c r="N41" s="129" t="str">
        <f t="shared" si="10"/>
        <v/>
      </c>
      <c r="O41" s="47" t="str">
        <f>IF($K$3&lt;&gt;1,25,"")</f>
        <v/>
      </c>
      <c r="P41" s="43">
        <v>399</v>
      </c>
      <c r="Q41" s="156">
        <v>25</v>
      </c>
      <c r="R41" s="50">
        <v>25</v>
      </c>
      <c r="S41" s="245"/>
      <c r="T41" s="245"/>
      <c r="U41" s="245"/>
      <c r="V41" s="156">
        <f t="shared" si="5"/>
        <v>0</v>
      </c>
    </row>
    <row r="42" spans="1:22" x14ac:dyDescent="0.3">
      <c r="B42" s="149">
        <v>38</v>
      </c>
      <c r="C42" s="35"/>
      <c r="D42" s="52"/>
      <c r="E42" s="54"/>
      <c r="F42" s="18"/>
      <c r="G42" s="115"/>
      <c r="H42" s="226" t="str">
        <f t="shared" si="6"/>
        <v/>
      </c>
      <c r="I42" s="230" t="s">
        <v>91</v>
      </c>
      <c r="J42" s="33" t="str">
        <f t="shared" si="7"/>
        <v/>
      </c>
      <c r="K42" s="129" t="str">
        <f t="shared" si="8"/>
        <v/>
      </c>
      <c r="L42" s="129">
        <f>IF(ISBLANK(E42),1000,IFERROR(VLOOKUP(E42,$P$17:$Q$105,2,FALSE),945))</f>
        <v>1000</v>
      </c>
      <c r="M42" s="129">
        <f t="shared" si="9"/>
        <v>1</v>
      </c>
      <c r="N42" s="129" t="str">
        <f t="shared" si="10"/>
        <v/>
      </c>
      <c r="O42" s="47" t="str">
        <f>IF($K$3&lt;&gt;1,26,"")</f>
        <v/>
      </c>
      <c r="P42" s="73">
        <v>650</v>
      </c>
      <c r="Q42" s="156">
        <v>26</v>
      </c>
      <c r="R42" s="50">
        <v>26</v>
      </c>
      <c r="S42" s="245"/>
      <c r="T42" s="245"/>
      <c r="U42" s="245"/>
      <c r="V42" s="156">
        <f t="shared" si="5"/>
        <v>0</v>
      </c>
    </row>
    <row r="43" spans="1:22" x14ac:dyDescent="0.3">
      <c r="B43" s="149">
        <v>39</v>
      </c>
      <c r="C43" s="120"/>
      <c r="D43" s="52"/>
      <c r="E43" s="75"/>
      <c r="F43" s="18"/>
      <c r="G43" s="115"/>
      <c r="H43" s="226" t="str">
        <f t="shared" si="6"/>
        <v/>
      </c>
      <c r="I43" s="230" t="s">
        <v>91</v>
      </c>
      <c r="J43" s="33" t="str">
        <f t="shared" si="7"/>
        <v/>
      </c>
      <c r="K43" s="129" t="str">
        <f t="shared" si="8"/>
        <v/>
      </c>
      <c r="L43" s="129">
        <f>IF(ISBLANK(E43),1000,IFERROR(VLOOKUP(E43,$P$17:$Q$105,2,FALSE),970))</f>
        <v>1000</v>
      </c>
      <c r="M43" s="129">
        <f t="shared" si="9"/>
        <v>1</v>
      </c>
      <c r="N43" s="129" t="str">
        <f t="shared" si="10"/>
        <v/>
      </c>
      <c r="O43" s="47" t="str">
        <f>IF($K$3&lt;&gt;1,27,"")</f>
        <v/>
      </c>
      <c r="P43" s="43">
        <v>247</v>
      </c>
      <c r="Q43" s="156">
        <v>27</v>
      </c>
      <c r="R43" s="50">
        <v>27</v>
      </c>
      <c r="S43" s="245"/>
      <c r="T43" s="245"/>
      <c r="U43" s="245"/>
      <c r="V43" s="156">
        <f t="shared" si="5"/>
        <v>0</v>
      </c>
    </row>
    <row r="44" spans="1:22" x14ac:dyDescent="0.3">
      <c r="A44" s="48"/>
      <c r="B44" s="149">
        <v>40</v>
      </c>
      <c r="C44" s="35"/>
      <c r="D44" s="52"/>
      <c r="E44" s="54"/>
      <c r="F44" s="18"/>
      <c r="G44" s="116"/>
      <c r="H44" s="226" t="str">
        <f t="shared" si="6"/>
        <v/>
      </c>
      <c r="I44" s="229" t="s">
        <v>91</v>
      </c>
      <c r="J44" s="33" t="str">
        <f t="shared" si="7"/>
        <v/>
      </c>
      <c r="K44" s="129" t="str">
        <f t="shared" si="8"/>
        <v/>
      </c>
      <c r="L44" s="129">
        <f>IF(ISBLANK(E44),1000,IFERROR(VLOOKUP(E44,$P$17:$Q$105,2,FALSE),980))</f>
        <v>1000</v>
      </c>
      <c r="M44" s="129">
        <f t="shared" si="9"/>
        <v>1</v>
      </c>
      <c r="N44" s="129" t="str">
        <f t="shared" si="10"/>
        <v/>
      </c>
      <c r="O44" s="47" t="str">
        <f>IF($K$3&lt;&gt;1,28,"")</f>
        <v/>
      </c>
      <c r="P44" s="43">
        <v>449</v>
      </c>
      <c r="Q44" s="156">
        <v>28</v>
      </c>
      <c r="R44" s="50">
        <v>28</v>
      </c>
      <c r="S44" s="245"/>
      <c r="T44" s="245"/>
      <c r="U44" s="245"/>
      <c r="V44" s="156">
        <f t="shared" si="5"/>
        <v>0</v>
      </c>
    </row>
    <row r="45" spans="1:22" x14ac:dyDescent="0.3">
      <c r="B45" s="149">
        <v>41</v>
      </c>
      <c r="C45" s="124"/>
      <c r="D45" s="53"/>
      <c r="E45" s="75"/>
      <c r="F45" s="18"/>
      <c r="G45" s="115"/>
      <c r="H45" s="226" t="str">
        <f t="shared" si="6"/>
        <v/>
      </c>
      <c r="I45" s="230" t="s">
        <v>91</v>
      </c>
      <c r="J45" s="33" t="str">
        <f t="shared" si="7"/>
        <v/>
      </c>
      <c r="K45" s="129" t="str">
        <f t="shared" si="8"/>
        <v/>
      </c>
      <c r="L45" s="129">
        <f>IF(ISBLANK(E45),1000,IFERROR(VLOOKUP(E45,$P$17:$Q$105,2,FALSE),942))</f>
        <v>1000</v>
      </c>
      <c r="M45" s="129">
        <f t="shared" si="9"/>
        <v>1</v>
      </c>
      <c r="N45" s="129" t="str">
        <f t="shared" si="10"/>
        <v/>
      </c>
      <c r="O45" s="47" t="str">
        <f>IF($K$3&lt;&gt;1,29,"")</f>
        <v/>
      </c>
      <c r="P45" s="73">
        <v>358</v>
      </c>
      <c r="Q45" s="156">
        <v>29</v>
      </c>
      <c r="R45" s="50">
        <v>29</v>
      </c>
      <c r="S45" s="245"/>
      <c r="T45" s="245"/>
      <c r="U45" s="245"/>
      <c r="V45" s="156">
        <f t="shared" si="5"/>
        <v>0</v>
      </c>
    </row>
    <row r="46" spans="1:22" x14ac:dyDescent="0.3">
      <c r="B46" s="149">
        <v>42</v>
      </c>
      <c r="C46" s="35"/>
      <c r="D46" s="52"/>
      <c r="E46" s="54"/>
      <c r="F46" s="18"/>
      <c r="G46" s="115"/>
      <c r="H46" s="226" t="str">
        <f t="shared" si="6"/>
        <v/>
      </c>
      <c r="I46" s="230" t="s">
        <v>91</v>
      </c>
      <c r="J46" s="33" t="str">
        <f t="shared" si="7"/>
        <v/>
      </c>
      <c r="K46" s="129" t="str">
        <f t="shared" si="8"/>
        <v/>
      </c>
      <c r="L46" s="129">
        <f>IF(ISBLANK(E46),1000,IFERROR(VLOOKUP(E46,$P$17:$Q$105,2,FALSE),972))</f>
        <v>1000</v>
      </c>
      <c r="M46" s="129">
        <f t="shared" si="9"/>
        <v>1</v>
      </c>
      <c r="N46" s="129" t="str">
        <f t="shared" si="10"/>
        <v/>
      </c>
      <c r="O46" s="47" t="str">
        <f>IF($K$3&lt;&gt;1,30,"")</f>
        <v/>
      </c>
      <c r="P46" s="73">
        <v>208</v>
      </c>
      <c r="Q46" s="156">
        <v>30</v>
      </c>
      <c r="R46" s="50">
        <v>30</v>
      </c>
      <c r="S46" s="245"/>
      <c r="T46" s="245"/>
      <c r="U46" s="245"/>
      <c r="V46" s="156">
        <f t="shared" si="5"/>
        <v>0</v>
      </c>
    </row>
    <row r="47" spans="1:22" x14ac:dyDescent="0.3">
      <c r="B47" s="149">
        <v>43</v>
      </c>
      <c r="C47" s="120"/>
      <c r="D47" s="52"/>
      <c r="E47" s="75"/>
      <c r="F47" s="18"/>
      <c r="G47" s="115"/>
      <c r="H47" s="226" t="str">
        <f t="shared" si="6"/>
        <v/>
      </c>
      <c r="I47" s="230" t="s">
        <v>91</v>
      </c>
      <c r="J47" s="33" t="str">
        <f t="shared" si="7"/>
        <v/>
      </c>
      <c r="K47" s="129" t="str">
        <f t="shared" si="8"/>
        <v/>
      </c>
      <c r="L47" s="129">
        <f>IF(ISBLANK(E47),1000,IFERROR(VLOOKUP(E47,$P$17:$Q$105,2,FALSE),950))</f>
        <v>1000</v>
      </c>
      <c r="M47" s="129">
        <f t="shared" si="9"/>
        <v>1</v>
      </c>
      <c r="N47" s="129" t="str">
        <f t="shared" si="10"/>
        <v/>
      </c>
      <c r="O47" s="47" t="str">
        <f>IF($K$3&lt;&gt;1,31,"")</f>
        <v/>
      </c>
      <c r="P47" s="43">
        <v>186</v>
      </c>
      <c r="Q47" s="156">
        <v>31</v>
      </c>
      <c r="R47" s="50">
        <v>31</v>
      </c>
      <c r="S47" s="246"/>
      <c r="T47" s="246"/>
      <c r="U47" s="246"/>
      <c r="V47" s="156">
        <f t="shared" si="5"/>
        <v>0</v>
      </c>
    </row>
    <row r="48" spans="1:22" x14ac:dyDescent="0.3">
      <c r="B48" s="149">
        <v>44</v>
      </c>
      <c r="C48" s="58"/>
      <c r="D48" s="52"/>
      <c r="E48" s="59"/>
      <c r="F48" s="18"/>
      <c r="G48" s="116"/>
      <c r="H48" s="226" t="str">
        <f t="shared" si="6"/>
        <v/>
      </c>
      <c r="I48" s="229" t="s">
        <v>91</v>
      </c>
      <c r="J48" s="33" t="str">
        <f t="shared" si="7"/>
        <v/>
      </c>
      <c r="K48" s="129" t="str">
        <f t="shared" si="8"/>
        <v/>
      </c>
      <c r="L48" s="129">
        <f>IF(ISBLANK(E48),1000,IFERROR(VLOOKUP(E48,$P$17:$Q$105,2,FALSE),981))</f>
        <v>1000</v>
      </c>
      <c r="M48" s="129">
        <f t="shared" si="9"/>
        <v>1</v>
      </c>
      <c r="N48" s="129" t="str">
        <f t="shared" si="10"/>
        <v/>
      </c>
      <c r="O48" s="47" t="str">
        <f>IF($K$3&lt;&gt;1,32,"")</f>
        <v/>
      </c>
      <c r="P48" s="43">
        <v>441</v>
      </c>
      <c r="Q48" s="156">
        <v>32</v>
      </c>
      <c r="R48" s="50">
        <v>32</v>
      </c>
      <c r="S48" s="246"/>
      <c r="T48" s="246"/>
      <c r="U48" s="246"/>
      <c r="V48" s="156">
        <f t="shared" si="5"/>
        <v>0</v>
      </c>
    </row>
    <row r="49" spans="2:22" x14ac:dyDescent="0.3">
      <c r="B49" s="149">
        <v>45</v>
      </c>
      <c r="C49" s="58"/>
      <c r="D49" s="52"/>
      <c r="E49" s="59"/>
      <c r="F49" s="18"/>
      <c r="G49" s="116"/>
      <c r="H49" s="226" t="str">
        <f t="shared" si="6"/>
        <v/>
      </c>
      <c r="I49" s="229" t="s">
        <v>91</v>
      </c>
      <c r="J49" s="33" t="str">
        <f t="shared" si="7"/>
        <v/>
      </c>
      <c r="K49" s="129" t="str">
        <f t="shared" si="8"/>
        <v/>
      </c>
      <c r="L49" s="129">
        <f>IF(ISBLANK(E49),1000,IFERROR(VLOOKUP(E49,$P$17:$Q$105,2,FALSE),985))</f>
        <v>1000</v>
      </c>
      <c r="M49" s="129">
        <f t="shared" si="9"/>
        <v>1</v>
      </c>
      <c r="N49" s="129" t="str">
        <f t="shared" si="10"/>
        <v/>
      </c>
      <c r="O49" s="47" t="str">
        <f>IF($K$3&lt;&gt;1,33,"")</f>
        <v/>
      </c>
      <c r="P49" s="73">
        <v>88</v>
      </c>
      <c r="Q49" s="156">
        <v>33</v>
      </c>
      <c r="R49" s="50">
        <v>33</v>
      </c>
      <c r="S49" s="246"/>
      <c r="T49" s="246"/>
      <c r="U49" s="246"/>
      <c r="V49" s="156">
        <f t="shared" si="5"/>
        <v>0</v>
      </c>
    </row>
    <row r="50" spans="2:22" x14ac:dyDescent="0.3">
      <c r="B50" s="149">
        <v>46</v>
      </c>
      <c r="C50" s="58"/>
      <c r="D50" s="52"/>
      <c r="E50" s="59"/>
      <c r="F50" s="19"/>
      <c r="G50" s="116"/>
      <c r="H50" s="226" t="str">
        <f t="shared" si="6"/>
        <v/>
      </c>
      <c r="I50" s="230" t="s">
        <v>91</v>
      </c>
      <c r="J50" s="33" t="str">
        <f t="shared" si="7"/>
        <v/>
      </c>
      <c r="K50" s="129" t="str">
        <f t="shared" si="8"/>
        <v/>
      </c>
      <c r="L50" s="129">
        <f>IF(ISBLANK(E50),1000,IFERROR(VLOOKUP(E50,$P$17:$Q$105,2,FALSE),958))</f>
        <v>1000</v>
      </c>
      <c r="M50" s="129">
        <f t="shared" si="9"/>
        <v>1</v>
      </c>
      <c r="N50" s="129" t="str">
        <f t="shared" si="10"/>
        <v/>
      </c>
      <c r="O50" s="47" t="str">
        <f>IF($K$3&lt;&gt;1,34,"")</f>
        <v/>
      </c>
      <c r="P50" s="43">
        <v>102</v>
      </c>
      <c r="Q50" s="156">
        <v>34</v>
      </c>
      <c r="R50" s="50">
        <v>34</v>
      </c>
      <c r="S50" s="246"/>
      <c r="T50" s="246"/>
      <c r="U50" s="246"/>
      <c r="V50" s="156">
        <f t="shared" si="5"/>
        <v>0</v>
      </c>
    </row>
    <row r="51" spans="2:22" x14ac:dyDescent="0.3">
      <c r="B51" s="149">
        <v>47</v>
      </c>
      <c r="C51" s="58"/>
      <c r="D51" s="52"/>
      <c r="E51" s="59"/>
      <c r="F51" s="18"/>
      <c r="G51" s="116"/>
      <c r="H51" s="226" t="str">
        <f t="shared" si="6"/>
        <v/>
      </c>
      <c r="I51" s="229" t="s">
        <v>91</v>
      </c>
      <c r="J51" s="33" t="str">
        <f t="shared" si="7"/>
        <v/>
      </c>
      <c r="K51" s="129" t="str">
        <f t="shared" si="8"/>
        <v/>
      </c>
      <c r="L51" s="129">
        <f>IF(ISBLANK(E51),1000,IFERROR(VLOOKUP(E51,$P$17:$Q$105,2,FALSE),989))</f>
        <v>1000</v>
      </c>
      <c r="M51" s="129">
        <f t="shared" si="9"/>
        <v>1</v>
      </c>
      <c r="N51" s="129" t="str">
        <f t="shared" si="10"/>
        <v/>
      </c>
      <c r="O51" s="47" t="str">
        <f>IF($K$3&lt;&gt;1,35,"")</f>
        <v/>
      </c>
      <c r="P51" s="43">
        <v>252</v>
      </c>
      <c r="Q51" s="156">
        <v>35</v>
      </c>
      <c r="R51" s="50">
        <v>35</v>
      </c>
      <c r="S51" s="246"/>
      <c r="T51" s="246"/>
      <c r="U51" s="246"/>
      <c r="V51" s="156">
        <f t="shared" si="5"/>
        <v>0</v>
      </c>
    </row>
    <row r="52" spans="2:22" x14ac:dyDescent="0.3">
      <c r="B52" s="149">
        <v>48</v>
      </c>
      <c r="C52" s="118"/>
      <c r="D52" s="53"/>
      <c r="E52" s="59"/>
      <c r="F52" s="18"/>
      <c r="G52" s="115"/>
      <c r="H52" s="226" t="str">
        <f t="shared" si="6"/>
        <v/>
      </c>
      <c r="I52" s="230" t="s">
        <v>91</v>
      </c>
      <c r="J52" s="33" t="str">
        <f t="shared" si="7"/>
        <v/>
      </c>
      <c r="K52" s="129" t="str">
        <f t="shared" si="8"/>
        <v/>
      </c>
      <c r="L52" s="129">
        <f>IF(ISBLANK(E52),1000,IFERROR(VLOOKUP(E52,$P$17:$Q$105,2,FALSE),957))</f>
        <v>1000</v>
      </c>
      <c r="M52" s="129">
        <f t="shared" si="9"/>
        <v>1</v>
      </c>
      <c r="N52" s="129" t="str">
        <f t="shared" si="10"/>
        <v/>
      </c>
      <c r="O52" s="47" t="str">
        <f>IF($K$3&lt;&gt;1,36,"")</f>
        <v/>
      </c>
      <c r="P52" s="43">
        <v>298</v>
      </c>
      <c r="Q52" s="156">
        <v>36</v>
      </c>
      <c r="R52" s="50">
        <v>36</v>
      </c>
      <c r="S52" s="246"/>
      <c r="T52" s="246"/>
      <c r="U52" s="246"/>
      <c r="V52" s="156">
        <f t="shared" si="5"/>
        <v>0</v>
      </c>
    </row>
    <row r="53" spans="2:22" x14ac:dyDescent="0.3">
      <c r="B53" s="149">
        <v>49</v>
      </c>
      <c r="C53" s="58"/>
      <c r="D53" s="52"/>
      <c r="E53" s="59"/>
      <c r="F53" s="18"/>
      <c r="G53" s="116"/>
      <c r="H53" s="226" t="str">
        <f t="shared" si="6"/>
        <v/>
      </c>
      <c r="I53" s="229" t="s">
        <v>91</v>
      </c>
      <c r="J53" s="33" t="str">
        <f t="shared" si="7"/>
        <v/>
      </c>
      <c r="K53" s="129" t="str">
        <f t="shared" si="8"/>
        <v/>
      </c>
      <c r="L53" s="129">
        <f>IF(ISBLANK(E53),1000,IFERROR(VLOOKUP(E53,$P$17:$Q$105,2,FALSE),994))</f>
        <v>1000</v>
      </c>
      <c r="M53" s="129">
        <f t="shared" si="9"/>
        <v>1</v>
      </c>
      <c r="N53" s="129" t="str">
        <f t="shared" si="10"/>
        <v/>
      </c>
      <c r="O53" s="47" t="str">
        <f>IF($K$3&lt;&gt;1,37,"")</f>
        <v/>
      </c>
      <c r="P53" s="43">
        <v>493</v>
      </c>
      <c r="Q53" s="156">
        <v>37</v>
      </c>
      <c r="R53" s="50">
        <v>37</v>
      </c>
      <c r="S53" s="246"/>
      <c r="T53" s="246"/>
      <c r="U53" s="246"/>
      <c r="V53" s="156">
        <f t="shared" si="5"/>
        <v>0</v>
      </c>
    </row>
    <row r="54" spans="2:22" x14ac:dyDescent="0.3">
      <c r="B54" s="149">
        <v>50</v>
      </c>
      <c r="C54" s="118"/>
      <c r="D54" s="52"/>
      <c r="E54" s="59"/>
      <c r="F54" s="18"/>
      <c r="G54" s="115"/>
      <c r="H54" s="226" t="str">
        <f t="shared" si="6"/>
        <v/>
      </c>
      <c r="I54" s="230" t="s">
        <v>91</v>
      </c>
      <c r="J54" s="33" t="str">
        <f t="shared" si="7"/>
        <v/>
      </c>
      <c r="K54" s="129" t="str">
        <f t="shared" si="8"/>
        <v/>
      </c>
      <c r="L54" s="129">
        <f>IF(ISBLANK(E54),1000,IFERROR(VLOOKUP(E54,$P$17:$Q$105,2,FALSE),978))</f>
        <v>1000</v>
      </c>
      <c r="M54" s="129">
        <f t="shared" si="9"/>
        <v>1</v>
      </c>
      <c r="N54" s="129" t="str">
        <f t="shared" si="10"/>
        <v/>
      </c>
      <c r="O54" s="47" t="str">
        <f>IF($K$3&lt;&gt;1,38,"")</f>
        <v/>
      </c>
      <c r="P54" s="43">
        <v>145</v>
      </c>
      <c r="Q54" s="156">
        <v>38</v>
      </c>
      <c r="R54" s="50">
        <v>38</v>
      </c>
      <c r="S54" s="246"/>
      <c r="T54" s="246"/>
      <c r="U54" s="246"/>
      <c r="V54" s="156">
        <f t="shared" si="5"/>
        <v>0</v>
      </c>
    </row>
    <row r="55" spans="2:22" x14ac:dyDescent="0.3">
      <c r="B55" s="149">
        <v>51</v>
      </c>
      <c r="C55" s="118"/>
      <c r="D55" s="52"/>
      <c r="E55" s="59"/>
      <c r="F55" s="18"/>
      <c r="G55" s="115"/>
      <c r="H55" s="226" t="str">
        <f t="shared" si="6"/>
        <v/>
      </c>
      <c r="I55" s="230" t="s">
        <v>91</v>
      </c>
      <c r="J55" s="33" t="str">
        <f t="shared" si="7"/>
        <v/>
      </c>
      <c r="K55" s="129" t="str">
        <f t="shared" si="8"/>
        <v/>
      </c>
      <c r="L55" s="129">
        <f>IF(ISBLANK(E55),1000,IFERROR(VLOOKUP(E55,$P$17:$Q$105,2,FALSE),968))</f>
        <v>1000</v>
      </c>
      <c r="M55" s="129">
        <f t="shared" si="9"/>
        <v>1</v>
      </c>
      <c r="N55" s="129" t="str">
        <f t="shared" si="10"/>
        <v/>
      </c>
      <c r="O55" s="47" t="str">
        <f>IF($K$3&lt;&gt;1,39,"")</f>
        <v/>
      </c>
      <c r="P55" s="43">
        <v>525</v>
      </c>
      <c r="Q55" s="156">
        <v>39</v>
      </c>
      <c r="R55" s="50">
        <v>39</v>
      </c>
      <c r="S55" s="246"/>
      <c r="T55" s="246"/>
      <c r="U55" s="246"/>
      <c r="V55" s="156">
        <f t="shared" si="5"/>
        <v>0</v>
      </c>
    </row>
    <row r="56" spans="2:22" x14ac:dyDescent="0.3">
      <c r="B56" s="149">
        <v>52</v>
      </c>
      <c r="C56" s="35"/>
      <c r="D56" s="52"/>
      <c r="E56" s="54"/>
      <c r="F56" s="18"/>
      <c r="G56" s="116"/>
      <c r="H56" s="226" t="str">
        <f t="shared" si="6"/>
        <v/>
      </c>
      <c r="I56" s="230" t="s">
        <v>91</v>
      </c>
      <c r="J56" s="33" t="str">
        <f t="shared" si="7"/>
        <v/>
      </c>
      <c r="K56" s="129" t="str">
        <f t="shared" si="8"/>
        <v/>
      </c>
      <c r="L56" s="129">
        <f>IF(ISBLANK(E56),1000,IFERROR(VLOOKUP(E56,$P$17:$Q$105,2,FALSE),977))</f>
        <v>1000</v>
      </c>
      <c r="M56" s="129">
        <f t="shared" si="9"/>
        <v>1</v>
      </c>
      <c r="N56" s="129" t="str">
        <f t="shared" si="10"/>
        <v/>
      </c>
      <c r="O56" s="47" t="str">
        <f>IF($K$3&lt;&gt;1,40,"")</f>
        <v/>
      </c>
      <c r="P56" s="43">
        <v>1010</v>
      </c>
      <c r="Q56" s="156">
        <v>40</v>
      </c>
      <c r="R56" s="50">
        <v>40</v>
      </c>
      <c r="S56" s="246"/>
      <c r="T56" s="246"/>
      <c r="U56" s="246"/>
      <c r="V56" s="156">
        <f t="shared" si="5"/>
        <v>0</v>
      </c>
    </row>
    <row r="57" spans="2:22" x14ac:dyDescent="0.3">
      <c r="B57" s="149">
        <v>53</v>
      </c>
      <c r="C57" s="35"/>
      <c r="D57" s="52"/>
      <c r="E57" s="54"/>
      <c r="F57" s="19"/>
      <c r="G57" s="115"/>
      <c r="H57" s="226" t="str">
        <f t="shared" si="6"/>
        <v/>
      </c>
      <c r="I57" s="230" t="s">
        <v>91</v>
      </c>
      <c r="J57" s="33" t="str">
        <f t="shared" si="7"/>
        <v/>
      </c>
      <c r="K57" s="129" t="str">
        <f t="shared" si="8"/>
        <v/>
      </c>
      <c r="L57" s="129">
        <f>IF(ISBLANK(E57),1000,IFERROR(VLOOKUP(E57,$P$17:$Q$105,2,FALSE),959))</f>
        <v>1000</v>
      </c>
      <c r="M57" s="129">
        <f t="shared" si="9"/>
        <v>1</v>
      </c>
      <c r="N57" s="129" t="str">
        <f t="shared" si="10"/>
        <v/>
      </c>
      <c r="O57" s="47" t="str">
        <f>IF($K$3&lt;&gt;1,41,"")</f>
        <v/>
      </c>
      <c r="P57" s="73">
        <v>11</v>
      </c>
      <c r="Q57" s="156">
        <v>41</v>
      </c>
      <c r="R57" s="50">
        <v>41</v>
      </c>
      <c r="S57" s="246"/>
      <c r="T57" s="246"/>
      <c r="U57" s="246"/>
      <c r="V57" s="156">
        <f t="shared" si="5"/>
        <v>0</v>
      </c>
    </row>
    <row r="58" spans="2:22" x14ac:dyDescent="0.3">
      <c r="B58" s="149">
        <v>54</v>
      </c>
      <c r="C58" s="34"/>
      <c r="D58" s="52"/>
      <c r="E58" s="54"/>
      <c r="F58" s="18"/>
      <c r="G58" s="115"/>
      <c r="H58" s="226" t="str">
        <f t="shared" si="6"/>
        <v/>
      </c>
      <c r="I58" s="230" t="s">
        <v>91</v>
      </c>
      <c r="J58" s="33" t="str">
        <f t="shared" si="7"/>
        <v/>
      </c>
      <c r="K58" s="129" t="str">
        <f t="shared" si="8"/>
        <v/>
      </c>
      <c r="L58" s="129">
        <f>IF(ISBLANK(E58),1000,IFERROR(VLOOKUP(E58,$P$17:$Q$105,2,FALSE),973))</f>
        <v>1000</v>
      </c>
      <c r="M58" s="129">
        <f t="shared" si="9"/>
        <v>1</v>
      </c>
      <c r="N58" s="129" t="str">
        <f t="shared" si="10"/>
        <v/>
      </c>
      <c r="O58" s="47" t="str">
        <f>IF($K$3&lt;&gt;1,42,"")</f>
        <v/>
      </c>
      <c r="P58" s="43">
        <v>1139</v>
      </c>
      <c r="Q58" s="156">
        <v>42</v>
      </c>
      <c r="R58" s="50">
        <v>42</v>
      </c>
      <c r="S58" s="246"/>
      <c r="T58" s="246"/>
      <c r="U58" s="246"/>
      <c r="V58" s="156">
        <f t="shared" si="5"/>
        <v>0</v>
      </c>
    </row>
    <row r="59" spans="2:22" x14ac:dyDescent="0.3">
      <c r="B59" s="149">
        <v>55</v>
      </c>
      <c r="C59" s="35"/>
      <c r="D59" s="52"/>
      <c r="E59" s="54"/>
      <c r="F59" s="18"/>
      <c r="G59" s="116"/>
      <c r="H59" s="226" t="str">
        <f t="shared" si="6"/>
        <v/>
      </c>
      <c r="I59" s="229" t="s">
        <v>91</v>
      </c>
      <c r="J59" s="33" t="str">
        <f t="shared" si="7"/>
        <v/>
      </c>
      <c r="K59" s="129" t="str">
        <f t="shared" si="8"/>
        <v/>
      </c>
      <c r="L59" s="129">
        <f>IF(ISBLANK(E59),1000,IFERROR(VLOOKUP(E59,$P$17:$Q$105,2,FALSE),998))</f>
        <v>1000</v>
      </c>
      <c r="M59" s="129">
        <f t="shared" si="9"/>
        <v>1</v>
      </c>
      <c r="N59" s="129" t="str">
        <f t="shared" si="10"/>
        <v/>
      </c>
      <c r="O59" s="47" t="str">
        <f>IF($K$3&lt;&gt;1,43,"")</f>
        <v/>
      </c>
      <c r="P59" s="43">
        <v>601</v>
      </c>
      <c r="Q59" s="156">
        <v>43</v>
      </c>
      <c r="R59" s="50">
        <v>43</v>
      </c>
      <c r="S59" s="246"/>
      <c r="T59" s="246"/>
      <c r="U59" s="246"/>
      <c r="V59" s="156">
        <f t="shared" si="5"/>
        <v>0</v>
      </c>
    </row>
    <row r="60" spans="2:22" x14ac:dyDescent="0.3">
      <c r="B60" s="149">
        <v>56</v>
      </c>
      <c r="C60" s="34"/>
      <c r="D60" s="52"/>
      <c r="E60" s="54"/>
      <c r="F60" s="18"/>
      <c r="G60" s="117"/>
      <c r="H60" s="226" t="str">
        <f t="shared" si="6"/>
        <v/>
      </c>
      <c r="I60" s="230" t="s">
        <v>91</v>
      </c>
      <c r="J60" s="33" t="str">
        <f t="shared" si="7"/>
        <v/>
      </c>
      <c r="K60" s="129" t="str">
        <f t="shared" si="8"/>
        <v/>
      </c>
      <c r="L60" s="129">
        <f>IF(ISBLANK(E60),1000,IFERROR(VLOOKUP(E60,$P$17:$Q$105,2,FALSE),974))</f>
        <v>1000</v>
      </c>
      <c r="M60" s="129">
        <f t="shared" si="9"/>
        <v>1</v>
      </c>
      <c r="N60" s="129" t="str">
        <f t="shared" si="10"/>
        <v/>
      </c>
      <c r="O60" s="47" t="str">
        <f>IF($K$3&lt;&gt;1,44,"")</f>
        <v/>
      </c>
      <c r="P60" s="43">
        <v>471</v>
      </c>
      <c r="Q60" s="156">
        <v>44</v>
      </c>
      <c r="R60" s="50">
        <v>44</v>
      </c>
      <c r="S60" s="246"/>
      <c r="T60" s="246"/>
      <c r="U60" s="246"/>
      <c r="V60" s="156">
        <f t="shared" si="5"/>
        <v>0</v>
      </c>
    </row>
    <row r="61" spans="2:22" x14ac:dyDescent="0.3">
      <c r="B61" s="149">
        <v>57</v>
      </c>
      <c r="C61" s="35"/>
      <c r="D61" s="52"/>
      <c r="E61" s="54"/>
      <c r="F61" s="19"/>
      <c r="G61" s="116"/>
      <c r="H61" s="226" t="str">
        <f t="shared" si="6"/>
        <v/>
      </c>
      <c r="I61" s="230" t="s">
        <v>91</v>
      </c>
      <c r="J61" s="33" t="str">
        <f t="shared" si="7"/>
        <v/>
      </c>
      <c r="K61" s="129" t="str">
        <f t="shared" si="8"/>
        <v/>
      </c>
      <c r="L61" s="129">
        <f>IF(ISBLANK(E61),1000,IFERROR(VLOOKUP(E61,$P$17:$Q$105,2,FALSE),971))</f>
        <v>1000</v>
      </c>
      <c r="M61" s="129">
        <f t="shared" si="9"/>
        <v>1</v>
      </c>
      <c r="N61" s="129" t="str">
        <f t="shared" si="10"/>
        <v/>
      </c>
      <c r="O61" s="47" t="str">
        <f>IF($K$3&lt;&gt;1,45,"")</f>
        <v/>
      </c>
      <c r="P61" s="43">
        <v>99</v>
      </c>
      <c r="Q61" s="156">
        <v>45</v>
      </c>
      <c r="R61" s="50">
        <v>45</v>
      </c>
      <c r="S61" s="246"/>
      <c r="T61" s="246"/>
      <c r="U61" s="246"/>
      <c r="V61" s="156">
        <f t="shared" si="5"/>
        <v>0</v>
      </c>
    </row>
    <row r="62" spans="2:22" x14ac:dyDescent="0.3">
      <c r="B62" s="149">
        <v>58</v>
      </c>
      <c r="C62" s="35"/>
      <c r="D62" s="52"/>
      <c r="E62" s="54"/>
      <c r="F62" s="18"/>
      <c r="G62" s="116"/>
      <c r="H62" s="226" t="str">
        <f t="shared" si="6"/>
        <v/>
      </c>
      <c r="I62" s="229" t="s">
        <v>91</v>
      </c>
      <c r="J62" s="33" t="str">
        <f t="shared" si="7"/>
        <v/>
      </c>
      <c r="K62" s="129" t="str">
        <f t="shared" si="8"/>
        <v/>
      </c>
      <c r="L62" s="129">
        <f>IF(ISBLANK(E62),1000,IFERROR(VLOOKUP(E62,$P$17:$Q$105,2,FALSE),990))</f>
        <v>1000</v>
      </c>
      <c r="M62" s="129">
        <f t="shared" si="9"/>
        <v>1</v>
      </c>
      <c r="N62" s="129" t="str">
        <f t="shared" si="10"/>
        <v/>
      </c>
      <c r="O62" s="47" t="str">
        <f>IF($K$3&lt;&gt;1,46,"")</f>
        <v/>
      </c>
      <c r="P62" s="73">
        <v>49</v>
      </c>
      <c r="Q62" s="156">
        <v>46</v>
      </c>
      <c r="R62" s="50">
        <v>46</v>
      </c>
      <c r="S62" s="246"/>
      <c r="T62" s="246"/>
      <c r="U62" s="246"/>
      <c r="V62" s="156">
        <f t="shared" si="5"/>
        <v>0</v>
      </c>
    </row>
    <row r="63" spans="2:22" x14ac:dyDescent="0.3">
      <c r="B63" s="149">
        <v>59</v>
      </c>
      <c r="C63" s="35"/>
      <c r="D63" s="52"/>
      <c r="E63" s="54"/>
      <c r="F63" s="18"/>
      <c r="G63" s="116"/>
      <c r="H63" s="226" t="str">
        <f t="shared" si="6"/>
        <v/>
      </c>
      <c r="I63" s="229" t="s">
        <v>91</v>
      </c>
      <c r="J63" s="33" t="str">
        <f t="shared" si="7"/>
        <v/>
      </c>
      <c r="K63" s="129" t="str">
        <f t="shared" si="8"/>
        <v/>
      </c>
      <c r="L63" s="129">
        <f>IF(ISBLANK(E63),1000,IFERROR(VLOOKUP(E63,$P$17:$Q$105,2,FALSE),988))</f>
        <v>1000</v>
      </c>
      <c r="M63" s="129">
        <f t="shared" si="9"/>
        <v>1</v>
      </c>
      <c r="N63" s="129" t="str">
        <f t="shared" si="10"/>
        <v/>
      </c>
      <c r="O63" s="47" t="str">
        <f>IF($K$3&lt;&gt;1,47,"")</f>
        <v/>
      </c>
      <c r="P63" s="43">
        <v>451</v>
      </c>
      <c r="Q63" s="156">
        <v>47</v>
      </c>
      <c r="R63" s="50">
        <v>47</v>
      </c>
      <c r="S63" s="246"/>
      <c r="T63" s="246"/>
      <c r="U63" s="246"/>
      <c r="V63" s="156">
        <f t="shared" si="5"/>
        <v>0</v>
      </c>
    </row>
    <row r="64" spans="2:22" ht="16.2" thickBot="1" x14ac:dyDescent="0.35">
      <c r="B64" s="157">
        <v>60</v>
      </c>
      <c r="C64" s="113"/>
      <c r="D64" s="57"/>
      <c r="E64" s="114"/>
      <c r="F64" s="122"/>
      <c r="G64" s="126"/>
      <c r="H64" s="227" t="str">
        <f t="shared" si="6"/>
        <v/>
      </c>
      <c r="I64" s="232" t="s">
        <v>91</v>
      </c>
      <c r="J64" s="33" t="str">
        <f t="shared" si="7"/>
        <v/>
      </c>
      <c r="K64" s="129" t="str">
        <f t="shared" si="8"/>
        <v/>
      </c>
      <c r="L64" s="129">
        <f>IF(ISBLANK(E64),1000,IFERROR(VLOOKUP(E64,$P$17:$Q$105,2,FALSE),987))</f>
        <v>1000</v>
      </c>
      <c r="M64" s="129">
        <f t="shared" si="9"/>
        <v>1</v>
      </c>
      <c r="N64" s="129" t="str">
        <f t="shared" si="10"/>
        <v/>
      </c>
      <c r="O64" s="47" t="str">
        <f>IF($K$3&lt;&gt;1,48,"")</f>
        <v/>
      </c>
      <c r="P64" s="43">
        <v>135</v>
      </c>
      <c r="Q64" s="156">
        <v>48</v>
      </c>
      <c r="R64" s="50">
        <v>48</v>
      </c>
      <c r="S64" s="246"/>
      <c r="T64" s="246"/>
      <c r="U64" s="246"/>
      <c r="V64" s="156">
        <f t="shared" si="5"/>
        <v>0</v>
      </c>
    </row>
    <row r="65" spans="12:22" x14ac:dyDescent="0.3">
      <c r="O65" s="47" t="str">
        <f>IF($K$3&lt;&gt;1,49,"")</f>
        <v/>
      </c>
      <c r="P65" s="43">
        <v>268</v>
      </c>
      <c r="Q65" s="156">
        <v>49</v>
      </c>
      <c r="R65" s="50">
        <v>49</v>
      </c>
      <c r="S65" s="246"/>
      <c r="T65" s="246"/>
      <c r="U65" s="246"/>
      <c r="V65" s="156">
        <f t="shared" si="5"/>
        <v>0</v>
      </c>
    </row>
    <row r="66" spans="12:22" x14ac:dyDescent="0.3">
      <c r="O66" s="47" t="str">
        <f>IF($K$3&lt;&gt;1,50,"")</f>
        <v/>
      </c>
      <c r="P66" s="43">
        <v>387</v>
      </c>
      <c r="Q66" s="156">
        <v>50</v>
      </c>
      <c r="R66" s="50">
        <v>50</v>
      </c>
      <c r="S66" s="246"/>
      <c r="T66" s="246"/>
      <c r="U66" s="246"/>
      <c r="V66" s="156">
        <f t="shared" si="5"/>
        <v>0</v>
      </c>
    </row>
    <row r="67" spans="12:22" x14ac:dyDescent="0.3">
      <c r="O67" s="47" t="str">
        <f>IF($K$3&lt;&gt;1,51,"")</f>
        <v/>
      </c>
      <c r="P67" s="43">
        <v>552</v>
      </c>
      <c r="Q67" s="156">
        <v>51</v>
      </c>
      <c r="R67" s="50">
        <v>51</v>
      </c>
      <c r="S67" s="246"/>
      <c r="T67" s="246"/>
      <c r="U67" s="246"/>
      <c r="V67" s="156">
        <f t="shared" si="5"/>
        <v>0</v>
      </c>
    </row>
    <row r="68" spans="12:22" x14ac:dyDescent="0.3">
      <c r="L68" s="136"/>
      <c r="M68" s="158"/>
      <c r="N68" s="158"/>
      <c r="O68" s="47" t="str">
        <f>IF($K$3&lt;&gt;1,52,"")</f>
        <v/>
      </c>
      <c r="P68" s="43">
        <v>187</v>
      </c>
      <c r="Q68" s="156">
        <v>52</v>
      </c>
      <c r="R68" s="50">
        <v>52</v>
      </c>
      <c r="S68" s="246"/>
      <c r="T68" s="246"/>
      <c r="U68" s="246"/>
      <c r="V68" s="156">
        <f t="shared" si="5"/>
        <v>0</v>
      </c>
    </row>
    <row r="69" spans="12:22" x14ac:dyDescent="0.3">
      <c r="L69" s="158"/>
      <c r="M69" s="158"/>
      <c r="N69" s="158"/>
      <c r="O69" s="47" t="str">
        <f>IF($K$3&lt;&gt;1,53,"")</f>
        <v/>
      </c>
      <c r="P69" s="43">
        <v>636</v>
      </c>
      <c r="Q69" s="156">
        <v>53</v>
      </c>
      <c r="R69" s="50">
        <v>53</v>
      </c>
      <c r="S69" s="246"/>
      <c r="T69" s="246"/>
      <c r="U69" s="246"/>
      <c r="V69" s="156">
        <f t="shared" si="5"/>
        <v>0</v>
      </c>
    </row>
    <row r="70" spans="12:22" x14ac:dyDescent="0.3">
      <c r="L70" s="158"/>
      <c r="M70" s="158"/>
      <c r="N70" s="158"/>
      <c r="O70" s="47" t="str">
        <f>IF($K$3&lt;&gt;1,54,"")</f>
        <v/>
      </c>
      <c r="P70" s="73">
        <v>897</v>
      </c>
      <c r="Q70" s="156">
        <v>54</v>
      </c>
      <c r="R70" s="50">
        <v>54</v>
      </c>
      <c r="S70" s="246"/>
      <c r="T70" s="246"/>
      <c r="U70" s="246"/>
      <c r="V70" s="156">
        <f t="shared" si="5"/>
        <v>0</v>
      </c>
    </row>
    <row r="71" spans="12:22" x14ac:dyDescent="0.3">
      <c r="O71" s="47" t="str">
        <f>IF($K$3&lt;&gt;1,55,"")</f>
        <v/>
      </c>
      <c r="P71" s="43">
        <v>266</v>
      </c>
      <c r="Q71" s="156">
        <v>55</v>
      </c>
      <c r="R71" s="50">
        <v>55</v>
      </c>
      <c r="S71" s="246"/>
      <c r="T71" s="246"/>
      <c r="U71" s="246"/>
      <c r="V71" s="156">
        <f t="shared" si="5"/>
        <v>0</v>
      </c>
    </row>
    <row r="72" spans="12:22" x14ac:dyDescent="0.3">
      <c r="O72" s="47" t="str">
        <f>IF($K$3&lt;&gt;1,56,"")</f>
        <v/>
      </c>
      <c r="P72" s="43">
        <v>133</v>
      </c>
      <c r="Q72" s="156">
        <v>56</v>
      </c>
      <c r="R72" s="50">
        <v>56</v>
      </c>
      <c r="S72" s="246"/>
      <c r="T72" s="246"/>
      <c r="U72" s="246"/>
      <c r="V72" s="156">
        <f t="shared" si="5"/>
        <v>0</v>
      </c>
    </row>
    <row r="73" spans="12:22" x14ac:dyDescent="0.3">
      <c r="O73" s="47" t="str">
        <f>IF($K$3&lt;&gt;1,57,"")</f>
        <v/>
      </c>
      <c r="P73" s="43">
        <v>475</v>
      </c>
      <c r="Q73" s="156">
        <v>57</v>
      </c>
      <c r="R73" s="50">
        <v>57</v>
      </c>
      <c r="S73" s="246"/>
      <c r="T73" s="246"/>
      <c r="U73" s="246"/>
      <c r="V73" s="156">
        <f t="shared" si="5"/>
        <v>0</v>
      </c>
    </row>
    <row r="74" spans="12:22" x14ac:dyDescent="0.3">
      <c r="O74" s="47" t="str">
        <f>IF($K$3&lt;&gt;1,58,"")</f>
        <v/>
      </c>
      <c r="P74" s="73">
        <v>714</v>
      </c>
      <c r="Q74" s="156">
        <v>58</v>
      </c>
      <c r="R74" s="50">
        <v>58</v>
      </c>
      <c r="S74" s="246"/>
      <c r="T74" s="246"/>
      <c r="U74" s="246"/>
      <c r="V74" s="156">
        <f t="shared" si="5"/>
        <v>0</v>
      </c>
    </row>
    <row r="75" spans="12:22" x14ac:dyDescent="0.3">
      <c r="O75" s="47" t="str">
        <f>IF($K$3&lt;&gt;1,59,"")</f>
        <v/>
      </c>
      <c r="P75" s="43">
        <v>433</v>
      </c>
      <c r="Q75" s="156">
        <v>59</v>
      </c>
      <c r="R75" s="50">
        <v>59</v>
      </c>
      <c r="S75" s="246"/>
      <c r="T75" s="246"/>
      <c r="U75" s="246"/>
      <c r="V75" s="156">
        <f t="shared" si="5"/>
        <v>0</v>
      </c>
    </row>
    <row r="76" spans="12:22" x14ac:dyDescent="0.3">
      <c r="O76" s="47" t="str">
        <f>IF($K$3&lt;&gt;1,60,"")</f>
        <v/>
      </c>
      <c r="P76" s="43">
        <v>61</v>
      </c>
      <c r="Q76" s="156">
        <v>60</v>
      </c>
      <c r="R76" s="50">
        <v>60</v>
      </c>
      <c r="S76" s="246"/>
      <c r="T76" s="246"/>
      <c r="U76" s="246"/>
      <c r="V76" s="156">
        <f t="shared" si="5"/>
        <v>0</v>
      </c>
    </row>
    <row r="77" spans="12:22" x14ac:dyDescent="0.3">
      <c r="O77" s="47" t="str">
        <f>IF($K$3&lt;&gt;1,61,"")</f>
        <v/>
      </c>
      <c r="P77" s="43">
        <v>580</v>
      </c>
      <c r="Q77" s="156">
        <v>61</v>
      </c>
      <c r="R77" s="50">
        <v>61</v>
      </c>
      <c r="S77" s="246"/>
      <c r="T77" s="246"/>
      <c r="U77" s="246"/>
      <c r="V77" s="156">
        <f t="shared" si="5"/>
        <v>0</v>
      </c>
    </row>
    <row r="78" spans="12:22" x14ac:dyDescent="0.3">
      <c r="O78" s="47" t="str">
        <f>IF($K$3&lt;&gt;1,62,"")</f>
        <v/>
      </c>
      <c r="P78" s="43">
        <v>747</v>
      </c>
      <c r="Q78" s="156">
        <v>62</v>
      </c>
      <c r="R78" s="50">
        <v>62</v>
      </c>
      <c r="S78" s="246"/>
      <c r="T78" s="246"/>
      <c r="U78" s="246"/>
      <c r="V78" s="156">
        <f t="shared" si="5"/>
        <v>0</v>
      </c>
    </row>
    <row r="79" spans="12:22" x14ac:dyDescent="0.3">
      <c r="O79" s="47" t="str">
        <f>IF($K$3&lt;&gt;1,63,"")</f>
        <v/>
      </c>
      <c r="P79" s="73">
        <v>296</v>
      </c>
      <c r="Q79" s="156">
        <v>63</v>
      </c>
      <c r="R79" s="50">
        <v>63</v>
      </c>
      <c r="S79" s="246"/>
      <c r="T79" s="246"/>
      <c r="U79" s="246"/>
      <c r="V79" s="156">
        <f t="shared" si="5"/>
        <v>0</v>
      </c>
    </row>
    <row r="80" spans="12:22" x14ac:dyDescent="0.3">
      <c r="O80" s="47" t="str">
        <f>IF($K$3&lt;&gt;1,64,"")</f>
        <v/>
      </c>
      <c r="P80" s="43">
        <v>32</v>
      </c>
      <c r="Q80" s="156">
        <v>64</v>
      </c>
      <c r="R80" s="50">
        <v>64</v>
      </c>
      <c r="S80" s="246"/>
      <c r="T80" s="246"/>
      <c r="U80" s="246"/>
      <c r="V80" s="156">
        <f t="shared" si="5"/>
        <v>0</v>
      </c>
    </row>
    <row r="81" spans="15:22" x14ac:dyDescent="0.3">
      <c r="O81" s="47" t="str">
        <f>IF($K$3&lt;&gt;1,65,"")</f>
        <v/>
      </c>
      <c r="P81" s="73">
        <v>470</v>
      </c>
      <c r="Q81" s="156">
        <v>65</v>
      </c>
      <c r="R81" s="50">
        <v>65</v>
      </c>
      <c r="S81" s="246"/>
      <c r="T81" s="246"/>
      <c r="U81" s="246"/>
      <c r="V81" s="156">
        <f t="shared" si="5"/>
        <v>0</v>
      </c>
    </row>
    <row r="82" spans="15:22" x14ac:dyDescent="0.3">
      <c r="O82" s="47" t="str">
        <f>IF($K$3&lt;&gt;1,66,"")</f>
        <v/>
      </c>
      <c r="P82" s="43">
        <v>203</v>
      </c>
      <c r="Q82" s="156">
        <v>66</v>
      </c>
      <c r="R82" s="50">
        <v>66</v>
      </c>
      <c r="S82" s="246"/>
      <c r="T82" s="246"/>
      <c r="U82" s="246"/>
      <c r="V82" s="156">
        <f t="shared" ref="V82:V105" si="11">S82</f>
        <v>0</v>
      </c>
    </row>
    <row r="83" spans="15:22" x14ac:dyDescent="0.3">
      <c r="O83" s="47" t="str">
        <f>IF($K$3&lt;&gt;1,67,"")</f>
        <v/>
      </c>
      <c r="P83" s="74">
        <v>462</v>
      </c>
      <c r="Q83" s="156">
        <v>67</v>
      </c>
      <c r="R83" s="50">
        <v>67</v>
      </c>
      <c r="S83" s="246"/>
      <c r="T83" s="246"/>
      <c r="U83" s="246"/>
      <c r="V83" s="156">
        <f t="shared" si="11"/>
        <v>0</v>
      </c>
    </row>
    <row r="84" spans="15:22" x14ac:dyDescent="0.3">
      <c r="O84" s="47" t="str">
        <f>IF($K$3&lt;&gt;1,68,"")</f>
        <v/>
      </c>
      <c r="P84" s="74">
        <v>990</v>
      </c>
      <c r="Q84" s="156">
        <v>68</v>
      </c>
      <c r="R84" s="50">
        <v>68</v>
      </c>
      <c r="S84" s="246"/>
      <c r="T84" s="246"/>
      <c r="U84" s="246"/>
      <c r="V84" s="156">
        <f t="shared" si="11"/>
        <v>0</v>
      </c>
    </row>
    <row r="85" spans="15:22" x14ac:dyDescent="0.3">
      <c r="O85" s="47" t="str">
        <f>IF($K$3&lt;&gt;1,69,"")</f>
        <v/>
      </c>
      <c r="P85" s="74">
        <v>352</v>
      </c>
      <c r="Q85" s="156">
        <v>69</v>
      </c>
      <c r="R85" s="50">
        <v>69</v>
      </c>
      <c r="S85" s="246"/>
      <c r="T85" s="246"/>
      <c r="U85" s="246"/>
      <c r="V85" s="156">
        <f t="shared" si="11"/>
        <v>0</v>
      </c>
    </row>
    <row r="86" spans="15:22" x14ac:dyDescent="0.3">
      <c r="O86" s="47" t="str">
        <f>IF($K$3&lt;&gt;1,70,"")</f>
        <v/>
      </c>
      <c r="P86" s="44">
        <v>314</v>
      </c>
      <c r="Q86" s="156">
        <v>70</v>
      </c>
      <c r="R86" s="50">
        <v>70</v>
      </c>
      <c r="S86" s="246"/>
      <c r="T86" s="246"/>
      <c r="U86" s="246"/>
      <c r="V86" s="156">
        <f t="shared" si="11"/>
        <v>0</v>
      </c>
    </row>
    <row r="87" spans="15:22" x14ac:dyDescent="0.3">
      <c r="O87" s="47" t="str">
        <f>IF($K$3&lt;&gt;1,71,"")</f>
        <v/>
      </c>
      <c r="P87" s="74">
        <v>346</v>
      </c>
      <c r="Q87" s="156">
        <v>71</v>
      </c>
      <c r="R87" s="50">
        <v>71</v>
      </c>
      <c r="S87" s="246"/>
      <c r="T87" s="246"/>
      <c r="U87" s="246"/>
      <c r="V87" s="156">
        <f t="shared" si="11"/>
        <v>0</v>
      </c>
    </row>
    <row r="88" spans="15:22" x14ac:dyDescent="0.3">
      <c r="O88" s="47" t="str">
        <f>IF($K$3&lt;&gt;1,72,"")</f>
        <v/>
      </c>
      <c r="P88" s="44">
        <v>98</v>
      </c>
      <c r="Q88" s="156">
        <v>72</v>
      </c>
      <c r="R88" s="50">
        <v>72</v>
      </c>
      <c r="S88" s="246"/>
      <c r="T88" s="246"/>
      <c r="U88" s="246"/>
      <c r="V88" s="156">
        <f t="shared" si="11"/>
        <v>0</v>
      </c>
    </row>
    <row r="89" spans="15:22" x14ac:dyDescent="0.3">
      <c r="O89" s="47" t="str">
        <f>IF($K$3&lt;&gt;1,73,"")</f>
        <v/>
      </c>
      <c r="P89" s="44">
        <v>945</v>
      </c>
      <c r="Q89" s="156">
        <v>73</v>
      </c>
      <c r="R89" s="50">
        <v>73</v>
      </c>
      <c r="S89" s="246"/>
      <c r="T89" s="246"/>
      <c r="U89" s="246"/>
      <c r="V89" s="156">
        <f t="shared" si="11"/>
        <v>0</v>
      </c>
    </row>
    <row r="90" spans="15:22" x14ac:dyDescent="0.3">
      <c r="O90" s="47" t="str">
        <f>IF($K$3&lt;&gt;1,74,"")</f>
        <v/>
      </c>
      <c r="P90" s="44"/>
      <c r="Q90" s="156">
        <v>74</v>
      </c>
      <c r="R90" s="50">
        <v>74</v>
      </c>
      <c r="S90" s="246"/>
      <c r="T90" s="246"/>
      <c r="U90" s="246"/>
      <c r="V90" s="156">
        <f t="shared" si="11"/>
        <v>0</v>
      </c>
    </row>
    <row r="91" spans="15:22" x14ac:dyDescent="0.3">
      <c r="O91" s="47" t="str">
        <f>IF($K$3&lt;&gt;1,75,"")</f>
        <v/>
      </c>
      <c r="P91" s="44"/>
      <c r="Q91" s="156">
        <v>75</v>
      </c>
      <c r="R91" s="50">
        <v>75</v>
      </c>
      <c r="S91" s="246"/>
      <c r="T91" s="246"/>
      <c r="U91" s="246"/>
      <c r="V91" s="156">
        <f t="shared" si="11"/>
        <v>0</v>
      </c>
    </row>
    <row r="92" spans="15:22" x14ac:dyDescent="0.3">
      <c r="O92" s="47" t="str">
        <f>IF($K$3&lt;&gt;1,76,"")</f>
        <v/>
      </c>
      <c r="P92" s="110"/>
      <c r="Q92" s="156">
        <v>76</v>
      </c>
      <c r="R92" s="50">
        <v>76</v>
      </c>
      <c r="S92" s="246"/>
      <c r="T92" s="246"/>
      <c r="U92" s="246"/>
      <c r="V92" s="156">
        <f t="shared" si="11"/>
        <v>0</v>
      </c>
    </row>
    <row r="93" spans="15:22" x14ac:dyDescent="0.3">
      <c r="O93" s="47" t="str">
        <f>IF($K$3&lt;&gt;1,77,"")</f>
        <v/>
      </c>
      <c r="P93" s="44"/>
      <c r="Q93" s="156">
        <v>77</v>
      </c>
      <c r="R93" s="50">
        <v>77</v>
      </c>
      <c r="S93" s="246"/>
      <c r="T93" s="246"/>
      <c r="U93" s="246"/>
      <c r="V93" s="156">
        <f t="shared" si="11"/>
        <v>0</v>
      </c>
    </row>
    <row r="94" spans="15:22" x14ac:dyDescent="0.3">
      <c r="O94" s="47" t="str">
        <f>IF($K$3&lt;&gt;1,78,"")</f>
        <v/>
      </c>
      <c r="P94" s="44"/>
      <c r="Q94" s="156">
        <v>78</v>
      </c>
      <c r="R94" s="50">
        <v>78</v>
      </c>
      <c r="S94" s="246"/>
      <c r="T94" s="246"/>
      <c r="U94" s="246"/>
      <c r="V94" s="156">
        <f t="shared" si="11"/>
        <v>0</v>
      </c>
    </row>
    <row r="95" spans="15:22" x14ac:dyDescent="0.3">
      <c r="O95" s="47" t="str">
        <f>IF($K$3&lt;&gt;1,79,"")</f>
        <v/>
      </c>
      <c r="P95" s="44"/>
      <c r="Q95" s="156">
        <v>79</v>
      </c>
      <c r="R95" s="50">
        <v>79</v>
      </c>
      <c r="S95" s="246"/>
      <c r="T95" s="246"/>
      <c r="U95" s="246"/>
      <c r="V95" s="156">
        <f t="shared" si="11"/>
        <v>0</v>
      </c>
    </row>
    <row r="96" spans="15:22" x14ac:dyDescent="0.3">
      <c r="O96" s="47" t="str">
        <f>IF($K$3&lt;&gt;1,80,"")</f>
        <v/>
      </c>
      <c r="P96" s="44"/>
      <c r="Q96" s="156">
        <v>80</v>
      </c>
      <c r="R96" s="50">
        <v>80</v>
      </c>
      <c r="S96" s="246"/>
      <c r="T96" s="246"/>
      <c r="U96" s="246"/>
      <c r="V96" s="156">
        <f t="shared" si="11"/>
        <v>0</v>
      </c>
    </row>
    <row r="97" spans="15:22" x14ac:dyDescent="0.3">
      <c r="O97" s="47" t="str">
        <f>IF($K$3&lt;&gt;1,81,"")</f>
        <v/>
      </c>
      <c r="P97" s="44"/>
      <c r="Q97" s="156">
        <v>81</v>
      </c>
      <c r="R97" s="50">
        <v>81</v>
      </c>
      <c r="S97" s="246"/>
      <c r="T97" s="246"/>
      <c r="U97" s="246"/>
      <c r="V97" s="156">
        <f t="shared" si="11"/>
        <v>0</v>
      </c>
    </row>
    <row r="98" spans="15:22" x14ac:dyDescent="0.3">
      <c r="O98" s="47" t="str">
        <f>IF($K$3&lt;&gt;1,82,"")</f>
        <v/>
      </c>
      <c r="P98" s="44"/>
      <c r="Q98" s="156">
        <v>82</v>
      </c>
      <c r="R98" s="50">
        <v>82</v>
      </c>
      <c r="S98" s="246"/>
      <c r="T98" s="246"/>
      <c r="U98" s="246"/>
      <c r="V98" s="156">
        <f t="shared" si="11"/>
        <v>0</v>
      </c>
    </row>
    <row r="99" spans="15:22" x14ac:dyDescent="0.3">
      <c r="O99" s="47" t="str">
        <f>IF($K$3&lt;&gt;1,83,"")</f>
        <v/>
      </c>
      <c r="P99" s="44"/>
      <c r="Q99" s="156">
        <v>83</v>
      </c>
      <c r="R99" s="50">
        <v>83</v>
      </c>
      <c r="S99" s="246"/>
      <c r="T99" s="246"/>
      <c r="U99" s="246"/>
      <c r="V99" s="156">
        <f t="shared" si="11"/>
        <v>0</v>
      </c>
    </row>
    <row r="100" spans="15:22" x14ac:dyDescent="0.3">
      <c r="O100" s="47" t="str">
        <f>IF($K$3&lt;&gt;1,84,"")</f>
        <v/>
      </c>
      <c r="P100" s="44"/>
      <c r="Q100" s="156">
        <v>84</v>
      </c>
      <c r="R100" s="50">
        <v>84</v>
      </c>
      <c r="S100" s="246"/>
      <c r="T100" s="246"/>
      <c r="U100" s="246"/>
      <c r="V100" s="156">
        <f t="shared" si="11"/>
        <v>0</v>
      </c>
    </row>
    <row r="101" spans="15:22" x14ac:dyDescent="0.3">
      <c r="O101" s="47" t="str">
        <f>IF($K$3&lt;&gt;1,85,"")</f>
        <v/>
      </c>
      <c r="P101" s="44"/>
      <c r="Q101" s="156">
        <v>85</v>
      </c>
      <c r="R101" s="50">
        <v>85</v>
      </c>
      <c r="S101" s="246"/>
      <c r="T101" s="246"/>
      <c r="U101" s="246"/>
      <c r="V101" s="156">
        <f t="shared" si="11"/>
        <v>0</v>
      </c>
    </row>
    <row r="102" spans="15:22" x14ac:dyDescent="0.3">
      <c r="O102" s="47" t="str">
        <f>IF($K$3&lt;&gt;1,86,"")</f>
        <v/>
      </c>
      <c r="P102" s="44"/>
      <c r="Q102" s="156">
        <v>86</v>
      </c>
      <c r="R102" s="50">
        <v>86</v>
      </c>
      <c r="S102" s="246"/>
      <c r="T102" s="246"/>
      <c r="U102" s="246"/>
      <c r="V102" s="156">
        <f t="shared" si="11"/>
        <v>0</v>
      </c>
    </row>
    <row r="103" spans="15:22" x14ac:dyDescent="0.3">
      <c r="O103" s="47" t="str">
        <f>IF($K$3&lt;&gt;1,87,"")</f>
        <v/>
      </c>
      <c r="P103" s="44"/>
      <c r="Q103" s="156">
        <v>87</v>
      </c>
      <c r="R103" s="50">
        <v>87</v>
      </c>
      <c r="S103" s="246"/>
      <c r="T103" s="246"/>
      <c r="U103" s="246"/>
      <c r="V103" s="156">
        <f t="shared" si="11"/>
        <v>0</v>
      </c>
    </row>
    <row r="104" spans="15:22" x14ac:dyDescent="0.3">
      <c r="O104" s="47" t="str">
        <f>IF($K$3&lt;&gt;1,88,"")</f>
        <v/>
      </c>
      <c r="P104" s="44"/>
      <c r="Q104" s="156">
        <v>88</v>
      </c>
      <c r="R104" s="50">
        <v>88</v>
      </c>
      <c r="S104" s="246"/>
      <c r="T104" s="246"/>
      <c r="U104" s="246"/>
      <c r="V104" s="156">
        <f t="shared" si="11"/>
        <v>0</v>
      </c>
    </row>
    <row r="105" spans="15:22" x14ac:dyDescent="0.3">
      <c r="O105" s="47" t="str">
        <f>IF($K$3&lt;&gt;1,89,"")</f>
        <v/>
      </c>
      <c r="P105" s="44"/>
      <c r="Q105" s="156">
        <v>89</v>
      </c>
      <c r="R105" s="50">
        <v>89</v>
      </c>
      <c r="S105" s="246"/>
      <c r="T105" s="246"/>
      <c r="U105" s="246"/>
      <c r="V105" s="156">
        <f t="shared" si="11"/>
        <v>0</v>
      </c>
    </row>
  </sheetData>
  <sheetProtection password="CA51" sheet="1" objects="1" scenarios="1"/>
  <sortState ref="C5:N64">
    <sortCondition descending="1" ref="I5:I64"/>
    <sortCondition ref="G5:G64"/>
    <sortCondition ref="C5:C64"/>
  </sortState>
  <mergeCells count="92">
    <mergeCell ref="S95:U95"/>
    <mergeCell ref="S94:U94"/>
    <mergeCell ref="S93:U93"/>
    <mergeCell ref="S100:U100"/>
    <mergeCell ref="S99:U99"/>
    <mergeCell ref="S98:U98"/>
    <mergeCell ref="S97:U97"/>
    <mergeCell ref="S96:U96"/>
    <mergeCell ref="S105:U105"/>
    <mergeCell ref="S104:U104"/>
    <mergeCell ref="S103:U103"/>
    <mergeCell ref="S102:U102"/>
    <mergeCell ref="S101:U101"/>
    <mergeCell ref="S78:U78"/>
    <mergeCell ref="S77:U77"/>
    <mergeCell ref="S76:U76"/>
    <mergeCell ref="S75:U75"/>
    <mergeCell ref="S74:U74"/>
    <mergeCell ref="S63:U63"/>
    <mergeCell ref="S62:U62"/>
    <mergeCell ref="S92:U92"/>
    <mergeCell ref="S91:U91"/>
    <mergeCell ref="S90:U90"/>
    <mergeCell ref="S89:U89"/>
    <mergeCell ref="S88:U88"/>
    <mergeCell ref="S87:U87"/>
    <mergeCell ref="S86:U86"/>
    <mergeCell ref="S85:U85"/>
    <mergeCell ref="S84:U84"/>
    <mergeCell ref="S83:U83"/>
    <mergeCell ref="S82:U82"/>
    <mergeCell ref="S81:U81"/>
    <mergeCell ref="S80:U80"/>
    <mergeCell ref="S79:U79"/>
    <mergeCell ref="S68:U68"/>
    <mergeCell ref="S67:U67"/>
    <mergeCell ref="S66:U66"/>
    <mergeCell ref="S65:U65"/>
    <mergeCell ref="S64:U64"/>
    <mergeCell ref="S73:U73"/>
    <mergeCell ref="S72:U72"/>
    <mergeCell ref="S71:U71"/>
    <mergeCell ref="S70:U70"/>
    <mergeCell ref="S69:U69"/>
    <mergeCell ref="S51:U51"/>
    <mergeCell ref="S50:U50"/>
    <mergeCell ref="S49:U49"/>
    <mergeCell ref="S48:U48"/>
    <mergeCell ref="S47:U47"/>
    <mergeCell ref="S56:U56"/>
    <mergeCell ref="S55:U55"/>
    <mergeCell ref="S54:U54"/>
    <mergeCell ref="S53:U53"/>
    <mergeCell ref="S52:U52"/>
    <mergeCell ref="S61:U61"/>
    <mergeCell ref="S60:U60"/>
    <mergeCell ref="S59:U59"/>
    <mergeCell ref="S58:U58"/>
    <mergeCell ref="S57:U57"/>
    <mergeCell ref="S35:U35"/>
    <mergeCell ref="S34:U34"/>
    <mergeCell ref="S33:U33"/>
    <mergeCell ref="S32:U32"/>
    <mergeCell ref="S46:U46"/>
    <mergeCell ref="S45:U45"/>
    <mergeCell ref="S44:U44"/>
    <mergeCell ref="S43:U43"/>
    <mergeCell ref="S42:U42"/>
    <mergeCell ref="S41:U41"/>
    <mergeCell ref="S40:U40"/>
    <mergeCell ref="S39:U39"/>
    <mergeCell ref="S38:U38"/>
    <mergeCell ref="S37:U37"/>
    <mergeCell ref="S36:U36"/>
    <mergeCell ref="S27:U27"/>
    <mergeCell ref="S31:U31"/>
    <mergeCell ref="S30:U30"/>
    <mergeCell ref="S29:U29"/>
    <mergeCell ref="S28:U28"/>
    <mergeCell ref="F2:I2"/>
    <mergeCell ref="R4:U4"/>
    <mergeCell ref="S16:U16"/>
    <mergeCell ref="S26:U26"/>
    <mergeCell ref="S25:U25"/>
    <mergeCell ref="S24:U24"/>
    <mergeCell ref="S23:U23"/>
    <mergeCell ref="S22:U22"/>
    <mergeCell ref="S21:U21"/>
    <mergeCell ref="S20:U20"/>
    <mergeCell ref="S19:U19"/>
    <mergeCell ref="S18:U18"/>
    <mergeCell ref="S17:U17"/>
  </mergeCells>
  <conditionalFormatting sqref="E5:E43">
    <cfRule type="duplicateValues" dxfId="160" priority="19"/>
  </conditionalFormatting>
  <conditionalFormatting sqref="I5:I64">
    <cfRule type="containsText" dxfId="159" priority="8" operator="containsText" text="GUL">
      <formula>NOT(ISERROR(SEARCH("GUL",I5)))</formula>
    </cfRule>
    <cfRule type="containsText" dxfId="158" priority="16" operator="containsText" text="BLÅ">
      <formula>NOT(ISERROR(SEARCH("BLÅ",I5)))</formula>
    </cfRule>
    <cfRule type="containsText" dxfId="157" priority="17" operator="containsText" text="GRÖN">
      <formula>NOT(ISERROR(SEARCH("GRÖN",I5)))</formula>
    </cfRule>
    <cfRule type="containsText" dxfId="156" priority="18" operator="containsText" text="RÖD">
      <formula>NOT(ISERROR(SEARCH("RÖD",I5)))</formula>
    </cfRule>
  </conditionalFormatting>
  <conditionalFormatting sqref="P17:P105">
    <cfRule type="expression" dxfId="155" priority="7">
      <formula>$K$3=4</formula>
    </cfRule>
    <cfRule type="expression" dxfId="154" priority="14">
      <formula>$K$3=3</formula>
    </cfRule>
    <cfRule type="expression" dxfId="153" priority="15">
      <formula>$K$3=2</formula>
    </cfRule>
  </conditionalFormatting>
  <conditionalFormatting sqref="J5:J64">
    <cfRule type="containsText" dxfId="152" priority="13" operator="containsText" text="GUL">
      <formula>NOT(ISERROR(SEARCH("GUL",J5)))</formula>
    </cfRule>
    <cfRule type="containsText" dxfId="151" priority="147" operator="containsText" text="RÖD">
      <formula>NOT(ISERROR(SEARCH("RÖD",J5)))</formula>
    </cfRule>
    <cfRule type="containsText" dxfId="150" priority="148" operator="containsText" text="BLÅ">
      <formula>NOT(ISERROR(SEARCH("BLÅ",J5)))</formula>
    </cfRule>
    <cfRule type="containsText" dxfId="149" priority="149" operator="containsText" text="GRÖN">
      <formula>NOT(ISERROR(SEARCH("GRÖN",J5)))</formula>
    </cfRule>
  </conditionalFormatting>
  <conditionalFormatting sqref="S5:U10">
    <cfRule type="cellIs" dxfId="148" priority="9" operator="equal">
      <formula>"GUL"</formula>
    </cfRule>
    <cfRule type="cellIs" dxfId="147" priority="10" operator="equal">
      <formula>"BLÅ"</formula>
    </cfRule>
    <cfRule type="cellIs" dxfId="146" priority="11" operator="equal">
      <formula>"RÖD"</formula>
    </cfRule>
    <cfRule type="cellIs" dxfId="145" priority="12" operator="equal">
      <formula>"GRÖN"</formula>
    </cfRule>
  </conditionalFormatting>
  <conditionalFormatting sqref="S17:U105">
    <cfRule type="expression" dxfId="144" priority="2">
      <formula>S1=1</formula>
    </cfRule>
    <cfRule type="duplicateValues" dxfId="143" priority="6"/>
  </conditionalFormatting>
  <conditionalFormatting sqref="U15">
    <cfRule type="expression" dxfId="142" priority="5">
      <formula>$T$14=TRUE</formula>
    </cfRule>
  </conditionalFormatting>
  <conditionalFormatting sqref="R16:U105">
    <cfRule type="expression" dxfId="141" priority="1">
      <formula>$S$14=FALSE</formula>
    </cfRule>
  </conditionalFormatting>
  <pageMargins left="0.7" right="0.7" top="0.75" bottom="0.75" header="0.3" footer="0.3"/>
  <pageSetup paperSize="9" orientation="portrait" r:id="rId1"/>
  <ignoredErrors>
    <ignoredError sqref="S9" formula="1"/>
    <ignoredError sqref="S13"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7172" r:id="rId4" name="Button 4">
              <controlPr locked="0" defaultSize="0" print="0" autoFill="0" autoPict="0" macro="[0]!Macro3">
                <anchor moveWithCells="1" sizeWithCells="1">
                  <from>
                    <xdr:col>1</xdr:col>
                    <xdr:colOff>0</xdr:colOff>
                    <xdr:row>0</xdr:row>
                    <xdr:rowOff>144780</xdr:rowOff>
                  </from>
                  <to>
                    <xdr:col>2</xdr:col>
                    <xdr:colOff>876300</xdr:colOff>
                    <xdr:row>0</xdr:row>
                    <xdr:rowOff>502920</xdr:rowOff>
                  </to>
                </anchor>
              </controlPr>
            </control>
          </mc:Choice>
        </mc:AlternateContent>
        <mc:AlternateContent xmlns:mc="http://schemas.openxmlformats.org/markup-compatibility/2006">
          <mc:Choice Requires="x14">
            <control shapeId="7175" r:id="rId5" name="Option Button 7">
              <controlPr locked="0" defaultSize="0" autoFill="0" autoLine="0" autoPict="0">
                <anchor moveWithCells="1">
                  <from>
                    <xdr:col>15</xdr:col>
                    <xdr:colOff>22860</xdr:colOff>
                    <xdr:row>3</xdr:row>
                    <xdr:rowOff>30480</xdr:rowOff>
                  </from>
                  <to>
                    <xdr:col>15</xdr:col>
                    <xdr:colOff>1546860</xdr:colOff>
                    <xdr:row>3</xdr:row>
                    <xdr:rowOff>213360</xdr:rowOff>
                  </to>
                </anchor>
              </controlPr>
            </control>
          </mc:Choice>
        </mc:AlternateContent>
        <mc:AlternateContent xmlns:mc="http://schemas.openxmlformats.org/markup-compatibility/2006">
          <mc:Choice Requires="x14">
            <control shapeId="7176" r:id="rId6" name="Option Button 8">
              <controlPr locked="0" defaultSize="0" autoFill="0" autoLine="0" autoPict="0">
                <anchor moveWithCells="1">
                  <from>
                    <xdr:col>15</xdr:col>
                    <xdr:colOff>30480</xdr:colOff>
                    <xdr:row>3</xdr:row>
                    <xdr:rowOff>205740</xdr:rowOff>
                  </from>
                  <to>
                    <xdr:col>16</xdr:col>
                    <xdr:colOff>0</xdr:colOff>
                    <xdr:row>3</xdr:row>
                    <xdr:rowOff>388620</xdr:rowOff>
                  </to>
                </anchor>
              </controlPr>
            </control>
          </mc:Choice>
        </mc:AlternateContent>
        <mc:AlternateContent xmlns:mc="http://schemas.openxmlformats.org/markup-compatibility/2006">
          <mc:Choice Requires="x14">
            <control shapeId="7177" r:id="rId7" name="Option Button 9">
              <controlPr locked="0" defaultSize="0" autoFill="0" autoLine="0" autoPict="0">
                <anchor moveWithCells="1">
                  <from>
                    <xdr:col>15</xdr:col>
                    <xdr:colOff>30480</xdr:colOff>
                    <xdr:row>3</xdr:row>
                    <xdr:rowOff>563880</xdr:rowOff>
                  </from>
                  <to>
                    <xdr:col>15</xdr:col>
                    <xdr:colOff>1935480</xdr:colOff>
                    <xdr:row>4</xdr:row>
                    <xdr:rowOff>144780</xdr:rowOff>
                  </to>
                </anchor>
              </controlPr>
            </control>
          </mc:Choice>
        </mc:AlternateContent>
        <mc:AlternateContent xmlns:mc="http://schemas.openxmlformats.org/markup-compatibility/2006">
          <mc:Choice Requires="x14">
            <control shapeId="7178" r:id="rId8" name="Button 10">
              <controlPr locked="0" defaultSize="0" print="0" autoFill="0" autoPict="0" macro="[0]!Gruppindelning">
                <anchor moveWithCells="1" sizeWithCells="1">
                  <from>
                    <xdr:col>2</xdr:col>
                    <xdr:colOff>1028700</xdr:colOff>
                    <xdr:row>0</xdr:row>
                    <xdr:rowOff>144780</xdr:rowOff>
                  </from>
                  <to>
                    <xdr:col>4</xdr:col>
                    <xdr:colOff>426720</xdr:colOff>
                    <xdr:row>0</xdr:row>
                    <xdr:rowOff>502920</xdr:rowOff>
                  </to>
                </anchor>
              </controlPr>
            </control>
          </mc:Choice>
        </mc:AlternateContent>
        <mc:AlternateContent xmlns:mc="http://schemas.openxmlformats.org/markup-compatibility/2006">
          <mc:Choice Requires="x14">
            <control shapeId="7182" r:id="rId9" name="Option Button 14">
              <controlPr defaultSize="0" autoFill="0" autoLine="0" autoPict="0">
                <anchor moveWithCells="1">
                  <from>
                    <xdr:col>15</xdr:col>
                    <xdr:colOff>30480</xdr:colOff>
                    <xdr:row>3</xdr:row>
                    <xdr:rowOff>365760</xdr:rowOff>
                  </from>
                  <to>
                    <xdr:col>15</xdr:col>
                    <xdr:colOff>2141220</xdr:colOff>
                    <xdr:row>3</xdr:row>
                    <xdr:rowOff>571500</xdr:rowOff>
                  </to>
                </anchor>
              </controlPr>
            </control>
          </mc:Choice>
        </mc:AlternateContent>
        <mc:AlternateContent xmlns:mc="http://schemas.openxmlformats.org/markup-compatibility/2006">
          <mc:Choice Requires="x14">
            <control shapeId="7183" r:id="rId10" name="Check Box 15">
              <controlPr defaultSize="0" autoFill="0" autoLine="0" autoPict="0" macro="[0]!Macro1">
                <anchor moveWithCells="1">
                  <from>
                    <xdr:col>15</xdr:col>
                    <xdr:colOff>7620</xdr:colOff>
                    <xdr:row>14</xdr:row>
                    <xdr:rowOff>0</xdr:rowOff>
                  </from>
                  <to>
                    <xdr:col>16</xdr:col>
                    <xdr:colOff>0</xdr:colOff>
                    <xdr:row>15</xdr:row>
                    <xdr:rowOff>7620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3">
    <tabColor rgb="FFFFFFCC"/>
    <pageSetUpPr autoPageBreaks="0" fitToPage="1"/>
  </sheetPr>
  <dimension ref="A1:EP211"/>
  <sheetViews>
    <sheetView zoomScale="85" zoomScaleNormal="85" workbookViewId="0"/>
  </sheetViews>
  <sheetFormatPr defaultColWidth="9.81640625" defaultRowHeight="15.6" x14ac:dyDescent="0.3"/>
  <cols>
    <col min="1" max="1" width="3.90625" style="47" customWidth="1"/>
    <col min="2" max="2" width="6.81640625" style="163" customWidth="1"/>
    <col min="3" max="17" width="5.08984375" style="163" customWidth="1"/>
    <col min="18" max="18" width="6.81640625" style="163" customWidth="1"/>
    <col min="19" max="19" width="4.81640625" style="162" hidden="1" customWidth="1"/>
    <col min="20" max="20" width="19.36328125" style="162" hidden="1" customWidth="1"/>
    <col min="21" max="21" width="5.6328125" style="162" hidden="1" customWidth="1"/>
    <col min="22" max="22" width="4.81640625" style="162" hidden="1" customWidth="1"/>
    <col min="23" max="34" width="9.81640625" style="162" hidden="1" customWidth="1"/>
    <col min="35" max="49" width="4.81640625" style="162" hidden="1" customWidth="1"/>
    <col min="50" max="73" width="9.81640625" style="162" hidden="1" customWidth="1"/>
    <col min="74" max="74" width="10.1796875" style="162" hidden="1" customWidth="1"/>
    <col min="75" max="114" width="9.81640625" style="162" hidden="1" customWidth="1"/>
    <col min="115" max="115" width="22.54296875" style="162" hidden="1" customWidth="1"/>
    <col min="116" max="121" width="9.81640625" style="162" hidden="1" customWidth="1"/>
    <col min="122" max="122" width="25.54296875" style="162" hidden="1" customWidth="1"/>
    <col min="123" max="123" width="32.54296875" style="162" hidden="1" customWidth="1"/>
    <col min="124" max="124" width="24" style="162" hidden="1" customWidth="1"/>
    <col min="125" max="126" width="9.81640625" style="162" hidden="1" customWidth="1"/>
    <col min="127" max="146" width="9.81640625" style="47"/>
    <col min="147" max="16384" width="9.81640625" style="163"/>
  </cols>
  <sheetData>
    <row r="1" spans="2:126" ht="20.100000000000001" customHeight="1" x14ac:dyDescent="0.35">
      <c r="B1" s="161" t="str">
        <f>IF(Deltagarlista!$K$3=2,IF(OR(ISBLANK(Deltagarlista!$I$5),ISBLANK(Deltagarlista!$C$5)),"VARNING, Du måste först fylla i kolumnerna Deltagare och Gruppindelning i deltagarlistan!",""),IF(Deltagarlista!$K$3=1,IF(AND(ISBLANK(Deltagarlista!$C$5),C8&lt;&gt;""),"VARNING, Du måste först fylla i kolumnen Deltagare i deltagarlistan!",""),IF(Deltagarlista!$K$3=3,IF(OR(ISBLANK(Deltagarlista!$I$5),ISBLANK(Deltagarlista!$C$5)),"VARNING, Du måste först fylla i kolumnen Deltagare och Gruppindelning i deltagarlistan!",""),IF(Deltagarlista!$K$3=4,IF(OR(ISBLANK(Deltagarlista!$I$5),ISBLANK(Deltagarlista!$C$5)),"VARNING, Du måste först fylla i kolumnen Deltagare och Gruppindelning i deltagarlistan!",""),""))))</f>
        <v/>
      </c>
      <c r="C1" s="47"/>
      <c r="D1" s="47"/>
      <c r="E1" s="47"/>
      <c r="F1" s="47"/>
      <c r="G1" s="47"/>
      <c r="H1" s="47"/>
      <c r="I1" s="47"/>
      <c r="J1" s="47"/>
      <c r="K1" s="47"/>
      <c r="L1" s="47"/>
      <c r="M1" s="47"/>
      <c r="N1" s="47"/>
      <c r="O1" s="47"/>
      <c r="P1" s="47"/>
      <c r="Q1" s="47"/>
      <c r="R1" s="47"/>
    </row>
    <row r="2" spans="2:126" s="47" customFormat="1" ht="20.100000000000001" customHeight="1" x14ac:dyDescent="0.35">
      <c r="B2" s="164" t="str">
        <f>IF(OR(Deltagarlista!$K$3=2,Deltagarlista!$K$3=4),IF($CQ$5=0,"","VARNING, du har registrerat resultat för någon som inte borde segla i detta heat!"),"")</f>
        <v/>
      </c>
      <c r="S2" s="162"/>
      <c r="T2" s="162"/>
      <c r="U2" s="162"/>
      <c r="V2" s="162"/>
      <c r="W2" s="162"/>
      <c r="X2" s="162"/>
      <c r="Y2" s="162"/>
      <c r="Z2" s="162"/>
      <c r="AA2" s="162"/>
      <c r="AB2" s="162"/>
      <c r="AC2" s="162"/>
      <c r="AD2" s="162"/>
      <c r="AE2" s="162"/>
      <c r="AF2" s="162"/>
      <c r="AG2" s="162"/>
      <c r="AH2" s="162"/>
      <c r="AI2" s="162"/>
      <c r="AJ2" s="162"/>
      <c r="AK2" s="162"/>
      <c r="AL2" s="162"/>
      <c r="AM2" s="162"/>
      <c r="AN2" s="162"/>
      <c r="AO2" s="162"/>
      <c r="AP2" s="162"/>
      <c r="AQ2" s="162"/>
      <c r="AR2" s="162"/>
      <c r="AS2" s="162"/>
      <c r="AT2" s="162"/>
      <c r="AU2" s="162"/>
      <c r="AV2" s="162"/>
      <c r="AW2" s="162"/>
      <c r="AX2" s="162"/>
      <c r="AY2" s="162"/>
      <c r="AZ2" s="162"/>
      <c r="BA2" s="162"/>
      <c r="BB2" s="162"/>
      <c r="BC2" s="162"/>
      <c r="BD2" s="162"/>
      <c r="BE2" s="162"/>
      <c r="BF2" s="162"/>
      <c r="BG2" s="162"/>
      <c r="BH2" s="162"/>
      <c r="BI2" s="162"/>
      <c r="BJ2" s="162"/>
      <c r="BK2" s="162"/>
      <c r="BL2" s="162"/>
      <c r="BM2" s="162"/>
      <c r="BN2" s="162"/>
      <c r="BO2" s="162"/>
      <c r="BP2" s="162"/>
      <c r="BQ2" s="162"/>
      <c r="BR2" s="162"/>
      <c r="BS2" s="162"/>
      <c r="BT2" s="162"/>
      <c r="BU2" s="162"/>
      <c r="BV2" s="162"/>
      <c r="BW2" s="162"/>
      <c r="BX2" s="162"/>
      <c r="BY2" s="162"/>
      <c r="BZ2" s="162"/>
      <c r="CA2" s="162"/>
      <c r="CB2" s="162"/>
      <c r="CC2" s="162"/>
      <c r="CD2" s="162"/>
      <c r="CE2" s="162"/>
      <c r="CF2" s="162"/>
      <c r="CG2" s="162"/>
      <c r="CH2" s="162"/>
      <c r="CI2" s="162"/>
      <c r="CJ2" s="162"/>
      <c r="CK2" s="162"/>
      <c r="CL2" s="162"/>
      <c r="CM2" s="162"/>
      <c r="CN2" s="162"/>
      <c r="CO2" s="162"/>
      <c r="CP2" s="162"/>
      <c r="CQ2" s="162"/>
      <c r="CR2" s="162"/>
      <c r="CS2" s="162"/>
      <c r="CT2" s="162"/>
      <c r="CU2" s="162"/>
      <c r="CV2" s="162"/>
      <c r="CW2" s="162"/>
      <c r="CX2" s="162"/>
      <c r="CY2" s="162"/>
      <c r="CZ2" s="162"/>
      <c r="DA2" s="162"/>
      <c r="DB2" s="162"/>
      <c r="DC2" s="162"/>
      <c r="DD2" s="162"/>
      <c r="DE2" s="162"/>
      <c r="DF2" s="162"/>
      <c r="DG2" s="162"/>
      <c r="DH2" s="162"/>
      <c r="DI2" s="162"/>
      <c r="DJ2" s="162"/>
      <c r="DK2" s="162"/>
      <c r="DL2" s="162"/>
      <c r="DM2" s="162"/>
      <c r="DN2" s="162"/>
      <c r="DO2" s="162"/>
      <c r="DP2" s="162"/>
      <c r="DQ2" s="162"/>
      <c r="DR2" s="162"/>
      <c r="DS2" s="162"/>
      <c r="DT2" s="162"/>
      <c r="DU2" s="162"/>
      <c r="DV2" s="162"/>
    </row>
    <row r="3" spans="2:126" s="47" customFormat="1" ht="20.100000000000001" customHeight="1" thickBot="1" x14ac:dyDescent="0.4">
      <c r="B3" s="161" t="str">
        <f>IF($AY$4=60,"","VARNING, du har registrerat resultat för en seglare som inte finns i deltagarlistan!")</f>
        <v/>
      </c>
      <c r="C3" s="165"/>
      <c r="S3" s="129"/>
      <c r="T3" s="129"/>
      <c r="U3" s="129"/>
      <c r="V3" s="129"/>
      <c r="W3" s="129"/>
      <c r="X3" s="129"/>
      <c r="Y3" s="129"/>
      <c r="Z3" s="129"/>
      <c r="AA3" s="129"/>
      <c r="AB3" s="129"/>
      <c r="AC3" s="129"/>
      <c r="AD3" s="129"/>
      <c r="AE3" s="129"/>
      <c r="AF3" s="129"/>
      <c r="AG3" s="129"/>
      <c r="AH3" s="166"/>
      <c r="AI3" s="129" t="s">
        <v>48</v>
      </c>
      <c r="AJ3" s="162"/>
      <c r="AK3" s="162"/>
      <c r="AL3" s="162"/>
      <c r="AM3" s="162"/>
      <c r="AN3" s="162"/>
      <c r="AO3" s="162"/>
      <c r="AP3" s="162"/>
      <c r="AQ3" s="162"/>
      <c r="AR3" s="162"/>
      <c r="AS3" s="162"/>
      <c r="AT3" s="162"/>
      <c r="AU3" s="162"/>
      <c r="AV3" s="162"/>
      <c r="AW3" s="162"/>
      <c r="AX3" s="162"/>
      <c r="AY3" s="162" t="s">
        <v>50</v>
      </c>
      <c r="AZ3" s="162"/>
      <c r="BA3" s="162"/>
      <c r="BB3" s="162" t="s">
        <v>51</v>
      </c>
      <c r="BC3" s="162"/>
      <c r="BD3" s="162"/>
      <c r="BE3" s="162"/>
      <c r="BF3" s="162"/>
      <c r="BG3" s="162"/>
      <c r="BH3" s="162"/>
      <c r="BI3" s="162"/>
      <c r="BJ3" s="162"/>
      <c r="BK3" s="162"/>
      <c r="BL3" s="162"/>
      <c r="BM3" s="162"/>
      <c r="BN3" s="167"/>
      <c r="BO3" s="162" t="s">
        <v>49</v>
      </c>
      <c r="BP3" s="162"/>
      <c r="BQ3" s="162"/>
      <c r="BR3" s="162"/>
      <c r="BS3" s="162"/>
      <c r="BT3" s="162"/>
      <c r="BU3" s="162"/>
      <c r="BV3" s="162"/>
      <c r="BW3" s="162"/>
      <c r="BX3" s="162"/>
      <c r="BY3" s="162"/>
      <c r="BZ3" s="162"/>
      <c r="CA3" s="162"/>
      <c r="CB3" s="162"/>
      <c r="CC3" s="162"/>
      <c r="CD3" s="162"/>
      <c r="CE3" s="162"/>
      <c r="CF3" s="162"/>
      <c r="CG3" s="162"/>
      <c r="CH3" s="162"/>
      <c r="CI3" s="162"/>
      <c r="CJ3" s="162"/>
      <c r="CK3" s="162"/>
      <c r="CL3" s="162" t="s">
        <v>57</v>
      </c>
      <c r="CM3" s="162"/>
      <c r="CN3" s="162"/>
      <c r="CO3" s="162" t="s">
        <v>60</v>
      </c>
      <c r="CP3" s="162"/>
      <c r="CQ3" s="162"/>
      <c r="CR3" s="162"/>
      <c r="CS3" s="162"/>
      <c r="CT3" s="162"/>
      <c r="CU3" s="162"/>
      <c r="CV3" s="162"/>
      <c r="CW3" s="162"/>
      <c r="CX3" s="162"/>
      <c r="CY3" s="162"/>
      <c r="CZ3" s="162"/>
      <c r="DA3" s="162"/>
      <c r="DB3" s="162"/>
      <c r="DC3" s="162"/>
      <c r="DD3" s="162"/>
      <c r="DE3" s="162"/>
      <c r="DF3" s="162"/>
      <c r="DG3" s="162"/>
      <c r="DH3" s="162"/>
      <c r="DI3" s="162"/>
      <c r="DJ3" s="162"/>
      <c r="DK3" s="162"/>
      <c r="DL3" s="162"/>
      <c r="DM3" s="162"/>
      <c r="DN3" s="162"/>
      <c r="DO3" s="162"/>
      <c r="DP3" s="162"/>
      <c r="DQ3" s="162"/>
      <c r="DR3" s="162"/>
      <c r="DS3" s="162"/>
      <c r="DT3" s="162"/>
      <c r="DU3" s="162"/>
      <c r="DV3" s="162"/>
    </row>
    <row r="4" spans="2:126" ht="28.5" customHeight="1" thickBot="1" x14ac:dyDescent="0.5">
      <c r="B4" s="168" t="str">
        <f>IF(ISBLANK(Deltagarlista!P7),"",Deltagarlista!P7)</f>
        <v/>
      </c>
      <c r="C4" s="169"/>
      <c r="D4" s="169"/>
      <c r="E4" s="169"/>
      <c r="F4" s="169"/>
      <c r="G4" s="169"/>
      <c r="H4" s="169"/>
      <c r="I4" s="169"/>
      <c r="J4" s="169"/>
      <c r="K4" s="169"/>
      <c r="L4" s="169"/>
      <c r="M4" s="169"/>
      <c r="N4" s="169"/>
      <c r="O4" s="169"/>
      <c r="P4" s="169"/>
      <c r="Q4" s="169"/>
      <c r="R4" s="170" t="str">
        <f>IF(ISBLANK(Deltagarlista!P9),"",Deltagarlista!P9)</f>
        <v/>
      </c>
      <c r="S4" s="129"/>
      <c r="T4" s="129"/>
      <c r="U4" s="129"/>
      <c r="V4" s="129"/>
      <c r="W4" s="129" t="s">
        <v>40</v>
      </c>
      <c r="X4" s="129"/>
      <c r="Y4" s="129"/>
      <c r="Z4" s="129"/>
      <c r="AA4" s="129"/>
      <c r="AB4" s="129"/>
      <c r="AC4" s="129"/>
      <c r="AD4" s="129"/>
      <c r="AE4" s="129"/>
      <c r="AF4" s="129"/>
      <c r="AG4" s="129"/>
      <c r="AH4" s="166"/>
      <c r="AI4" s="129">
        <v>500</v>
      </c>
      <c r="AK4" s="162">
        <f>IF(AI4&lt;&gt;AI8,1,2)</f>
        <v>1</v>
      </c>
      <c r="AY4" s="162">
        <f>SUM($AY$7:$BM$7)+SUM($AY$52:$BM$52)+SUM($AY$97:$BM$97)+SUM($AY$142:$BM$142)</f>
        <v>60</v>
      </c>
      <c r="BB4" s="162" t="str">
        <f>IF(Deltagarlista!$K$3=2,IF(BP77=820,0,1),"")</f>
        <v/>
      </c>
      <c r="BN4" s="167"/>
      <c r="BO4" s="162" t="s">
        <v>47</v>
      </c>
      <c r="CO4" s="162">
        <f>Resultatlista!GX2</f>
        <v>0</v>
      </c>
      <c r="CQ4" s="162" t="s">
        <v>63</v>
      </c>
      <c r="DV4" s="162" t="s">
        <v>61</v>
      </c>
    </row>
    <row r="5" spans="2:126" ht="27.75" customHeight="1" thickBot="1" x14ac:dyDescent="0.35">
      <c r="B5" s="247" t="str">
        <f>IF(ISBLANK(Deltagarlista!P11),"",Deltagarlista!P11)</f>
        <v/>
      </c>
      <c r="C5" s="248"/>
      <c r="D5" s="248"/>
      <c r="E5" s="248"/>
      <c r="F5" s="249"/>
      <c r="G5" s="249"/>
      <c r="H5" s="249"/>
      <c r="I5" s="250"/>
      <c r="J5" s="254" t="str">
        <f>IF(ISBLANK(Deltagarlista!P13),"",Deltagarlista!P13)</f>
        <v/>
      </c>
      <c r="K5" s="255"/>
      <c r="L5" s="255"/>
      <c r="M5" s="255"/>
      <c r="N5" s="255"/>
      <c r="O5" s="255"/>
      <c r="P5" s="255"/>
      <c r="Q5" s="255"/>
      <c r="R5" s="256"/>
      <c r="S5" s="129"/>
      <c r="T5" s="63" t="s">
        <v>15</v>
      </c>
      <c r="U5" s="64">
        <f>COUNT(C8:Q8,C53:Q53,C98:Q98,C143:Q143)</f>
        <v>0</v>
      </c>
      <c r="V5" s="171"/>
      <c r="W5" s="171">
        <f>U5*(2/3)</f>
        <v>0</v>
      </c>
      <c r="X5" s="171"/>
      <c r="Y5" s="171"/>
      <c r="Z5" s="171"/>
      <c r="AA5" s="171"/>
      <c r="AB5" s="171"/>
      <c r="AC5" s="129"/>
      <c r="AD5" s="129"/>
      <c r="AE5" s="129"/>
      <c r="AF5" s="129"/>
      <c r="AG5" s="129"/>
      <c r="AH5" s="166"/>
      <c r="AI5" s="129"/>
      <c r="AJ5" s="129"/>
      <c r="AK5" s="129"/>
      <c r="AL5" s="129"/>
      <c r="AM5" s="129"/>
      <c r="BN5" s="167"/>
      <c r="CL5" s="162" t="s">
        <v>58</v>
      </c>
      <c r="CQ5" s="162">
        <f>IF(AND($CO$4="Gr/R",OR($CR$10&lt;&gt;0,$CR$11&lt;&gt;0)),1,IF(AND($CO$4="B/Gu",OR($CR$8&lt;&gt;0,$CR$9&lt;&gt;0)),1,IF(AND(OR($CO$4="Gr/B",$CO$4="B/Gr"),OR($CR$9&lt;&gt;0,$CR$11&lt;&gt;0)),1,IF(AND($CO$4="Gu/R",OR($CR$8&lt;&gt;0,$CR$10&lt;&gt;0)),1,IF(AND($CO$4="R/B",OR($CR$8&lt;&gt;0,$CR$11&lt;&gt;0)),1,IF(AND($CO$4="Gu/Gr",OR($CR$9&lt;&gt;0,$CR$10&lt;&gt;0)),1,0))))))</f>
        <v>0</v>
      </c>
      <c r="DA5" s="162">
        <v>34</v>
      </c>
      <c r="DB5" s="162">
        <v>21</v>
      </c>
      <c r="DC5" s="162">
        <v>24</v>
      </c>
      <c r="DD5" s="162">
        <v>13</v>
      </c>
      <c r="DE5" s="162">
        <v>23</v>
      </c>
      <c r="DF5" s="162">
        <v>14</v>
      </c>
    </row>
    <row r="6" spans="2:126" ht="18.600000000000001" thickBot="1" x14ac:dyDescent="0.4">
      <c r="B6" s="172" t="s">
        <v>9</v>
      </c>
      <c r="C6" s="173" t="str">
        <f>IF(Deltagarlista!$K$3=2,"Gr/R",IF(Deltagarlista!$K$3=3,"Grön",IF(Deltagarlista!$K$3=4,"Gr/R","")))</f>
        <v/>
      </c>
      <c r="D6" s="174" t="str">
        <f>IF(Deltagarlista!$K$3=2,"B/Gr",IF(Deltagarlista!$K$3=3,"Röd",IF(Deltagarlista!$K$3=4,"B/Gu","")))</f>
        <v/>
      </c>
      <c r="E6" s="174" t="str">
        <f>IF(Deltagarlista!$K$3=2,"R/B",IF(Deltagarlista!$K$3=3,"Grön",IF(Deltagarlista!$K$3=4,"Gr/B","")))</f>
        <v/>
      </c>
      <c r="F6" s="174" t="str">
        <f>IF(Deltagarlista!$K$3=2,"Gr/R",IF(Deltagarlista!$K$3=3,"Röd",IF(Deltagarlista!$K$3=4,"Gu/R","")))</f>
        <v/>
      </c>
      <c r="G6" s="174" t="str">
        <f>IF(Deltagarlista!$K$3=2,"B/Gr",IF(Deltagarlista!$K$3=3,"Grön",IF(Deltagarlista!$K$3=4,"R/B","")))</f>
        <v/>
      </c>
      <c r="H6" s="174" t="str">
        <f>IF(Deltagarlista!$K$3=2,"R/B",IF(Deltagarlista!$K$3=3,"Röd",IF(Deltagarlista!$K$3=4,"Gu/Gr","")))</f>
        <v/>
      </c>
      <c r="I6" s="174" t="str">
        <f>IF(Deltagarlista!$K$3=2,"Gr/R",IF(Deltagarlista!$K$3=3,"Grön",IF(Deltagarlista!$K$3=4,"Gr/R","")))</f>
        <v/>
      </c>
      <c r="J6" s="174" t="str">
        <f>IF(Deltagarlista!$K$3=2,"B/Gr",IF(Deltagarlista!$K$3=3,"Röd",IF(Deltagarlista!$K$3=4,"B/Gu","")))</f>
        <v/>
      </c>
      <c r="K6" s="174" t="str">
        <f>IF(Deltagarlista!$K$3=2,"R/B",IF(Deltagarlista!$K$3=3,"Grön",IF(Deltagarlista!$K$3=4,"Gr/B","")))</f>
        <v/>
      </c>
      <c r="L6" s="174" t="str">
        <f>IF(Deltagarlista!$K$3=2,"Gr/R",IF(Deltagarlista!$K$3=3,"Röd",IF(Deltagarlista!$K$3=4,"Gu/R","")))</f>
        <v/>
      </c>
      <c r="M6" s="174" t="str">
        <f>IF(Deltagarlista!$K$3=2,"B/Gr",IF(Deltagarlista!$K$3=3,"Grön",IF(Deltagarlista!$K$3=4,"R/B","")))</f>
        <v/>
      </c>
      <c r="N6" s="174" t="str">
        <f>IF(Deltagarlista!$K$3=2,"R/B",IF(Deltagarlista!$K$3=3,"Röd",IF(Deltagarlista!$K$3=4,"Gu/Gr","")))</f>
        <v/>
      </c>
      <c r="O6" s="174" t="str">
        <f>IF(Deltagarlista!$K$3=2,"Gr/R",IF(Deltagarlista!$K$3=3,"Grön",IF(Deltagarlista!$K$3=4,"Gr/R","")))</f>
        <v/>
      </c>
      <c r="P6" s="174" t="str">
        <f>IF(Deltagarlista!$K$3=2,"B/Gr",IF(Deltagarlista!$K$3=3,"Röd",IF(Deltagarlista!$K$3=4,"B/Gu","")))</f>
        <v/>
      </c>
      <c r="Q6" s="175" t="str">
        <f>IF(Deltagarlista!$K$3=2,"R/B",IF(Deltagarlista!$K$3=3,"Grön",IF(Deltagarlista!$K$3=4,"Gr/B","")))</f>
        <v/>
      </c>
      <c r="R6" s="176" t="s">
        <v>9</v>
      </c>
      <c r="S6" s="129"/>
      <c r="T6" s="129" t="s">
        <v>86</v>
      </c>
      <c r="U6" s="177">
        <f>ROUNDDOWN(SUM(COUNT(C8:Q8,C53:Q53,C98:Q98,C143:Q143)/2),0)</f>
        <v>0</v>
      </c>
      <c r="V6" s="129"/>
      <c r="W6" s="129"/>
      <c r="X6" s="129"/>
      <c r="Y6" s="129"/>
      <c r="Z6" s="129"/>
      <c r="AA6" s="129"/>
      <c r="AB6" s="129"/>
      <c r="AC6" s="129"/>
      <c r="AD6" s="129"/>
      <c r="AE6" s="129"/>
      <c r="AF6" s="129"/>
      <c r="AG6" s="129"/>
      <c r="AH6" s="166"/>
      <c r="AI6" s="129"/>
      <c r="AJ6" s="129"/>
      <c r="AK6" s="129"/>
      <c r="AL6" s="129"/>
      <c r="AM6" s="129"/>
      <c r="BN6" s="167"/>
      <c r="BP6" s="162" t="s">
        <v>42</v>
      </c>
      <c r="CT6" s="162" t="s">
        <v>72</v>
      </c>
    </row>
    <row r="7" spans="2:126" ht="27" customHeight="1" thickBot="1" x14ac:dyDescent="0.35">
      <c r="B7" s="178" t="s">
        <v>0</v>
      </c>
      <c r="C7" s="179">
        <v>1</v>
      </c>
      <c r="D7" s="180" t="str">
        <f>IF(OR(Deltagarlista!$K$3=4,Deltagarlista!$K$3=3),"","2")</f>
        <v>2</v>
      </c>
      <c r="E7" s="180" t="str">
        <f>IF(OR(Deltagarlista!$K$3=4,Deltagarlista!$K$3=3),"2","3")</f>
        <v>3</v>
      </c>
      <c r="F7" s="180" t="str">
        <f>IF(OR(Deltagarlista!$K$3=4,Deltagarlista!$K$3=3),"","4")</f>
        <v>4</v>
      </c>
      <c r="G7" s="180" t="str">
        <f>IF(OR(Deltagarlista!$K$3=4,Deltagarlista!$K$3=3),"3","5")</f>
        <v>5</v>
      </c>
      <c r="H7" s="180" t="str">
        <f>IF(OR(Deltagarlista!$K$3=4,Deltagarlista!$K$3=3),"","6")</f>
        <v>6</v>
      </c>
      <c r="I7" s="180" t="str">
        <f>IF(OR(Deltagarlista!$K$3=4,Deltagarlista!$K$3=3),"4","7")</f>
        <v>7</v>
      </c>
      <c r="J7" s="180" t="str">
        <f>IF(OR(Deltagarlista!$K$3=4,Deltagarlista!$K$3=3),"","8")</f>
        <v>8</v>
      </c>
      <c r="K7" s="180" t="str">
        <f>IF(OR(Deltagarlista!$K$3=4,Deltagarlista!$K$3=3),"5","9")</f>
        <v>9</v>
      </c>
      <c r="L7" s="180" t="str">
        <f>IF(OR(Deltagarlista!$K$3=4,Deltagarlista!$K$3=3),"","10")</f>
        <v>10</v>
      </c>
      <c r="M7" s="180" t="str">
        <f>IF(OR(Deltagarlista!$K$3=4,Deltagarlista!$K$3=3),"6","11")</f>
        <v>11</v>
      </c>
      <c r="N7" s="180" t="str">
        <f>IF(OR(Deltagarlista!$K$3=4,Deltagarlista!$K$3=3),"","12")</f>
        <v>12</v>
      </c>
      <c r="O7" s="180" t="str">
        <f>IF(OR(Deltagarlista!$K$3=4,Deltagarlista!$K$3=3),"7","13")</f>
        <v>13</v>
      </c>
      <c r="P7" s="180" t="str">
        <f>IF(OR(Deltagarlista!$K$3=4,Deltagarlista!$K$3=3),"","14")</f>
        <v>14</v>
      </c>
      <c r="Q7" s="181" t="str">
        <f>IF(OR(Deltagarlista!$K$3=4,Deltagarlista!$K$3=3),"8","15")</f>
        <v>15</v>
      </c>
      <c r="R7" s="178" t="s">
        <v>0</v>
      </c>
      <c r="S7" s="129"/>
      <c r="T7" s="129"/>
      <c r="U7" s="129"/>
      <c r="V7" s="129"/>
      <c r="W7" s="129"/>
      <c r="X7" s="129"/>
      <c r="Y7" s="182"/>
      <c r="Z7" s="129"/>
      <c r="AA7" s="129"/>
      <c r="AB7" s="129"/>
      <c r="AC7" s="129"/>
      <c r="AD7" s="129"/>
      <c r="AE7" s="129"/>
      <c r="AF7" s="129"/>
      <c r="AG7" s="129"/>
      <c r="AH7" s="166"/>
      <c r="AI7" s="129"/>
      <c r="AJ7" s="129"/>
      <c r="AK7" s="129"/>
      <c r="AL7" s="129"/>
      <c r="AM7" s="129"/>
      <c r="AY7" s="183">
        <f t="shared" ref="AY7:BM7" si="0">IF(SUM(AY8:AY45)&lt;&gt;COUNT(C8:C45),0,1)</f>
        <v>1</v>
      </c>
      <c r="AZ7" s="183">
        <f t="shared" si="0"/>
        <v>1</v>
      </c>
      <c r="BA7" s="183">
        <f t="shared" si="0"/>
        <v>1</v>
      </c>
      <c r="BB7" s="183">
        <f t="shared" si="0"/>
        <v>1</v>
      </c>
      <c r="BC7" s="183">
        <f t="shared" si="0"/>
        <v>1</v>
      </c>
      <c r="BD7" s="183">
        <f t="shared" si="0"/>
        <v>1</v>
      </c>
      <c r="BE7" s="183">
        <f t="shared" si="0"/>
        <v>1</v>
      </c>
      <c r="BF7" s="183">
        <f t="shared" si="0"/>
        <v>1</v>
      </c>
      <c r="BG7" s="183">
        <f t="shared" si="0"/>
        <v>1</v>
      </c>
      <c r="BH7" s="183">
        <f t="shared" si="0"/>
        <v>1</v>
      </c>
      <c r="BI7" s="183">
        <f t="shared" si="0"/>
        <v>1</v>
      </c>
      <c r="BJ7" s="183">
        <f t="shared" si="0"/>
        <v>1</v>
      </c>
      <c r="BK7" s="183">
        <f t="shared" si="0"/>
        <v>1</v>
      </c>
      <c r="BL7" s="183">
        <f t="shared" si="0"/>
        <v>1</v>
      </c>
      <c r="BM7" s="183">
        <f t="shared" si="0"/>
        <v>1</v>
      </c>
      <c r="BN7" s="167"/>
      <c r="BO7" s="162" t="s">
        <v>41</v>
      </c>
      <c r="CL7" s="184" t="s">
        <v>59</v>
      </c>
      <c r="CM7" s="162" t="s">
        <v>7</v>
      </c>
      <c r="CQ7" s="162" t="s">
        <v>64</v>
      </c>
      <c r="DK7" s="185" t="s">
        <v>80</v>
      </c>
    </row>
    <row r="8" spans="2:126" ht="15.9" customHeight="1" x14ac:dyDescent="0.3">
      <c r="B8" s="186">
        <v>1</v>
      </c>
      <c r="C8" s="24"/>
      <c r="D8" s="25"/>
      <c r="E8" s="37"/>
      <c r="F8" s="24"/>
      <c r="G8" s="25"/>
      <c r="H8" s="37"/>
      <c r="I8" s="24"/>
      <c r="J8" s="25"/>
      <c r="K8" s="37"/>
      <c r="L8" s="24"/>
      <c r="M8" s="25"/>
      <c r="N8" s="26"/>
      <c r="O8" s="40"/>
      <c r="P8" s="25"/>
      <c r="Q8" s="26"/>
      <c r="R8" s="187">
        <v>1</v>
      </c>
      <c r="S8" s="188">
        <v>1</v>
      </c>
      <c r="T8" s="188">
        <v>1</v>
      </c>
      <c r="U8" s="188">
        <v>1</v>
      </c>
      <c r="V8" s="188">
        <v>1</v>
      </c>
      <c r="W8" s="188">
        <v>1</v>
      </c>
      <c r="X8" s="188">
        <v>1</v>
      </c>
      <c r="Y8" s="188">
        <v>1</v>
      </c>
      <c r="Z8" s="188">
        <v>1</v>
      </c>
      <c r="AA8" s="188">
        <v>1</v>
      </c>
      <c r="AB8" s="188">
        <v>1</v>
      </c>
      <c r="AC8" s="188">
        <v>1</v>
      </c>
      <c r="AD8" s="188">
        <v>1</v>
      </c>
      <c r="AE8" s="188">
        <v>1</v>
      </c>
      <c r="AF8" s="188">
        <v>1</v>
      </c>
      <c r="AG8" s="188">
        <v>1</v>
      </c>
      <c r="AH8" s="166"/>
      <c r="AI8" s="129">
        <f t="shared" ref="AI8:AI45" si="1">C8</f>
        <v>0</v>
      </c>
      <c r="AJ8" s="129">
        <f t="shared" ref="AJ8:AJ45" si="2">D8</f>
        <v>0</v>
      </c>
      <c r="AK8" s="129">
        <f t="shared" ref="AK8:AK45" si="3">E8</f>
        <v>0</v>
      </c>
      <c r="AL8" s="129">
        <f t="shared" ref="AL8:AL45" si="4">F8</f>
        <v>0</v>
      </c>
      <c r="AM8" s="129">
        <f t="shared" ref="AM8:AM45" si="5">G8</f>
        <v>0</v>
      </c>
      <c r="AN8" s="129">
        <f t="shared" ref="AN8:AN45" si="6">H8</f>
        <v>0</v>
      </c>
      <c r="AO8" s="129">
        <f t="shared" ref="AO8:AO45" si="7">I8</f>
        <v>0</v>
      </c>
      <c r="AP8" s="129">
        <f t="shared" ref="AP8:AP45" si="8">J8</f>
        <v>0</v>
      </c>
      <c r="AQ8" s="129">
        <f t="shared" ref="AQ8:AQ45" si="9">K8</f>
        <v>0</v>
      </c>
      <c r="AR8" s="129">
        <f t="shared" ref="AR8:AR45" si="10">L8</f>
        <v>0</v>
      </c>
      <c r="AS8" s="129">
        <f t="shared" ref="AS8:AS45" si="11">M8</f>
        <v>0</v>
      </c>
      <c r="AT8" s="129">
        <f t="shared" ref="AT8:AT45" si="12">N8</f>
        <v>0</v>
      </c>
      <c r="AU8" s="129">
        <f t="shared" ref="AU8:AU45" si="13">O8</f>
        <v>0</v>
      </c>
      <c r="AV8" s="129">
        <f t="shared" ref="AV8:AV45" si="14">P8</f>
        <v>0</v>
      </c>
      <c r="AW8" s="129">
        <f t="shared" ref="AW8:AW45" si="15">Q8</f>
        <v>0</v>
      </c>
      <c r="AY8" s="162" t="str">
        <f>IF(ISBLANK(C8),"",NOT(ISERROR(MATCH(C8,Deltagarlista!$E$5:$E$64,0))))</f>
        <v/>
      </c>
      <c r="AZ8" s="162" t="str">
        <f>IF(ISBLANK(D8),"",NOT(ISERROR(MATCH(D8,Deltagarlista!$E$5:$E$64,0))))</f>
        <v/>
      </c>
      <c r="BA8" s="162" t="str">
        <f>IF(ISBLANK(E8),"",NOT(ISERROR(MATCH(E8,Deltagarlista!$E$5:$E$64,0))))</f>
        <v/>
      </c>
      <c r="BB8" s="162" t="str">
        <f>IF(ISBLANK(F8),"",NOT(ISERROR(MATCH(F8,Deltagarlista!$E$5:$E$64,0))))</f>
        <v/>
      </c>
      <c r="BC8" s="162" t="str">
        <f>IF(ISBLANK(G8),"",NOT(ISERROR(MATCH(G8,Deltagarlista!$E$5:$E$64,0))))</f>
        <v/>
      </c>
      <c r="BD8" s="162" t="str">
        <f>IF(ISBLANK(H8),"",NOT(ISERROR(MATCH(H8,Deltagarlista!$E$5:$E$64,0))))</f>
        <v/>
      </c>
      <c r="BE8" s="162" t="str">
        <f>IF(ISBLANK(I8),"",NOT(ISERROR(MATCH(I8,Deltagarlista!$E$5:$E$64,0))))</f>
        <v/>
      </c>
      <c r="BF8" s="162" t="str">
        <f>IF(ISBLANK(J8),"",NOT(ISERROR(MATCH(J8,Deltagarlista!$E$5:$E$64,0))))</f>
        <v/>
      </c>
      <c r="BG8" s="162" t="str">
        <f>IF(ISBLANK(K8),"",NOT(ISERROR(MATCH(K8,Deltagarlista!$E$5:$E$64,0))))</f>
        <v/>
      </c>
      <c r="BH8" s="162" t="str">
        <f>IF(ISBLANK(L8),"",NOT(ISERROR(MATCH(L8,Deltagarlista!$E$5:$E$64,0))))</f>
        <v/>
      </c>
      <c r="BI8" s="162" t="str">
        <f>IF(ISBLANK(M8),"",NOT(ISERROR(MATCH(M8,Deltagarlista!$E$5:$E$64,0))))</f>
        <v/>
      </c>
      <c r="BJ8" s="162" t="str">
        <f>IF(ISBLANK(N8),"",NOT(ISERROR(MATCH(N8,Deltagarlista!$E$5:$E$64,0))))</f>
        <v/>
      </c>
      <c r="BK8" s="162" t="str">
        <f>IF(ISBLANK(O8),"",NOT(ISERROR(MATCH(O8,Deltagarlista!$E$5:$E$64,0))))</f>
        <v/>
      </c>
      <c r="BL8" s="162" t="str">
        <f>IF(ISBLANK(P8),"",NOT(ISERROR(MATCH(P8,Deltagarlista!$E$5:$E$64,0))))</f>
        <v/>
      </c>
      <c r="BM8" s="162" t="str">
        <f>IF(ISBLANK(Q8),"",NOT(ISERROR(MATCH(Q8,Deltagarlista!$E$5:$E$64,0))))</f>
        <v/>
      </c>
      <c r="BN8" s="167"/>
      <c r="BO8" s="162">
        <f>SUM(COUNTIF($C$8:$Q$45,Deltagarlista!E5)+COUNTIF($C$53:$Q$90,Deltagarlista!E5)+COUNTIF($C$98:$Q$135,Deltagarlista!E5)+COUNTIF($C$143:$Q$180,Deltagarlista!E5))</f>
        <v>0</v>
      </c>
      <c r="BP8" s="162">
        <f>IF($U$5=3,IF(BO8&gt;2,0,1),1)</f>
        <v>1</v>
      </c>
      <c r="BQ8" s="162">
        <f>IF($U$5=6,IF(BO8&gt;4,0,1),1)</f>
        <v>1</v>
      </c>
      <c r="BR8" s="162">
        <f>IF($U$5=9,IF(BO8&gt;6,0,1),1)</f>
        <v>1</v>
      </c>
      <c r="BS8" s="162">
        <f>IF($U$5=12,IF(BO8&gt;8,0,1),1)</f>
        <v>1</v>
      </c>
      <c r="BT8" s="162">
        <f>IF($U$5=15,IF(BO8&gt;10,0,1),1)</f>
        <v>1</v>
      </c>
      <c r="BU8" s="162">
        <f>IF($U$5=18,IF($BO8&gt;12,0,1),1)</f>
        <v>1</v>
      </c>
      <c r="BV8" s="162">
        <f>IF($U$5=21,IF($BO8&gt;14,0,1),1)</f>
        <v>1</v>
      </c>
      <c r="BW8" s="162">
        <f>IF($U$5=24,IF($BO8&gt;16,0,1),1)</f>
        <v>1</v>
      </c>
      <c r="BX8" s="162">
        <f>IF($U$5=27,IF($BO8&gt;18,0,1),1)</f>
        <v>1</v>
      </c>
      <c r="BY8" s="162">
        <f>IF($U$5=30,IF($BO8&gt;20,0,1),1)</f>
        <v>1</v>
      </c>
      <c r="BZ8" s="162">
        <f>IF($U$5=33,IF($BO8&gt;22,0,1),1)</f>
        <v>1</v>
      </c>
      <c r="CA8" s="162">
        <f>IF($U$5=36,IF($BO8&gt;24,0,1),1)</f>
        <v>1</v>
      </c>
      <c r="CB8" s="162">
        <f>IF($U$5=39,IF($BO8&gt;26,0,1),1)</f>
        <v>1</v>
      </c>
      <c r="CC8" s="162">
        <f>IF($U$5=42,IF($BO8&gt;28,0,1),1)</f>
        <v>1</v>
      </c>
      <c r="CD8" s="162">
        <f>IF($U$5=45,IF($BO8&gt;30,0,1),1)</f>
        <v>1</v>
      </c>
      <c r="CE8" s="162">
        <f>IF($U$5=48,IF($BO8&gt;32,0,1),1)</f>
        <v>1</v>
      </c>
      <c r="CF8" s="162">
        <f>IF($U$5=51,IF($BO8&gt;34,0,1),1)</f>
        <v>1</v>
      </c>
      <c r="CG8" s="162">
        <f>IF($U$5=54,IF($BO8&gt;36,0,1),1)</f>
        <v>1</v>
      </c>
      <c r="CH8" s="162">
        <f>IF($U$5=57,IF($BO8&gt;38,0,1),1)</f>
        <v>1</v>
      </c>
      <c r="CI8" s="162">
        <f>IF($U$5=60,IF($BO8&gt;40,0,1),1)</f>
        <v>1</v>
      </c>
      <c r="CL8" s="184" t="str">
        <f>IF(Deltagarlista!E5="","",Deltagarlista!E5)</f>
        <v/>
      </c>
      <c r="CM8" s="162" t="str">
        <f>IF(Deltagarlista!I5="","",(IF(VLOOKUP(CL8,Deltagarlista!$E$5:$I$64,5,FALSE)="Grön","Gr",IF(VLOOKUP(CL8,Deltagarlista!$E$5:$I$64,5,FALSE)="Röd","R",IF(VLOOKUP(CL8,Deltagarlista!$E$5:$I$64,5,FALSE)="Blå","B","Gu")))))</f>
        <v/>
      </c>
      <c r="CO8" s="162" t="str">
        <f t="shared" ref="CO8:CO45" si="16">IF($U$5=1,C8,IF($U$5=2,D8,IF($U$5=3,E8,IF($U$5=4,F8,IF($U$5=5,G8,IF($U$5=6,H8,IF($U$5=7,I8,IF($U$5=8,J8,IF($U$5=9,K8,IF($U$5=10,L8,IF($U$5=11,M8,IF($U$5=12,N8,IF($U$5=13,O8,IF($U$5=14,P8,IF($U$5=15,Q8,IF($U$5=16,C53,IF($U$5=17,D53,IF($U$5=18,E53,IF($U$5=19,F53,IF($U$5=20,G53,IF($U$5=21,H53,IF($U$5=22,I53,IF($U$5=23,J53,IF($U$5=24,K53,IF($U$5=25,L53,IF($U$5=26,M53,IF($U$5=27,N53,IF($U$5=28,O53,IF($U$5=29,P53,IF($U$5=30,Q53,IF($U$5=31,C98,IF($U$5=32,D98,IF($U$5=33,E98,IF($U$5=34,F98,IF($U$5=35,G98,IF($U$5=36,H98,IF($U$5=37,I98,IF($U$5=38,J98,IF($U$5=39,K98,IF($U$5=40,L98,IF($U$5=41,M98,IF($U$5=42,N98,IF($U$5=43,O98,IF($U$5=44,P98,IF($U$5=45,Q98,IF($U$5=46,C143,IF($U$5=47,D143,IF($U$5=48,E143,IF($U$5=49,F143,IF($U$5=50,G143,IF($U$5=51,H143,IF($U$5=52,I143,IF($U$5=53,J143,IF($U$5=54,K143,IF($U$5=55,L143,IF($U$5=56,M143,IF($U$5=57,N143,IF($U$5=58,O143,IF($U$5=59,P143,IF($U$5=60,Q143,""))))))))))))))))))))))))))))))))))))))))))))))))))))))))))))</f>
        <v/>
      </c>
      <c r="CP8" s="162" t="str">
        <f t="shared" ref="CP8:CP45" si="17">VLOOKUP(CO8,$CL$8:$CM$69,2,FALSE)</f>
        <v/>
      </c>
      <c r="CQ8" s="162" t="s">
        <v>85</v>
      </c>
      <c r="CR8" s="162">
        <f>COUNTIF($CP$8:$CP$45,"Gr")</f>
        <v>0</v>
      </c>
      <c r="CT8" s="162">
        <f>IF(OR(VLOOKUP(C8,Deltagarlista!$E$5:$K$64,7,FALSE),VLOOKUP(C9,Deltagarlista!$E$5:$K$64,7,FALSE),VLOOKUP(C10,Deltagarlista!$E$5:$K$64,7,FALSE),VLOOKUP(C11,Deltagarlista!$E$5:$K$64,7,FALSE),VLOOKUP(C12,Deltagarlista!$E$5:$K$64,7,FALSE),VLOOKUP(C13,Deltagarlista!$E$5:$K$64,7,FALSE),VLOOKUP(C14,Deltagarlista!$E$5:$K$64,7,FALSE),VLOOKUP(C15,Deltagarlista!$E$5:$K$64,7,FALSE),VLOOKUP(C16,Deltagarlista!$E$5:$K$64,7,FALSE),VLOOKUP(C17,Deltagarlista!$E$5:$K$64,7,FALSE),VLOOKUP(C18,Deltagarlista!$E$5:$K$64,7,FALSE),VLOOKUP(C19,Deltagarlista!$E$5:$K$64,7,FALSE),VLOOKUP(C20,Deltagarlista!$E$5:$K$64,7,FALSE),VLOOKUP(C21,Deltagarlista!$E$5:$K$64,7,FALSE),VLOOKUP(C22,Deltagarlista!$E$5:$K$64,7,FALSE),VLOOKUP(C23,Deltagarlista!$E$5:$K$64,7,FALSE),VLOOKUP(C24,Deltagarlista!$E$5:$K$64,7,FALSE),VLOOKUP(C25,Deltagarlista!$E$5:$K$64,7,FALSE),VLOOKUP(C26,Deltagarlista!$E$5:$K$64,7,FALSE),VLOOKUP(C27,Deltagarlista!$E$5:$K$64,7,FALSE),VLOOKUP(C28,Deltagarlista!$E$5:$K$64,7,FALSE),VLOOKUP(C29,Deltagarlista!$E$5:$K$64,7,FALSE),VLOOKUP(C30,Deltagarlista!$E$5:$K$64,7,FALSE),VLOOKUP(C31,Deltagarlista!$E$5:$K$64,7,FALSE),VLOOKUP(C32,Deltagarlista!$E$5:$K$64,7,FALSE),VLOOKUP(C33,Deltagarlista!$E$5:$K$64,7,FALSE),VLOOKUP(C34,Deltagarlista!$E$5:$K$64,7,FALSE),VLOOKUP(C35,Deltagarlista!$E$5:$K$64,7,FALSE),VLOOKUP(C36,Deltagarlista!$E$5:$K$64,7,FALSE),VLOOKUP(C37,Deltagarlista!$E$5:$K$64,7,FALSE),VLOOKUP(C38,Deltagarlista!$E$5:$K$64,7,FALSE),VLOOKUP(C39,Deltagarlista!$E$5:$K$64,7,FALSE),VLOOKUP(C40,Deltagarlista!$E$5:$K$64,7,FALSE),VLOOKUP(C41,Deltagarlista!$E$5:$K$64,7,FALSE),VLOOKUP(C42,Deltagarlista!$E$5:$K$64,7,FALSE),VLOOKUP(C43,Deltagarlista!$E$5:$K$64,7,FALSE),VLOOKUP(C44,Deltagarlista!$E$5:$K$64,7,FALSE))="3",1,IF(OR(VLOOKUP(C8,Deltagarlista!$E$5:$K$64,7,FALSE),VLOOKUP(C9,Deltagarlista!$E$5:$K$64,7,FALSE),VLOOKUP(C10,Deltagarlista!$E$5:$K$64,7,FALSE),VLOOKUP(C11,Deltagarlista!$E$5:$K$64,7,FALSE),VLOOKUP(C12,Deltagarlista!$E$5:$K$64,7,FALSE),VLOOKUP(C13,Deltagarlista!$E$5:$K$64,7,FALSE),VLOOKUP(C14,Deltagarlista!$E$5:$K$64,7,FALSE),VLOOKUP(C15,Deltagarlista!$E$5:$K$64,7,FALSE),VLOOKUP(C16,Deltagarlista!$E$5:$K$64,7,FALSE),VLOOKUP(C17,Deltagarlista!$E$5:$K$64,7,FALSE),VLOOKUP(C18,Deltagarlista!$E$5:$K$64,7,FALSE),VLOOKUP(C19,Deltagarlista!$E$5:$K$64,7,FALSE),VLOOKUP(C20,Deltagarlista!$E$5:$K$64,7,FALSE),VLOOKUP(C21,Deltagarlista!$E$5:$K$64,7,FALSE),VLOOKUP(C22,Deltagarlista!$E$5:$K$64,7,FALSE),VLOOKUP(C23,Deltagarlista!$E$5:$K$64,7,FALSE),VLOOKUP(C24,Deltagarlista!$E$5:$K$64,7,FALSE),VLOOKUP(C25,Deltagarlista!$E$5:$K$64,7,FALSE),VLOOKUP(C26,Deltagarlista!$E$5:$K$64,7,FALSE),VLOOKUP(C27,Deltagarlista!$E$5:$K$64,7,FALSE),VLOOKUP(C28,Deltagarlista!$E$5:$K$64,7,FALSE),VLOOKUP(C29,Deltagarlista!$E$5:$K$64,7,FALSE),VLOOKUP(C30,Deltagarlista!$E$5:$K$64,7,FALSE),VLOOKUP(C31,Deltagarlista!$E$5:$K$64,7,FALSE),VLOOKUP(C32,Deltagarlista!$E$5:$K$64,7,FALSE),VLOOKUP(C33,Deltagarlista!$E$5:$K$64,7,FALSE),VLOOKUP(C34,Deltagarlista!$E$5:$K$64,7,FALSE),VLOOKUP(C35,Deltagarlista!$E$5:$K$64,7,FALSE),VLOOKUP(C36,Deltagarlista!$E$5:$K$64,7,FALSE),VLOOKUP(C37,Deltagarlista!$E$5:$K$64,7,FALSE),VLOOKUP(C38,Deltagarlista!$E$5:$K$64,7,FALSE),VLOOKUP(C39,Deltagarlista!$E$5:$K$64,7,FALSE),VLOOKUP(C40,Deltagarlista!$E$5:$K$64,7,FALSE),VLOOKUP(C41,Deltagarlista!$E$5:$K$64,7,FALSE),VLOOKUP(C42,Deltagarlista!$E$5:$K$64,7,FALSE),VLOOKUP(C43,Deltagarlista!$E$5:$K$64,7,FALSE),VLOOKUP(C44,Deltagarlista!$E$5:$K$64,7,FALSE))="4",1,0))</f>
        <v>1</v>
      </c>
      <c r="CU8" s="162">
        <f>IF(OR(VLOOKUP(D8,Deltagarlista!$E$5:$K$64,7,FALSE),VLOOKUP(D9,Deltagarlista!$E$5:$K$64,7,FALSE),VLOOKUP(D10,Deltagarlista!$E$5:$K$64,7,FALSE),VLOOKUP(D11,Deltagarlista!$E$5:$K$64,7,FALSE),VLOOKUP(D12,Deltagarlista!$E$5:$K$64,7,FALSE),VLOOKUP(D13,Deltagarlista!$E$5:$K$64,7,FALSE),VLOOKUP(D14,Deltagarlista!$E$5:$K$64,7,FALSE),VLOOKUP(D15,Deltagarlista!$E$5:$K$64,7,FALSE),VLOOKUP(D16,Deltagarlista!$E$5:$K$64,7,FALSE),VLOOKUP(D17,Deltagarlista!$E$5:$K$64,7,FALSE),VLOOKUP(D18,Deltagarlista!$E$5:$K$64,7,FALSE),VLOOKUP(D19,Deltagarlista!$E$5:$K$64,7,FALSE),VLOOKUP(D20,Deltagarlista!$E$5:$K$64,7,FALSE),VLOOKUP(D21,Deltagarlista!$E$5:$K$64,7,FALSE),VLOOKUP(D22,Deltagarlista!$E$5:$K$64,7,FALSE),VLOOKUP(D23,Deltagarlista!$E$5:$K$64,7,FALSE),VLOOKUP(D24,Deltagarlista!$E$5:$K$64,7,FALSE),VLOOKUP(D25,Deltagarlista!$E$5:$K$64,7,FALSE),VLOOKUP(D26,Deltagarlista!$E$5:$K$64,7,FALSE),VLOOKUP(D27,Deltagarlista!$E$5:$K$64,7,FALSE),VLOOKUP(D28,Deltagarlista!$E$5:$K$64,7,FALSE),VLOOKUP(D29,Deltagarlista!$E$5:$K$64,7,FALSE),VLOOKUP(D30,Deltagarlista!$E$5:$K$64,7,FALSE),VLOOKUP(D31,Deltagarlista!$E$5:$K$64,7,FALSE),VLOOKUP(D32,Deltagarlista!$E$5:$K$64,7,FALSE),VLOOKUP(D33,Deltagarlista!$E$5:$K$64,7,FALSE),VLOOKUP(D34,Deltagarlista!$E$5:$K$64,7,FALSE),VLOOKUP(D35,Deltagarlista!$E$5:$K$64,7,FALSE),VLOOKUP(D36,Deltagarlista!$E$5:$K$64,7,FALSE),VLOOKUP(D37,Deltagarlista!$E$5:$K$64,7,FALSE),VLOOKUP(D38,Deltagarlista!$E$5:$K$64,7,FALSE),VLOOKUP(D39,Deltagarlista!$E$5:$K$64,7,FALSE),VLOOKUP(D40,Deltagarlista!$E$5:$K$64,7,FALSE),VLOOKUP(D41,Deltagarlista!$E$5:$K$64,7,FALSE),VLOOKUP(D42,Deltagarlista!$E$5:$K$64,7,FALSE),VLOOKUP(D43,Deltagarlista!$E$5:$K$64,7,FALSE),VLOOKUP(D44,Deltagarlista!$E$5:$K$64,7,FALSE))="1",1,IF(OR(VLOOKUP(D8,Deltagarlista!$E$5:$K$64,7,FALSE),VLOOKUP(D9,Deltagarlista!$E$5:$K$64,7,FALSE),VLOOKUP(D10,Deltagarlista!$E$5:$K$64,7,FALSE),VLOOKUP(D11,Deltagarlista!$E$5:$K$64,7,FALSE),VLOOKUP(D12,Deltagarlista!$E$5:$K$64,7,FALSE),VLOOKUP(D13,Deltagarlista!$E$5:$K$64,7,FALSE),VLOOKUP(D14,Deltagarlista!$E$5:$K$64,7,FALSE),VLOOKUP(D15,Deltagarlista!$E$5:$K$64,7,FALSE),VLOOKUP(D16,Deltagarlista!$E$5:$K$64,7,FALSE),VLOOKUP(D17,Deltagarlista!$E$5:$K$64,7,FALSE),VLOOKUP(D18,Deltagarlista!$E$5:$K$64,7,FALSE),VLOOKUP(D19,Deltagarlista!$E$5:$K$64,7,FALSE),VLOOKUP(D20,Deltagarlista!$E$5:$K$64,7,FALSE),VLOOKUP(D21,Deltagarlista!$E$5:$K$64,7,FALSE),VLOOKUP(D22,Deltagarlista!$E$5:$K$64,7,FALSE),VLOOKUP(D23,Deltagarlista!$E$5:$K$64,7,FALSE),VLOOKUP(D24,Deltagarlista!$E$5:$K$64,7,FALSE),VLOOKUP(D25,Deltagarlista!$E$5:$K$64,7,FALSE),VLOOKUP(D26,Deltagarlista!$E$5:$K$64,7,FALSE),VLOOKUP(D27,Deltagarlista!$E$5:$K$64,7,FALSE),VLOOKUP(D28,Deltagarlista!$E$5:$K$64,7,FALSE),VLOOKUP(D29,Deltagarlista!$E$5:$K$64,7,FALSE),VLOOKUP(D30,Deltagarlista!$E$5:$K$64,7,FALSE),VLOOKUP(D31,Deltagarlista!$E$5:$K$64,7,FALSE),VLOOKUP(D32,Deltagarlista!$E$5:$K$64,7,FALSE),VLOOKUP(D33,Deltagarlista!$E$5:$K$64,7,FALSE),VLOOKUP(D34,Deltagarlista!$E$5:$K$64,7,FALSE),VLOOKUP(D35,Deltagarlista!$E$5:$K$64,7,FALSE),VLOOKUP(D36,Deltagarlista!$E$5:$K$64,7,FALSE),VLOOKUP(D37,Deltagarlista!$E$5:$K$64,7,FALSE),VLOOKUP(D38,Deltagarlista!$E$5:$K$64,7,FALSE),VLOOKUP(D39,Deltagarlista!$E$5:$K$64,7,FALSE),VLOOKUP(D40,Deltagarlista!$E$5:$K$64,7,FALSE),VLOOKUP(D41,Deltagarlista!$E$5:$K$64,7,FALSE),VLOOKUP(D42,Deltagarlista!$E$5:$K$64,7,FALSE),VLOOKUP(D43,Deltagarlista!$E$5:$K$64,7,FALSE),VLOOKUP(D44,Deltagarlista!$E$5:$K$64,7,FALSE))="2",1,0))</f>
        <v>1</v>
      </c>
      <c r="CV8" s="162">
        <f>IF(OR(VLOOKUP(E8,Deltagarlista!$E$5:$K$64,7,FALSE),VLOOKUP(E9,Deltagarlista!$E$5:$K$64,7,FALSE),VLOOKUP(E10,Deltagarlista!$E$5:$K$64,7,FALSE),VLOOKUP(E11,Deltagarlista!$E$5:$K$64,7,FALSE),VLOOKUP(E12,Deltagarlista!$E$5:$K$64,7,FALSE),VLOOKUP(E13,Deltagarlista!$E$5:$K$64,7,FALSE),VLOOKUP(E14,Deltagarlista!$E$5:$K$64,7,FALSE),VLOOKUP(E15,Deltagarlista!$E$5:$K$64,7,FALSE),VLOOKUP(E16,Deltagarlista!$E$5:$K$64,7,FALSE),VLOOKUP(E17,Deltagarlista!$E$5:$K$64,7,FALSE),VLOOKUP(E18,Deltagarlista!$E$5:$K$64,7,FALSE),VLOOKUP(E19,Deltagarlista!$E$5:$K$64,7,FALSE),VLOOKUP(E20,Deltagarlista!$E$5:$K$64,7,FALSE),VLOOKUP(E21,Deltagarlista!$E$5:$K$64,7,FALSE),VLOOKUP(E22,Deltagarlista!$E$5:$K$64,7,FALSE),VLOOKUP(E23,Deltagarlista!$E$5:$K$64,7,FALSE),VLOOKUP(E24,Deltagarlista!$E$5:$K$64,7,FALSE),VLOOKUP(E25,Deltagarlista!$E$5:$K$64,7,FALSE),VLOOKUP(E26,Deltagarlista!$E$5:$K$64,7,FALSE),VLOOKUP(E27,Deltagarlista!$E$5:$K$64,7,FALSE),VLOOKUP(E28,Deltagarlista!$E$5:$K$64,7,FALSE),VLOOKUP(E29,Deltagarlista!$E$5:$K$64,7,FALSE),VLOOKUP(E30,Deltagarlista!$E$5:$K$64,7,FALSE),VLOOKUP(E31,Deltagarlista!$E$5:$K$64,7,FALSE),VLOOKUP(E32,Deltagarlista!$E$5:$K$64,7,FALSE),VLOOKUP(E33,Deltagarlista!$E$5:$K$64,7,FALSE),VLOOKUP(E34,Deltagarlista!$E$5:$K$64,7,FALSE),VLOOKUP(E35,Deltagarlista!$E$5:$K$64,7,FALSE),VLOOKUP(E36,Deltagarlista!$E$5:$K$64,7,FALSE),VLOOKUP(E37,Deltagarlista!$E$5:$K$64,7,FALSE),VLOOKUP(E38,Deltagarlista!$E$5:$K$64,7,FALSE),VLOOKUP(E39,Deltagarlista!$E$5:$K$64,7,FALSE),VLOOKUP(E40,Deltagarlista!$E$5:$K$64,7,FALSE),VLOOKUP(E41,Deltagarlista!$E$5:$K$64,7,FALSE),VLOOKUP(E42,Deltagarlista!$E$5:$K$64,7,FALSE),VLOOKUP(E43,Deltagarlista!$E$5:$K$64,7,FALSE),VLOOKUP(E44,Deltagarlista!$E$5:$K$64,7,FALSE))="2",1,IF(OR(VLOOKUP(E8,Deltagarlista!$E$5:$K$64,7,FALSE),VLOOKUP(E9,Deltagarlista!$E$5:$K$64,7,FALSE),VLOOKUP(E10,Deltagarlista!$E$5:$K$64,7,FALSE),VLOOKUP(E11,Deltagarlista!$E$5:$K$64,7,FALSE),VLOOKUP(E12,Deltagarlista!$E$5:$K$64,7,FALSE),VLOOKUP(E13,Deltagarlista!$E$5:$K$64,7,FALSE),VLOOKUP(E14,Deltagarlista!$E$5:$K$64,7,FALSE),VLOOKUP(E15,Deltagarlista!$E$5:$K$64,7,FALSE),VLOOKUP(E16,Deltagarlista!$E$5:$K$64,7,FALSE),VLOOKUP(E17,Deltagarlista!$E$5:$K$64,7,FALSE),VLOOKUP(E18,Deltagarlista!$E$5:$K$64,7,FALSE),VLOOKUP(E19,Deltagarlista!$E$5:$K$64,7,FALSE),VLOOKUP(E20,Deltagarlista!$E$5:$K$64,7,FALSE),VLOOKUP(E21,Deltagarlista!$E$5:$K$64,7,FALSE),VLOOKUP(E22,Deltagarlista!$E$5:$K$64,7,FALSE),VLOOKUP(E23,Deltagarlista!$E$5:$K$64,7,FALSE),VLOOKUP(E24,Deltagarlista!$E$5:$K$64,7,FALSE),VLOOKUP(E25,Deltagarlista!$E$5:$K$64,7,FALSE),VLOOKUP(E26,Deltagarlista!$E$5:$K$64,7,FALSE),VLOOKUP(E27,Deltagarlista!$E$5:$K$64,7,FALSE),VLOOKUP(E28,Deltagarlista!$E$5:$K$64,7,FALSE),VLOOKUP(E29,Deltagarlista!$E$5:$K$64,7,FALSE),VLOOKUP(E30,Deltagarlista!$E$5:$K$64,7,FALSE),VLOOKUP(E31,Deltagarlista!$E$5:$K$64,7,FALSE),VLOOKUP(E32,Deltagarlista!$E$5:$K$64,7,FALSE),VLOOKUP(E33,Deltagarlista!$E$5:$K$64,7,FALSE),VLOOKUP(E34,Deltagarlista!$E$5:$K$64,7,FALSE),VLOOKUP(E35,Deltagarlista!$E$5:$K$64,7,FALSE),VLOOKUP(E36,Deltagarlista!$E$5:$K$64,7,FALSE),VLOOKUP(E37,Deltagarlista!$E$5:$K$64,7,FALSE),VLOOKUP(E38,Deltagarlista!$E$5:$K$64,7,FALSE),VLOOKUP(E39,Deltagarlista!$E$5:$K$64,7,FALSE),VLOOKUP(E40,Deltagarlista!$E$5:$K$64,7,FALSE),VLOOKUP(E41,Deltagarlista!$E$5:$K$64,7,FALSE),VLOOKUP(E42,Deltagarlista!$E$5:$K$64,7,FALSE),VLOOKUP(E43,Deltagarlista!$E$5:$K$64,7,FALSE),VLOOKUP(E44,Deltagarlista!$E$5:$K$64,7,FALSE))="4",1,0))</f>
        <v>1</v>
      </c>
      <c r="CW8" s="162">
        <f>IF(OR(VLOOKUP(F8,Deltagarlista!$E$5:$K$64,7,FALSE),VLOOKUP(F9,Deltagarlista!$E$5:$K$64,7,FALSE),VLOOKUP(F10,Deltagarlista!$E$5:$K$64,7,FALSE),VLOOKUP(F11,Deltagarlista!$E$5:$K$64,7,FALSE),VLOOKUP(F12,Deltagarlista!$E$5:$K$64,7,FALSE),VLOOKUP(F13,Deltagarlista!$E$5:$K$64,7,FALSE),VLOOKUP(F14,Deltagarlista!$E$5:$K$64,7,FALSE),VLOOKUP(F15,Deltagarlista!$E$5:$K$64,7,FALSE),VLOOKUP(F16,Deltagarlista!$E$5:$K$64,7,FALSE),VLOOKUP(F17,Deltagarlista!$E$5:$K$64,7,FALSE),VLOOKUP(F18,Deltagarlista!$E$5:$K$64,7,FALSE),VLOOKUP(F19,Deltagarlista!$E$5:$K$64,7,FALSE),VLOOKUP(F20,Deltagarlista!$E$5:$K$64,7,FALSE),VLOOKUP(F21,Deltagarlista!$E$5:$K$64,7,FALSE),VLOOKUP(F22,Deltagarlista!$E$5:$K$64,7,FALSE),VLOOKUP(F23,Deltagarlista!$E$5:$K$64,7,FALSE),VLOOKUP(F24,Deltagarlista!$E$5:$K$64,7,FALSE),VLOOKUP(F25,Deltagarlista!$E$5:$K$64,7,FALSE),VLOOKUP(F26,Deltagarlista!$E$5:$K$64,7,FALSE),VLOOKUP(F27,Deltagarlista!$E$5:$K$64,7,FALSE),VLOOKUP(F28,Deltagarlista!$E$5:$K$64,7,FALSE),VLOOKUP(F29,Deltagarlista!$E$5:$K$64,7,FALSE),VLOOKUP(F30,Deltagarlista!$E$5:$K$64,7,FALSE),VLOOKUP(F31,Deltagarlista!$E$5:$K$64,7,FALSE),VLOOKUP(F32,Deltagarlista!$E$5:$K$64,7,FALSE),VLOOKUP(F33,Deltagarlista!$E$5:$K$64,7,FALSE),VLOOKUP(F34,Deltagarlista!$E$5:$K$64,7,FALSE),VLOOKUP(F35,Deltagarlista!$E$5:$K$64,7,FALSE),VLOOKUP(F36,Deltagarlista!$E$5:$K$64,7,FALSE),VLOOKUP(F37,Deltagarlista!$E$5:$K$64,7,FALSE),VLOOKUP(F38,Deltagarlista!$E$5:$K$64,7,FALSE),VLOOKUP(F39,Deltagarlista!$E$5:$K$64,7,FALSE),VLOOKUP(F40,Deltagarlista!$E$5:$K$64,7,FALSE),VLOOKUP(F41,Deltagarlista!$E$5:$K$64,7,FALSE),VLOOKUP(F42,Deltagarlista!$E$5:$K$64,7,FALSE),VLOOKUP(F43,Deltagarlista!$E$5:$K$64,7,FALSE),VLOOKUP(F44,Deltagarlista!$E$5:$K$64,7,FALSE))="1",1,IF(OR(VLOOKUP(F8,Deltagarlista!$E$5:$K$64,7,FALSE),VLOOKUP(F9,Deltagarlista!$E$5:$K$64,7,FALSE),VLOOKUP(F10,Deltagarlista!$E$5:$K$64,7,FALSE),VLOOKUP(F11,Deltagarlista!$E$5:$K$64,7,FALSE),VLOOKUP(F12,Deltagarlista!$E$5:$K$64,7,FALSE),VLOOKUP(F13,Deltagarlista!$E$5:$K$64,7,FALSE),VLOOKUP(F14,Deltagarlista!$E$5:$K$64,7,FALSE),VLOOKUP(F15,Deltagarlista!$E$5:$K$64,7,FALSE),VLOOKUP(F16,Deltagarlista!$E$5:$K$64,7,FALSE),VLOOKUP(F17,Deltagarlista!$E$5:$K$64,7,FALSE),VLOOKUP(F18,Deltagarlista!$E$5:$K$64,7,FALSE),VLOOKUP(F19,Deltagarlista!$E$5:$K$64,7,FALSE),VLOOKUP(F20,Deltagarlista!$E$5:$K$64,7,FALSE),VLOOKUP(F21,Deltagarlista!$E$5:$K$64,7,FALSE),VLOOKUP(F22,Deltagarlista!$E$5:$K$64,7,FALSE),VLOOKUP(F23,Deltagarlista!$E$5:$K$64,7,FALSE),VLOOKUP(F24,Deltagarlista!$E$5:$K$64,7,FALSE),VLOOKUP(F25,Deltagarlista!$E$5:$K$64,7,FALSE),VLOOKUP(F26,Deltagarlista!$E$5:$K$64,7,FALSE),VLOOKUP(F27,Deltagarlista!$E$5:$K$64,7,FALSE),VLOOKUP(F28,Deltagarlista!$E$5:$K$64,7,FALSE),VLOOKUP(F29,Deltagarlista!$E$5:$K$64,7,FALSE),VLOOKUP(F30,Deltagarlista!$E$5:$K$64,7,FALSE),VLOOKUP(F31,Deltagarlista!$E$5:$K$64,7,FALSE),VLOOKUP(F32,Deltagarlista!$E$5:$K$64,7,FALSE),VLOOKUP(F33,Deltagarlista!$E$5:$K$64,7,FALSE),VLOOKUP(F34,Deltagarlista!$E$5:$K$64,7,FALSE),VLOOKUP(F35,Deltagarlista!$E$5:$K$64,7,FALSE),VLOOKUP(F36,Deltagarlista!$E$5:$K$64,7,FALSE),VLOOKUP(F37,Deltagarlista!$E$5:$K$64,7,FALSE),VLOOKUP(F38,Deltagarlista!$E$5:$K$64,7,FALSE),VLOOKUP(F39,Deltagarlista!$E$5:$K$64,7,FALSE),VLOOKUP(F40,Deltagarlista!$E$5:$K$64,7,FALSE),VLOOKUP(F41,Deltagarlista!$E$5:$K$64,7,FALSE),VLOOKUP(F42,Deltagarlista!$E$5:$K$64,7,FALSE),VLOOKUP(F43,Deltagarlista!$E$5:$K$64,7,FALSE),VLOOKUP(F44,Deltagarlista!$E$5:$K$64,7,FALSE))="3",1,0))</f>
        <v>1</v>
      </c>
      <c r="CX8" s="162">
        <f>IF(OR(VLOOKUP(G8,Deltagarlista!$E$5:$K$64,7,FALSE),VLOOKUP(G9,Deltagarlista!$E$5:$K$64,7,FALSE),VLOOKUP(G10,Deltagarlista!$E$5:$K$64,7,FALSE),VLOOKUP(G11,Deltagarlista!$E$5:$K$64,7,FALSE),VLOOKUP(G12,Deltagarlista!$E$5:$K$64,7,FALSE),VLOOKUP(G13,Deltagarlista!$E$5:$K$64,7,FALSE),VLOOKUP(G14,Deltagarlista!$E$5:$K$64,7,FALSE),VLOOKUP(G15,Deltagarlista!$E$5:$K$64,7,FALSE),VLOOKUP(G16,Deltagarlista!$E$5:$K$64,7,FALSE),VLOOKUP(G17,Deltagarlista!$E$5:$K$64,7,FALSE),VLOOKUP(G18,Deltagarlista!$E$5:$K$64,7,FALSE),VLOOKUP(G19,Deltagarlista!$E$5:$K$64,7,FALSE),VLOOKUP(G20,Deltagarlista!$E$5:$K$64,7,FALSE),VLOOKUP(G21,Deltagarlista!$E$5:$K$64,7,FALSE),VLOOKUP(G22,Deltagarlista!$E$5:$K$64,7,FALSE),VLOOKUP(G23,Deltagarlista!$E$5:$K$64,7,FALSE),VLOOKUP(G24,Deltagarlista!$E$5:$K$64,7,FALSE),VLOOKUP(G25,Deltagarlista!$E$5:$K$64,7,FALSE),VLOOKUP(G26,Deltagarlista!$E$5:$K$64,7,FALSE),VLOOKUP(G27,Deltagarlista!$E$5:$K$64,7,FALSE),VLOOKUP(G28,Deltagarlista!$E$5:$K$64,7,FALSE),VLOOKUP(G29,Deltagarlista!$E$5:$K$64,7,FALSE),VLOOKUP(G30,Deltagarlista!$E$5:$K$64,7,FALSE),VLOOKUP(G31,Deltagarlista!$E$5:$K$64,7,FALSE),VLOOKUP(G32,Deltagarlista!$E$5:$K$64,7,FALSE),VLOOKUP(G33,Deltagarlista!$E$5:$K$64,7,FALSE),VLOOKUP(G34,Deltagarlista!$E$5:$K$64,7,FALSE),VLOOKUP(G35,Deltagarlista!$E$5:$K$64,7,FALSE),VLOOKUP(G36,Deltagarlista!$E$5:$K$64,7,FALSE),VLOOKUP(G37,Deltagarlista!$E$5:$K$64,7,FALSE),VLOOKUP(G38,Deltagarlista!$E$5:$K$64,7,FALSE),VLOOKUP(G39,Deltagarlista!$E$5:$K$64,7,FALSE),VLOOKUP(G40,Deltagarlista!$E$5:$K$64,7,FALSE),VLOOKUP(G41,Deltagarlista!$E$5:$K$64,7,FALSE),VLOOKUP(G42,Deltagarlista!$E$5:$K$64,7,FALSE),VLOOKUP(G43,Deltagarlista!$E$5:$K$64,7,FALSE),VLOOKUP(G44,Deltagarlista!$E$5:$K$64,7,FALSE))="2",1,IF(OR(VLOOKUP(G8,Deltagarlista!$E$5:$K$64,7,FALSE),VLOOKUP(G9,Deltagarlista!$E$5:$K$64,7,FALSE),VLOOKUP(G10,Deltagarlista!$E$5:$K$64,7,FALSE),VLOOKUP(G11,Deltagarlista!$E$5:$K$64,7,FALSE),VLOOKUP(G12,Deltagarlista!$E$5:$K$64,7,FALSE),VLOOKUP(G13,Deltagarlista!$E$5:$K$64,7,FALSE),VLOOKUP(G14,Deltagarlista!$E$5:$K$64,7,FALSE),VLOOKUP(G15,Deltagarlista!$E$5:$K$64,7,FALSE),VLOOKUP(G16,Deltagarlista!$E$5:$K$64,7,FALSE),VLOOKUP(G17,Deltagarlista!$E$5:$K$64,7,FALSE),VLOOKUP(G18,Deltagarlista!$E$5:$K$64,7,FALSE),VLOOKUP(G19,Deltagarlista!$E$5:$K$64,7,FALSE),VLOOKUP(G20,Deltagarlista!$E$5:$K$64,7,FALSE),VLOOKUP(G21,Deltagarlista!$E$5:$K$64,7,FALSE),VLOOKUP(G22,Deltagarlista!$E$5:$K$64,7,FALSE),VLOOKUP(G23,Deltagarlista!$E$5:$K$64,7,FALSE),VLOOKUP(G24,Deltagarlista!$E$5:$K$64,7,FALSE),VLOOKUP(G25,Deltagarlista!$E$5:$K$64,7,FALSE),VLOOKUP(G26,Deltagarlista!$E$5:$K$64,7,FALSE),VLOOKUP(G27,Deltagarlista!$E$5:$K$64,7,FALSE),VLOOKUP(G28,Deltagarlista!$E$5:$K$64,7,FALSE),VLOOKUP(G29,Deltagarlista!$E$5:$K$64,7,FALSE),VLOOKUP(G30,Deltagarlista!$E$5:$K$64,7,FALSE),VLOOKUP(G31,Deltagarlista!$E$5:$K$64,7,FALSE),VLOOKUP(G32,Deltagarlista!$E$5:$K$64,7,FALSE),VLOOKUP(G33,Deltagarlista!$E$5:$K$64,7,FALSE),VLOOKUP(G34,Deltagarlista!$E$5:$K$64,7,FALSE),VLOOKUP(G35,Deltagarlista!$E$5:$K$64,7,FALSE),VLOOKUP(G36,Deltagarlista!$E$5:$K$64,7,FALSE),VLOOKUP(G37,Deltagarlista!$E$5:$K$64,7,FALSE),VLOOKUP(G38,Deltagarlista!$E$5:$K$64,7,FALSE),VLOOKUP(G39,Deltagarlista!$E$5:$K$64,7,FALSE),VLOOKUP(G40,Deltagarlista!$E$5:$K$64,7,FALSE),VLOOKUP(G41,Deltagarlista!$E$5:$K$64,7,FALSE),VLOOKUP(G42,Deltagarlista!$E$5:$K$64,7,FALSE),VLOOKUP(G43,Deltagarlista!$E$5:$K$64,7,FALSE),VLOOKUP(G44,Deltagarlista!$E$5:$K$64,7,FALSE))="3",1,0))</f>
        <v>1</v>
      </c>
      <c r="CY8" s="162">
        <f>IF(OR(VLOOKUP(H8,Deltagarlista!$E$5:$K$64,7,FALSE),VLOOKUP(H9,Deltagarlista!$E$5:$K$64,7,FALSE),VLOOKUP(H10,Deltagarlista!$E$5:$K$64,7,FALSE),VLOOKUP(H11,Deltagarlista!$E$5:$K$64,7,FALSE),VLOOKUP(H12,Deltagarlista!$E$5:$K$64,7,FALSE),VLOOKUP(H13,Deltagarlista!$E$5:$K$64,7,FALSE),VLOOKUP(H14,Deltagarlista!$E$5:$K$64,7,FALSE),VLOOKUP(H15,Deltagarlista!$E$5:$K$64,7,FALSE),VLOOKUP(H16,Deltagarlista!$E$5:$K$64,7,FALSE),VLOOKUP(H17,Deltagarlista!$E$5:$K$64,7,FALSE),VLOOKUP(H18,Deltagarlista!$E$5:$K$64,7,FALSE),VLOOKUP(H19,Deltagarlista!$E$5:$K$64,7,FALSE),VLOOKUP(H20,Deltagarlista!$E$5:$K$64,7,FALSE),VLOOKUP(H21,Deltagarlista!$E$5:$K$64,7,FALSE),VLOOKUP(H22,Deltagarlista!$E$5:$K$64,7,FALSE),VLOOKUP(H23,Deltagarlista!$E$5:$K$64,7,FALSE),VLOOKUP(H24,Deltagarlista!$E$5:$K$64,7,FALSE),VLOOKUP(H25,Deltagarlista!$E$5:$K$64,7,FALSE),VLOOKUP(H26,Deltagarlista!$E$5:$K$64,7,FALSE),VLOOKUP(H27,Deltagarlista!$E$5:$K$64,7,FALSE),VLOOKUP(H28,Deltagarlista!$E$5:$K$64,7,FALSE),VLOOKUP(H29,Deltagarlista!$E$5:$K$64,7,FALSE),VLOOKUP(H30,Deltagarlista!$E$5:$K$64,7,FALSE),VLOOKUP(H31,Deltagarlista!$E$5:$K$64,7,FALSE),VLOOKUP(H32,Deltagarlista!$E$5:$K$64,7,FALSE),VLOOKUP(H33,Deltagarlista!$E$5:$K$64,7,FALSE),VLOOKUP(H34,Deltagarlista!$E$5:$K$64,7,FALSE),VLOOKUP(H35,Deltagarlista!$E$5:$K$64,7,FALSE),VLOOKUP(H36,Deltagarlista!$E$5:$K$64,7,FALSE),VLOOKUP(H37,Deltagarlista!$E$5:$K$64,7,FALSE),VLOOKUP(H38,Deltagarlista!$E$5:$K$64,7,FALSE),VLOOKUP(H39,Deltagarlista!$E$5:$K$64,7,FALSE),VLOOKUP(H40,Deltagarlista!$E$5:$K$64,7,FALSE),VLOOKUP(H41,Deltagarlista!$E$5:$K$64,7,FALSE),VLOOKUP(H42,Deltagarlista!$E$5:$K$64,7,FALSE),VLOOKUP(H43,Deltagarlista!$E$5:$K$64,7,FALSE),VLOOKUP(H44,Deltagarlista!$E$5:$K$64,7,FALSE))="1",1,IF(OR(VLOOKUP(H8,Deltagarlista!$E$5:$K$64,7,FALSE),VLOOKUP(H9,Deltagarlista!$E$5:$K$64,7,FALSE),VLOOKUP(H10,Deltagarlista!$E$5:$K$64,7,FALSE),VLOOKUP(H11,Deltagarlista!$E$5:$K$64,7,FALSE),VLOOKUP(H12,Deltagarlista!$E$5:$K$64,7,FALSE),VLOOKUP(H13,Deltagarlista!$E$5:$K$64,7,FALSE),VLOOKUP(H14,Deltagarlista!$E$5:$K$64,7,FALSE),VLOOKUP(H15,Deltagarlista!$E$5:$K$64,7,FALSE),VLOOKUP(H16,Deltagarlista!$E$5:$K$64,7,FALSE),VLOOKUP(H17,Deltagarlista!$E$5:$K$64,7,FALSE),VLOOKUP(H18,Deltagarlista!$E$5:$K$64,7,FALSE),VLOOKUP(H19,Deltagarlista!$E$5:$K$64,7,FALSE),VLOOKUP(H20,Deltagarlista!$E$5:$K$64,7,FALSE),VLOOKUP(H21,Deltagarlista!$E$5:$K$64,7,FALSE),VLOOKUP(H22,Deltagarlista!$E$5:$K$64,7,FALSE),VLOOKUP(H23,Deltagarlista!$E$5:$K$64,7,FALSE),VLOOKUP(H24,Deltagarlista!$E$5:$K$64,7,FALSE),VLOOKUP(H25,Deltagarlista!$E$5:$K$64,7,FALSE),VLOOKUP(H26,Deltagarlista!$E$5:$K$64,7,FALSE),VLOOKUP(H27,Deltagarlista!$E$5:$K$64,7,FALSE),VLOOKUP(H28,Deltagarlista!$E$5:$K$64,7,FALSE),VLOOKUP(H29,Deltagarlista!$E$5:$K$64,7,FALSE),VLOOKUP(H30,Deltagarlista!$E$5:$K$64,7,FALSE),VLOOKUP(H31,Deltagarlista!$E$5:$K$64,7,FALSE),VLOOKUP(H32,Deltagarlista!$E$5:$K$64,7,FALSE),VLOOKUP(H33,Deltagarlista!$E$5:$K$64,7,FALSE),VLOOKUP(H34,Deltagarlista!$E$5:$K$64,7,FALSE),VLOOKUP(H35,Deltagarlista!$E$5:$K$64,7,FALSE),VLOOKUP(H36,Deltagarlista!$E$5:$K$64,7,FALSE),VLOOKUP(H37,Deltagarlista!$E$5:$K$64,7,FALSE),VLOOKUP(H38,Deltagarlista!$E$5:$K$64,7,FALSE),VLOOKUP(H39,Deltagarlista!$E$5:$K$64,7,FALSE),VLOOKUP(H40,Deltagarlista!$E$5:$K$64,7,FALSE),VLOOKUP(H41,Deltagarlista!$E$5:$K$64,7,FALSE),VLOOKUP(H42,Deltagarlista!$E$5:$K$64,7,FALSE),VLOOKUP(H43,Deltagarlista!$E$5:$K$64,7,FALSE),VLOOKUP(H44,Deltagarlista!$E$5:$K$64,7,FALSE))="4",1,0))</f>
        <v>1</v>
      </c>
      <c r="CZ8" s="162">
        <f>IF(OR(VLOOKUP(I8,Deltagarlista!$E$5:$K$64,7,FALSE),VLOOKUP(I9,Deltagarlista!$E$5:$K$64,7,FALSE),VLOOKUP(I10,Deltagarlista!$E$5:$K$64,7,FALSE),VLOOKUP(I11,Deltagarlista!$E$5:$K$64,7,FALSE),VLOOKUP(I12,Deltagarlista!$E$5:$K$64,7,FALSE),VLOOKUP(I13,Deltagarlista!$E$5:$K$64,7,FALSE),VLOOKUP(I14,Deltagarlista!$E$5:$K$64,7,FALSE),VLOOKUP(I15,Deltagarlista!$E$5:$K$64,7,FALSE),VLOOKUP(I16,Deltagarlista!$E$5:$K$64,7,FALSE),VLOOKUP(I17,Deltagarlista!$E$5:$K$64,7,FALSE),VLOOKUP(I18,Deltagarlista!$E$5:$K$64,7,FALSE),VLOOKUP(I19,Deltagarlista!$E$5:$K$64,7,FALSE),VLOOKUP(I20,Deltagarlista!$E$5:$K$64,7,FALSE),VLOOKUP(I21,Deltagarlista!$E$5:$K$64,7,FALSE),VLOOKUP(I22,Deltagarlista!$E$5:$K$64,7,FALSE),VLOOKUP(I23,Deltagarlista!$E$5:$K$64,7,FALSE),VLOOKUP(I24,Deltagarlista!$E$5:$K$64,7,FALSE),VLOOKUP(I25,Deltagarlista!$E$5:$K$64,7,FALSE),VLOOKUP(I26,Deltagarlista!$E$5:$K$64,7,FALSE),VLOOKUP(I27,Deltagarlista!$E$5:$K$64,7,FALSE),VLOOKUP(I28,Deltagarlista!$E$5:$K$64,7,FALSE),VLOOKUP(I29,Deltagarlista!$E$5:$K$64,7,FALSE),VLOOKUP(I30,Deltagarlista!$E$5:$K$64,7,FALSE),VLOOKUP(I31,Deltagarlista!$E$5:$K$64,7,FALSE),VLOOKUP(I32,Deltagarlista!$E$5:$K$64,7,FALSE),VLOOKUP(I33,Deltagarlista!$E$5:$K$64,7,FALSE),VLOOKUP(I34,Deltagarlista!$E$5:$K$64,7,FALSE),VLOOKUP(I35,Deltagarlista!$E$5:$K$64,7,FALSE),VLOOKUP(I36,Deltagarlista!$E$5:$K$64,7,FALSE),VLOOKUP(I37,Deltagarlista!$E$5:$K$64,7,FALSE),VLOOKUP(I38,Deltagarlista!$E$5:$K$64,7,FALSE),VLOOKUP(I39,Deltagarlista!$E$5:$K$64,7,FALSE),VLOOKUP(I40,Deltagarlista!$E$5:$K$64,7,FALSE),VLOOKUP(I41,Deltagarlista!$E$5:$K$64,7,FALSE),VLOOKUP(I42,Deltagarlista!$E$5:$K$64,7,FALSE),VLOOKUP(I43,Deltagarlista!$E$5:$K$64,7,FALSE),VLOOKUP(I44,Deltagarlista!$E$5:$K$64,7,FALSE))="3",1,IF(OR(VLOOKUP(I8,Deltagarlista!$E$5:$K$64,7,FALSE),VLOOKUP(I9,Deltagarlista!$E$5:$K$64,7,FALSE),VLOOKUP(I10,Deltagarlista!$E$5:$K$64,7,FALSE),VLOOKUP(I11,Deltagarlista!$E$5:$K$64,7,FALSE),VLOOKUP(I12,Deltagarlista!$E$5:$K$64,7,FALSE),VLOOKUP(I13,Deltagarlista!$E$5:$K$64,7,FALSE),VLOOKUP(I14,Deltagarlista!$E$5:$K$64,7,FALSE),VLOOKUP(I15,Deltagarlista!$E$5:$K$64,7,FALSE),VLOOKUP(I16,Deltagarlista!$E$5:$K$64,7,FALSE),VLOOKUP(I17,Deltagarlista!$E$5:$K$64,7,FALSE),VLOOKUP(I18,Deltagarlista!$E$5:$K$64,7,FALSE),VLOOKUP(I19,Deltagarlista!$E$5:$K$64,7,FALSE),VLOOKUP(I20,Deltagarlista!$E$5:$K$64,7,FALSE),VLOOKUP(I21,Deltagarlista!$E$5:$K$64,7,FALSE),VLOOKUP(I22,Deltagarlista!$E$5:$K$64,7,FALSE),VLOOKUP(I23,Deltagarlista!$E$5:$K$64,7,FALSE),VLOOKUP(I24,Deltagarlista!$E$5:$K$64,7,FALSE),VLOOKUP(I25,Deltagarlista!$E$5:$K$64,7,FALSE),VLOOKUP(I26,Deltagarlista!$E$5:$K$64,7,FALSE),VLOOKUP(I27,Deltagarlista!$E$5:$K$64,7,FALSE),VLOOKUP(I28,Deltagarlista!$E$5:$K$64,7,FALSE),VLOOKUP(I29,Deltagarlista!$E$5:$K$64,7,FALSE),VLOOKUP(I30,Deltagarlista!$E$5:$K$64,7,FALSE),VLOOKUP(I31,Deltagarlista!$E$5:$K$64,7,FALSE),VLOOKUP(I32,Deltagarlista!$E$5:$K$64,7,FALSE),VLOOKUP(I33,Deltagarlista!$E$5:$K$64,7,FALSE),VLOOKUP(I34,Deltagarlista!$E$5:$K$64,7,FALSE),VLOOKUP(I35,Deltagarlista!$E$5:$K$64,7,FALSE),VLOOKUP(I36,Deltagarlista!$E$5:$K$64,7,FALSE),VLOOKUP(I37,Deltagarlista!$E$5:$K$64,7,FALSE),VLOOKUP(I38,Deltagarlista!$E$5:$K$64,7,FALSE),VLOOKUP(I39,Deltagarlista!$E$5:$K$64,7,FALSE),VLOOKUP(I40,Deltagarlista!$E$5:$K$64,7,FALSE),VLOOKUP(I41,Deltagarlista!$E$5:$K$64,7,FALSE),VLOOKUP(I42,Deltagarlista!$E$5:$K$64,7,FALSE),VLOOKUP(I43,Deltagarlista!$E$5:$K$64,7,FALSE),VLOOKUP(I44,Deltagarlista!$E$5:$K$64,7,FALSE))="4",1,0))</f>
        <v>1</v>
      </c>
      <c r="DA8" s="162">
        <f>IF(OR(VLOOKUP(J8,Deltagarlista!$E$5:$K$64,7,FALSE),VLOOKUP(J9,Deltagarlista!$E$5:$K$64,7,FALSE),VLOOKUP(J10,Deltagarlista!$E$5:$K$64,7,FALSE),VLOOKUP(J11,Deltagarlista!$E$5:$K$64,7,FALSE),VLOOKUP(J12,Deltagarlista!$E$5:$K$64,7,FALSE),VLOOKUP(J13,Deltagarlista!$E$5:$K$64,7,FALSE),VLOOKUP(J14,Deltagarlista!$E$5:$K$64,7,FALSE),VLOOKUP(J15,Deltagarlista!$E$5:$K$64,7,FALSE),VLOOKUP(J16,Deltagarlista!$E$5:$K$64,7,FALSE),VLOOKUP(J17,Deltagarlista!$E$5:$K$64,7,FALSE),VLOOKUP(J18,Deltagarlista!$E$5:$K$64,7,FALSE),VLOOKUP(J19,Deltagarlista!$E$5:$K$64,7,FALSE),VLOOKUP(J20,Deltagarlista!$E$5:$K$64,7,FALSE),VLOOKUP(J21,Deltagarlista!$E$5:$K$64,7,FALSE),VLOOKUP(J22,Deltagarlista!$E$5:$K$64,7,FALSE),VLOOKUP(J23,Deltagarlista!$E$5:$K$64,7,FALSE),VLOOKUP(J24,Deltagarlista!$E$5:$K$64,7,FALSE),VLOOKUP(J25,Deltagarlista!$E$5:$K$64,7,FALSE),VLOOKUP(J26,Deltagarlista!$E$5:$K$64,7,FALSE),VLOOKUP(J27,Deltagarlista!$E$5:$K$64,7,FALSE),VLOOKUP(J28,Deltagarlista!$E$5:$K$64,7,FALSE),VLOOKUP(J29,Deltagarlista!$E$5:$K$64,7,FALSE),VLOOKUP(J30,Deltagarlista!$E$5:$K$64,7,FALSE),VLOOKUP(J31,Deltagarlista!$E$5:$K$64,7,FALSE),VLOOKUP(J32,Deltagarlista!$E$5:$K$64,7,FALSE),VLOOKUP(J33,Deltagarlista!$E$5:$K$64,7,FALSE),VLOOKUP(J34,Deltagarlista!$E$5:$K$64,7,FALSE),VLOOKUP(J35,Deltagarlista!$E$5:$K$64,7,FALSE),VLOOKUP(J36,Deltagarlista!$E$5:$K$64,7,FALSE),VLOOKUP(J37,Deltagarlista!$E$5:$K$64,7,FALSE),VLOOKUP(J38,Deltagarlista!$E$5:$K$64,7,FALSE),VLOOKUP(J39,Deltagarlista!$E$5:$K$64,7,FALSE),VLOOKUP(J40,Deltagarlista!$E$5:$K$64,7,FALSE),VLOOKUP(J41,Deltagarlista!$E$5:$K$64,7,FALSE),VLOOKUP(J42,Deltagarlista!$E$5:$K$64,7,FALSE),VLOOKUP(J43,Deltagarlista!$E$5:$K$64,7,FALSE),VLOOKUP(J44,Deltagarlista!$E$5:$K$64,7,FALSE))="1",1,IF(OR(VLOOKUP(J8,Deltagarlista!$E$5:$K$64,7,FALSE),VLOOKUP(J9,Deltagarlista!$E$5:$K$64,7,FALSE),VLOOKUP(J10,Deltagarlista!$E$5:$K$64,7,FALSE),VLOOKUP(J11,Deltagarlista!$E$5:$K$64,7,FALSE),VLOOKUP(J12,Deltagarlista!$E$5:$K$64,7,FALSE),VLOOKUP(J13,Deltagarlista!$E$5:$K$64,7,FALSE),VLOOKUP(J14,Deltagarlista!$E$5:$K$64,7,FALSE),VLOOKUP(J15,Deltagarlista!$E$5:$K$64,7,FALSE),VLOOKUP(J16,Deltagarlista!$E$5:$K$64,7,FALSE),VLOOKUP(J17,Deltagarlista!$E$5:$K$64,7,FALSE),VLOOKUP(J18,Deltagarlista!$E$5:$K$64,7,FALSE),VLOOKUP(J19,Deltagarlista!$E$5:$K$64,7,FALSE),VLOOKUP(J20,Deltagarlista!$E$5:$K$64,7,FALSE),VLOOKUP(J21,Deltagarlista!$E$5:$K$64,7,FALSE),VLOOKUP(J22,Deltagarlista!$E$5:$K$64,7,FALSE),VLOOKUP(J23,Deltagarlista!$E$5:$K$64,7,FALSE),VLOOKUP(J24,Deltagarlista!$E$5:$K$64,7,FALSE),VLOOKUP(J25,Deltagarlista!$E$5:$K$64,7,FALSE),VLOOKUP(J26,Deltagarlista!$E$5:$K$64,7,FALSE),VLOOKUP(J27,Deltagarlista!$E$5:$K$64,7,FALSE),VLOOKUP(J28,Deltagarlista!$E$5:$K$64,7,FALSE),VLOOKUP(J29,Deltagarlista!$E$5:$K$64,7,FALSE),VLOOKUP(J30,Deltagarlista!$E$5:$K$64,7,FALSE),VLOOKUP(J31,Deltagarlista!$E$5:$K$64,7,FALSE),VLOOKUP(J32,Deltagarlista!$E$5:$K$64,7,FALSE),VLOOKUP(J33,Deltagarlista!$E$5:$K$64,7,FALSE),VLOOKUP(J34,Deltagarlista!$E$5:$K$64,7,FALSE),VLOOKUP(J35,Deltagarlista!$E$5:$K$64,7,FALSE),VLOOKUP(J36,Deltagarlista!$E$5:$K$64,7,FALSE),VLOOKUP(J37,Deltagarlista!$E$5:$K$64,7,FALSE),VLOOKUP(J38,Deltagarlista!$E$5:$K$64,7,FALSE),VLOOKUP(J39,Deltagarlista!$E$5:$K$64,7,FALSE),VLOOKUP(J40,Deltagarlista!$E$5:$K$64,7,FALSE),VLOOKUP(J41,Deltagarlista!$E$5:$K$64,7,FALSE),VLOOKUP(J42,Deltagarlista!$E$5:$K$64,7,FALSE),VLOOKUP(J43,Deltagarlista!$E$5:$K$64,7,FALSE),VLOOKUP(J44,Deltagarlista!$E$5:$K$64,7,FALSE))="2",1,0))</f>
        <v>1</v>
      </c>
      <c r="DB8" s="162">
        <f>IF(OR(VLOOKUP(K8,Deltagarlista!$E$5:$K$64,7,FALSE),VLOOKUP(K9,Deltagarlista!$E$5:$K$64,7,FALSE),VLOOKUP(K10,Deltagarlista!$E$5:$K$64,7,FALSE),VLOOKUP(K11,Deltagarlista!$E$5:$K$64,7,FALSE),VLOOKUP(K12,Deltagarlista!$E$5:$K$64,7,FALSE),VLOOKUP(K13,Deltagarlista!$E$5:$K$64,7,FALSE),VLOOKUP(K14,Deltagarlista!$E$5:$K$64,7,FALSE),VLOOKUP(K15,Deltagarlista!$E$5:$K$64,7,FALSE),VLOOKUP(K16,Deltagarlista!$E$5:$K$64,7,FALSE),VLOOKUP(K17,Deltagarlista!$E$5:$K$64,7,FALSE),VLOOKUP(K18,Deltagarlista!$E$5:$K$64,7,FALSE),VLOOKUP(K19,Deltagarlista!$E$5:$K$64,7,FALSE),VLOOKUP(K20,Deltagarlista!$E$5:$K$64,7,FALSE),VLOOKUP(K21,Deltagarlista!$E$5:$K$64,7,FALSE),VLOOKUP(K22,Deltagarlista!$E$5:$K$64,7,FALSE),VLOOKUP(K23,Deltagarlista!$E$5:$K$64,7,FALSE),VLOOKUP(K24,Deltagarlista!$E$5:$K$64,7,FALSE),VLOOKUP(K25,Deltagarlista!$E$5:$K$64,7,FALSE),VLOOKUP(K26,Deltagarlista!$E$5:$K$64,7,FALSE),VLOOKUP(K27,Deltagarlista!$E$5:$K$64,7,FALSE),VLOOKUP(K28,Deltagarlista!$E$5:$K$64,7,FALSE),VLOOKUP(K29,Deltagarlista!$E$5:$K$64,7,FALSE),VLOOKUP(K30,Deltagarlista!$E$5:$K$64,7,FALSE),VLOOKUP(K31,Deltagarlista!$E$5:$K$64,7,FALSE),VLOOKUP(K32,Deltagarlista!$E$5:$K$64,7,FALSE),VLOOKUP(K33,Deltagarlista!$E$5:$K$64,7,FALSE),VLOOKUP(K34,Deltagarlista!$E$5:$K$64,7,FALSE),VLOOKUP(K35,Deltagarlista!$E$5:$K$64,7,FALSE),VLOOKUP(K36,Deltagarlista!$E$5:$K$64,7,FALSE),VLOOKUP(K37,Deltagarlista!$E$5:$K$64,7,FALSE),VLOOKUP(K38,Deltagarlista!$E$5:$K$64,7,FALSE),VLOOKUP(K39,Deltagarlista!$E$5:$K$64,7,FALSE),VLOOKUP(K40,Deltagarlista!$E$5:$K$64,7,FALSE),VLOOKUP(K41,Deltagarlista!$E$5:$K$64,7,FALSE),VLOOKUP(K42,Deltagarlista!$E$5:$K$64,7,FALSE),VLOOKUP(K43,Deltagarlista!$E$5:$K$64,7,FALSE),VLOOKUP(K44,Deltagarlista!$E$5:$K$64,7,FALSE))="2",1,IF(OR(VLOOKUP(K8,Deltagarlista!$E$5:$K$64,7,FALSE),VLOOKUP(K9,Deltagarlista!$E$5:$K$64,7,FALSE),VLOOKUP(K10,Deltagarlista!$E$5:$K$64,7,FALSE),VLOOKUP(K11,Deltagarlista!$E$5:$K$64,7,FALSE),VLOOKUP(K12,Deltagarlista!$E$5:$K$64,7,FALSE),VLOOKUP(K13,Deltagarlista!$E$5:$K$64,7,FALSE),VLOOKUP(K14,Deltagarlista!$E$5:$K$64,7,FALSE),VLOOKUP(K15,Deltagarlista!$E$5:$K$64,7,FALSE),VLOOKUP(K16,Deltagarlista!$E$5:$K$64,7,FALSE),VLOOKUP(K17,Deltagarlista!$E$5:$K$64,7,FALSE),VLOOKUP(K18,Deltagarlista!$E$5:$K$64,7,FALSE),VLOOKUP(K19,Deltagarlista!$E$5:$K$64,7,FALSE),VLOOKUP(K20,Deltagarlista!$E$5:$K$64,7,FALSE),VLOOKUP(K21,Deltagarlista!$E$5:$K$64,7,FALSE),VLOOKUP(K22,Deltagarlista!$E$5:$K$64,7,FALSE),VLOOKUP(K23,Deltagarlista!$E$5:$K$64,7,FALSE),VLOOKUP(K24,Deltagarlista!$E$5:$K$64,7,FALSE),VLOOKUP(K25,Deltagarlista!$E$5:$K$64,7,FALSE),VLOOKUP(K26,Deltagarlista!$E$5:$K$64,7,FALSE),VLOOKUP(K27,Deltagarlista!$E$5:$K$64,7,FALSE),VLOOKUP(K28,Deltagarlista!$E$5:$K$64,7,FALSE),VLOOKUP(K29,Deltagarlista!$E$5:$K$64,7,FALSE),VLOOKUP(K30,Deltagarlista!$E$5:$K$64,7,FALSE),VLOOKUP(K31,Deltagarlista!$E$5:$K$64,7,FALSE),VLOOKUP(K32,Deltagarlista!$E$5:$K$64,7,FALSE),VLOOKUP(K33,Deltagarlista!$E$5:$K$64,7,FALSE),VLOOKUP(K34,Deltagarlista!$E$5:$K$64,7,FALSE),VLOOKUP(K35,Deltagarlista!$E$5:$K$64,7,FALSE),VLOOKUP(K36,Deltagarlista!$E$5:$K$64,7,FALSE),VLOOKUP(K37,Deltagarlista!$E$5:$K$64,7,FALSE),VLOOKUP(K38,Deltagarlista!$E$5:$K$64,7,FALSE),VLOOKUP(K39,Deltagarlista!$E$5:$K$64,7,FALSE),VLOOKUP(K40,Deltagarlista!$E$5:$K$64,7,FALSE),VLOOKUP(K41,Deltagarlista!$E$5:$K$64,7,FALSE),VLOOKUP(K42,Deltagarlista!$E$5:$K$64,7,FALSE),VLOOKUP(K43,Deltagarlista!$E$5:$K$64,7,FALSE),VLOOKUP(K44,Deltagarlista!$E$5:$K$64,7,FALSE))="4",1,0))</f>
        <v>1</v>
      </c>
      <c r="DC8" s="162">
        <f>IF(OR(VLOOKUP(L8,Deltagarlista!$E$5:$K$64,7,FALSE),VLOOKUP(L9,Deltagarlista!$E$5:$K$64,7,FALSE),VLOOKUP(L10,Deltagarlista!$E$5:$K$64,7,FALSE),VLOOKUP(L11,Deltagarlista!$E$5:$K$64,7,FALSE),VLOOKUP(L12,Deltagarlista!$E$5:$K$64,7,FALSE),VLOOKUP(L13,Deltagarlista!$E$5:$K$64,7,FALSE),VLOOKUP(L14,Deltagarlista!$E$5:$K$64,7,FALSE),VLOOKUP(L15,Deltagarlista!$E$5:$K$64,7,FALSE),VLOOKUP(L16,Deltagarlista!$E$5:$K$64,7,FALSE),VLOOKUP(L17,Deltagarlista!$E$5:$K$64,7,FALSE),VLOOKUP(L18,Deltagarlista!$E$5:$K$64,7,FALSE),VLOOKUP(L19,Deltagarlista!$E$5:$K$64,7,FALSE),VLOOKUP(L20,Deltagarlista!$E$5:$K$64,7,FALSE),VLOOKUP(L21,Deltagarlista!$E$5:$K$64,7,FALSE),VLOOKUP(L22,Deltagarlista!$E$5:$K$64,7,FALSE),VLOOKUP(L23,Deltagarlista!$E$5:$K$64,7,FALSE),VLOOKUP(L24,Deltagarlista!$E$5:$K$64,7,FALSE),VLOOKUP(L25,Deltagarlista!$E$5:$K$64,7,FALSE),VLOOKUP(L26,Deltagarlista!$E$5:$K$64,7,FALSE),VLOOKUP(L27,Deltagarlista!$E$5:$K$64,7,FALSE),VLOOKUP(L28,Deltagarlista!$E$5:$K$64,7,FALSE),VLOOKUP(L29,Deltagarlista!$E$5:$K$64,7,FALSE),VLOOKUP(L30,Deltagarlista!$E$5:$K$64,7,FALSE),VLOOKUP(L31,Deltagarlista!$E$5:$K$64,7,FALSE),VLOOKUP(L32,Deltagarlista!$E$5:$K$64,7,FALSE),VLOOKUP(L33,Deltagarlista!$E$5:$K$64,7,FALSE),VLOOKUP(L34,Deltagarlista!$E$5:$K$64,7,FALSE),VLOOKUP(L35,Deltagarlista!$E$5:$K$64,7,FALSE),VLOOKUP(L36,Deltagarlista!$E$5:$K$64,7,FALSE),VLOOKUP(L37,Deltagarlista!$E$5:$K$64,7,FALSE),VLOOKUP(L38,Deltagarlista!$E$5:$K$64,7,FALSE),VLOOKUP(L39,Deltagarlista!$E$5:$K$64,7,FALSE),VLOOKUP(L40,Deltagarlista!$E$5:$K$64,7,FALSE),VLOOKUP(L41,Deltagarlista!$E$5:$K$64,7,FALSE),VLOOKUP(L42,Deltagarlista!$E$5:$K$64,7,FALSE),VLOOKUP(L43,Deltagarlista!$E$5:$K$64,7,FALSE),VLOOKUP(L44,Deltagarlista!$E$5:$K$64,7,FALSE))="1",1,IF(OR(VLOOKUP(L8,Deltagarlista!$E$5:$K$64,7,FALSE),VLOOKUP(L9,Deltagarlista!$E$5:$K$64,7,FALSE),VLOOKUP(L10,Deltagarlista!$E$5:$K$64,7,FALSE),VLOOKUP(L11,Deltagarlista!$E$5:$K$64,7,FALSE),VLOOKUP(L12,Deltagarlista!$E$5:$K$64,7,FALSE),VLOOKUP(L13,Deltagarlista!$E$5:$K$64,7,FALSE),VLOOKUP(L14,Deltagarlista!$E$5:$K$64,7,FALSE),VLOOKUP(L15,Deltagarlista!$E$5:$K$64,7,FALSE),VLOOKUP(L16,Deltagarlista!$E$5:$K$64,7,FALSE),VLOOKUP(L17,Deltagarlista!$E$5:$K$64,7,FALSE),VLOOKUP(L18,Deltagarlista!$E$5:$K$64,7,FALSE),VLOOKUP(L19,Deltagarlista!$E$5:$K$64,7,FALSE),VLOOKUP(L20,Deltagarlista!$E$5:$K$64,7,FALSE),VLOOKUP(L21,Deltagarlista!$E$5:$K$64,7,FALSE),VLOOKUP(L22,Deltagarlista!$E$5:$K$64,7,FALSE),VLOOKUP(L23,Deltagarlista!$E$5:$K$64,7,FALSE),VLOOKUP(L24,Deltagarlista!$E$5:$K$64,7,FALSE),VLOOKUP(L25,Deltagarlista!$E$5:$K$64,7,FALSE),VLOOKUP(L26,Deltagarlista!$E$5:$K$64,7,FALSE),VLOOKUP(L27,Deltagarlista!$E$5:$K$64,7,FALSE),VLOOKUP(L28,Deltagarlista!$E$5:$K$64,7,FALSE),VLOOKUP(L29,Deltagarlista!$E$5:$K$64,7,FALSE),VLOOKUP(L30,Deltagarlista!$E$5:$K$64,7,FALSE),VLOOKUP(L31,Deltagarlista!$E$5:$K$64,7,FALSE),VLOOKUP(L32,Deltagarlista!$E$5:$K$64,7,FALSE),VLOOKUP(L33,Deltagarlista!$E$5:$K$64,7,FALSE),VLOOKUP(L34,Deltagarlista!$E$5:$K$64,7,FALSE),VLOOKUP(L35,Deltagarlista!$E$5:$K$64,7,FALSE),VLOOKUP(L36,Deltagarlista!$E$5:$K$64,7,FALSE),VLOOKUP(L37,Deltagarlista!$E$5:$K$64,7,FALSE),VLOOKUP(L38,Deltagarlista!$E$5:$K$64,7,FALSE),VLOOKUP(L39,Deltagarlista!$E$5:$K$64,7,FALSE),VLOOKUP(L40,Deltagarlista!$E$5:$K$64,7,FALSE),VLOOKUP(L41,Deltagarlista!$E$5:$K$64,7,FALSE),VLOOKUP(L42,Deltagarlista!$E$5:$K$64,7,FALSE),VLOOKUP(L43,Deltagarlista!$E$5:$K$64,7,FALSE),VLOOKUP(L44,Deltagarlista!$E$5:$K$64,7,FALSE))="3",1,0))</f>
        <v>1</v>
      </c>
      <c r="DD8" s="162">
        <f>IF(OR(VLOOKUP(M8,Deltagarlista!$E$5:$K$64,7,FALSE),VLOOKUP(M9,Deltagarlista!$E$5:$K$64,7,FALSE),VLOOKUP(M10,Deltagarlista!$E$5:$K$64,7,FALSE),VLOOKUP(M11,Deltagarlista!$E$5:$K$64,7,FALSE),VLOOKUP(M12,Deltagarlista!$E$5:$K$64,7,FALSE),VLOOKUP(M13,Deltagarlista!$E$5:$K$64,7,FALSE),VLOOKUP(M14,Deltagarlista!$E$5:$K$64,7,FALSE),VLOOKUP(M15,Deltagarlista!$E$5:$K$64,7,FALSE),VLOOKUP(M16,Deltagarlista!$E$5:$K$64,7,FALSE),VLOOKUP(M17,Deltagarlista!$E$5:$K$64,7,FALSE),VLOOKUP(M18,Deltagarlista!$E$5:$K$64,7,FALSE),VLOOKUP(M19,Deltagarlista!$E$5:$K$64,7,FALSE),VLOOKUP(M20,Deltagarlista!$E$5:$K$64,7,FALSE),VLOOKUP(M21,Deltagarlista!$E$5:$K$64,7,FALSE),VLOOKUP(M22,Deltagarlista!$E$5:$K$64,7,FALSE),VLOOKUP(M23,Deltagarlista!$E$5:$K$64,7,FALSE),VLOOKUP(M24,Deltagarlista!$E$5:$K$64,7,FALSE),VLOOKUP(M25,Deltagarlista!$E$5:$K$64,7,FALSE),VLOOKUP(M26,Deltagarlista!$E$5:$K$64,7,FALSE),VLOOKUP(M27,Deltagarlista!$E$5:$K$64,7,FALSE),VLOOKUP(M28,Deltagarlista!$E$5:$K$64,7,FALSE),VLOOKUP(M29,Deltagarlista!$E$5:$K$64,7,FALSE),VLOOKUP(M30,Deltagarlista!$E$5:$K$64,7,FALSE),VLOOKUP(M31,Deltagarlista!$E$5:$K$64,7,FALSE),VLOOKUP(M32,Deltagarlista!$E$5:$K$64,7,FALSE),VLOOKUP(M33,Deltagarlista!$E$5:$K$64,7,FALSE),VLOOKUP(M34,Deltagarlista!$E$5:$K$64,7,FALSE),VLOOKUP(M35,Deltagarlista!$E$5:$K$64,7,FALSE),VLOOKUP(M36,Deltagarlista!$E$5:$K$64,7,FALSE),VLOOKUP(M37,Deltagarlista!$E$5:$K$64,7,FALSE),VLOOKUP(M38,Deltagarlista!$E$5:$K$64,7,FALSE),VLOOKUP(M39,Deltagarlista!$E$5:$K$64,7,FALSE),VLOOKUP(M40,Deltagarlista!$E$5:$K$64,7,FALSE),VLOOKUP(M41,Deltagarlista!$E$5:$K$64,7,FALSE),VLOOKUP(M42,Deltagarlista!$E$5:$K$64,7,FALSE),VLOOKUP(M43,Deltagarlista!$E$5:$K$64,7,FALSE),VLOOKUP(M44,Deltagarlista!$E$5:$K$64,7,FALSE))="2",1,IF(OR(VLOOKUP(M8,Deltagarlista!$E$5:$K$64,7,FALSE),VLOOKUP(M9,Deltagarlista!$E$5:$K$64,7,FALSE),VLOOKUP(M10,Deltagarlista!$E$5:$K$64,7,FALSE),VLOOKUP(M11,Deltagarlista!$E$5:$K$64,7,FALSE),VLOOKUP(M12,Deltagarlista!$E$5:$K$64,7,FALSE),VLOOKUP(M13,Deltagarlista!$E$5:$K$64,7,FALSE),VLOOKUP(M14,Deltagarlista!$E$5:$K$64,7,FALSE),VLOOKUP(M15,Deltagarlista!$E$5:$K$64,7,FALSE),VLOOKUP(M16,Deltagarlista!$E$5:$K$64,7,FALSE),VLOOKUP(M17,Deltagarlista!$E$5:$K$64,7,FALSE),VLOOKUP(M18,Deltagarlista!$E$5:$K$64,7,FALSE),VLOOKUP(M19,Deltagarlista!$E$5:$K$64,7,FALSE),VLOOKUP(M20,Deltagarlista!$E$5:$K$64,7,FALSE),VLOOKUP(M21,Deltagarlista!$E$5:$K$64,7,FALSE),VLOOKUP(M22,Deltagarlista!$E$5:$K$64,7,FALSE),VLOOKUP(M23,Deltagarlista!$E$5:$K$64,7,FALSE),VLOOKUP(M24,Deltagarlista!$E$5:$K$64,7,FALSE),VLOOKUP(M25,Deltagarlista!$E$5:$K$64,7,FALSE),VLOOKUP(M26,Deltagarlista!$E$5:$K$64,7,FALSE),VLOOKUP(M27,Deltagarlista!$E$5:$K$64,7,FALSE),VLOOKUP(M28,Deltagarlista!$E$5:$K$64,7,FALSE),VLOOKUP(M29,Deltagarlista!$E$5:$K$64,7,FALSE),VLOOKUP(M30,Deltagarlista!$E$5:$K$64,7,FALSE),VLOOKUP(M31,Deltagarlista!$E$5:$K$64,7,FALSE),VLOOKUP(M32,Deltagarlista!$E$5:$K$64,7,FALSE),VLOOKUP(M33,Deltagarlista!$E$5:$K$64,7,FALSE),VLOOKUP(M34,Deltagarlista!$E$5:$K$64,7,FALSE),VLOOKUP(M35,Deltagarlista!$E$5:$K$64,7,FALSE),VLOOKUP(M36,Deltagarlista!$E$5:$K$64,7,FALSE),VLOOKUP(M37,Deltagarlista!$E$5:$K$64,7,FALSE),VLOOKUP(M38,Deltagarlista!$E$5:$K$64,7,FALSE),VLOOKUP(M39,Deltagarlista!$E$5:$K$64,7,FALSE),VLOOKUP(M40,Deltagarlista!$E$5:$K$64,7,FALSE),VLOOKUP(M41,Deltagarlista!$E$5:$K$64,7,FALSE),VLOOKUP(M42,Deltagarlista!$E$5:$K$64,7,FALSE),VLOOKUP(M43,Deltagarlista!$E$5:$K$64,7,FALSE),VLOOKUP(M44,Deltagarlista!$E$5:$K$64,7,FALSE))="3",1,0))</f>
        <v>1</v>
      </c>
      <c r="DE8" s="162">
        <f>IF(OR(VLOOKUP(N8,Deltagarlista!$E$5:$K$64,7,FALSE),VLOOKUP(N9,Deltagarlista!$E$5:$K$64,7,FALSE),VLOOKUP(N10,Deltagarlista!$E$5:$K$64,7,FALSE),VLOOKUP(N11,Deltagarlista!$E$5:$K$64,7,FALSE),VLOOKUP(N12,Deltagarlista!$E$5:$K$64,7,FALSE),VLOOKUP(N13,Deltagarlista!$E$5:$K$64,7,FALSE),VLOOKUP(N14,Deltagarlista!$E$5:$K$64,7,FALSE),VLOOKUP(N15,Deltagarlista!$E$5:$K$64,7,FALSE),VLOOKUP(N16,Deltagarlista!$E$5:$K$64,7,FALSE),VLOOKUP(N17,Deltagarlista!$E$5:$K$64,7,FALSE),VLOOKUP(N18,Deltagarlista!$E$5:$K$64,7,FALSE),VLOOKUP(N19,Deltagarlista!$E$5:$K$64,7,FALSE),VLOOKUP(N20,Deltagarlista!$E$5:$K$64,7,FALSE),VLOOKUP(N21,Deltagarlista!$E$5:$K$64,7,FALSE),VLOOKUP(N22,Deltagarlista!$E$5:$K$64,7,FALSE),VLOOKUP(N23,Deltagarlista!$E$5:$K$64,7,FALSE),VLOOKUP(N24,Deltagarlista!$E$5:$K$64,7,FALSE),VLOOKUP(N25,Deltagarlista!$E$5:$K$64,7,FALSE),VLOOKUP(N26,Deltagarlista!$E$5:$K$64,7,FALSE),VLOOKUP(N27,Deltagarlista!$E$5:$K$64,7,FALSE),VLOOKUP(N28,Deltagarlista!$E$5:$K$64,7,FALSE),VLOOKUP(N29,Deltagarlista!$E$5:$K$64,7,FALSE),VLOOKUP(N30,Deltagarlista!$E$5:$K$64,7,FALSE),VLOOKUP(N31,Deltagarlista!$E$5:$K$64,7,FALSE),VLOOKUP(N32,Deltagarlista!$E$5:$K$64,7,FALSE),VLOOKUP(N33,Deltagarlista!$E$5:$K$64,7,FALSE),VLOOKUP(N34,Deltagarlista!$E$5:$K$64,7,FALSE),VLOOKUP(N35,Deltagarlista!$E$5:$K$64,7,FALSE),VLOOKUP(N36,Deltagarlista!$E$5:$K$64,7,FALSE),VLOOKUP(N37,Deltagarlista!$E$5:$K$64,7,FALSE),VLOOKUP(N38,Deltagarlista!$E$5:$K$64,7,FALSE),VLOOKUP(N39,Deltagarlista!$E$5:$K$64,7,FALSE),VLOOKUP(N40,Deltagarlista!$E$5:$K$64,7,FALSE),VLOOKUP(N41,Deltagarlista!$E$5:$K$64,7,FALSE),VLOOKUP(N42,Deltagarlista!$E$5:$K$64,7,FALSE),VLOOKUP(N43,Deltagarlista!$E$5:$K$64,7,FALSE),VLOOKUP(N44,Deltagarlista!$E$5:$K$64,7,FALSE))="1",1,IF(OR(VLOOKUP(N8,Deltagarlista!$E$5:$K$64,7,FALSE),VLOOKUP(N9,Deltagarlista!$E$5:$K$64,7,FALSE),VLOOKUP(N10,Deltagarlista!$E$5:$K$64,7,FALSE),VLOOKUP(N11,Deltagarlista!$E$5:$K$64,7,FALSE),VLOOKUP(N12,Deltagarlista!$E$5:$K$64,7,FALSE),VLOOKUP(N13,Deltagarlista!$E$5:$K$64,7,FALSE),VLOOKUP(N14,Deltagarlista!$E$5:$K$64,7,FALSE),VLOOKUP(N15,Deltagarlista!$E$5:$K$64,7,FALSE),VLOOKUP(N16,Deltagarlista!$E$5:$K$64,7,FALSE),VLOOKUP(N17,Deltagarlista!$E$5:$K$64,7,FALSE),VLOOKUP(N18,Deltagarlista!$E$5:$K$64,7,FALSE),VLOOKUP(N19,Deltagarlista!$E$5:$K$64,7,FALSE),VLOOKUP(N20,Deltagarlista!$E$5:$K$64,7,FALSE),VLOOKUP(N21,Deltagarlista!$E$5:$K$64,7,FALSE),VLOOKUP(N22,Deltagarlista!$E$5:$K$64,7,FALSE),VLOOKUP(N23,Deltagarlista!$E$5:$K$64,7,FALSE),VLOOKUP(N24,Deltagarlista!$E$5:$K$64,7,FALSE),VLOOKUP(N25,Deltagarlista!$E$5:$K$64,7,FALSE),VLOOKUP(N26,Deltagarlista!$E$5:$K$64,7,FALSE),VLOOKUP(N27,Deltagarlista!$E$5:$K$64,7,FALSE),VLOOKUP(N28,Deltagarlista!$E$5:$K$64,7,FALSE),VLOOKUP(N29,Deltagarlista!$E$5:$K$64,7,FALSE),VLOOKUP(N30,Deltagarlista!$E$5:$K$64,7,FALSE),VLOOKUP(N31,Deltagarlista!$E$5:$K$64,7,FALSE),VLOOKUP(N32,Deltagarlista!$E$5:$K$64,7,FALSE),VLOOKUP(N33,Deltagarlista!$E$5:$K$64,7,FALSE),VLOOKUP(N34,Deltagarlista!$E$5:$K$64,7,FALSE),VLOOKUP(N35,Deltagarlista!$E$5:$K$64,7,FALSE),VLOOKUP(N36,Deltagarlista!$E$5:$K$64,7,FALSE),VLOOKUP(N37,Deltagarlista!$E$5:$K$64,7,FALSE),VLOOKUP(N38,Deltagarlista!$E$5:$K$64,7,FALSE),VLOOKUP(N39,Deltagarlista!$E$5:$K$64,7,FALSE),VLOOKUP(N40,Deltagarlista!$E$5:$K$64,7,FALSE),VLOOKUP(N41,Deltagarlista!$E$5:$K$64,7,FALSE),VLOOKUP(N42,Deltagarlista!$E$5:$K$64,7,FALSE),VLOOKUP(N43,Deltagarlista!$E$5:$K$64,7,FALSE),VLOOKUP(N44,Deltagarlista!$E$5:$K$64,7,FALSE))="4",1,0))</f>
        <v>1</v>
      </c>
      <c r="DF8" s="162">
        <f>IF(OR(VLOOKUP(O8,Deltagarlista!$E$5:$K$64,7,FALSE),VLOOKUP(O9,Deltagarlista!$E$5:$K$64,7,FALSE),VLOOKUP(O10,Deltagarlista!$E$5:$K$64,7,FALSE),VLOOKUP(O11,Deltagarlista!$E$5:$K$64,7,FALSE),VLOOKUP(O12,Deltagarlista!$E$5:$K$64,7,FALSE),VLOOKUP(O13,Deltagarlista!$E$5:$K$64,7,FALSE),VLOOKUP(O14,Deltagarlista!$E$5:$K$64,7,FALSE),VLOOKUP(O15,Deltagarlista!$E$5:$K$64,7,FALSE),VLOOKUP(O16,Deltagarlista!$E$5:$K$64,7,FALSE),VLOOKUP(O17,Deltagarlista!$E$5:$K$64,7,FALSE),VLOOKUP(O18,Deltagarlista!$E$5:$K$64,7,FALSE),VLOOKUP(O19,Deltagarlista!$E$5:$K$64,7,FALSE),VLOOKUP(O20,Deltagarlista!$E$5:$K$64,7,FALSE),VLOOKUP(O21,Deltagarlista!$E$5:$K$64,7,FALSE),VLOOKUP(O22,Deltagarlista!$E$5:$K$64,7,FALSE),VLOOKUP(O23,Deltagarlista!$E$5:$K$64,7,FALSE),VLOOKUP(O24,Deltagarlista!$E$5:$K$64,7,FALSE),VLOOKUP(O25,Deltagarlista!$E$5:$K$64,7,FALSE),VLOOKUP(O26,Deltagarlista!$E$5:$K$64,7,FALSE),VLOOKUP(O27,Deltagarlista!$E$5:$K$64,7,FALSE),VLOOKUP(O28,Deltagarlista!$E$5:$K$64,7,FALSE),VLOOKUP(O29,Deltagarlista!$E$5:$K$64,7,FALSE),VLOOKUP(O30,Deltagarlista!$E$5:$K$64,7,FALSE),VLOOKUP(O31,Deltagarlista!$E$5:$K$64,7,FALSE),VLOOKUP(O32,Deltagarlista!$E$5:$K$64,7,FALSE),VLOOKUP(O33,Deltagarlista!$E$5:$K$64,7,FALSE),VLOOKUP(O34,Deltagarlista!$E$5:$K$64,7,FALSE),VLOOKUP(O35,Deltagarlista!$E$5:$K$64,7,FALSE),VLOOKUP(O36,Deltagarlista!$E$5:$K$64,7,FALSE),VLOOKUP(O37,Deltagarlista!$E$5:$K$64,7,FALSE),VLOOKUP(O38,Deltagarlista!$E$5:$K$64,7,FALSE),VLOOKUP(O39,Deltagarlista!$E$5:$K$64,7,FALSE),VLOOKUP(O40,Deltagarlista!$E$5:$K$64,7,FALSE),VLOOKUP(O41,Deltagarlista!$E$5:$K$64,7,FALSE),VLOOKUP(O42,Deltagarlista!$E$5:$K$64,7,FALSE),VLOOKUP(O43,Deltagarlista!$E$5:$K$64,7,FALSE),VLOOKUP(O44,Deltagarlista!$E$5:$K$64,7,FALSE))="3",1,IF(OR(VLOOKUP(O8,Deltagarlista!$E$5:$K$64,7,FALSE),VLOOKUP(O9,Deltagarlista!$E$5:$K$64,7,FALSE),VLOOKUP(O10,Deltagarlista!$E$5:$K$64,7,FALSE),VLOOKUP(O11,Deltagarlista!$E$5:$K$64,7,FALSE),VLOOKUP(O12,Deltagarlista!$E$5:$K$64,7,FALSE),VLOOKUP(O13,Deltagarlista!$E$5:$K$64,7,FALSE),VLOOKUP(O14,Deltagarlista!$E$5:$K$64,7,FALSE),VLOOKUP(O15,Deltagarlista!$E$5:$K$64,7,FALSE),VLOOKUP(O16,Deltagarlista!$E$5:$K$64,7,FALSE),VLOOKUP(O17,Deltagarlista!$E$5:$K$64,7,FALSE),VLOOKUP(O18,Deltagarlista!$E$5:$K$64,7,FALSE),VLOOKUP(O19,Deltagarlista!$E$5:$K$64,7,FALSE),VLOOKUP(O20,Deltagarlista!$E$5:$K$64,7,FALSE),VLOOKUP(O21,Deltagarlista!$E$5:$K$64,7,FALSE),VLOOKUP(O22,Deltagarlista!$E$5:$K$64,7,FALSE),VLOOKUP(O23,Deltagarlista!$E$5:$K$64,7,FALSE),VLOOKUP(O24,Deltagarlista!$E$5:$K$64,7,FALSE),VLOOKUP(O25,Deltagarlista!$E$5:$K$64,7,FALSE),VLOOKUP(O26,Deltagarlista!$E$5:$K$64,7,FALSE),VLOOKUP(O27,Deltagarlista!$E$5:$K$64,7,FALSE),VLOOKUP(O28,Deltagarlista!$E$5:$K$64,7,FALSE),VLOOKUP(O29,Deltagarlista!$E$5:$K$64,7,FALSE),VLOOKUP(O30,Deltagarlista!$E$5:$K$64,7,FALSE),VLOOKUP(O31,Deltagarlista!$E$5:$K$64,7,FALSE),VLOOKUP(O32,Deltagarlista!$E$5:$K$64,7,FALSE),VLOOKUP(O33,Deltagarlista!$E$5:$K$64,7,FALSE),VLOOKUP(O34,Deltagarlista!$E$5:$K$64,7,FALSE),VLOOKUP(O35,Deltagarlista!$E$5:$K$64,7,FALSE),VLOOKUP(O36,Deltagarlista!$E$5:$K$64,7,FALSE),VLOOKUP(O37,Deltagarlista!$E$5:$K$64,7,FALSE),VLOOKUP(O38,Deltagarlista!$E$5:$K$64,7,FALSE),VLOOKUP(O39,Deltagarlista!$E$5:$K$64,7,FALSE),VLOOKUP(O40,Deltagarlista!$E$5:$K$64,7,FALSE),VLOOKUP(O41,Deltagarlista!$E$5:$K$64,7,FALSE),VLOOKUP(O42,Deltagarlista!$E$5:$K$64,7,FALSE),VLOOKUP(O43,Deltagarlista!$E$5:$K$64,7,FALSE),VLOOKUP(O44,Deltagarlista!$E$5:$K$64,7,FALSE))="4",1,0))</f>
        <v>1</v>
      </c>
      <c r="DG8" s="162">
        <f>IF(OR(VLOOKUP(P8,Deltagarlista!$E$5:$K$64,7,FALSE),VLOOKUP(P9,Deltagarlista!$E$5:$K$64,7,FALSE),VLOOKUP(P10,Deltagarlista!$E$5:$K$64,7,FALSE),VLOOKUP(P11,Deltagarlista!$E$5:$K$64,7,FALSE),VLOOKUP(P12,Deltagarlista!$E$5:$K$64,7,FALSE),VLOOKUP(P13,Deltagarlista!$E$5:$K$64,7,FALSE),VLOOKUP(P14,Deltagarlista!$E$5:$K$64,7,FALSE),VLOOKUP(P15,Deltagarlista!$E$5:$K$64,7,FALSE),VLOOKUP(P16,Deltagarlista!$E$5:$K$64,7,FALSE),VLOOKUP(P17,Deltagarlista!$E$5:$K$64,7,FALSE),VLOOKUP(P18,Deltagarlista!$E$5:$K$64,7,FALSE),VLOOKUP(P19,Deltagarlista!$E$5:$K$64,7,FALSE),VLOOKUP(P20,Deltagarlista!$E$5:$K$64,7,FALSE),VLOOKUP(P21,Deltagarlista!$E$5:$K$64,7,FALSE),VLOOKUP(P22,Deltagarlista!$E$5:$K$64,7,FALSE),VLOOKUP(P23,Deltagarlista!$E$5:$K$64,7,FALSE),VLOOKUP(P24,Deltagarlista!$E$5:$K$64,7,FALSE),VLOOKUP(P25,Deltagarlista!$E$5:$K$64,7,FALSE),VLOOKUP(P26,Deltagarlista!$E$5:$K$64,7,FALSE),VLOOKUP(P27,Deltagarlista!$E$5:$K$64,7,FALSE),VLOOKUP(P28,Deltagarlista!$E$5:$K$64,7,FALSE),VLOOKUP(P29,Deltagarlista!$E$5:$K$64,7,FALSE),VLOOKUP(P30,Deltagarlista!$E$5:$K$64,7,FALSE),VLOOKUP(P31,Deltagarlista!$E$5:$K$64,7,FALSE),VLOOKUP(P32,Deltagarlista!$E$5:$K$64,7,FALSE),VLOOKUP(P33,Deltagarlista!$E$5:$K$64,7,FALSE),VLOOKUP(P34,Deltagarlista!$E$5:$K$64,7,FALSE),VLOOKUP(P35,Deltagarlista!$E$5:$K$64,7,FALSE),VLOOKUP(P36,Deltagarlista!$E$5:$K$64,7,FALSE),VLOOKUP(P37,Deltagarlista!$E$5:$K$64,7,FALSE),VLOOKUP(P38,Deltagarlista!$E$5:$K$64,7,FALSE),VLOOKUP(P39,Deltagarlista!$E$5:$K$64,7,FALSE),VLOOKUP(P40,Deltagarlista!$E$5:$K$64,7,FALSE),VLOOKUP(P41,Deltagarlista!$E$5:$K$64,7,FALSE),VLOOKUP(P42,Deltagarlista!$E$5:$K$64,7,FALSE),VLOOKUP(P43,Deltagarlista!$E$5:$K$64,7,FALSE),VLOOKUP(P44,Deltagarlista!$E$5:$K$64,7,FALSE))="1",1,IF(OR(VLOOKUP(P8,Deltagarlista!$E$5:$K$64,7,FALSE),VLOOKUP(P9,Deltagarlista!$E$5:$K$64,7,FALSE),VLOOKUP(P10,Deltagarlista!$E$5:$K$64,7,FALSE),VLOOKUP(P11,Deltagarlista!$E$5:$K$64,7,FALSE),VLOOKUP(P12,Deltagarlista!$E$5:$K$64,7,FALSE),VLOOKUP(P13,Deltagarlista!$E$5:$K$64,7,FALSE),VLOOKUP(P14,Deltagarlista!$E$5:$K$64,7,FALSE),VLOOKUP(P15,Deltagarlista!$E$5:$K$64,7,FALSE),VLOOKUP(P16,Deltagarlista!$E$5:$K$64,7,FALSE),VLOOKUP(P17,Deltagarlista!$E$5:$K$64,7,FALSE),VLOOKUP(P18,Deltagarlista!$E$5:$K$64,7,FALSE),VLOOKUP(P19,Deltagarlista!$E$5:$K$64,7,FALSE),VLOOKUP(P20,Deltagarlista!$E$5:$K$64,7,FALSE),VLOOKUP(P21,Deltagarlista!$E$5:$K$64,7,FALSE),VLOOKUP(P22,Deltagarlista!$E$5:$K$64,7,FALSE),VLOOKUP(P23,Deltagarlista!$E$5:$K$64,7,FALSE),VLOOKUP(P24,Deltagarlista!$E$5:$K$64,7,FALSE),VLOOKUP(P25,Deltagarlista!$E$5:$K$64,7,FALSE),VLOOKUP(P26,Deltagarlista!$E$5:$K$64,7,FALSE),VLOOKUP(P27,Deltagarlista!$E$5:$K$64,7,FALSE),VLOOKUP(P28,Deltagarlista!$E$5:$K$64,7,FALSE),VLOOKUP(P29,Deltagarlista!$E$5:$K$64,7,FALSE),VLOOKUP(P30,Deltagarlista!$E$5:$K$64,7,FALSE),VLOOKUP(P31,Deltagarlista!$E$5:$K$64,7,FALSE),VLOOKUP(P32,Deltagarlista!$E$5:$K$64,7,FALSE),VLOOKUP(P33,Deltagarlista!$E$5:$K$64,7,FALSE),VLOOKUP(P34,Deltagarlista!$E$5:$K$64,7,FALSE),VLOOKUP(P35,Deltagarlista!$E$5:$K$64,7,FALSE),VLOOKUP(P36,Deltagarlista!$E$5:$K$64,7,FALSE),VLOOKUP(P37,Deltagarlista!$E$5:$K$64,7,FALSE),VLOOKUP(P38,Deltagarlista!$E$5:$K$64,7,FALSE),VLOOKUP(P39,Deltagarlista!$E$5:$K$64,7,FALSE),VLOOKUP(P40,Deltagarlista!$E$5:$K$64,7,FALSE),VLOOKUP(P41,Deltagarlista!$E$5:$K$64,7,FALSE),VLOOKUP(P42,Deltagarlista!$E$5:$K$64,7,FALSE),VLOOKUP(P43,Deltagarlista!$E$5:$K$64,7,FALSE),VLOOKUP(P44,Deltagarlista!$E$5:$K$64,7,FALSE))="2",1,0))</f>
        <v>1</v>
      </c>
      <c r="DH8" s="162">
        <f>IF(OR(VLOOKUP(Q8,Deltagarlista!$E$5:$K$64,7,FALSE),VLOOKUP(Q9,Deltagarlista!$E$5:$K$64,7,FALSE),VLOOKUP(Q10,Deltagarlista!$E$5:$K$64,7,FALSE),VLOOKUP(Q11,Deltagarlista!$E$5:$K$64,7,FALSE),VLOOKUP(Q12,Deltagarlista!$E$5:$K$64,7,FALSE),VLOOKUP(Q13,Deltagarlista!$E$5:$K$64,7,FALSE),VLOOKUP(Q14,Deltagarlista!$E$5:$K$64,7,FALSE),VLOOKUP(Q15,Deltagarlista!$E$5:$K$64,7,FALSE),VLOOKUP(Q16,Deltagarlista!$E$5:$K$64,7,FALSE),VLOOKUP(Q17,Deltagarlista!$E$5:$K$64,7,FALSE),VLOOKUP(Q18,Deltagarlista!$E$5:$K$64,7,FALSE),VLOOKUP(Q19,Deltagarlista!$E$5:$K$64,7,FALSE),VLOOKUP(Q20,Deltagarlista!$E$5:$K$64,7,FALSE),VLOOKUP(Q21,Deltagarlista!$E$5:$K$64,7,FALSE),VLOOKUP(Q22,Deltagarlista!$E$5:$K$64,7,FALSE),VLOOKUP(Q23,Deltagarlista!$E$5:$K$64,7,FALSE),VLOOKUP(Q24,Deltagarlista!$E$5:$K$64,7,FALSE),VLOOKUP(Q25,Deltagarlista!$E$5:$K$64,7,FALSE),VLOOKUP(Q26,Deltagarlista!$E$5:$K$64,7,FALSE),VLOOKUP(Q27,Deltagarlista!$E$5:$K$64,7,FALSE),VLOOKUP(Q28,Deltagarlista!$E$5:$K$64,7,FALSE),VLOOKUP(Q29,Deltagarlista!$E$5:$K$64,7,FALSE),VLOOKUP(Q30,Deltagarlista!$E$5:$K$64,7,FALSE),VLOOKUP(Q31,Deltagarlista!$E$5:$K$64,7,FALSE),VLOOKUP(Q32,Deltagarlista!$E$5:$K$64,7,FALSE),VLOOKUP(Q33,Deltagarlista!$E$5:$K$64,7,FALSE),VLOOKUP(Q34,Deltagarlista!$E$5:$K$64,7,FALSE),VLOOKUP(Q35,Deltagarlista!$E$5:$K$64,7,FALSE),VLOOKUP(Q36,Deltagarlista!$E$5:$K$64,7,FALSE),VLOOKUP(Q37,Deltagarlista!$E$5:$K$64,7,FALSE),VLOOKUP(Q38,Deltagarlista!$E$5:$K$64,7,FALSE),VLOOKUP(Q39,Deltagarlista!$E$5:$K$64,7,FALSE),VLOOKUP(Q40,Deltagarlista!$E$5:$K$64,7,FALSE),VLOOKUP(Q41,Deltagarlista!$E$5:$K$64,7,FALSE),VLOOKUP(Q42,Deltagarlista!$E$5:$K$64,7,FALSE),VLOOKUP(Q43,Deltagarlista!$E$5:$K$64,7,FALSE),VLOOKUP(Q44,Deltagarlista!$E$5:$K$64,7,FALSE))="2",1,IF(OR(VLOOKUP(Q8,Deltagarlista!$E$5:$K$64,7,FALSE),VLOOKUP(Q9,Deltagarlista!$E$5:$K$64,7,FALSE),VLOOKUP(Q10,Deltagarlista!$E$5:$K$64,7,FALSE),VLOOKUP(Q11,Deltagarlista!$E$5:$K$64,7,FALSE),VLOOKUP(Q12,Deltagarlista!$E$5:$K$64,7,FALSE),VLOOKUP(Q13,Deltagarlista!$E$5:$K$64,7,FALSE),VLOOKUP(Q14,Deltagarlista!$E$5:$K$64,7,FALSE),VLOOKUP(Q15,Deltagarlista!$E$5:$K$64,7,FALSE),VLOOKUP(Q16,Deltagarlista!$E$5:$K$64,7,FALSE),VLOOKUP(Q17,Deltagarlista!$E$5:$K$64,7,FALSE),VLOOKUP(Q18,Deltagarlista!$E$5:$K$64,7,FALSE),VLOOKUP(Q19,Deltagarlista!$E$5:$K$64,7,FALSE),VLOOKUP(Q20,Deltagarlista!$E$5:$K$64,7,FALSE),VLOOKUP(Q21,Deltagarlista!$E$5:$K$64,7,FALSE),VLOOKUP(Q22,Deltagarlista!$E$5:$K$64,7,FALSE),VLOOKUP(Q23,Deltagarlista!$E$5:$K$64,7,FALSE),VLOOKUP(Q24,Deltagarlista!$E$5:$K$64,7,FALSE),VLOOKUP(Q25,Deltagarlista!$E$5:$K$64,7,FALSE),VLOOKUP(Q26,Deltagarlista!$E$5:$K$64,7,FALSE),VLOOKUP(Q27,Deltagarlista!$E$5:$K$64,7,FALSE),VLOOKUP(Q28,Deltagarlista!$E$5:$K$64,7,FALSE),VLOOKUP(Q29,Deltagarlista!$E$5:$K$64,7,FALSE),VLOOKUP(Q30,Deltagarlista!$E$5:$K$64,7,FALSE),VLOOKUP(Q31,Deltagarlista!$E$5:$K$64,7,FALSE),VLOOKUP(Q32,Deltagarlista!$E$5:$K$64,7,FALSE),VLOOKUP(Q33,Deltagarlista!$E$5:$K$64,7,FALSE),VLOOKUP(Q34,Deltagarlista!$E$5:$K$64,7,FALSE),VLOOKUP(Q35,Deltagarlista!$E$5:$K$64,7,FALSE),VLOOKUP(Q36,Deltagarlista!$E$5:$K$64,7,FALSE),VLOOKUP(Q37,Deltagarlista!$E$5:$K$64,7,FALSE),VLOOKUP(Q38,Deltagarlista!$E$5:$K$64,7,FALSE),VLOOKUP(Q39,Deltagarlista!$E$5:$K$64,7,FALSE),VLOOKUP(Q40,Deltagarlista!$E$5:$K$64,7,FALSE),VLOOKUP(Q41,Deltagarlista!$E$5:$K$64,7,FALSE),VLOOKUP(Q42,Deltagarlista!$E$5:$K$64,7,FALSE),VLOOKUP(Q43,Deltagarlista!$E$5:$K$64,7,FALSE),VLOOKUP(Q44,Deltagarlista!$E$5:$K$64,7,FALSE))="4",1,0))</f>
        <v>1</v>
      </c>
      <c r="DK8" s="162" t="s">
        <v>79</v>
      </c>
      <c r="DL8" s="162" t="s">
        <v>78</v>
      </c>
      <c r="DM8" s="162" t="s">
        <v>77</v>
      </c>
      <c r="DR8" s="185" t="s">
        <v>82</v>
      </c>
      <c r="DS8" s="185" t="s">
        <v>81</v>
      </c>
      <c r="DT8" s="162" t="s">
        <v>83</v>
      </c>
    </row>
    <row r="9" spans="2:126" ht="15.9" customHeight="1" x14ac:dyDescent="0.3">
      <c r="B9" s="186">
        <v>2</v>
      </c>
      <c r="C9" s="27"/>
      <c r="D9" s="28"/>
      <c r="E9" s="38"/>
      <c r="F9" s="27"/>
      <c r="G9" s="28"/>
      <c r="H9" s="38"/>
      <c r="I9" s="27"/>
      <c r="J9" s="28"/>
      <c r="K9" s="38"/>
      <c r="L9" s="27"/>
      <c r="M9" s="28"/>
      <c r="N9" s="29"/>
      <c r="O9" s="41"/>
      <c r="P9" s="28"/>
      <c r="Q9" s="29"/>
      <c r="R9" s="187">
        <v>2</v>
      </c>
      <c r="S9" s="188">
        <v>2</v>
      </c>
      <c r="T9" s="188">
        <v>2</v>
      </c>
      <c r="U9" s="188">
        <v>2</v>
      </c>
      <c r="V9" s="188">
        <v>2</v>
      </c>
      <c r="W9" s="188">
        <v>2</v>
      </c>
      <c r="X9" s="188">
        <v>2</v>
      </c>
      <c r="Y9" s="188">
        <v>2</v>
      </c>
      <c r="Z9" s="188">
        <v>2</v>
      </c>
      <c r="AA9" s="188">
        <v>2</v>
      </c>
      <c r="AB9" s="188">
        <v>2</v>
      </c>
      <c r="AC9" s="188">
        <v>2</v>
      </c>
      <c r="AD9" s="188">
        <v>2</v>
      </c>
      <c r="AE9" s="188">
        <v>2</v>
      </c>
      <c r="AF9" s="188">
        <v>2</v>
      </c>
      <c r="AG9" s="188">
        <v>2</v>
      </c>
      <c r="AH9" s="166"/>
      <c r="AI9" s="129">
        <f t="shared" si="1"/>
        <v>0</v>
      </c>
      <c r="AJ9" s="129">
        <f t="shared" si="2"/>
        <v>0</v>
      </c>
      <c r="AK9" s="129">
        <f t="shared" si="3"/>
        <v>0</v>
      </c>
      <c r="AL9" s="129">
        <f t="shared" si="4"/>
        <v>0</v>
      </c>
      <c r="AM9" s="129">
        <f t="shared" si="5"/>
        <v>0</v>
      </c>
      <c r="AN9" s="129">
        <f t="shared" si="6"/>
        <v>0</v>
      </c>
      <c r="AO9" s="129">
        <f t="shared" si="7"/>
        <v>0</v>
      </c>
      <c r="AP9" s="129">
        <f t="shared" si="8"/>
        <v>0</v>
      </c>
      <c r="AQ9" s="129">
        <f t="shared" si="9"/>
        <v>0</v>
      </c>
      <c r="AR9" s="129">
        <f t="shared" si="10"/>
        <v>0</v>
      </c>
      <c r="AS9" s="129">
        <f t="shared" si="11"/>
        <v>0</v>
      </c>
      <c r="AT9" s="129">
        <f t="shared" si="12"/>
        <v>0</v>
      </c>
      <c r="AU9" s="129">
        <f t="shared" si="13"/>
        <v>0</v>
      </c>
      <c r="AV9" s="129">
        <f t="shared" si="14"/>
        <v>0</v>
      </c>
      <c r="AW9" s="129">
        <f t="shared" si="15"/>
        <v>0</v>
      </c>
      <c r="AY9" s="162" t="str">
        <f>IF(ISBLANK(C9),"",NOT(ISERROR(MATCH(C9,Deltagarlista!$E$5:$E$64,0))))</f>
        <v/>
      </c>
      <c r="AZ9" s="162" t="str">
        <f>IF(ISBLANK(D9),"",NOT(ISERROR(MATCH(D9,Deltagarlista!$E$5:$E$64,0))))</f>
        <v/>
      </c>
      <c r="BA9" s="162" t="str">
        <f>IF(ISBLANK(E9),"",NOT(ISERROR(MATCH(E9,Deltagarlista!$E$5:$E$64,0))))</f>
        <v/>
      </c>
      <c r="BB9" s="162" t="str">
        <f>IF(ISBLANK(F9),"",NOT(ISERROR(MATCH(F9,Deltagarlista!$E$5:$E$64,0))))</f>
        <v/>
      </c>
      <c r="BC9" s="162" t="str">
        <f>IF(ISBLANK(G9),"",NOT(ISERROR(MATCH(G9,Deltagarlista!$E$5:$E$64,0))))</f>
        <v/>
      </c>
      <c r="BD9" s="162" t="str">
        <f>IF(ISBLANK(H9),"",NOT(ISERROR(MATCH(H9,Deltagarlista!$E$5:$E$64,0))))</f>
        <v/>
      </c>
      <c r="BE9" s="162" t="str">
        <f>IF(ISBLANK(I9),"",NOT(ISERROR(MATCH(I9,Deltagarlista!$E$5:$E$64,0))))</f>
        <v/>
      </c>
      <c r="BF9" s="162" t="str">
        <f>IF(ISBLANK(J9),"",NOT(ISERROR(MATCH(J9,Deltagarlista!$E$5:$E$64,0))))</f>
        <v/>
      </c>
      <c r="BG9" s="162" t="str">
        <f>IF(ISBLANK(K9),"",NOT(ISERROR(MATCH(K9,Deltagarlista!$E$5:$E$64,0))))</f>
        <v/>
      </c>
      <c r="BH9" s="162" t="str">
        <f>IF(ISBLANK(L9),"",NOT(ISERROR(MATCH(L9,Deltagarlista!$E$5:$E$64,0))))</f>
        <v/>
      </c>
      <c r="BI9" s="162" t="str">
        <f>IF(ISBLANK(M9),"",NOT(ISERROR(MATCH(M9,Deltagarlista!$E$5:$E$64,0))))</f>
        <v/>
      </c>
      <c r="BJ9" s="162" t="str">
        <f>IF(ISBLANK(N9),"",NOT(ISERROR(MATCH(N9,Deltagarlista!$E$5:$E$64,0))))</f>
        <v/>
      </c>
      <c r="BK9" s="162" t="str">
        <f>IF(ISBLANK(O9),"",NOT(ISERROR(MATCH(O9,Deltagarlista!$E$5:$E$64,0))))</f>
        <v/>
      </c>
      <c r="BL9" s="162" t="str">
        <f>IF(ISBLANK(P9),"",NOT(ISERROR(MATCH(P9,Deltagarlista!$E$5:$E$64,0))))</f>
        <v/>
      </c>
      <c r="BM9" s="162" t="str">
        <f>IF(ISBLANK(Q9),"",NOT(ISERROR(MATCH(Q9,Deltagarlista!$E$5:$E$64,0))))</f>
        <v/>
      </c>
      <c r="BN9" s="167"/>
      <c r="BO9" s="162">
        <f>SUM(COUNTIF($C$8:$Q$45,Deltagarlista!E6)+COUNTIF($C$53:$Q$90,Deltagarlista!E6)+COUNTIF($C$98:$Q$135,Deltagarlista!E6)+COUNTIF($C$143:$Q$180,Deltagarlista!E6))</f>
        <v>0</v>
      </c>
      <c r="BP9" s="162">
        <f t="shared" ref="BP9:BP69" si="18">IF($U$5=3,IF(BO9&gt;2,0,1),1)</f>
        <v>1</v>
      </c>
      <c r="BQ9" s="162">
        <f t="shared" ref="BQ9:BQ69" si="19">IF($U$5=6,IF(BO9&gt;4,0,1),1)</f>
        <v>1</v>
      </c>
      <c r="BR9" s="162">
        <f t="shared" ref="BR9:BR69" si="20">IF($U$5=9,IF(BO9&gt;6,0,1),1)</f>
        <v>1</v>
      </c>
      <c r="BS9" s="162">
        <f t="shared" ref="BS9:BS69" si="21">IF($U$5=12,IF(BO9&gt;8,0,1),1)</f>
        <v>1</v>
      </c>
      <c r="BT9" s="162">
        <f t="shared" ref="BT9:BT69" si="22">IF($U$5=15,IF(BO9&gt;10,0,1),1)</f>
        <v>1</v>
      </c>
      <c r="BU9" s="162">
        <f t="shared" ref="BU9:BU69" si="23">IF($U$5=18,IF($BO9&gt;12,0,1),1)</f>
        <v>1</v>
      </c>
      <c r="BV9" s="162">
        <f t="shared" ref="BV9:BV69" si="24">IF($U$5=21,IF($BO9&gt;14,0,1),1)</f>
        <v>1</v>
      </c>
      <c r="BW9" s="162">
        <f t="shared" ref="BW9:BW69" si="25">IF($U$5=24,IF($BO9&gt;16,0,1),1)</f>
        <v>1</v>
      </c>
      <c r="BX9" s="162">
        <f t="shared" ref="BX9:BX69" si="26">IF($U$5=27,IF($BO9&gt;18,0,1),1)</f>
        <v>1</v>
      </c>
      <c r="BY9" s="162">
        <f t="shared" ref="BY9:BY69" si="27">IF($U$5=30,IF($BO9&gt;20,0,1),1)</f>
        <v>1</v>
      </c>
      <c r="BZ9" s="162">
        <f t="shared" ref="BZ9:BZ69" si="28">IF($U$5=33,IF($BO9&gt;22,0,1),1)</f>
        <v>1</v>
      </c>
      <c r="CA9" s="162">
        <f t="shared" ref="CA9:CA69" si="29">IF($U$5=36,IF($BO9&gt;24,0,1),1)</f>
        <v>1</v>
      </c>
      <c r="CB9" s="162">
        <f t="shared" ref="CB9:CB69" si="30">IF($U$5=39,IF($BO9&gt;26,0,1),1)</f>
        <v>1</v>
      </c>
      <c r="CC9" s="162">
        <f t="shared" ref="CC9:CC45" si="31">IF($U$5=42,IF($BO9&gt;28,0,1),1)</f>
        <v>1</v>
      </c>
      <c r="CD9" s="162">
        <f t="shared" ref="CD9:CD45" si="32">IF($U$5=45,IF($BO9&gt;30,0,1),1)</f>
        <v>1</v>
      </c>
      <c r="CE9" s="162">
        <f t="shared" ref="CE9:CE45" si="33">IF($U$5=48,IF($BO9&gt;32,0,1),1)</f>
        <v>1</v>
      </c>
      <c r="CF9" s="162">
        <f t="shared" ref="CF9:CF45" si="34">IF($U$5=51,IF($BO9&gt;34,0,1),1)</f>
        <v>1</v>
      </c>
      <c r="CG9" s="162">
        <f t="shared" ref="CG9:CG45" si="35">IF($U$5=54,IF($BO9&gt;36,0,1),1)</f>
        <v>1</v>
      </c>
      <c r="CH9" s="162">
        <f t="shared" ref="CH9:CH45" si="36">IF($U$5=57,IF($BO9&gt;38,0,1),1)</f>
        <v>1</v>
      </c>
      <c r="CI9" s="162">
        <f t="shared" ref="CI9:CI45" si="37">IF($U$5=60,IF($BO9&gt;40,0,1),1)</f>
        <v>1</v>
      </c>
      <c r="CL9" s="184" t="str">
        <f>IF(Deltagarlista!E6="","",Deltagarlista!E6)</f>
        <v/>
      </c>
      <c r="CM9" s="162" t="str">
        <f>IF(Deltagarlista!I6="","",(IF(VLOOKUP(CL9,Deltagarlista!$E$5:$I$64,5,FALSE)="Grön","Gr",IF(VLOOKUP(CL9,Deltagarlista!$E$5:$I$64,5,FALSE)="Röd","R",IF(VLOOKUP(CL9,Deltagarlista!$E$5:$I$64,5,FALSE)="Blå","B","Gu")))))</f>
        <v/>
      </c>
      <c r="CO9" s="162" t="str">
        <f t="shared" si="16"/>
        <v/>
      </c>
      <c r="CP9" s="162" t="str">
        <f t="shared" si="17"/>
        <v/>
      </c>
      <c r="CQ9" s="162" t="s">
        <v>62</v>
      </c>
      <c r="CR9" s="162">
        <f>COUNTIF($CP$8:$CP$45,"R")</f>
        <v>0</v>
      </c>
      <c r="DK9" s="162" t="str">
        <f>IF(DM9="","",IF(ISBLANK(Deltagarlista!C5),"",Deltagarlista!C5))</f>
        <v/>
      </c>
      <c r="DL9" s="162" t="str">
        <f>IF(ISBLANK(Deltagarlista!I5),"",IF(Deltagarlista!I5="RÖD","R",IF(Deltagarlista!I5="GRÖN","G",IF(Deltagarlista!I5="BLÅ","B",IF(Deltagarlista!I5="GUL","G","")))))</f>
        <v/>
      </c>
      <c r="DM9" s="162">
        <f>IF(ISBLANK(Deltagarlista!H5),"",1)</f>
        <v>1</v>
      </c>
      <c r="DR9" s="162" t="str">
        <f>IF(DK9&lt;&gt;"",DK9,IF(DK10&lt;&gt;"",DK10,IF(DK11&lt;&gt;"",DK11,IF(DK12&lt;&gt;"",DK12,IF(DK13&lt;&gt;"",DK13,IF(DK14&lt;&gt;"",DK14,IF(DK15&lt;&gt;"",DK15,IF(DK16&lt;&gt;"",DK16,""))))))))</f>
        <v/>
      </c>
      <c r="DS9" s="162" t="str">
        <f>IF(DL10="G",DK10,IF(DL11="G",DK11,IF(DL12="G",DK12,IF(DL13="G",DK13,IF(DL14="G",DK14,IF(DL15="G",DK15,IF(DL16="G",DK16,IF(DL17="G",DK17,IF(DL18="G",DK18,IF(DL19="G",DK19,IF(DL20="G",DK20,IF(DL21="G",DK21,IF(DL22="G",DK22,"")))))))))))))</f>
        <v/>
      </c>
      <c r="DT9" s="162" t="e">
        <f>VLOOKUP("B",DL9:$DM$45,2,FALSE)</f>
        <v>#VALUE!</v>
      </c>
    </row>
    <row r="10" spans="2:126" ht="15.9" customHeight="1" x14ac:dyDescent="0.3">
      <c r="B10" s="186">
        <v>3</v>
      </c>
      <c r="C10" s="27"/>
      <c r="D10" s="28"/>
      <c r="E10" s="38"/>
      <c r="F10" s="27"/>
      <c r="G10" s="28"/>
      <c r="H10" s="38"/>
      <c r="I10" s="27"/>
      <c r="J10" s="28"/>
      <c r="K10" s="38"/>
      <c r="L10" s="27"/>
      <c r="M10" s="28"/>
      <c r="N10" s="29"/>
      <c r="O10" s="41"/>
      <c r="P10" s="28"/>
      <c r="Q10" s="29"/>
      <c r="R10" s="187">
        <v>3</v>
      </c>
      <c r="S10" s="188">
        <v>3</v>
      </c>
      <c r="T10" s="188">
        <v>3</v>
      </c>
      <c r="U10" s="188">
        <v>3</v>
      </c>
      <c r="V10" s="188">
        <v>3</v>
      </c>
      <c r="W10" s="188">
        <v>3</v>
      </c>
      <c r="X10" s="188">
        <v>3</v>
      </c>
      <c r="Y10" s="188">
        <v>3</v>
      </c>
      <c r="Z10" s="188">
        <v>3</v>
      </c>
      <c r="AA10" s="188">
        <v>3</v>
      </c>
      <c r="AB10" s="188">
        <v>3</v>
      </c>
      <c r="AC10" s="188">
        <v>3</v>
      </c>
      <c r="AD10" s="188">
        <v>3</v>
      </c>
      <c r="AE10" s="188">
        <v>3</v>
      </c>
      <c r="AF10" s="188">
        <v>3</v>
      </c>
      <c r="AG10" s="188">
        <v>3</v>
      </c>
      <c r="AH10" s="166"/>
      <c r="AI10" s="129">
        <f t="shared" si="1"/>
        <v>0</v>
      </c>
      <c r="AJ10" s="129">
        <f t="shared" si="2"/>
        <v>0</v>
      </c>
      <c r="AK10" s="129">
        <f t="shared" si="3"/>
        <v>0</v>
      </c>
      <c r="AL10" s="129">
        <f t="shared" si="4"/>
        <v>0</v>
      </c>
      <c r="AM10" s="129">
        <f t="shared" si="5"/>
        <v>0</v>
      </c>
      <c r="AN10" s="129">
        <f t="shared" si="6"/>
        <v>0</v>
      </c>
      <c r="AO10" s="129">
        <f t="shared" si="7"/>
        <v>0</v>
      </c>
      <c r="AP10" s="129">
        <f t="shared" si="8"/>
        <v>0</v>
      </c>
      <c r="AQ10" s="129">
        <f t="shared" si="9"/>
        <v>0</v>
      </c>
      <c r="AR10" s="129">
        <f t="shared" si="10"/>
        <v>0</v>
      </c>
      <c r="AS10" s="129">
        <f t="shared" si="11"/>
        <v>0</v>
      </c>
      <c r="AT10" s="129">
        <f t="shared" si="12"/>
        <v>0</v>
      </c>
      <c r="AU10" s="129">
        <f t="shared" si="13"/>
        <v>0</v>
      </c>
      <c r="AV10" s="129">
        <f t="shared" si="14"/>
        <v>0</v>
      </c>
      <c r="AW10" s="129">
        <f t="shared" si="15"/>
        <v>0</v>
      </c>
      <c r="AY10" s="162" t="str">
        <f>IF(ISBLANK(C10),"",NOT(ISERROR(MATCH(C10,Deltagarlista!$E$5:$E$64,0))))</f>
        <v/>
      </c>
      <c r="AZ10" s="162" t="str">
        <f>IF(ISBLANK(D10),"",NOT(ISERROR(MATCH(D10,Deltagarlista!$E$5:$E$64,0))))</f>
        <v/>
      </c>
      <c r="BA10" s="162" t="str">
        <f>IF(ISBLANK(E10),"",NOT(ISERROR(MATCH(E10,Deltagarlista!$E$5:$E$64,0))))</f>
        <v/>
      </c>
      <c r="BB10" s="162" t="str">
        <f>IF(ISBLANK(F10),"",NOT(ISERROR(MATCH(F10,Deltagarlista!$E$5:$E$64,0))))</f>
        <v/>
      </c>
      <c r="BC10" s="162" t="str">
        <f>IF(ISBLANK(G10),"",NOT(ISERROR(MATCH(G10,Deltagarlista!$E$5:$E$64,0))))</f>
        <v/>
      </c>
      <c r="BD10" s="162" t="str">
        <f>IF(ISBLANK(H10),"",NOT(ISERROR(MATCH(H10,Deltagarlista!$E$5:$E$64,0))))</f>
        <v/>
      </c>
      <c r="BE10" s="162" t="str">
        <f>IF(ISBLANK(I10),"",NOT(ISERROR(MATCH(I10,Deltagarlista!$E$5:$E$64,0))))</f>
        <v/>
      </c>
      <c r="BF10" s="162" t="str">
        <f>IF(ISBLANK(J10),"",NOT(ISERROR(MATCH(J10,Deltagarlista!$E$5:$E$64,0))))</f>
        <v/>
      </c>
      <c r="BG10" s="162" t="str">
        <f>IF(ISBLANK(K10),"",NOT(ISERROR(MATCH(K10,Deltagarlista!$E$5:$E$64,0))))</f>
        <v/>
      </c>
      <c r="BH10" s="162" t="str">
        <f>IF(ISBLANK(L10),"",NOT(ISERROR(MATCH(L10,Deltagarlista!$E$5:$E$64,0))))</f>
        <v/>
      </c>
      <c r="BI10" s="162" t="str">
        <f>IF(ISBLANK(M10),"",NOT(ISERROR(MATCH(M10,Deltagarlista!$E$5:$E$64,0))))</f>
        <v/>
      </c>
      <c r="BJ10" s="162" t="str">
        <f>IF(ISBLANK(N10),"",NOT(ISERROR(MATCH(N10,Deltagarlista!$E$5:$E$64,0))))</f>
        <v/>
      </c>
      <c r="BK10" s="162" t="str">
        <f>IF(ISBLANK(O10),"",NOT(ISERROR(MATCH(O10,Deltagarlista!$E$5:$E$64,0))))</f>
        <v/>
      </c>
      <c r="BL10" s="162" t="str">
        <f>IF(ISBLANK(P10),"",NOT(ISERROR(MATCH(P10,Deltagarlista!$E$5:$E$64,0))))</f>
        <v/>
      </c>
      <c r="BM10" s="162" t="str">
        <f>IF(ISBLANK(Q10),"",NOT(ISERROR(MATCH(Q10,Deltagarlista!$E$5:$E$64,0))))</f>
        <v/>
      </c>
      <c r="BN10" s="167"/>
      <c r="BO10" s="162">
        <f>SUM(COUNTIF($C$8:$Q$45,Deltagarlista!E7)+COUNTIF($C$53:$Q$90,Deltagarlista!E7)+COUNTIF($C$98:$Q$135,Deltagarlista!E7)+COUNTIF($C$143:$Q$180,Deltagarlista!E7))</f>
        <v>0</v>
      </c>
      <c r="BP10" s="162">
        <f t="shared" si="18"/>
        <v>1</v>
      </c>
      <c r="BQ10" s="162">
        <f t="shared" si="19"/>
        <v>1</v>
      </c>
      <c r="BR10" s="162">
        <f t="shared" si="20"/>
        <v>1</v>
      </c>
      <c r="BS10" s="162">
        <f t="shared" si="21"/>
        <v>1</v>
      </c>
      <c r="BT10" s="162">
        <f t="shared" si="22"/>
        <v>1</v>
      </c>
      <c r="BU10" s="162">
        <f t="shared" si="23"/>
        <v>1</v>
      </c>
      <c r="BV10" s="162">
        <f t="shared" si="24"/>
        <v>1</v>
      </c>
      <c r="BW10" s="162">
        <f t="shared" si="25"/>
        <v>1</v>
      </c>
      <c r="BX10" s="162">
        <f t="shared" si="26"/>
        <v>1</v>
      </c>
      <c r="BY10" s="162">
        <f t="shared" si="27"/>
        <v>1</v>
      </c>
      <c r="BZ10" s="162">
        <f t="shared" si="28"/>
        <v>1</v>
      </c>
      <c r="CA10" s="162">
        <f t="shared" si="29"/>
        <v>1</v>
      </c>
      <c r="CB10" s="162">
        <f t="shared" si="30"/>
        <v>1</v>
      </c>
      <c r="CC10" s="162">
        <f t="shared" si="31"/>
        <v>1</v>
      </c>
      <c r="CD10" s="162">
        <f t="shared" si="32"/>
        <v>1</v>
      </c>
      <c r="CE10" s="162">
        <f t="shared" si="33"/>
        <v>1</v>
      </c>
      <c r="CF10" s="162">
        <f t="shared" si="34"/>
        <v>1</v>
      </c>
      <c r="CG10" s="162">
        <f t="shared" si="35"/>
        <v>1</v>
      </c>
      <c r="CH10" s="162">
        <f t="shared" si="36"/>
        <v>1</v>
      </c>
      <c r="CI10" s="162">
        <f t="shared" si="37"/>
        <v>1</v>
      </c>
      <c r="CL10" s="184" t="str">
        <f>IF(Deltagarlista!E7="","",Deltagarlista!E7)</f>
        <v/>
      </c>
      <c r="CM10" s="162" t="str">
        <f>IF(Deltagarlista!I7="","",(IF(VLOOKUP(CL10,Deltagarlista!$E$5:$I$64,5,FALSE)="Grön","Gr",IF(VLOOKUP(CL10,Deltagarlista!$E$5:$I$64,5,FALSE)="Röd","R",IF(VLOOKUP(CL10,Deltagarlista!$E$5:$I$64,5,FALSE)="Blå","B","Gu")))))</f>
        <v/>
      </c>
      <c r="CO10" s="162" t="str">
        <f t="shared" si="16"/>
        <v/>
      </c>
      <c r="CP10" s="162" t="str">
        <f t="shared" si="17"/>
        <v/>
      </c>
      <c r="CQ10" s="162" t="s">
        <v>61</v>
      </c>
      <c r="CR10" s="162">
        <f>COUNTIF($CP$8:$CP$45,"B")</f>
        <v>0</v>
      </c>
      <c r="DK10" s="162" t="str">
        <f>IF(DM10="","",IF(ISBLANK(Deltagarlista!C6),"",Deltagarlista!C6))</f>
        <v/>
      </c>
      <c r="DL10" s="162" t="str">
        <f>IF(ISBLANK(Deltagarlista!I6),"",IF(Deltagarlista!I6="RÖD","R",IF(Deltagarlista!I6="GRÖN","G",IF(Deltagarlista!I6="BLÅ","B",IF(Deltagarlista!I6="GUL","G","")))))</f>
        <v/>
      </c>
      <c r="DM10" s="162">
        <f>IF(ISBLANK(Deltagarlista!H6),"",1)</f>
        <v>1</v>
      </c>
      <c r="DR10" s="162" t="str">
        <f>IF(AND(DL10="R",DK10&lt;&gt;DR9),DK10,IF(AND(DL11="R",DK11&lt;&gt;DR9),DK11,IF(AND(DL12="R",DK12&lt;&gt;DR9),DK12,IF(AND(DL13="R",DK13&lt;&gt;DR9),DK13,IF(AND(DL14="R",DK14&lt;&gt;DR9),DK14,IF(AND(DL15="R",DK15&lt;&gt;DR9),DK15,IF(AND(DL16="R",DK16&lt;&gt;DR9),DK16,"")))))))</f>
        <v/>
      </c>
      <c r="DS10" s="162" t="str">
        <f>IF(AND(DK10&lt;&gt;"",DL10="G",DK10&lt;&gt;DS9),DK10,IF(AND(DK11&lt;&gt;"",DL11="G",DK11&lt;&gt;DS9),DK11,IF(AND(DK12&lt;&gt;"",DL12="G",DK12&lt;&gt;DS9),DK12,IF(AND(DK13&lt;&gt;"",DL13="G",DK13&lt;&gt;DS9),DK13,IF(AND(DK14&lt;&gt;"",DL14="G",DK14&lt;&gt;DS9),DK14,IF(AND(DK15&lt;&gt;"",DL15="G",DK15&lt;&gt;DS9),DK15,IF(AND(DK16&lt;&gt;"",DL16="G",DK16&lt;&gt;DS9),DK16,IF(AND(DK17&lt;&gt;"",DL17="G",DK17&lt;&gt;DS9),DK17,IF(AND(DK18&lt;&gt;"",DL18="G",DK18&lt;&gt;DS9),DK18,IF(AND(DK19&lt;&gt;"",DL19="G",DK19&lt;&gt;DS9),DK19,IF(AND(DK20&lt;&gt;"",DL20="G",DK20&lt;&gt;DS9),DK20,IF(AND(DK21&lt;&gt;"",DL21="G",DK21&lt;&gt;DS9),DK21,IF(AND(DK22&lt;&gt;"",DL22="G",DK22&lt;&gt;DS9),DK22,IF(AND(DK23&lt;&gt;"",DL23="G",DK23&lt;&gt;DS9),DK23,IF(AND(DK24&lt;&gt;"",DL24="G",DK24&lt;&gt;DS9),DK24,IF(AND(DK25&lt;&gt;"",DL25="G",DK25&lt;&gt;DS9),DK25,IF(AND(DK26&lt;&gt;"",DL26="G",DK26&lt;&gt;DS9),DK26,IF(AND(DK27&lt;&gt;"",DL27="G",DK27&lt;&gt;DS9),DK27,""))))))))))))))))))</f>
        <v/>
      </c>
      <c r="DT10" s="162" t="e">
        <f>VLOOKUP("B",DL10:$DM$45,2,FALSE)</f>
        <v>#VALUE!</v>
      </c>
    </row>
    <row r="11" spans="2:126" ht="15.9" customHeight="1" x14ac:dyDescent="0.3">
      <c r="B11" s="186">
        <v>4</v>
      </c>
      <c r="C11" s="27"/>
      <c r="D11" s="28"/>
      <c r="E11" s="38"/>
      <c r="F11" s="27"/>
      <c r="G11" s="28"/>
      <c r="H11" s="38"/>
      <c r="I11" s="27"/>
      <c r="J11" s="28"/>
      <c r="K11" s="38"/>
      <c r="L11" s="27"/>
      <c r="M11" s="28"/>
      <c r="N11" s="29"/>
      <c r="O11" s="41"/>
      <c r="P11" s="28"/>
      <c r="Q11" s="29"/>
      <c r="R11" s="187">
        <v>4</v>
      </c>
      <c r="S11" s="188">
        <v>4</v>
      </c>
      <c r="T11" s="188">
        <v>4</v>
      </c>
      <c r="U11" s="188">
        <v>4</v>
      </c>
      <c r="V11" s="188">
        <v>4</v>
      </c>
      <c r="W11" s="188">
        <v>4</v>
      </c>
      <c r="X11" s="188">
        <v>4</v>
      </c>
      <c r="Y11" s="188">
        <v>4</v>
      </c>
      <c r="Z11" s="188">
        <v>4</v>
      </c>
      <c r="AA11" s="188">
        <v>4</v>
      </c>
      <c r="AB11" s="188">
        <v>4</v>
      </c>
      <c r="AC11" s="188">
        <v>4</v>
      </c>
      <c r="AD11" s="188">
        <v>4</v>
      </c>
      <c r="AE11" s="188">
        <v>4</v>
      </c>
      <c r="AF11" s="188">
        <v>4</v>
      </c>
      <c r="AG11" s="188">
        <v>4</v>
      </c>
      <c r="AH11" s="166"/>
      <c r="AI11" s="129">
        <f t="shared" si="1"/>
        <v>0</v>
      </c>
      <c r="AJ11" s="129">
        <f t="shared" si="2"/>
        <v>0</v>
      </c>
      <c r="AK11" s="129">
        <f t="shared" si="3"/>
        <v>0</v>
      </c>
      <c r="AL11" s="129">
        <f t="shared" si="4"/>
        <v>0</v>
      </c>
      <c r="AM11" s="129">
        <f t="shared" si="5"/>
        <v>0</v>
      </c>
      <c r="AN11" s="129">
        <f t="shared" si="6"/>
        <v>0</v>
      </c>
      <c r="AO11" s="129">
        <f t="shared" si="7"/>
        <v>0</v>
      </c>
      <c r="AP11" s="129">
        <f t="shared" si="8"/>
        <v>0</v>
      </c>
      <c r="AQ11" s="129">
        <f t="shared" si="9"/>
        <v>0</v>
      </c>
      <c r="AR11" s="129">
        <f t="shared" si="10"/>
        <v>0</v>
      </c>
      <c r="AS11" s="129">
        <f t="shared" si="11"/>
        <v>0</v>
      </c>
      <c r="AT11" s="129">
        <f t="shared" si="12"/>
        <v>0</v>
      </c>
      <c r="AU11" s="129">
        <f t="shared" si="13"/>
        <v>0</v>
      </c>
      <c r="AV11" s="129">
        <f t="shared" si="14"/>
        <v>0</v>
      </c>
      <c r="AW11" s="129">
        <f t="shared" si="15"/>
        <v>0</v>
      </c>
      <c r="AY11" s="162" t="str">
        <f>IF(ISBLANK(C11),"",NOT(ISERROR(MATCH(C11,Deltagarlista!$E$5:$E$64,0))))</f>
        <v/>
      </c>
      <c r="AZ11" s="162" t="str">
        <f>IF(ISBLANK(D11),"",NOT(ISERROR(MATCH(D11,Deltagarlista!$E$5:$E$64,0))))</f>
        <v/>
      </c>
      <c r="BA11" s="162" t="str">
        <f>IF(ISBLANK(E11),"",NOT(ISERROR(MATCH(E11,Deltagarlista!$E$5:$E$64,0))))</f>
        <v/>
      </c>
      <c r="BB11" s="162" t="str">
        <f>IF(ISBLANK(F11),"",NOT(ISERROR(MATCH(F11,Deltagarlista!$E$5:$E$64,0))))</f>
        <v/>
      </c>
      <c r="BC11" s="162" t="str">
        <f>IF(ISBLANK(G11),"",NOT(ISERROR(MATCH(G11,Deltagarlista!$E$5:$E$64,0))))</f>
        <v/>
      </c>
      <c r="BD11" s="162" t="str">
        <f>IF(ISBLANK(H11),"",NOT(ISERROR(MATCH(H11,Deltagarlista!$E$5:$E$64,0))))</f>
        <v/>
      </c>
      <c r="BE11" s="162" t="str">
        <f>IF(ISBLANK(I11),"",NOT(ISERROR(MATCH(I11,Deltagarlista!$E$5:$E$64,0))))</f>
        <v/>
      </c>
      <c r="BF11" s="162" t="str">
        <f>IF(ISBLANK(J11),"",NOT(ISERROR(MATCH(J11,Deltagarlista!$E$5:$E$64,0))))</f>
        <v/>
      </c>
      <c r="BG11" s="162" t="str">
        <f>IF(ISBLANK(K11),"",NOT(ISERROR(MATCH(K11,Deltagarlista!$E$5:$E$64,0))))</f>
        <v/>
      </c>
      <c r="BH11" s="162" t="str">
        <f>IF(ISBLANK(L11),"",NOT(ISERROR(MATCH(L11,Deltagarlista!$E$5:$E$64,0))))</f>
        <v/>
      </c>
      <c r="BI11" s="162" t="str">
        <f>IF(ISBLANK(M11),"",NOT(ISERROR(MATCH(M11,Deltagarlista!$E$5:$E$64,0))))</f>
        <v/>
      </c>
      <c r="BJ11" s="162" t="str">
        <f>IF(ISBLANK(N11),"",NOT(ISERROR(MATCH(N11,Deltagarlista!$E$5:$E$64,0))))</f>
        <v/>
      </c>
      <c r="BK11" s="162" t="str">
        <f>IF(ISBLANK(O11),"",NOT(ISERROR(MATCH(O11,Deltagarlista!$E$5:$E$64,0))))</f>
        <v/>
      </c>
      <c r="BL11" s="162" t="str">
        <f>IF(ISBLANK(P11),"",NOT(ISERROR(MATCH(P11,Deltagarlista!$E$5:$E$64,0))))</f>
        <v/>
      </c>
      <c r="BM11" s="162" t="str">
        <f>IF(ISBLANK(Q11),"",NOT(ISERROR(MATCH(Q11,Deltagarlista!$E$5:$E$64,0))))</f>
        <v/>
      </c>
      <c r="BN11" s="167"/>
      <c r="BO11" s="162">
        <f>SUM(COUNTIF($C$8:$Q$45,Deltagarlista!E8)+COUNTIF($C$53:$Q$90,Deltagarlista!E8)+COUNTIF($C$98:$Q$135,Deltagarlista!E8)+COUNTIF($C$143:$Q$180,Deltagarlista!E8))</f>
        <v>0</v>
      </c>
      <c r="BP11" s="162">
        <f t="shared" si="18"/>
        <v>1</v>
      </c>
      <c r="BQ11" s="162">
        <f t="shared" si="19"/>
        <v>1</v>
      </c>
      <c r="BR11" s="162">
        <f t="shared" si="20"/>
        <v>1</v>
      </c>
      <c r="BS11" s="162">
        <f t="shared" si="21"/>
        <v>1</v>
      </c>
      <c r="BT11" s="162">
        <f t="shared" si="22"/>
        <v>1</v>
      </c>
      <c r="BU11" s="162">
        <f t="shared" si="23"/>
        <v>1</v>
      </c>
      <c r="BV11" s="162">
        <f t="shared" si="24"/>
        <v>1</v>
      </c>
      <c r="BW11" s="162">
        <f t="shared" si="25"/>
        <v>1</v>
      </c>
      <c r="BX11" s="162">
        <f t="shared" si="26"/>
        <v>1</v>
      </c>
      <c r="BY11" s="162">
        <f t="shared" si="27"/>
        <v>1</v>
      </c>
      <c r="BZ11" s="162">
        <f t="shared" si="28"/>
        <v>1</v>
      </c>
      <c r="CA11" s="162">
        <f t="shared" si="29"/>
        <v>1</v>
      </c>
      <c r="CB11" s="162">
        <f t="shared" si="30"/>
        <v>1</v>
      </c>
      <c r="CC11" s="162">
        <f t="shared" si="31"/>
        <v>1</v>
      </c>
      <c r="CD11" s="162">
        <f t="shared" si="32"/>
        <v>1</v>
      </c>
      <c r="CE11" s="162">
        <f t="shared" si="33"/>
        <v>1</v>
      </c>
      <c r="CF11" s="162">
        <f t="shared" si="34"/>
        <v>1</v>
      </c>
      <c r="CG11" s="162">
        <f t="shared" si="35"/>
        <v>1</v>
      </c>
      <c r="CH11" s="162">
        <f t="shared" si="36"/>
        <v>1</v>
      </c>
      <c r="CI11" s="162">
        <f t="shared" si="37"/>
        <v>1</v>
      </c>
      <c r="CL11" s="184" t="str">
        <f>IF(Deltagarlista!E8="","",Deltagarlista!E8)</f>
        <v/>
      </c>
      <c r="CM11" s="162" t="str">
        <f>IF(Deltagarlista!I8="","",(IF(VLOOKUP(CL11,Deltagarlista!$E$5:$I$64,5,FALSE)="Grön","Gr",IF(VLOOKUP(CL11,Deltagarlista!$E$5:$I$64,5,FALSE)="Röd","R",IF(VLOOKUP(CL11,Deltagarlista!$E$5:$I$64,5,FALSE)="Blå","B","Gu")))))</f>
        <v/>
      </c>
      <c r="CO11" s="162" t="str">
        <f t="shared" si="16"/>
        <v/>
      </c>
      <c r="CP11" s="162" t="str">
        <f t="shared" si="17"/>
        <v/>
      </c>
      <c r="CQ11" s="162" t="s">
        <v>84</v>
      </c>
      <c r="CR11" s="162">
        <f>COUNTIF($CP$8:$CP$45,"Gu")</f>
        <v>0</v>
      </c>
      <c r="DK11" s="162" t="str">
        <f>IF(DM11="","",IF(ISBLANK(Deltagarlista!C7),"",Deltagarlista!C7))</f>
        <v/>
      </c>
      <c r="DL11" s="162" t="str">
        <f>IF(ISBLANK(Deltagarlista!I7),"",IF(Deltagarlista!I7="RÖD","R",IF(Deltagarlista!I7="GRÖN","G",IF(Deltagarlista!I7="BLÅ","B",IF(Deltagarlista!I7="GUL","G","")))))</f>
        <v/>
      </c>
      <c r="DM11" s="162">
        <f>IF(ISBLANK(Deltagarlista!H7),"",1)</f>
        <v>1</v>
      </c>
      <c r="DR11" s="162" t="str">
        <f>IF(AND(DK11&lt;&gt;"",DL11="R",DK11&lt;&gt;DR10),DK11,IF(AND(DK12&lt;&gt;"",DL12="R",DK12&lt;&gt;DR10),DK12,IF(AND(DK13&lt;&gt;"",DL13="R",DK13&lt;&gt;DR10),DK13,"")))</f>
        <v/>
      </c>
      <c r="DS11" s="162" t="str">
        <f t="shared" ref="DS11:DS41" si="38">IF(AND(DK11&lt;&gt;"",DL11="G",DK11&lt;&gt;DS10),DK11,IF(AND(DK12&lt;&gt;"",DL12="G",DK12&lt;&gt;DS10),DK12,IF(AND(DK13&lt;&gt;"",DL13="G",DK13&lt;&gt;DS10),DK13,IF(AND(DK14&lt;&gt;"",DL14="G",DK14&lt;&gt;DS10),DK14,IF(AND(DK15&lt;&gt;"",DL15="G",DK15&lt;&gt;DS10),DK15,IF(AND(DK16&lt;&gt;"",DL16="G",DK16&lt;&gt;DS10),DK16,IF(AND(DK17&lt;&gt;"",DL17="G",DK17&lt;&gt;DS10),DK17,IF(AND(DK18&lt;&gt;"",DL18="G",DK18&lt;&gt;DS10),DK18,IF(AND(DK19&lt;&gt;"",DL19="G",DK19&lt;&gt;DS10),DK19,IF(AND(DK20&lt;&gt;"",DL20="G",DK20&lt;&gt;DS10),DK20,IF(AND(DK21&lt;&gt;"",DL21="G",DK21&lt;&gt;DS10),DK21,IF(AND(DK22&lt;&gt;"",DL22="G",DK22&lt;&gt;DS10),DK22,IF(AND(DK23&lt;&gt;"",DL23="G",DK23&lt;&gt;DS10),DK23,IF(AND(DK24&lt;&gt;"",DL24="G",DK24&lt;&gt;DS10),DK24,IF(AND(DK25&lt;&gt;"",DL25="G",DK25&lt;&gt;DS10),DK25,IF(AND(DK26&lt;&gt;"",DL26="G",DK26&lt;&gt;DS10),DK26,IF(AND(DK27&lt;&gt;"",DL27="G",DK27&lt;&gt;DS10),DK27,IF(AND(DK28&lt;&gt;"",DL28="G",DK28&lt;&gt;DS10),DK28,""))))))))))))))))))</f>
        <v/>
      </c>
      <c r="DT11" s="162" t="e">
        <f>VLOOKUP("B",DL11:$DM$45,2,FALSE)</f>
        <v>#VALUE!</v>
      </c>
    </row>
    <row r="12" spans="2:126" ht="15.9" customHeight="1" x14ac:dyDescent="0.3">
      <c r="B12" s="186">
        <v>5</v>
      </c>
      <c r="C12" s="27"/>
      <c r="D12" s="28"/>
      <c r="E12" s="38"/>
      <c r="F12" s="27"/>
      <c r="G12" s="28"/>
      <c r="H12" s="38"/>
      <c r="I12" s="27"/>
      <c r="J12" s="28"/>
      <c r="K12" s="38"/>
      <c r="L12" s="27"/>
      <c r="M12" s="28"/>
      <c r="N12" s="29"/>
      <c r="O12" s="41"/>
      <c r="P12" s="28"/>
      <c r="Q12" s="29"/>
      <c r="R12" s="187">
        <v>5</v>
      </c>
      <c r="S12" s="188">
        <v>5</v>
      </c>
      <c r="T12" s="188">
        <v>5</v>
      </c>
      <c r="U12" s="188">
        <v>5</v>
      </c>
      <c r="V12" s="188">
        <v>5</v>
      </c>
      <c r="W12" s="188">
        <v>5</v>
      </c>
      <c r="X12" s="188">
        <v>5</v>
      </c>
      <c r="Y12" s="188">
        <v>5</v>
      </c>
      <c r="Z12" s="188">
        <v>5</v>
      </c>
      <c r="AA12" s="188">
        <v>5</v>
      </c>
      <c r="AB12" s="188">
        <v>5</v>
      </c>
      <c r="AC12" s="188">
        <v>5</v>
      </c>
      <c r="AD12" s="188">
        <v>5</v>
      </c>
      <c r="AE12" s="188">
        <v>5</v>
      </c>
      <c r="AF12" s="188">
        <v>5</v>
      </c>
      <c r="AG12" s="188">
        <v>5</v>
      </c>
      <c r="AH12" s="166"/>
      <c r="AI12" s="129">
        <f t="shared" si="1"/>
        <v>0</v>
      </c>
      <c r="AJ12" s="129">
        <f t="shared" si="2"/>
        <v>0</v>
      </c>
      <c r="AK12" s="129">
        <f t="shared" si="3"/>
        <v>0</v>
      </c>
      <c r="AL12" s="129">
        <f t="shared" si="4"/>
        <v>0</v>
      </c>
      <c r="AM12" s="129">
        <f t="shared" si="5"/>
        <v>0</v>
      </c>
      <c r="AN12" s="129">
        <f t="shared" si="6"/>
        <v>0</v>
      </c>
      <c r="AO12" s="129">
        <f t="shared" si="7"/>
        <v>0</v>
      </c>
      <c r="AP12" s="129">
        <f t="shared" si="8"/>
        <v>0</v>
      </c>
      <c r="AQ12" s="129">
        <f t="shared" si="9"/>
        <v>0</v>
      </c>
      <c r="AR12" s="129">
        <f t="shared" si="10"/>
        <v>0</v>
      </c>
      <c r="AS12" s="129">
        <f t="shared" si="11"/>
        <v>0</v>
      </c>
      <c r="AT12" s="129">
        <f t="shared" si="12"/>
        <v>0</v>
      </c>
      <c r="AU12" s="129">
        <f t="shared" si="13"/>
        <v>0</v>
      </c>
      <c r="AV12" s="129">
        <f t="shared" si="14"/>
        <v>0</v>
      </c>
      <c r="AW12" s="129">
        <f t="shared" si="15"/>
        <v>0</v>
      </c>
      <c r="AY12" s="162" t="str">
        <f>IF(ISBLANK(C12),"",NOT(ISERROR(MATCH(C12,Deltagarlista!$E$5:$E$64,0))))</f>
        <v/>
      </c>
      <c r="AZ12" s="162" t="str">
        <f>IF(ISBLANK(D12),"",NOT(ISERROR(MATCH(D12,Deltagarlista!$E$5:$E$64,0))))</f>
        <v/>
      </c>
      <c r="BA12" s="162" t="str">
        <f>IF(ISBLANK(E12),"",NOT(ISERROR(MATCH(E12,Deltagarlista!$E$5:$E$64,0))))</f>
        <v/>
      </c>
      <c r="BB12" s="162" t="str">
        <f>IF(ISBLANK(F12),"",NOT(ISERROR(MATCH(F12,Deltagarlista!$E$5:$E$64,0))))</f>
        <v/>
      </c>
      <c r="BC12" s="162" t="str">
        <f>IF(ISBLANK(G12),"",NOT(ISERROR(MATCH(G12,Deltagarlista!$E$5:$E$64,0))))</f>
        <v/>
      </c>
      <c r="BD12" s="162" t="str">
        <f>IF(ISBLANK(H12),"",NOT(ISERROR(MATCH(H12,Deltagarlista!$E$5:$E$64,0))))</f>
        <v/>
      </c>
      <c r="BE12" s="162" t="str">
        <f>IF(ISBLANK(I12),"",NOT(ISERROR(MATCH(I12,Deltagarlista!$E$5:$E$64,0))))</f>
        <v/>
      </c>
      <c r="BF12" s="162" t="str">
        <f>IF(ISBLANK(J12),"",NOT(ISERROR(MATCH(J12,Deltagarlista!$E$5:$E$64,0))))</f>
        <v/>
      </c>
      <c r="BG12" s="162" t="str">
        <f>IF(ISBLANK(K12),"",NOT(ISERROR(MATCH(K12,Deltagarlista!$E$5:$E$64,0))))</f>
        <v/>
      </c>
      <c r="BH12" s="162" t="str">
        <f>IF(ISBLANK(L12),"",NOT(ISERROR(MATCH(L12,Deltagarlista!$E$5:$E$64,0))))</f>
        <v/>
      </c>
      <c r="BI12" s="162" t="str">
        <f>IF(ISBLANK(M12),"",NOT(ISERROR(MATCH(M12,Deltagarlista!$E$5:$E$64,0))))</f>
        <v/>
      </c>
      <c r="BJ12" s="162" t="str">
        <f>IF(ISBLANK(N12),"",NOT(ISERROR(MATCH(N12,Deltagarlista!$E$5:$E$64,0))))</f>
        <v/>
      </c>
      <c r="BK12" s="162" t="str">
        <f>IF(ISBLANK(O12),"",NOT(ISERROR(MATCH(O12,Deltagarlista!$E$5:$E$64,0))))</f>
        <v/>
      </c>
      <c r="BL12" s="162" t="str">
        <f>IF(ISBLANK(P12),"",NOT(ISERROR(MATCH(P12,Deltagarlista!$E$5:$E$64,0))))</f>
        <v/>
      </c>
      <c r="BM12" s="162" t="str">
        <f>IF(ISBLANK(Q12),"",NOT(ISERROR(MATCH(Q12,Deltagarlista!$E$5:$E$64,0))))</f>
        <v/>
      </c>
      <c r="BN12" s="167"/>
      <c r="BO12" s="162">
        <f>SUM(COUNTIF($C$8:$Q$45,Deltagarlista!E9)+COUNTIF($C$53:$Q$90,Deltagarlista!E9)+COUNTIF($C$98:$Q$135,Deltagarlista!E9)+COUNTIF($C$143:$Q$180,Deltagarlista!E9))</f>
        <v>0</v>
      </c>
      <c r="BP12" s="162">
        <f t="shared" si="18"/>
        <v>1</v>
      </c>
      <c r="BQ12" s="162">
        <f t="shared" si="19"/>
        <v>1</v>
      </c>
      <c r="BR12" s="162">
        <f t="shared" si="20"/>
        <v>1</v>
      </c>
      <c r="BS12" s="162">
        <f t="shared" si="21"/>
        <v>1</v>
      </c>
      <c r="BT12" s="162">
        <f t="shared" si="22"/>
        <v>1</v>
      </c>
      <c r="BU12" s="162">
        <f t="shared" si="23"/>
        <v>1</v>
      </c>
      <c r="BV12" s="162">
        <f t="shared" si="24"/>
        <v>1</v>
      </c>
      <c r="BW12" s="162">
        <f t="shared" si="25"/>
        <v>1</v>
      </c>
      <c r="BX12" s="162">
        <f t="shared" si="26"/>
        <v>1</v>
      </c>
      <c r="BY12" s="162">
        <f t="shared" si="27"/>
        <v>1</v>
      </c>
      <c r="BZ12" s="162">
        <f t="shared" si="28"/>
        <v>1</v>
      </c>
      <c r="CA12" s="162">
        <f t="shared" si="29"/>
        <v>1</v>
      </c>
      <c r="CB12" s="162">
        <f t="shared" si="30"/>
        <v>1</v>
      </c>
      <c r="CC12" s="162">
        <f t="shared" si="31"/>
        <v>1</v>
      </c>
      <c r="CD12" s="162">
        <f t="shared" si="32"/>
        <v>1</v>
      </c>
      <c r="CE12" s="162">
        <f t="shared" si="33"/>
        <v>1</v>
      </c>
      <c r="CF12" s="162">
        <f t="shared" si="34"/>
        <v>1</v>
      </c>
      <c r="CG12" s="162">
        <f t="shared" si="35"/>
        <v>1</v>
      </c>
      <c r="CH12" s="162">
        <f t="shared" si="36"/>
        <v>1</v>
      </c>
      <c r="CI12" s="162">
        <f t="shared" si="37"/>
        <v>1</v>
      </c>
      <c r="CL12" s="184" t="str">
        <f>IF(Deltagarlista!E9="","",Deltagarlista!E9)</f>
        <v/>
      </c>
      <c r="CM12" s="162" t="str">
        <f>IF(Deltagarlista!I9="","",(IF(VLOOKUP(CL12,Deltagarlista!$E$5:$I$64,5,FALSE)="Grön","Gr",IF(VLOOKUP(CL12,Deltagarlista!$E$5:$I$64,5,FALSE)="Röd","R",IF(VLOOKUP(CL12,Deltagarlista!$E$5:$I$64,5,FALSE)="Blå","B","Gu")))))</f>
        <v/>
      </c>
      <c r="CO12" s="162" t="str">
        <f t="shared" si="16"/>
        <v/>
      </c>
      <c r="CP12" s="162" t="str">
        <f t="shared" si="17"/>
        <v/>
      </c>
      <c r="DK12" s="162" t="str">
        <f>IF(DM12="","",IF(ISBLANK(Deltagarlista!C8),"",Deltagarlista!C8))</f>
        <v/>
      </c>
      <c r="DL12" s="162" t="str">
        <f>IF(ISBLANK(Deltagarlista!I8),"",IF(Deltagarlista!I8="RÖD","R",IF(Deltagarlista!I8="GRÖN","G",IF(Deltagarlista!I8="BLÅ","B",IF(Deltagarlista!I8="GUL","G","")))))</f>
        <v/>
      </c>
      <c r="DM12" s="162">
        <f>IF(ISBLANK(Deltagarlista!H8),"",1)</f>
        <v>1</v>
      </c>
      <c r="DR12" s="162" t="str">
        <f>IF(AND(DK12&lt;&gt;"",DL12="R",DK12&lt;&gt;DR11),DK12,IF(AND(DK13&lt;&gt;"",DL13="R",DK13&lt;&gt;DR11),DK13,IF(AND(DK14&lt;&gt;"",DL14="R",DK14&lt;&gt;DR11),DK14,IF(AND(DK15&lt;&gt;"",DL15="R",DK15&lt;&gt;DR11),DK15,IF(AND(DK16&lt;&gt;"",DL16="R",DK16&lt;&gt;DR11),DK16,IF(AND(DK17&lt;&gt;"",DL17="R",DK17&lt;&gt;DR11),DK17,IF(AND(DK18&lt;&gt;"",DL18="R",DK18&lt;&gt;DR11),DK18,IF(AND(DK19&lt;&gt;"",DL19="R",DK19&lt;&gt;DR11),DK19,""))))))))</f>
        <v/>
      </c>
      <c r="DS12" s="162" t="str">
        <f t="shared" si="38"/>
        <v/>
      </c>
      <c r="DT12" s="162" t="e">
        <f>VLOOKUP("B",DL12:$DM$45,2,FALSE)</f>
        <v>#VALUE!</v>
      </c>
    </row>
    <row r="13" spans="2:126" ht="15.9" customHeight="1" x14ac:dyDescent="0.3">
      <c r="B13" s="186">
        <v>6</v>
      </c>
      <c r="C13" s="27"/>
      <c r="D13" s="28"/>
      <c r="E13" s="38"/>
      <c r="F13" s="27"/>
      <c r="G13" s="28"/>
      <c r="H13" s="38"/>
      <c r="I13" s="27"/>
      <c r="J13" s="28"/>
      <c r="K13" s="38"/>
      <c r="L13" s="27"/>
      <c r="M13" s="28"/>
      <c r="N13" s="29"/>
      <c r="O13" s="41"/>
      <c r="P13" s="28"/>
      <c r="Q13" s="29"/>
      <c r="R13" s="187">
        <v>6</v>
      </c>
      <c r="S13" s="188">
        <v>6</v>
      </c>
      <c r="T13" s="188">
        <v>6</v>
      </c>
      <c r="U13" s="188">
        <v>6</v>
      </c>
      <c r="V13" s="188">
        <v>6</v>
      </c>
      <c r="W13" s="188">
        <v>6</v>
      </c>
      <c r="X13" s="188">
        <v>6</v>
      </c>
      <c r="Y13" s="188">
        <v>6</v>
      </c>
      <c r="Z13" s="188">
        <v>6</v>
      </c>
      <c r="AA13" s="188">
        <v>6</v>
      </c>
      <c r="AB13" s="188">
        <v>6</v>
      </c>
      <c r="AC13" s="188">
        <v>6</v>
      </c>
      <c r="AD13" s="188">
        <v>6</v>
      </c>
      <c r="AE13" s="188">
        <v>6</v>
      </c>
      <c r="AF13" s="188">
        <v>6</v>
      </c>
      <c r="AG13" s="188">
        <v>6</v>
      </c>
      <c r="AH13" s="166"/>
      <c r="AI13" s="129">
        <f t="shared" si="1"/>
        <v>0</v>
      </c>
      <c r="AJ13" s="129">
        <f t="shared" si="2"/>
        <v>0</v>
      </c>
      <c r="AK13" s="129">
        <f t="shared" si="3"/>
        <v>0</v>
      </c>
      <c r="AL13" s="129">
        <f t="shared" si="4"/>
        <v>0</v>
      </c>
      <c r="AM13" s="129">
        <f t="shared" si="5"/>
        <v>0</v>
      </c>
      <c r="AN13" s="129">
        <f t="shared" si="6"/>
        <v>0</v>
      </c>
      <c r="AO13" s="129">
        <f t="shared" si="7"/>
        <v>0</v>
      </c>
      <c r="AP13" s="129">
        <f t="shared" si="8"/>
        <v>0</v>
      </c>
      <c r="AQ13" s="129">
        <f t="shared" si="9"/>
        <v>0</v>
      </c>
      <c r="AR13" s="129">
        <f t="shared" si="10"/>
        <v>0</v>
      </c>
      <c r="AS13" s="129">
        <f t="shared" si="11"/>
        <v>0</v>
      </c>
      <c r="AT13" s="129">
        <f t="shared" si="12"/>
        <v>0</v>
      </c>
      <c r="AU13" s="129">
        <f t="shared" si="13"/>
        <v>0</v>
      </c>
      <c r="AV13" s="129">
        <f t="shared" si="14"/>
        <v>0</v>
      </c>
      <c r="AW13" s="129">
        <f t="shared" si="15"/>
        <v>0</v>
      </c>
      <c r="AY13" s="162" t="str">
        <f>IF(ISBLANK(C13),"",NOT(ISERROR(MATCH(C13,Deltagarlista!$E$5:$E$64,0))))</f>
        <v/>
      </c>
      <c r="AZ13" s="162" t="str">
        <f>IF(ISBLANK(D13),"",NOT(ISERROR(MATCH(D13,Deltagarlista!$E$5:$E$64,0))))</f>
        <v/>
      </c>
      <c r="BA13" s="162" t="str">
        <f>IF(ISBLANK(E13),"",NOT(ISERROR(MATCH(E13,Deltagarlista!$E$5:$E$64,0))))</f>
        <v/>
      </c>
      <c r="BB13" s="162" t="str">
        <f>IF(ISBLANK(F13),"",NOT(ISERROR(MATCH(F13,Deltagarlista!$E$5:$E$64,0))))</f>
        <v/>
      </c>
      <c r="BC13" s="162" t="str">
        <f>IF(ISBLANK(G13),"",NOT(ISERROR(MATCH(G13,Deltagarlista!$E$5:$E$64,0))))</f>
        <v/>
      </c>
      <c r="BD13" s="162" t="str">
        <f>IF(ISBLANK(H13),"",NOT(ISERROR(MATCH(H13,Deltagarlista!$E$5:$E$64,0))))</f>
        <v/>
      </c>
      <c r="BE13" s="162" t="str">
        <f>IF(ISBLANK(I13),"",NOT(ISERROR(MATCH(I13,Deltagarlista!$E$5:$E$64,0))))</f>
        <v/>
      </c>
      <c r="BF13" s="162" t="str">
        <f>IF(ISBLANK(J13),"",NOT(ISERROR(MATCH(J13,Deltagarlista!$E$5:$E$64,0))))</f>
        <v/>
      </c>
      <c r="BG13" s="162" t="str">
        <f>IF(ISBLANK(K13),"",NOT(ISERROR(MATCH(K13,Deltagarlista!$E$5:$E$64,0))))</f>
        <v/>
      </c>
      <c r="BH13" s="162" t="str">
        <f>IF(ISBLANK(L13),"",NOT(ISERROR(MATCH(L13,Deltagarlista!$E$5:$E$64,0))))</f>
        <v/>
      </c>
      <c r="BI13" s="162" t="str">
        <f>IF(ISBLANK(M13),"",NOT(ISERROR(MATCH(M13,Deltagarlista!$E$5:$E$64,0))))</f>
        <v/>
      </c>
      <c r="BJ13" s="162" t="str">
        <f>IF(ISBLANK(N13),"",NOT(ISERROR(MATCH(N13,Deltagarlista!$E$5:$E$64,0))))</f>
        <v/>
      </c>
      <c r="BK13" s="162" t="str">
        <f>IF(ISBLANK(O13),"",NOT(ISERROR(MATCH(O13,Deltagarlista!$E$5:$E$64,0))))</f>
        <v/>
      </c>
      <c r="BL13" s="162" t="str">
        <f>IF(ISBLANK(P13),"",NOT(ISERROR(MATCH(P13,Deltagarlista!$E$5:$E$64,0))))</f>
        <v/>
      </c>
      <c r="BM13" s="162" t="str">
        <f>IF(ISBLANK(Q13),"",NOT(ISERROR(MATCH(Q13,Deltagarlista!$E$5:$E$64,0))))</f>
        <v/>
      </c>
      <c r="BN13" s="167"/>
      <c r="BO13" s="162">
        <f>SUM(COUNTIF($C$8:$Q$45,Deltagarlista!E10)+COUNTIF($C$53:$Q$90,Deltagarlista!E10)+COUNTIF($C$98:$Q$135,Deltagarlista!E10)+COUNTIF($C$143:$Q$180,Deltagarlista!E10))</f>
        <v>0</v>
      </c>
      <c r="BP13" s="162">
        <f t="shared" si="18"/>
        <v>1</v>
      </c>
      <c r="BQ13" s="162">
        <f t="shared" si="19"/>
        <v>1</v>
      </c>
      <c r="BR13" s="162">
        <f t="shared" si="20"/>
        <v>1</v>
      </c>
      <c r="BS13" s="162">
        <f t="shared" si="21"/>
        <v>1</v>
      </c>
      <c r="BT13" s="162">
        <f t="shared" si="22"/>
        <v>1</v>
      </c>
      <c r="BU13" s="162">
        <f t="shared" si="23"/>
        <v>1</v>
      </c>
      <c r="BV13" s="162">
        <f t="shared" si="24"/>
        <v>1</v>
      </c>
      <c r="BW13" s="162">
        <f t="shared" si="25"/>
        <v>1</v>
      </c>
      <c r="BX13" s="162">
        <f t="shared" si="26"/>
        <v>1</v>
      </c>
      <c r="BY13" s="162">
        <f t="shared" si="27"/>
        <v>1</v>
      </c>
      <c r="BZ13" s="162">
        <f t="shared" si="28"/>
        <v>1</v>
      </c>
      <c r="CA13" s="162">
        <f t="shared" si="29"/>
        <v>1</v>
      </c>
      <c r="CB13" s="162">
        <f t="shared" si="30"/>
        <v>1</v>
      </c>
      <c r="CC13" s="162">
        <f t="shared" si="31"/>
        <v>1</v>
      </c>
      <c r="CD13" s="162">
        <f t="shared" si="32"/>
        <v>1</v>
      </c>
      <c r="CE13" s="162">
        <f t="shared" si="33"/>
        <v>1</v>
      </c>
      <c r="CF13" s="162">
        <f t="shared" si="34"/>
        <v>1</v>
      </c>
      <c r="CG13" s="162">
        <f t="shared" si="35"/>
        <v>1</v>
      </c>
      <c r="CH13" s="162">
        <f t="shared" si="36"/>
        <v>1</v>
      </c>
      <c r="CI13" s="162">
        <f t="shared" si="37"/>
        <v>1</v>
      </c>
      <c r="CL13" s="184" t="str">
        <f>IF(Deltagarlista!E10="","",Deltagarlista!E10)</f>
        <v/>
      </c>
      <c r="CM13" s="162" t="str">
        <f>IF(Deltagarlista!I10="","",(IF(VLOOKUP(CL13,Deltagarlista!$E$5:$I$64,5,FALSE)="Grön","Gr",IF(VLOOKUP(CL13,Deltagarlista!$E$5:$I$64,5,FALSE)="Röd","R",IF(VLOOKUP(CL13,Deltagarlista!$E$5:$I$64,5,FALSE)="Blå","B","Gu")))))</f>
        <v/>
      </c>
      <c r="CO13" s="162" t="str">
        <f t="shared" si="16"/>
        <v/>
      </c>
      <c r="CP13" s="162" t="str">
        <f t="shared" si="17"/>
        <v/>
      </c>
      <c r="DK13" s="162" t="str">
        <f>IF(DM13="","",IF(ISBLANK(Deltagarlista!C9),"",Deltagarlista!C9))</f>
        <v/>
      </c>
      <c r="DL13" s="162" t="str">
        <f>IF(ISBLANK(Deltagarlista!I9),"",IF(Deltagarlista!I9="RÖD","R",IF(Deltagarlista!I9="GRÖN","G",IF(Deltagarlista!I9="BLÅ","B",IF(Deltagarlista!I9="GUL","G","")))))</f>
        <v/>
      </c>
      <c r="DM13" s="162">
        <f>IF(ISBLANK(Deltagarlista!H9),"",1)</f>
        <v>1</v>
      </c>
      <c r="DR13" s="162" t="str">
        <f>IF(AND(DK13&lt;&gt;"",DL13="R",DK13&lt;&gt;DR12),DK13,IF(AND(DK14&lt;&gt;"",DL14="R",DK14&lt;&gt;DR12),DK14,IF(AND(DK15&lt;&gt;"",DL15="R",DK15&lt;&gt;DR12),DK15,IF(AND(DK16&lt;&gt;"",DL16="R",DK16&lt;&gt;DR12),DK16,IF(AND(DK17&lt;&gt;"",DL17="R",DK17&lt;&gt;DR12),DK17,IF(AND(DK18&lt;&gt;"",DL18="R",DK18&lt;&gt;DR12),DK18,IF(AND(DK19&lt;&gt;"",DL19="R",DK19&lt;&gt;DR12),DK19,IF(AND(DK20&lt;&gt;"",DL20="R",DK20&lt;&gt;DR12),DK20,IF(AND(DK21&lt;&gt;"",DL21="R",DK21&lt;&gt;DR12),DK21,IF(AND(DK22&lt;&gt;"",DL22="R",DK22&lt;&gt;DR12),DK22,IF(AND(DK23&lt;&gt;"",DL23="R",DK23&lt;&gt;DR12),DK23,IF(AND(DK24&lt;&gt;"",DL24="R",DK24&lt;&gt;DR12),DK24,IF(AND(DK25&lt;&gt;"",DL25="R",DK25&lt;&gt;DR12),DK25,IF(AND(DK26&lt;&gt;"",DL26="R",DK26&lt;&gt;DR12),DK26,IF(AND(DK27&lt;&gt;"",DL27="R",DK27&lt;&gt;DR12),DK27,IF(AND(DK28&lt;&gt;"",DL28="R",DK28&lt;&gt;DR12),DK28,IF(AND(DK29&lt;&gt;"",DL29="R",DK29&lt;&gt;DR12),DK29,IF(AND(DK30&lt;&gt;"",DL30="R",DK30&lt;&gt;DR12),DK30,""))))))))))))))))))</f>
        <v/>
      </c>
      <c r="DS13" s="162" t="str">
        <f t="shared" si="38"/>
        <v/>
      </c>
      <c r="DT13" s="162" t="e">
        <f>VLOOKUP("B",DL13:$DM$45,2,FALSE)</f>
        <v>#VALUE!</v>
      </c>
    </row>
    <row r="14" spans="2:126" ht="15.9" customHeight="1" x14ac:dyDescent="0.3">
      <c r="B14" s="186">
        <v>7</v>
      </c>
      <c r="C14" s="27"/>
      <c r="D14" s="28"/>
      <c r="E14" s="38"/>
      <c r="F14" s="27"/>
      <c r="G14" s="28"/>
      <c r="H14" s="38"/>
      <c r="I14" s="27"/>
      <c r="J14" s="28"/>
      <c r="K14" s="38"/>
      <c r="L14" s="27"/>
      <c r="M14" s="28"/>
      <c r="N14" s="29"/>
      <c r="O14" s="41"/>
      <c r="P14" s="28"/>
      <c r="Q14" s="29"/>
      <c r="R14" s="187">
        <v>7</v>
      </c>
      <c r="S14" s="188">
        <v>7</v>
      </c>
      <c r="T14" s="188">
        <v>7</v>
      </c>
      <c r="U14" s="188">
        <v>7</v>
      </c>
      <c r="V14" s="188">
        <v>7</v>
      </c>
      <c r="W14" s="188">
        <v>7</v>
      </c>
      <c r="X14" s="188">
        <v>7</v>
      </c>
      <c r="Y14" s="188">
        <v>7</v>
      </c>
      <c r="Z14" s="188">
        <v>7</v>
      </c>
      <c r="AA14" s="188">
        <v>7</v>
      </c>
      <c r="AB14" s="188">
        <v>7</v>
      </c>
      <c r="AC14" s="188">
        <v>7</v>
      </c>
      <c r="AD14" s="188">
        <v>7</v>
      </c>
      <c r="AE14" s="188">
        <v>7</v>
      </c>
      <c r="AF14" s="188">
        <v>7</v>
      </c>
      <c r="AG14" s="188">
        <v>7</v>
      </c>
      <c r="AH14" s="166"/>
      <c r="AI14" s="129">
        <f t="shared" si="1"/>
        <v>0</v>
      </c>
      <c r="AJ14" s="129">
        <f t="shared" si="2"/>
        <v>0</v>
      </c>
      <c r="AK14" s="129">
        <f t="shared" si="3"/>
        <v>0</v>
      </c>
      <c r="AL14" s="129">
        <f t="shared" si="4"/>
        <v>0</v>
      </c>
      <c r="AM14" s="129">
        <f t="shared" si="5"/>
        <v>0</v>
      </c>
      <c r="AN14" s="129">
        <f t="shared" si="6"/>
        <v>0</v>
      </c>
      <c r="AO14" s="129">
        <f t="shared" si="7"/>
        <v>0</v>
      </c>
      <c r="AP14" s="129">
        <f t="shared" si="8"/>
        <v>0</v>
      </c>
      <c r="AQ14" s="129">
        <f t="shared" si="9"/>
        <v>0</v>
      </c>
      <c r="AR14" s="129">
        <f t="shared" si="10"/>
        <v>0</v>
      </c>
      <c r="AS14" s="129">
        <f t="shared" si="11"/>
        <v>0</v>
      </c>
      <c r="AT14" s="129">
        <f t="shared" si="12"/>
        <v>0</v>
      </c>
      <c r="AU14" s="129">
        <f t="shared" si="13"/>
        <v>0</v>
      </c>
      <c r="AV14" s="129">
        <f t="shared" si="14"/>
        <v>0</v>
      </c>
      <c r="AW14" s="129">
        <f t="shared" si="15"/>
        <v>0</v>
      </c>
      <c r="AY14" s="162" t="str">
        <f>IF(ISBLANK(C14),"",NOT(ISERROR(MATCH(C14,Deltagarlista!$E$5:$E$64,0))))</f>
        <v/>
      </c>
      <c r="AZ14" s="162" t="str">
        <f>IF(ISBLANK(D14),"",NOT(ISERROR(MATCH(D14,Deltagarlista!$E$5:$E$64,0))))</f>
        <v/>
      </c>
      <c r="BA14" s="162" t="str">
        <f>IF(ISBLANK(E14),"",NOT(ISERROR(MATCH(E14,Deltagarlista!$E$5:$E$64,0))))</f>
        <v/>
      </c>
      <c r="BB14" s="162" t="str">
        <f>IF(ISBLANK(F14),"",NOT(ISERROR(MATCH(F14,Deltagarlista!$E$5:$E$64,0))))</f>
        <v/>
      </c>
      <c r="BC14" s="162" t="str">
        <f>IF(ISBLANK(G14),"",NOT(ISERROR(MATCH(G14,Deltagarlista!$E$5:$E$64,0))))</f>
        <v/>
      </c>
      <c r="BD14" s="162" t="str">
        <f>IF(ISBLANK(H14),"",NOT(ISERROR(MATCH(H14,Deltagarlista!$E$5:$E$64,0))))</f>
        <v/>
      </c>
      <c r="BE14" s="162" t="str">
        <f>IF(ISBLANK(I14),"",NOT(ISERROR(MATCH(I14,Deltagarlista!$E$5:$E$64,0))))</f>
        <v/>
      </c>
      <c r="BF14" s="162" t="str">
        <f>IF(ISBLANK(J14),"",NOT(ISERROR(MATCH(J14,Deltagarlista!$E$5:$E$64,0))))</f>
        <v/>
      </c>
      <c r="BG14" s="162" t="str">
        <f>IF(ISBLANK(K14),"",NOT(ISERROR(MATCH(K14,Deltagarlista!$E$5:$E$64,0))))</f>
        <v/>
      </c>
      <c r="BH14" s="162" t="str">
        <f>IF(ISBLANK(L14),"",NOT(ISERROR(MATCH(L14,Deltagarlista!$E$5:$E$64,0))))</f>
        <v/>
      </c>
      <c r="BI14" s="162" t="str">
        <f>IF(ISBLANK(M14),"",NOT(ISERROR(MATCH(M14,Deltagarlista!$E$5:$E$64,0))))</f>
        <v/>
      </c>
      <c r="BJ14" s="162" t="str">
        <f>IF(ISBLANK(N14),"",NOT(ISERROR(MATCH(N14,Deltagarlista!$E$5:$E$64,0))))</f>
        <v/>
      </c>
      <c r="BK14" s="162" t="str">
        <f>IF(ISBLANK(O14),"",NOT(ISERROR(MATCH(O14,Deltagarlista!$E$5:$E$64,0))))</f>
        <v/>
      </c>
      <c r="BL14" s="162" t="str">
        <f>IF(ISBLANK(P14),"",NOT(ISERROR(MATCH(P14,Deltagarlista!$E$5:$E$64,0))))</f>
        <v/>
      </c>
      <c r="BM14" s="162" t="str">
        <f>IF(ISBLANK(Q14),"",NOT(ISERROR(MATCH(Q14,Deltagarlista!$E$5:$E$64,0))))</f>
        <v/>
      </c>
      <c r="BN14" s="167"/>
      <c r="BO14" s="162">
        <f>SUM(COUNTIF($C$8:$Q$45,Deltagarlista!E11)+COUNTIF($C$53:$Q$90,Deltagarlista!E11)+COUNTIF($C$98:$Q$135,Deltagarlista!E11)+COUNTIF($C$143:$Q$180,Deltagarlista!E11))</f>
        <v>0</v>
      </c>
      <c r="BP14" s="162">
        <f t="shared" si="18"/>
        <v>1</v>
      </c>
      <c r="BQ14" s="162">
        <f t="shared" si="19"/>
        <v>1</v>
      </c>
      <c r="BR14" s="162">
        <f t="shared" si="20"/>
        <v>1</v>
      </c>
      <c r="BS14" s="162">
        <f t="shared" si="21"/>
        <v>1</v>
      </c>
      <c r="BT14" s="162">
        <f t="shared" si="22"/>
        <v>1</v>
      </c>
      <c r="BU14" s="162">
        <f t="shared" si="23"/>
        <v>1</v>
      </c>
      <c r="BV14" s="162">
        <f t="shared" si="24"/>
        <v>1</v>
      </c>
      <c r="BW14" s="162">
        <f t="shared" si="25"/>
        <v>1</v>
      </c>
      <c r="BX14" s="162">
        <f t="shared" si="26"/>
        <v>1</v>
      </c>
      <c r="BY14" s="162">
        <f t="shared" si="27"/>
        <v>1</v>
      </c>
      <c r="BZ14" s="162">
        <f t="shared" si="28"/>
        <v>1</v>
      </c>
      <c r="CA14" s="162">
        <f t="shared" si="29"/>
        <v>1</v>
      </c>
      <c r="CB14" s="162">
        <f t="shared" si="30"/>
        <v>1</v>
      </c>
      <c r="CC14" s="162">
        <f t="shared" si="31"/>
        <v>1</v>
      </c>
      <c r="CD14" s="162">
        <f t="shared" si="32"/>
        <v>1</v>
      </c>
      <c r="CE14" s="162">
        <f t="shared" si="33"/>
        <v>1</v>
      </c>
      <c r="CF14" s="162">
        <f t="shared" si="34"/>
        <v>1</v>
      </c>
      <c r="CG14" s="162">
        <f t="shared" si="35"/>
        <v>1</v>
      </c>
      <c r="CH14" s="162">
        <f t="shared" si="36"/>
        <v>1</v>
      </c>
      <c r="CI14" s="162">
        <f t="shared" si="37"/>
        <v>1</v>
      </c>
      <c r="CL14" s="184" t="str">
        <f>IF(Deltagarlista!E11="","",Deltagarlista!E11)</f>
        <v/>
      </c>
      <c r="CM14" s="162" t="str">
        <f>IF(Deltagarlista!I11="","",(IF(VLOOKUP(CL14,Deltagarlista!$E$5:$I$64,5,FALSE)="Grön","Gr",IF(VLOOKUP(CL14,Deltagarlista!$E$5:$I$64,5,FALSE)="Röd","R",IF(VLOOKUP(CL14,Deltagarlista!$E$5:$I$64,5,FALSE)="Blå","B","Gu")))))</f>
        <v/>
      </c>
      <c r="CO14" s="162" t="str">
        <f t="shared" si="16"/>
        <v/>
      </c>
      <c r="CP14" s="162" t="str">
        <f t="shared" si="17"/>
        <v/>
      </c>
      <c r="DK14" s="162" t="str">
        <f>IF(DM14="","",IF(ISBLANK(Deltagarlista!C10),"",Deltagarlista!C10))</f>
        <v/>
      </c>
      <c r="DL14" s="162" t="str">
        <f>IF(ISBLANK(Deltagarlista!I10),"",IF(Deltagarlista!I10="RÖD","R",IF(Deltagarlista!I10="GRÖN","G",IF(Deltagarlista!I10="BLÅ","B",IF(Deltagarlista!I10="GUL","G","")))))</f>
        <v/>
      </c>
      <c r="DM14" s="162">
        <f>IF(ISBLANK(Deltagarlista!H10),"",1)</f>
        <v>1</v>
      </c>
      <c r="DR14" s="162" t="str">
        <f t="shared" ref="DR14:DR36" si="39">IF(AND(DK14&lt;&gt;"",DL14="R",DK14&lt;&gt;DR13),DK14,IF(AND(DK15&lt;&gt;"",DL15="R",DK15&lt;&gt;DR13),DK15,IF(AND(DK16&lt;&gt;"",DL16="R",DK16&lt;&gt;DR13),DK16,IF(AND(DK17&lt;&gt;"",DL17="R",DK17&lt;&gt;DR13),DK17,IF(AND(DK18&lt;&gt;"",DL18="R",DK18&lt;&gt;DR13),DK18,IF(AND(DK19&lt;&gt;"",DL19="R",DK19&lt;&gt;DR13),DK19,IF(AND(DK20&lt;&gt;"",DL20="R",DK20&lt;&gt;DR13),DK20,IF(AND(DK21&lt;&gt;"",DL21="R",DK21&lt;&gt;DR13),DK21,IF(AND(DK22&lt;&gt;"",DL22="R",DK22&lt;&gt;DR13),DK22,IF(AND(DK23&lt;&gt;"",DL23="R",DK23&lt;&gt;DR13),DK23,IF(AND(DK24&lt;&gt;"",DL24="R",DK24&lt;&gt;DR13),DK24,IF(AND(DK25&lt;&gt;"",DL25="R",DK25&lt;&gt;DR13),DK25,IF(AND(DK26&lt;&gt;"",DL26="R",DK26&lt;&gt;DR13),DK26,IF(AND(DK27&lt;&gt;"",DL27="R",DK27&lt;&gt;DR13),DK27,IF(AND(DK28&lt;&gt;"",DL28="R",DK28&lt;&gt;DR13),DK28,IF(AND(DK29&lt;&gt;"",DL29="R",DK29&lt;&gt;DR13),DK29,IF(AND(DK30&lt;&gt;"",DL30="R",DK30&lt;&gt;DR13),DK30,IF(AND(DK31&lt;&gt;"",DL31="R",DK31&lt;&gt;DR13),DK31,""))))))))))))))))))</f>
        <v/>
      </c>
      <c r="DS14" s="162" t="str">
        <f t="shared" si="38"/>
        <v/>
      </c>
      <c r="DT14" s="162" t="e">
        <f>VLOOKUP("B",DL14:$DM$45,2,FALSE)</f>
        <v>#VALUE!</v>
      </c>
    </row>
    <row r="15" spans="2:126" ht="15.9" customHeight="1" x14ac:dyDescent="0.3">
      <c r="B15" s="186">
        <v>8</v>
      </c>
      <c r="C15" s="27"/>
      <c r="D15" s="28"/>
      <c r="E15" s="38"/>
      <c r="F15" s="27"/>
      <c r="G15" s="28"/>
      <c r="H15" s="38"/>
      <c r="I15" s="27"/>
      <c r="J15" s="28"/>
      <c r="K15" s="38"/>
      <c r="L15" s="27"/>
      <c r="M15" s="28"/>
      <c r="N15" s="29"/>
      <c r="O15" s="41"/>
      <c r="P15" s="28"/>
      <c r="Q15" s="29"/>
      <c r="R15" s="187">
        <v>8</v>
      </c>
      <c r="S15" s="188">
        <v>8</v>
      </c>
      <c r="T15" s="188">
        <v>8</v>
      </c>
      <c r="U15" s="188">
        <v>8</v>
      </c>
      <c r="V15" s="188">
        <v>8</v>
      </c>
      <c r="W15" s="188">
        <v>8</v>
      </c>
      <c r="X15" s="188">
        <v>8</v>
      </c>
      <c r="Y15" s="188">
        <v>8</v>
      </c>
      <c r="Z15" s="188">
        <v>8</v>
      </c>
      <c r="AA15" s="188">
        <v>8</v>
      </c>
      <c r="AB15" s="188">
        <v>8</v>
      </c>
      <c r="AC15" s="188">
        <v>8</v>
      </c>
      <c r="AD15" s="188">
        <v>8</v>
      </c>
      <c r="AE15" s="188">
        <v>8</v>
      </c>
      <c r="AF15" s="188">
        <v>8</v>
      </c>
      <c r="AG15" s="188">
        <v>8</v>
      </c>
      <c r="AH15" s="166"/>
      <c r="AI15" s="129">
        <f t="shared" si="1"/>
        <v>0</v>
      </c>
      <c r="AJ15" s="129">
        <f t="shared" si="2"/>
        <v>0</v>
      </c>
      <c r="AK15" s="129">
        <f t="shared" si="3"/>
        <v>0</v>
      </c>
      <c r="AL15" s="129">
        <f t="shared" si="4"/>
        <v>0</v>
      </c>
      <c r="AM15" s="129">
        <f t="shared" si="5"/>
        <v>0</v>
      </c>
      <c r="AN15" s="129">
        <f t="shared" si="6"/>
        <v>0</v>
      </c>
      <c r="AO15" s="129">
        <f t="shared" si="7"/>
        <v>0</v>
      </c>
      <c r="AP15" s="129">
        <f t="shared" si="8"/>
        <v>0</v>
      </c>
      <c r="AQ15" s="129">
        <f t="shared" si="9"/>
        <v>0</v>
      </c>
      <c r="AR15" s="129">
        <f t="shared" si="10"/>
        <v>0</v>
      </c>
      <c r="AS15" s="129">
        <f t="shared" si="11"/>
        <v>0</v>
      </c>
      <c r="AT15" s="129">
        <f t="shared" si="12"/>
        <v>0</v>
      </c>
      <c r="AU15" s="129">
        <f t="shared" si="13"/>
        <v>0</v>
      </c>
      <c r="AV15" s="129">
        <f t="shared" si="14"/>
        <v>0</v>
      </c>
      <c r="AW15" s="129">
        <f t="shared" si="15"/>
        <v>0</v>
      </c>
      <c r="AY15" s="162" t="str">
        <f>IF(ISBLANK(C15),"",NOT(ISERROR(MATCH(C15,Deltagarlista!$E$5:$E$64,0))))</f>
        <v/>
      </c>
      <c r="AZ15" s="162" t="str">
        <f>IF(ISBLANK(D15),"",NOT(ISERROR(MATCH(D15,Deltagarlista!$E$5:$E$64,0))))</f>
        <v/>
      </c>
      <c r="BA15" s="162" t="str">
        <f>IF(ISBLANK(E15),"",NOT(ISERROR(MATCH(E15,Deltagarlista!$E$5:$E$64,0))))</f>
        <v/>
      </c>
      <c r="BB15" s="162" t="str">
        <f>IF(ISBLANK(F15),"",NOT(ISERROR(MATCH(F15,Deltagarlista!$E$5:$E$64,0))))</f>
        <v/>
      </c>
      <c r="BC15" s="162" t="str">
        <f>IF(ISBLANK(G15),"",NOT(ISERROR(MATCH(G15,Deltagarlista!$E$5:$E$64,0))))</f>
        <v/>
      </c>
      <c r="BD15" s="162" t="str">
        <f>IF(ISBLANK(H15),"",NOT(ISERROR(MATCH(H15,Deltagarlista!$E$5:$E$64,0))))</f>
        <v/>
      </c>
      <c r="BE15" s="162" t="str">
        <f>IF(ISBLANK(I15),"",NOT(ISERROR(MATCH(I15,Deltagarlista!$E$5:$E$64,0))))</f>
        <v/>
      </c>
      <c r="BF15" s="162" t="str">
        <f>IF(ISBLANK(J15),"",NOT(ISERROR(MATCH(J15,Deltagarlista!$E$5:$E$64,0))))</f>
        <v/>
      </c>
      <c r="BG15" s="162" t="str">
        <f>IF(ISBLANK(K15),"",NOT(ISERROR(MATCH(K15,Deltagarlista!$E$5:$E$64,0))))</f>
        <v/>
      </c>
      <c r="BH15" s="162" t="str">
        <f>IF(ISBLANK(L15),"",NOT(ISERROR(MATCH(L15,Deltagarlista!$E$5:$E$64,0))))</f>
        <v/>
      </c>
      <c r="BI15" s="162" t="str">
        <f>IF(ISBLANK(M15),"",NOT(ISERROR(MATCH(M15,Deltagarlista!$E$5:$E$64,0))))</f>
        <v/>
      </c>
      <c r="BJ15" s="162" t="str">
        <f>IF(ISBLANK(N15),"",NOT(ISERROR(MATCH(N15,Deltagarlista!$E$5:$E$64,0))))</f>
        <v/>
      </c>
      <c r="BK15" s="162" t="str">
        <f>IF(ISBLANK(O15),"",NOT(ISERROR(MATCH(O15,Deltagarlista!$E$5:$E$64,0))))</f>
        <v/>
      </c>
      <c r="BL15" s="162" t="str">
        <f>IF(ISBLANK(P15),"",NOT(ISERROR(MATCH(P15,Deltagarlista!$E$5:$E$64,0))))</f>
        <v/>
      </c>
      <c r="BM15" s="162" t="str">
        <f>IF(ISBLANK(Q15),"",NOT(ISERROR(MATCH(Q15,Deltagarlista!$E$5:$E$64,0))))</f>
        <v/>
      </c>
      <c r="BN15" s="167"/>
      <c r="BO15" s="162">
        <f>SUM(COUNTIF($C$8:$Q$45,Deltagarlista!E12)+COUNTIF($C$53:$Q$90,Deltagarlista!E12)+COUNTIF($C$98:$Q$135,Deltagarlista!E12)+COUNTIF($C$143:$Q$180,Deltagarlista!E12))</f>
        <v>0</v>
      </c>
      <c r="BP15" s="162">
        <f t="shared" si="18"/>
        <v>1</v>
      </c>
      <c r="BQ15" s="162">
        <f t="shared" si="19"/>
        <v>1</v>
      </c>
      <c r="BR15" s="162">
        <f t="shared" si="20"/>
        <v>1</v>
      </c>
      <c r="BS15" s="162">
        <f t="shared" si="21"/>
        <v>1</v>
      </c>
      <c r="BT15" s="162">
        <f t="shared" si="22"/>
        <v>1</v>
      </c>
      <c r="BU15" s="162">
        <f t="shared" si="23"/>
        <v>1</v>
      </c>
      <c r="BV15" s="162">
        <f t="shared" si="24"/>
        <v>1</v>
      </c>
      <c r="BW15" s="162">
        <f t="shared" si="25"/>
        <v>1</v>
      </c>
      <c r="BX15" s="162">
        <f t="shared" si="26"/>
        <v>1</v>
      </c>
      <c r="BY15" s="162">
        <f t="shared" si="27"/>
        <v>1</v>
      </c>
      <c r="BZ15" s="162">
        <f t="shared" si="28"/>
        <v>1</v>
      </c>
      <c r="CA15" s="162">
        <f t="shared" si="29"/>
        <v>1</v>
      </c>
      <c r="CB15" s="162">
        <f t="shared" si="30"/>
        <v>1</v>
      </c>
      <c r="CC15" s="162">
        <f t="shared" si="31"/>
        <v>1</v>
      </c>
      <c r="CD15" s="162">
        <f t="shared" si="32"/>
        <v>1</v>
      </c>
      <c r="CE15" s="162">
        <f t="shared" si="33"/>
        <v>1</v>
      </c>
      <c r="CF15" s="162">
        <f t="shared" si="34"/>
        <v>1</v>
      </c>
      <c r="CG15" s="162">
        <f t="shared" si="35"/>
        <v>1</v>
      </c>
      <c r="CH15" s="162">
        <f t="shared" si="36"/>
        <v>1</v>
      </c>
      <c r="CI15" s="162">
        <f t="shared" si="37"/>
        <v>1</v>
      </c>
      <c r="CL15" s="184" t="str">
        <f>IF(Deltagarlista!E12="","",Deltagarlista!E12)</f>
        <v/>
      </c>
      <c r="CM15" s="162" t="str">
        <f>IF(Deltagarlista!I12="","",(IF(VLOOKUP(CL15,Deltagarlista!$E$5:$I$64,5,FALSE)="Grön","Gr",IF(VLOOKUP(CL15,Deltagarlista!$E$5:$I$64,5,FALSE)="Röd","R",IF(VLOOKUP(CL15,Deltagarlista!$E$5:$I$64,5,FALSE)="Blå","B","Gu")))))</f>
        <v/>
      </c>
      <c r="CO15" s="162" t="str">
        <f t="shared" si="16"/>
        <v/>
      </c>
      <c r="CP15" s="162" t="str">
        <f t="shared" si="17"/>
        <v/>
      </c>
      <c r="DK15" s="162" t="str">
        <f>IF(DM15="","",IF(ISBLANK(Deltagarlista!C11),"",Deltagarlista!C11))</f>
        <v/>
      </c>
      <c r="DL15" s="162" t="str">
        <f>IF(ISBLANK(Deltagarlista!I11),"",IF(Deltagarlista!I11="RÖD","R",IF(Deltagarlista!I11="GRÖN","G",IF(Deltagarlista!I11="BLÅ","B",IF(Deltagarlista!I11="GUL","G","")))))</f>
        <v/>
      </c>
      <c r="DM15" s="162">
        <f>IF(ISBLANK(Deltagarlista!H11),"",1)</f>
        <v>1</v>
      </c>
      <c r="DR15" s="162" t="str">
        <f t="shared" si="39"/>
        <v/>
      </c>
      <c r="DS15" s="162" t="str">
        <f t="shared" si="38"/>
        <v/>
      </c>
      <c r="DT15" s="162" t="e">
        <f>VLOOKUP("B",DL15:$DM$45,2,FALSE)</f>
        <v>#VALUE!</v>
      </c>
    </row>
    <row r="16" spans="2:126" ht="15.9" customHeight="1" x14ac:dyDescent="0.3">
      <c r="B16" s="186">
        <v>9</v>
      </c>
      <c r="C16" s="27"/>
      <c r="D16" s="28"/>
      <c r="E16" s="38"/>
      <c r="F16" s="27"/>
      <c r="G16" s="28"/>
      <c r="H16" s="38"/>
      <c r="I16" s="27"/>
      <c r="J16" s="28"/>
      <c r="K16" s="38"/>
      <c r="L16" s="27"/>
      <c r="M16" s="28"/>
      <c r="N16" s="29"/>
      <c r="O16" s="41"/>
      <c r="P16" s="28"/>
      <c r="Q16" s="29"/>
      <c r="R16" s="187">
        <v>9</v>
      </c>
      <c r="S16" s="188">
        <v>9</v>
      </c>
      <c r="T16" s="188">
        <v>9</v>
      </c>
      <c r="U16" s="188">
        <v>9</v>
      </c>
      <c r="V16" s="188">
        <v>9</v>
      </c>
      <c r="W16" s="188">
        <v>9</v>
      </c>
      <c r="X16" s="188">
        <v>9</v>
      </c>
      <c r="Y16" s="188">
        <v>9</v>
      </c>
      <c r="Z16" s="188">
        <v>9</v>
      </c>
      <c r="AA16" s="188">
        <v>9</v>
      </c>
      <c r="AB16" s="188">
        <v>9</v>
      </c>
      <c r="AC16" s="188">
        <v>9</v>
      </c>
      <c r="AD16" s="188">
        <v>9</v>
      </c>
      <c r="AE16" s="188">
        <v>9</v>
      </c>
      <c r="AF16" s="188">
        <v>9</v>
      </c>
      <c r="AG16" s="188">
        <v>9</v>
      </c>
      <c r="AH16" s="166"/>
      <c r="AI16" s="129">
        <f t="shared" si="1"/>
        <v>0</v>
      </c>
      <c r="AJ16" s="129">
        <f t="shared" si="2"/>
        <v>0</v>
      </c>
      <c r="AK16" s="129">
        <f t="shared" si="3"/>
        <v>0</v>
      </c>
      <c r="AL16" s="129">
        <f t="shared" si="4"/>
        <v>0</v>
      </c>
      <c r="AM16" s="129">
        <f t="shared" si="5"/>
        <v>0</v>
      </c>
      <c r="AN16" s="129">
        <f t="shared" si="6"/>
        <v>0</v>
      </c>
      <c r="AO16" s="129">
        <f t="shared" si="7"/>
        <v>0</v>
      </c>
      <c r="AP16" s="129">
        <f t="shared" si="8"/>
        <v>0</v>
      </c>
      <c r="AQ16" s="129">
        <f t="shared" si="9"/>
        <v>0</v>
      </c>
      <c r="AR16" s="129">
        <f t="shared" si="10"/>
        <v>0</v>
      </c>
      <c r="AS16" s="129">
        <f t="shared" si="11"/>
        <v>0</v>
      </c>
      <c r="AT16" s="129">
        <f t="shared" si="12"/>
        <v>0</v>
      </c>
      <c r="AU16" s="129">
        <f t="shared" si="13"/>
        <v>0</v>
      </c>
      <c r="AV16" s="129">
        <f t="shared" si="14"/>
        <v>0</v>
      </c>
      <c r="AW16" s="129">
        <f t="shared" si="15"/>
        <v>0</v>
      </c>
      <c r="AY16" s="162" t="str">
        <f>IF(ISBLANK(C16),"",NOT(ISERROR(MATCH(C16,Deltagarlista!$E$5:$E$64,0))))</f>
        <v/>
      </c>
      <c r="AZ16" s="162" t="str">
        <f>IF(ISBLANK(D16),"",NOT(ISERROR(MATCH(D16,Deltagarlista!$E$5:$E$64,0))))</f>
        <v/>
      </c>
      <c r="BA16" s="162" t="str">
        <f>IF(ISBLANK(E16),"",NOT(ISERROR(MATCH(E16,Deltagarlista!$E$5:$E$64,0))))</f>
        <v/>
      </c>
      <c r="BB16" s="162" t="str">
        <f>IF(ISBLANK(F16),"",NOT(ISERROR(MATCH(F16,Deltagarlista!$E$5:$E$64,0))))</f>
        <v/>
      </c>
      <c r="BC16" s="162" t="str">
        <f>IF(ISBLANK(G16),"",NOT(ISERROR(MATCH(G16,Deltagarlista!$E$5:$E$64,0))))</f>
        <v/>
      </c>
      <c r="BD16" s="162" t="str">
        <f>IF(ISBLANK(H16),"",NOT(ISERROR(MATCH(H16,Deltagarlista!$E$5:$E$64,0))))</f>
        <v/>
      </c>
      <c r="BE16" s="162" t="str">
        <f>IF(ISBLANK(I16),"",NOT(ISERROR(MATCH(I16,Deltagarlista!$E$5:$E$64,0))))</f>
        <v/>
      </c>
      <c r="BF16" s="162" t="str">
        <f>IF(ISBLANK(J16),"",NOT(ISERROR(MATCH(J16,Deltagarlista!$E$5:$E$64,0))))</f>
        <v/>
      </c>
      <c r="BG16" s="162" t="str">
        <f>IF(ISBLANK(K16),"",NOT(ISERROR(MATCH(K16,Deltagarlista!$E$5:$E$64,0))))</f>
        <v/>
      </c>
      <c r="BH16" s="162" t="str">
        <f>IF(ISBLANK(L16),"",NOT(ISERROR(MATCH(L16,Deltagarlista!$E$5:$E$64,0))))</f>
        <v/>
      </c>
      <c r="BI16" s="162" t="str">
        <f>IF(ISBLANK(M16),"",NOT(ISERROR(MATCH(M16,Deltagarlista!$E$5:$E$64,0))))</f>
        <v/>
      </c>
      <c r="BJ16" s="162" t="str">
        <f>IF(ISBLANK(N16),"",NOT(ISERROR(MATCH(N16,Deltagarlista!$E$5:$E$64,0))))</f>
        <v/>
      </c>
      <c r="BK16" s="162" t="str">
        <f>IF(ISBLANK(O16),"",NOT(ISERROR(MATCH(O16,Deltagarlista!$E$5:$E$64,0))))</f>
        <v/>
      </c>
      <c r="BL16" s="162" t="str">
        <f>IF(ISBLANK(P16),"",NOT(ISERROR(MATCH(P16,Deltagarlista!$E$5:$E$64,0))))</f>
        <v/>
      </c>
      <c r="BM16" s="162" t="str">
        <f>IF(ISBLANK(Q16),"",NOT(ISERROR(MATCH(Q16,Deltagarlista!$E$5:$E$64,0))))</f>
        <v/>
      </c>
      <c r="BN16" s="167"/>
      <c r="BO16" s="162">
        <f>SUM(COUNTIF($C$8:$Q$45,Deltagarlista!E13)+COUNTIF($C$53:$Q$90,Deltagarlista!E13)+COUNTIF($C$98:$Q$135,Deltagarlista!E13)+COUNTIF($C$143:$Q$180,Deltagarlista!E13))</f>
        <v>0</v>
      </c>
      <c r="BP16" s="162">
        <f t="shared" si="18"/>
        <v>1</v>
      </c>
      <c r="BQ16" s="162">
        <f t="shared" si="19"/>
        <v>1</v>
      </c>
      <c r="BR16" s="162">
        <f t="shared" si="20"/>
        <v>1</v>
      </c>
      <c r="BS16" s="162">
        <f t="shared" si="21"/>
        <v>1</v>
      </c>
      <c r="BT16" s="162">
        <f t="shared" si="22"/>
        <v>1</v>
      </c>
      <c r="BU16" s="162">
        <f t="shared" si="23"/>
        <v>1</v>
      </c>
      <c r="BV16" s="162">
        <f t="shared" si="24"/>
        <v>1</v>
      </c>
      <c r="BW16" s="162">
        <f t="shared" si="25"/>
        <v>1</v>
      </c>
      <c r="BX16" s="162">
        <f t="shared" si="26"/>
        <v>1</v>
      </c>
      <c r="BY16" s="162">
        <f t="shared" si="27"/>
        <v>1</v>
      </c>
      <c r="BZ16" s="162">
        <f t="shared" si="28"/>
        <v>1</v>
      </c>
      <c r="CA16" s="162">
        <f t="shared" si="29"/>
        <v>1</v>
      </c>
      <c r="CB16" s="162">
        <f t="shared" si="30"/>
        <v>1</v>
      </c>
      <c r="CC16" s="162">
        <f t="shared" si="31"/>
        <v>1</v>
      </c>
      <c r="CD16" s="162">
        <f t="shared" si="32"/>
        <v>1</v>
      </c>
      <c r="CE16" s="162">
        <f t="shared" si="33"/>
        <v>1</v>
      </c>
      <c r="CF16" s="162">
        <f t="shared" si="34"/>
        <v>1</v>
      </c>
      <c r="CG16" s="162">
        <f t="shared" si="35"/>
        <v>1</v>
      </c>
      <c r="CH16" s="162">
        <f t="shared" si="36"/>
        <v>1</v>
      </c>
      <c r="CI16" s="162">
        <f t="shared" si="37"/>
        <v>1</v>
      </c>
      <c r="CL16" s="184" t="str">
        <f>IF(Deltagarlista!E13="","",Deltagarlista!E13)</f>
        <v/>
      </c>
      <c r="CM16" s="162" t="str">
        <f>IF(Deltagarlista!I13="","",(IF(VLOOKUP(CL16,Deltagarlista!$E$5:$I$64,5,FALSE)="Grön","Gr",IF(VLOOKUP(CL16,Deltagarlista!$E$5:$I$64,5,FALSE)="Röd","R",IF(VLOOKUP(CL16,Deltagarlista!$E$5:$I$64,5,FALSE)="Blå","B","Gu")))))</f>
        <v/>
      </c>
      <c r="CO16" s="162" t="str">
        <f t="shared" si="16"/>
        <v/>
      </c>
      <c r="CP16" s="162" t="str">
        <f t="shared" si="17"/>
        <v/>
      </c>
      <c r="DK16" s="162" t="str">
        <f>IF(DM16="","",IF(ISBLANK(Deltagarlista!C12),"",Deltagarlista!C12))</f>
        <v/>
      </c>
      <c r="DL16" s="162" t="str">
        <f>IF(ISBLANK(Deltagarlista!I12),"",IF(Deltagarlista!I12="RÖD","R",IF(Deltagarlista!I12="GRÖN","G",IF(Deltagarlista!I12="BLÅ","B",IF(Deltagarlista!I12="GUL","G","")))))</f>
        <v/>
      </c>
      <c r="DM16" s="162">
        <f>IF(ISBLANK(Deltagarlista!H12),"",1)</f>
        <v>1</v>
      </c>
      <c r="DR16" s="162" t="str">
        <f t="shared" si="39"/>
        <v/>
      </c>
      <c r="DS16" s="162" t="str">
        <f t="shared" si="38"/>
        <v/>
      </c>
      <c r="DT16" s="162" t="e">
        <f>VLOOKUP("B",DL16:$DM$45,2,FALSE)</f>
        <v>#VALUE!</v>
      </c>
    </row>
    <row r="17" spans="2:124" ht="15.9" customHeight="1" x14ac:dyDescent="0.3">
      <c r="B17" s="186">
        <v>10</v>
      </c>
      <c r="C17" s="27"/>
      <c r="D17" s="28"/>
      <c r="E17" s="38"/>
      <c r="F17" s="27"/>
      <c r="G17" s="28"/>
      <c r="H17" s="38"/>
      <c r="I17" s="27"/>
      <c r="J17" s="28"/>
      <c r="K17" s="38"/>
      <c r="L17" s="27"/>
      <c r="M17" s="28"/>
      <c r="N17" s="29"/>
      <c r="O17" s="41"/>
      <c r="P17" s="28"/>
      <c r="Q17" s="29"/>
      <c r="R17" s="187">
        <v>10</v>
      </c>
      <c r="S17" s="188">
        <v>10</v>
      </c>
      <c r="T17" s="188">
        <v>10</v>
      </c>
      <c r="U17" s="188">
        <v>10</v>
      </c>
      <c r="V17" s="188">
        <v>10</v>
      </c>
      <c r="W17" s="188">
        <v>10</v>
      </c>
      <c r="X17" s="188">
        <v>10</v>
      </c>
      <c r="Y17" s="188">
        <v>10</v>
      </c>
      <c r="Z17" s="188">
        <v>10</v>
      </c>
      <c r="AA17" s="188">
        <v>10</v>
      </c>
      <c r="AB17" s="188">
        <v>10</v>
      </c>
      <c r="AC17" s="188">
        <v>10</v>
      </c>
      <c r="AD17" s="188">
        <v>10</v>
      </c>
      <c r="AE17" s="188">
        <v>10</v>
      </c>
      <c r="AF17" s="188">
        <v>10</v>
      </c>
      <c r="AG17" s="188">
        <v>10</v>
      </c>
      <c r="AH17" s="166"/>
      <c r="AI17" s="129">
        <f t="shared" si="1"/>
        <v>0</v>
      </c>
      <c r="AJ17" s="129">
        <f t="shared" si="2"/>
        <v>0</v>
      </c>
      <c r="AK17" s="129">
        <f t="shared" si="3"/>
        <v>0</v>
      </c>
      <c r="AL17" s="129">
        <f t="shared" si="4"/>
        <v>0</v>
      </c>
      <c r="AM17" s="129">
        <f t="shared" si="5"/>
        <v>0</v>
      </c>
      <c r="AN17" s="129">
        <f t="shared" si="6"/>
        <v>0</v>
      </c>
      <c r="AO17" s="129">
        <f t="shared" si="7"/>
        <v>0</v>
      </c>
      <c r="AP17" s="129">
        <f t="shared" si="8"/>
        <v>0</v>
      </c>
      <c r="AQ17" s="129">
        <f t="shared" si="9"/>
        <v>0</v>
      </c>
      <c r="AR17" s="129">
        <f t="shared" si="10"/>
        <v>0</v>
      </c>
      <c r="AS17" s="129">
        <f t="shared" si="11"/>
        <v>0</v>
      </c>
      <c r="AT17" s="129">
        <f t="shared" si="12"/>
        <v>0</v>
      </c>
      <c r="AU17" s="129">
        <f t="shared" si="13"/>
        <v>0</v>
      </c>
      <c r="AV17" s="129">
        <f t="shared" si="14"/>
        <v>0</v>
      </c>
      <c r="AW17" s="129">
        <f t="shared" si="15"/>
        <v>0</v>
      </c>
      <c r="AY17" s="162" t="str">
        <f>IF(ISBLANK(C17),"",NOT(ISERROR(MATCH(C17,Deltagarlista!$E$5:$E$64,0))))</f>
        <v/>
      </c>
      <c r="AZ17" s="162" t="str">
        <f>IF(ISBLANK(D17),"",NOT(ISERROR(MATCH(D17,Deltagarlista!$E$5:$E$64,0))))</f>
        <v/>
      </c>
      <c r="BA17" s="162" t="str">
        <f>IF(ISBLANK(E17),"",NOT(ISERROR(MATCH(E17,Deltagarlista!$E$5:$E$64,0))))</f>
        <v/>
      </c>
      <c r="BB17" s="162" t="str">
        <f>IF(ISBLANK(F17),"",NOT(ISERROR(MATCH(F17,Deltagarlista!$E$5:$E$64,0))))</f>
        <v/>
      </c>
      <c r="BC17" s="162" t="str">
        <f>IF(ISBLANK(G17),"",NOT(ISERROR(MATCH(G17,Deltagarlista!$E$5:$E$64,0))))</f>
        <v/>
      </c>
      <c r="BD17" s="162" t="str">
        <f>IF(ISBLANK(H17),"",NOT(ISERROR(MATCH(H17,Deltagarlista!$E$5:$E$64,0))))</f>
        <v/>
      </c>
      <c r="BE17" s="162" t="str">
        <f>IF(ISBLANK(I17),"",NOT(ISERROR(MATCH(I17,Deltagarlista!$E$5:$E$64,0))))</f>
        <v/>
      </c>
      <c r="BF17" s="162" t="str">
        <f>IF(ISBLANK(J17),"",NOT(ISERROR(MATCH(J17,Deltagarlista!$E$5:$E$64,0))))</f>
        <v/>
      </c>
      <c r="BG17" s="162" t="str">
        <f>IF(ISBLANK(K17),"",NOT(ISERROR(MATCH(K17,Deltagarlista!$E$5:$E$64,0))))</f>
        <v/>
      </c>
      <c r="BH17" s="162" t="str">
        <f>IF(ISBLANK(L17),"",NOT(ISERROR(MATCH(L17,Deltagarlista!$E$5:$E$64,0))))</f>
        <v/>
      </c>
      <c r="BI17" s="162" t="str">
        <f>IF(ISBLANK(M17),"",NOT(ISERROR(MATCH(M17,Deltagarlista!$E$5:$E$64,0))))</f>
        <v/>
      </c>
      <c r="BJ17" s="162" t="str">
        <f>IF(ISBLANK(N17),"",NOT(ISERROR(MATCH(N17,Deltagarlista!$E$5:$E$64,0))))</f>
        <v/>
      </c>
      <c r="BK17" s="162" t="str">
        <f>IF(ISBLANK(O17),"",NOT(ISERROR(MATCH(O17,Deltagarlista!$E$5:$E$64,0))))</f>
        <v/>
      </c>
      <c r="BL17" s="162" t="str">
        <f>IF(ISBLANK(P17),"",NOT(ISERROR(MATCH(P17,Deltagarlista!$E$5:$E$64,0))))</f>
        <v/>
      </c>
      <c r="BM17" s="162" t="str">
        <f>IF(ISBLANK(Q17),"",NOT(ISERROR(MATCH(Q17,Deltagarlista!$E$5:$E$64,0))))</f>
        <v/>
      </c>
      <c r="BN17" s="167"/>
      <c r="BO17" s="162">
        <f>SUM(COUNTIF($C$8:$Q$45,Deltagarlista!E14)+COUNTIF($C$53:$Q$90,Deltagarlista!E14)+COUNTIF($C$98:$Q$135,Deltagarlista!E14)+COUNTIF($C$143:$Q$180,Deltagarlista!E14))</f>
        <v>0</v>
      </c>
      <c r="BP17" s="162">
        <f t="shared" si="18"/>
        <v>1</v>
      </c>
      <c r="BQ17" s="162">
        <f t="shared" si="19"/>
        <v>1</v>
      </c>
      <c r="BR17" s="162">
        <f t="shared" si="20"/>
        <v>1</v>
      </c>
      <c r="BS17" s="162">
        <f t="shared" si="21"/>
        <v>1</v>
      </c>
      <c r="BT17" s="162">
        <f t="shared" si="22"/>
        <v>1</v>
      </c>
      <c r="BU17" s="162">
        <f t="shared" si="23"/>
        <v>1</v>
      </c>
      <c r="BV17" s="162">
        <f t="shared" si="24"/>
        <v>1</v>
      </c>
      <c r="BW17" s="162">
        <f t="shared" si="25"/>
        <v>1</v>
      </c>
      <c r="BX17" s="162">
        <f t="shared" si="26"/>
        <v>1</v>
      </c>
      <c r="BY17" s="162">
        <f t="shared" si="27"/>
        <v>1</v>
      </c>
      <c r="BZ17" s="162">
        <f t="shared" si="28"/>
        <v>1</v>
      </c>
      <c r="CA17" s="162">
        <f t="shared" si="29"/>
        <v>1</v>
      </c>
      <c r="CB17" s="162">
        <f t="shared" si="30"/>
        <v>1</v>
      </c>
      <c r="CC17" s="162">
        <f t="shared" si="31"/>
        <v>1</v>
      </c>
      <c r="CD17" s="162">
        <f t="shared" si="32"/>
        <v>1</v>
      </c>
      <c r="CE17" s="162">
        <f t="shared" si="33"/>
        <v>1</v>
      </c>
      <c r="CF17" s="162">
        <f t="shared" si="34"/>
        <v>1</v>
      </c>
      <c r="CG17" s="162">
        <f t="shared" si="35"/>
        <v>1</v>
      </c>
      <c r="CH17" s="162">
        <f t="shared" si="36"/>
        <v>1</v>
      </c>
      <c r="CI17" s="162">
        <f t="shared" si="37"/>
        <v>1</v>
      </c>
      <c r="CL17" s="184" t="str">
        <f>IF(Deltagarlista!E14="","",Deltagarlista!E14)</f>
        <v/>
      </c>
      <c r="CM17" s="162" t="str">
        <f>IF(Deltagarlista!I14="","",(IF(VLOOKUP(CL17,Deltagarlista!$E$5:$I$64,5,FALSE)="Grön","Gr",IF(VLOOKUP(CL17,Deltagarlista!$E$5:$I$64,5,FALSE)="Röd","R",IF(VLOOKUP(CL17,Deltagarlista!$E$5:$I$64,5,FALSE)="Blå","B","Gu")))))</f>
        <v/>
      </c>
      <c r="CO17" s="162" t="str">
        <f t="shared" si="16"/>
        <v/>
      </c>
      <c r="CP17" s="162" t="str">
        <f t="shared" si="17"/>
        <v/>
      </c>
      <c r="DK17" s="162" t="str">
        <f>IF(DM17="","",IF(ISBLANK(Deltagarlista!C13),"",Deltagarlista!C13))</f>
        <v/>
      </c>
      <c r="DL17" s="162" t="str">
        <f>IF(ISBLANK(Deltagarlista!I13),"",IF(Deltagarlista!I13="RÖD","R",IF(Deltagarlista!I13="GRÖN","G",IF(Deltagarlista!I13="BLÅ","B",IF(Deltagarlista!I13="GUL","G","")))))</f>
        <v/>
      </c>
      <c r="DM17" s="162">
        <f>IF(ISBLANK(Deltagarlista!H13),"",1)</f>
        <v>1</v>
      </c>
      <c r="DR17" s="162" t="str">
        <f t="shared" si="39"/>
        <v/>
      </c>
      <c r="DS17" s="162" t="str">
        <f t="shared" si="38"/>
        <v/>
      </c>
      <c r="DT17" s="162" t="e">
        <f>VLOOKUP("B",DL17:$DM$45,2,FALSE)</f>
        <v>#VALUE!</v>
      </c>
    </row>
    <row r="18" spans="2:124" ht="15.9" customHeight="1" x14ac:dyDescent="0.3">
      <c r="B18" s="186">
        <v>11</v>
      </c>
      <c r="C18" s="27"/>
      <c r="D18" s="28"/>
      <c r="E18" s="38"/>
      <c r="F18" s="27"/>
      <c r="G18" s="28"/>
      <c r="H18" s="38"/>
      <c r="I18" s="27"/>
      <c r="J18" s="28"/>
      <c r="K18" s="38"/>
      <c r="L18" s="27"/>
      <c r="M18" s="28"/>
      <c r="N18" s="29"/>
      <c r="O18" s="41"/>
      <c r="P18" s="28"/>
      <c r="Q18" s="29"/>
      <c r="R18" s="187">
        <v>11</v>
      </c>
      <c r="S18" s="188">
        <v>11</v>
      </c>
      <c r="T18" s="188">
        <v>11</v>
      </c>
      <c r="U18" s="188">
        <v>11</v>
      </c>
      <c r="V18" s="188">
        <v>11</v>
      </c>
      <c r="W18" s="188">
        <v>11</v>
      </c>
      <c r="X18" s="188">
        <v>11</v>
      </c>
      <c r="Y18" s="188">
        <v>11</v>
      </c>
      <c r="Z18" s="188">
        <v>11</v>
      </c>
      <c r="AA18" s="188">
        <v>11</v>
      </c>
      <c r="AB18" s="188">
        <v>11</v>
      </c>
      <c r="AC18" s="188">
        <v>11</v>
      </c>
      <c r="AD18" s="188">
        <v>11</v>
      </c>
      <c r="AE18" s="188">
        <v>11</v>
      </c>
      <c r="AF18" s="188">
        <v>11</v>
      </c>
      <c r="AG18" s="188">
        <v>11</v>
      </c>
      <c r="AH18" s="166"/>
      <c r="AI18" s="129">
        <f t="shared" si="1"/>
        <v>0</v>
      </c>
      <c r="AJ18" s="129">
        <f t="shared" si="2"/>
        <v>0</v>
      </c>
      <c r="AK18" s="129">
        <f t="shared" si="3"/>
        <v>0</v>
      </c>
      <c r="AL18" s="129">
        <f t="shared" si="4"/>
        <v>0</v>
      </c>
      <c r="AM18" s="129">
        <f t="shared" si="5"/>
        <v>0</v>
      </c>
      <c r="AN18" s="129">
        <f t="shared" si="6"/>
        <v>0</v>
      </c>
      <c r="AO18" s="129">
        <f t="shared" si="7"/>
        <v>0</v>
      </c>
      <c r="AP18" s="129">
        <f t="shared" si="8"/>
        <v>0</v>
      </c>
      <c r="AQ18" s="129">
        <f t="shared" si="9"/>
        <v>0</v>
      </c>
      <c r="AR18" s="129">
        <f t="shared" si="10"/>
        <v>0</v>
      </c>
      <c r="AS18" s="129">
        <f t="shared" si="11"/>
        <v>0</v>
      </c>
      <c r="AT18" s="129">
        <f t="shared" si="12"/>
        <v>0</v>
      </c>
      <c r="AU18" s="129">
        <f t="shared" si="13"/>
        <v>0</v>
      </c>
      <c r="AV18" s="129">
        <f t="shared" si="14"/>
        <v>0</v>
      </c>
      <c r="AW18" s="129">
        <f t="shared" si="15"/>
        <v>0</v>
      </c>
      <c r="AY18" s="162" t="str">
        <f>IF(ISBLANK(C18),"",NOT(ISERROR(MATCH(C18,Deltagarlista!$E$5:$E$64,0))))</f>
        <v/>
      </c>
      <c r="AZ18" s="162" t="str">
        <f>IF(ISBLANK(D18),"",NOT(ISERROR(MATCH(D18,Deltagarlista!$E$5:$E$64,0))))</f>
        <v/>
      </c>
      <c r="BA18" s="162" t="str">
        <f>IF(ISBLANK(E18),"",NOT(ISERROR(MATCH(E18,Deltagarlista!$E$5:$E$64,0))))</f>
        <v/>
      </c>
      <c r="BB18" s="162" t="str">
        <f>IF(ISBLANK(F18),"",NOT(ISERROR(MATCH(F18,Deltagarlista!$E$5:$E$64,0))))</f>
        <v/>
      </c>
      <c r="BC18" s="162" t="str">
        <f>IF(ISBLANK(G18),"",NOT(ISERROR(MATCH(G18,Deltagarlista!$E$5:$E$64,0))))</f>
        <v/>
      </c>
      <c r="BD18" s="162" t="str">
        <f>IF(ISBLANK(H18),"",NOT(ISERROR(MATCH(H18,Deltagarlista!$E$5:$E$64,0))))</f>
        <v/>
      </c>
      <c r="BE18" s="162" t="str">
        <f>IF(ISBLANK(I18),"",NOT(ISERROR(MATCH(I18,Deltagarlista!$E$5:$E$64,0))))</f>
        <v/>
      </c>
      <c r="BF18" s="162" t="str">
        <f>IF(ISBLANK(J18),"",NOT(ISERROR(MATCH(J18,Deltagarlista!$E$5:$E$64,0))))</f>
        <v/>
      </c>
      <c r="BG18" s="162" t="str">
        <f>IF(ISBLANK(K18),"",NOT(ISERROR(MATCH(K18,Deltagarlista!$E$5:$E$64,0))))</f>
        <v/>
      </c>
      <c r="BH18" s="162" t="str">
        <f>IF(ISBLANK(L18),"",NOT(ISERROR(MATCH(L18,Deltagarlista!$E$5:$E$64,0))))</f>
        <v/>
      </c>
      <c r="BI18" s="162" t="str">
        <f>IF(ISBLANK(M18),"",NOT(ISERROR(MATCH(M18,Deltagarlista!$E$5:$E$64,0))))</f>
        <v/>
      </c>
      <c r="BJ18" s="162" t="str">
        <f>IF(ISBLANK(N18),"",NOT(ISERROR(MATCH(N18,Deltagarlista!$E$5:$E$64,0))))</f>
        <v/>
      </c>
      <c r="BK18" s="162" t="str">
        <f>IF(ISBLANK(O18),"",NOT(ISERROR(MATCH(O18,Deltagarlista!$E$5:$E$64,0))))</f>
        <v/>
      </c>
      <c r="BL18" s="162" t="str">
        <f>IF(ISBLANK(P18),"",NOT(ISERROR(MATCH(P18,Deltagarlista!$E$5:$E$64,0))))</f>
        <v/>
      </c>
      <c r="BM18" s="162" t="str">
        <f>IF(ISBLANK(Q18),"",NOT(ISERROR(MATCH(Q18,Deltagarlista!$E$5:$E$64,0))))</f>
        <v/>
      </c>
      <c r="BN18" s="167"/>
      <c r="BO18" s="162">
        <f>SUM(COUNTIF($C$8:$Q$45,Deltagarlista!E15)+COUNTIF($C$53:$Q$90,Deltagarlista!E15)+COUNTIF($C$98:$Q$135,Deltagarlista!E15)+COUNTIF($C$143:$Q$180,Deltagarlista!E15))</f>
        <v>0</v>
      </c>
      <c r="BP18" s="162">
        <f t="shared" si="18"/>
        <v>1</v>
      </c>
      <c r="BQ18" s="162">
        <f t="shared" si="19"/>
        <v>1</v>
      </c>
      <c r="BR18" s="162">
        <f t="shared" si="20"/>
        <v>1</v>
      </c>
      <c r="BS18" s="162">
        <f t="shared" si="21"/>
        <v>1</v>
      </c>
      <c r="BT18" s="162">
        <f t="shared" si="22"/>
        <v>1</v>
      </c>
      <c r="BU18" s="162">
        <f t="shared" si="23"/>
        <v>1</v>
      </c>
      <c r="BV18" s="162">
        <f t="shared" si="24"/>
        <v>1</v>
      </c>
      <c r="BW18" s="162">
        <f t="shared" si="25"/>
        <v>1</v>
      </c>
      <c r="BX18" s="162">
        <f t="shared" si="26"/>
        <v>1</v>
      </c>
      <c r="BY18" s="162">
        <f t="shared" si="27"/>
        <v>1</v>
      </c>
      <c r="BZ18" s="162">
        <f t="shared" si="28"/>
        <v>1</v>
      </c>
      <c r="CA18" s="162">
        <f t="shared" si="29"/>
        <v>1</v>
      </c>
      <c r="CB18" s="162">
        <f t="shared" si="30"/>
        <v>1</v>
      </c>
      <c r="CC18" s="162">
        <f t="shared" si="31"/>
        <v>1</v>
      </c>
      <c r="CD18" s="162">
        <f t="shared" si="32"/>
        <v>1</v>
      </c>
      <c r="CE18" s="162">
        <f t="shared" si="33"/>
        <v>1</v>
      </c>
      <c r="CF18" s="162">
        <f t="shared" si="34"/>
        <v>1</v>
      </c>
      <c r="CG18" s="162">
        <f t="shared" si="35"/>
        <v>1</v>
      </c>
      <c r="CH18" s="162">
        <f t="shared" si="36"/>
        <v>1</v>
      </c>
      <c r="CI18" s="162">
        <f t="shared" si="37"/>
        <v>1</v>
      </c>
      <c r="CL18" s="184" t="str">
        <f>IF(Deltagarlista!E15="","",Deltagarlista!E15)</f>
        <v/>
      </c>
      <c r="CM18" s="162" t="str">
        <f>IF(Deltagarlista!I15="","",(IF(VLOOKUP(CL18,Deltagarlista!$E$5:$I$64,5,FALSE)="Grön","Gr",IF(VLOOKUP(CL18,Deltagarlista!$E$5:$I$64,5,FALSE)="Röd","R",IF(VLOOKUP(CL18,Deltagarlista!$E$5:$I$64,5,FALSE)="Blå","B","Gu")))))</f>
        <v/>
      </c>
      <c r="CO18" s="162" t="str">
        <f t="shared" si="16"/>
        <v/>
      </c>
      <c r="CP18" s="162" t="str">
        <f t="shared" si="17"/>
        <v/>
      </c>
      <c r="DK18" s="162" t="str">
        <f>IF(DM18="","",IF(ISBLANK(Deltagarlista!C14),"",Deltagarlista!C14))</f>
        <v/>
      </c>
      <c r="DL18" s="162" t="str">
        <f>IF(ISBLANK(Deltagarlista!I14),"",IF(Deltagarlista!I14="RÖD","R",IF(Deltagarlista!I14="GRÖN","G",IF(Deltagarlista!I14="BLÅ","B",IF(Deltagarlista!I14="GUL","G","")))))</f>
        <v/>
      </c>
      <c r="DM18" s="162">
        <f>IF(ISBLANK(Deltagarlista!H14),"",1)</f>
        <v>1</v>
      </c>
      <c r="DR18" s="162" t="str">
        <f t="shared" si="39"/>
        <v/>
      </c>
      <c r="DS18" s="162" t="str">
        <f t="shared" si="38"/>
        <v/>
      </c>
      <c r="DT18" s="162" t="e">
        <f>VLOOKUP("B",DL18:$DM$45,2,FALSE)</f>
        <v>#VALUE!</v>
      </c>
    </row>
    <row r="19" spans="2:124" ht="15.9" customHeight="1" x14ac:dyDescent="0.3">
      <c r="B19" s="186">
        <v>12</v>
      </c>
      <c r="C19" s="27"/>
      <c r="D19" s="28"/>
      <c r="E19" s="38"/>
      <c r="F19" s="27"/>
      <c r="G19" s="28"/>
      <c r="H19" s="38"/>
      <c r="I19" s="27"/>
      <c r="J19" s="28"/>
      <c r="K19" s="38"/>
      <c r="L19" s="27"/>
      <c r="M19" s="28"/>
      <c r="N19" s="29"/>
      <c r="O19" s="41"/>
      <c r="P19" s="28"/>
      <c r="Q19" s="29"/>
      <c r="R19" s="187">
        <v>12</v>
      </c>
      <c r="S19" s="188">
        <v>12</v>
      </c>
      <c r="T19" s="188">
        <v>12</v>
      </c>
      <c r="U19" s="188">
        <v>12</v>
      </c>
      <c r="V19" s="188">
        <v>12</v>
      </c>
      <c r="W19" s="188">
        <v>12</v>
      </c>
      <c r="X19" s="188">
        <v>12</v>
      </c>
      <c r="Y19" s="188">
        <v>12</v>
      </c>
      <c r="Z19" s="188">
        <v>12</v>
      </c>
      <c r="AA19" s="188">
        <v>12</v>
      </c>
      <c r="AB19" s="188">
        <v>12</v>
      </c>
      <c r="AC19" s="188">
        <v>12</v>
      </c>
      <c r="AD19" s="188">
        <v>12</v>
      </c>
      <c r="AE19" s="188">
        <v>12</v>
      </c>
      <c r="AF19" s="188">
        <v>12</v>
      </c>
      <c r="AG19" s="188">
        <v>12</v>
      </c>
      <c r="AH19" s="166"/>
      <c r="AI19" s="129">
        <f t="shared" si="1"/>
        <v>0</v>
      </c>
      <c r="AJ19" s="129">
        <f t="shared" si="2"/>
        <v>0</v>
      </c>
      <c r="AK19" s="129">
        <f t="shared" si="3"/>
        <v>0</v>
      </c>
      <c r="AL19" s="129">
        <f t="shared" si="4"/>
        <v>0</v>
      </c>
      <c r="AM19" s="129">
        <f t="shared" si="5"/>
        <v>0</v>
      </c>
      <c r="AN19" s="129">
        <f t="shared" si="6"/>
        <v>0</v>
      </c>
      <c r="AO19" s="129">
        <f t="shared" si="7"/>
        <v>0</v>
      </c>
      <c r="AP19" s="129">
        <f t="shared" si="8"/>
        <v>0</v>
      </c>
      <c r="AQ19" s="129">
        <f t="shared" si="9"/>
        <v>0</v>
      </c>
      <c r="AR19" s="129">
        <f t="shared" si="10"/>
        <v>0</v>
      </c>
      <c r="AS19" s="129">
        <f t="shared" si="11"/>
        <v>0</v>
      </c>
      <c r="AT19" s="129">
        <f t="shared" si="12"/>
        <v>0</v>
      </c>
      <c r="AU19" s="129">
        <f t="shared" si="13"/>
        <v>0</v>
      </c>
      <c r="AV19" s="129">
        <f t="shared" si="14"/>
        <v>0</v>
      </c>
      <c r="AW19" s="129">
        <f t="shared" si="15"/>
        <v>0</v>
      </c>
      <c r="AY19" s="162" t="str">
        <f>IF(ISBLANK(C19),"",NOT(ISERROR(MATCH(C19,Deltagarlista!$E$5:$E$64,0))))</f>
        <v/>
      </c>
      <c r="AZ19" s="162" t="str">
        <f>IF(ISBLANK(D19),"",NOT(ISERROR(MATCH(D19,Deltagarlista!$E$5:$E$64,0))))</f>
        <v/>
      </c>
      <c r="BA19" s="162" t="str">
        <f>IF(ISBLANK(E19),"",NOT(ISERROR(MATCH(E19,Deltagarlista!$E$5:$E$64,0))))</f>
        <v/>
      </c>
      <c r="BB19" s="162" t="str">
        <f>IF(ISBLANK(F19),"",NOT(ISERROR(MATCH(F19,Deltagarlista!$E$5:$E$64,0))))</f>
        <v/>
      </c>
      <c r="BC19" s="162" t="str">
        <f>IF(ISBLANK(G19),"",NOT(ISERROR(MATCH(G19,Deltagarlista!$E$5:$E$64,0))))</f>
        <v/>
      </c>
      <c r="BD19" s="162" t="str">
        <f>IF(ISBLANK(H19),"",NOT(ISERROR(MATCH(H19,Deltagarlista!$E$5:$E$64,0))))</f>
        <v/>
      </c>
      <c r="BE19" s="162" t="str">
        <f>IF(ISBLANK(I19),"",NOT(ISERROR(MATCH(I19,Deltagarlista!$E$5:$E$64,0))))</f>
        <v/>
      </c>
      <c r="BF19" s="162" t="str">
        <f>IF(ISBLANK(J19),"",NOT(ISERROR(MATCH(J19,Deltagarlista!$E$5:$E$64,0))))</f>
        <v/>
      </c>
      <c r="BG19" s="162" t="str">
        <f>IF(ISBLANK(K19),"",NOT(ISERROR(MATCH(K19,Deltagarlista!$E$5:$E$64,0))))</f>
        <v/>
      </c>
      <c r="BH19" s="162" t="str">
        <f>IF(ISBLANK(L19),"",NOT(ISERROR(MATCH(L19,Deltagarlista!$E$5:$E$64,0))))</f>
        <v/>
      </c>
      <c r="BI19" s="162" t="str">
        <f>IF(ISBLANK(M19),"",NOT(ISERROR(MATCH(M19,Deltagarlista!$E$5:$E$64,0))))</f>
        <v/>
      </c>
      <c r="BJ19" s="162" t="str">
        <f>IF(ISBLANK(N19),"",NOT(ISERROR(MATCH(N19,Deltagarlista!$E$5:$E$64,0))))</f>
        <v/>
      </c>
      <c r="BK19" s="162" t="str">
        <f>IF(ISBLANK(O19),"",NOT(ISERROR(MATCH(O19,Deltagarlista!$E$5:$E$64,0))))</f>
        <v/>
      </c>
      <c r="BL19" s="162" t="str">
        <f>IF(ISBLANK(P19),"",NOT(ISERROR(MATCH(P19,Deltagarlista!$E$5:$E$64,0))))</f>
        <v/>
      </c>
      <c r="BM19" s="162" t="str">
        <f>IF(ISBLANK(Q19),"",NOT(ISERROR(MATCH(Q19,Deltagarlista!$E$5:$E$64,0))))</f>
        <v/>
      </c>
      <c r="BN19" s="167"/>
      <c r="BO19" s="162">
        <f>SUM(COUNTIF($C$8:$Q$45,Deltagarlista!E16)+COUNTIF($C$53:$Q$90,Deltagarlista!E16)+COUNTIF($C$98:$Q$135,Deltagarlista!E16)+COUNTIF($C$143:$Q$180,Deltagarlista!E16))</f>
        <v>0</v>
      </c>
      <c r="BP19" s="162">
        <f t="shared" si="18"/>
        <v>1</v>
      </c>
      <c r="BQ19" s="162">
        <f t="shared" si="19"/>
        <v>1</v>
      </c>
      <c r="BR19" s="162">
        <f t="shared" si="20"/>
        <v>1</v>
      </c>
      <c r="BS19" s="162">
        <f t="shared" si="21"/>
        <v>1</v>
      </c>
      <c r="BT19" s="162">
        <f t="shared" si="22"/>
        <v>1</v>
      </c>
      <c r="BU19" s="162">
        <f t="shared" si="23"/>
        <v>1</v>
      </c>
      <c r="BV19" s="162">
        <f t="shared" si="24"/>
        <v>1</v>
      </c>
      <c r="BW19" s="162">
        <f t="shared" si="25"/>
        <v>1</v>
      </c>
      <c r="BX19" s="162">
        <f t="shared" si="26"/>
        <v>1</v>
      </c>
      <c r="BY19" s="162">
        <f t="shared" si="27"/>
        <v>1</v>
      </c>
      <c r="BZ19" s="162">
        <f t="shared" si="28"/>
        <v>1</v>
      </c>
      <c r="CA19" s="162">
        <f t="shared" si="29"/>
        <v>1</v>
      </c>
      <c r="CB19" s="162">
        <f t="shared" si="30"/>
        <v>1</v>
      </c>
      <c r="CC19" s="162">
        <f t="shared" si="31"/>
        <v>1</v>
      </c>
      <c r="CD19" s="162">
        <f t="shared" si="32"/>
        <v>1</v>
      </c>
      <c r="CE19" s="162">
        <f t="shared" si="33"/>
        <v>1</v>
      </c>
      <c r="CF19" s="162">
        <f t="shared" si="34"/>
        <v>1</v>
      </c>
      <c r="CG19" s="162">
        <f t="shared" si="35"/>
        <v>1</v>
      </c>
      <c r="CH19" s="162">
        <f t="shared" si="36"/>
        <v>1</v>
      </c>
      <c r="CI19" s="162">
        <f t="shared" si="37"/>
        <v>1</v>
      </c>
      <c r="CL19" s="184" t="str">
        <f>IF(Deltagarlista!E16="","",Deltagarlista!E16)</f>
        <v/>
      </c>
      <c r="CM19" s="162" t="str">
        <f>IF(Deltagarlista!I16="","",(IF(VLOOKUP(CL19,Deltagarlista!$E$5:$I$64,5,FALSE)="Grön","Gr",IF(VLOOKUP(CL19,Deltagarlista!$E$5:$I$64,5,FALSE)="Röd","R",IF(VLOOKUP(CL19,Deltagarlista!$E$5:$I$64,5,FALSE)="Blå","B","Gu")))))</f>
        <v/>
      </c>
      <c r="CO19" s="162" t="str">
        <f t="shared" si="16"/>
        <v/>
      </c>
      <c r="CP19" s="162" t="str">
        <f t="shared" si="17"/>
        <v/>
      </c>
      <c r="DK19" s="162" t="str">
        <f>IF(DM19="","",IF(ISBLANK(Deltagarlista!C15),"",Deltagarlista!C15))</f>
        <v/>
      </c>
      <c r="DL19" s="162" t="str">
        <f>IF(ISBLANK(Deltagarlista!I15),"",IF(Deltagarlista!I15="RÖD","R",IF(Deltagarlista!I15="GRÖN","G",IF(Deltagarlista!I15="BLÅ","B",IF(Deltagarlista!I15="GUL","G","")))))</f>
        <v/>
      </c>
      <c r="DM19" s="162">
        <f>IF(ISBLANK(Deltagarlista!H15),"",1)</f>
        <v>1</v>
      </c>
      <c r="DR19" s="162" t="str">
        <f t="shared" si="39"/>
        <v/>
      </c>
      <c r="DS19" s="162" t="str">
        <f t="shared" si="38"/>
        <v/>
      </c>
      <c r="DT19" s="162" t="e">
        <f>VLOOKUP("B",DL19:$DM$45,2,FALSE)</f>
        <v>#VALUE!</v>
      </c>
    </row>
    <row r="20" spans="2:124" ht="15.9" customHeight="1" x14ac:dyDescent="0.3">
      <c r="B20" s="186">
        <v>13</v>
      </c>
      <c r="C20" s="27"/>
      <c r="D20" s="28"/>
      <c r="E20" s="38"/>
      <c r="F20" s="27"/>
      <c r="G20" s="28"/>
      <c r="H20" s="38"/>
      <c r="I20" s="27"/>
      <c r="J20" s="28"/>
      <c r="K20" s="38"/>
      <c r="L20" s="27"/>
      <c r="M20" s="28"/>
      <c r="N20" s="29"/>
      <c r="O20" s="41"/>
      <c r="P20" s="28"/>
      <c r="Q20" s="29"/>
      <c r="R20" s="187">
        <v>13</v>
      </c>
      <c r="S20" s="188">
        <v>13</v>
      </c>
      <c r="T20" s="188">
        <v>13</v>
      </c>
      <c r="U20" s="188">
        <v>13</v>
      </c>
      <c r="V20" s="188">
        <v>13</v>
      </c>
      <c r="W20" s="188">
        <v>13</v>
      </c>
      <c r="X20" s="188">
        <v>13</v>
      </c>
      <c r="Y20" s="188">
        <v>13</v>
      </c>
      <c r="Z20" s="188">
        <v>13</v>
      </c>
      <c r="AA20" s="188">
        <v>13</v>
      </c>
      <c r="AB20" s="188">
        <v>13</v>
      </c>
      <c r="AC20" s="188">
        <v>13</v>
      </c>
      <c r="AD20" s="188">
        <v>13</v>
      </c>
      <c r="AE20" s="188">
        <v>13</v>
      </c>
      <c r="AF20" s="188">
        <v>13</v>
      </c>
      <c r="AG20" s="188">
        <v>13</v>
      </c>
      <c r="AH20" s="166"/>
      <c r="AI20" s="129">
        <f t="shared" si="1"/>
        <v>0</v>
      </c>
      <c r="AJ20" s="129">
        <f t="shared" si="2"/>
        <v>0</v>
      </c>
      <c r="AK20" s="129">
        <f t="shared" si="3"/>
        <v>0</v>
      </c>
      <c r="AL20" s="129">
        <f t="shared" si="4"/>
        <v>0</v>
      </c>
      <c r="AM20" s="129">
        <f t="shared" si="5"/>
        <v>0</v>
      </c>
      <c r="AN20" s="129">
        <f t="shared" si="6"/>
        <v>0</v>
      </c>
      <c r="AO20" s="129">
        <f t="shared" si="7"/>
        <v>0</v>
      </c>
      <c r="AP20" s="129">
        <f t="shared" si="8"/>
        <v>0</v>
      </c>
      <c r="AQ20" s="129">
        <f t="shared" si="9"/>
        <v>0</v>
      </c>
      <c r="AR20" s="129">
        <f t="shared" si="10"/>
        <v>0</v>
      </c>
      <c r="AS20" s="129">
        <f t="shared" si="11"/>
        <v>0</v>
      </c>
      <c r="AT20" s="129">
        <f t="shared" si="12"/>
        <v>0</v>
      </c>
      <c r="AU20" s="129">
        <f t="shared" si="13"/>
        <v>0</v>
      </c>
      <c r="AV20" s="129">
        <f t="shared" si="14"/>
        <v>0</v>
      </c>
      <c r="AW20" s="129">
        <f t="shared" si="15"/>
        <v>0</v>
      </c>
      <c r="AY20" s="162" t="str">
        <f>IF(ISBLANK(C20),"",NOT(ISERROR(MATCH(C20,Deltagarlista!$E$5:$E$64,0))))</f>
        <v/>
      </c>
      <c r="AZ20" s="162" t="str">
        <f>IF(ISBLANK(D20),"",NOT(ISERROR(MATCH(D20,Deltagarlista!$E$5:$E$64,0))))</f>
        <v/>
      </c>
      <c r="BA20" s="162" t="str">
        <f>IF(ISBLANK(E20),"",NOT(ISERROR(MATCH(E20,Deltagarlista!$E$5:$E$64,0))))</f>
        <v/>
      </c>
      <c r="BB20" s="162" t="str">
        <f>IF(ISBLANK(F20),"",NOT(ISERROR(MATCH(F20,Deltagarlista!$E$5:$E$64,0))))</f>
        <v/>
      </c>
      <c r="BC20" s="162" t="str">
        <f>IF(ISBLANK(G20),"",NOT(ISERROR(MATCH(G20,Deltagarlista!$E$5:$E$64,0))))</f>
        <v/>
      </c>
      <c r="BD20" s="162" t="str">
        <f>IF(ISBLANK(H20),"",NOT(ISERROR(MATCH(H20,Deltagarlista!$E$5:$E$64,0))))</f>
        <v/>
      </c>
      <c r="BE20" s="162" t="str">
        <f>IF(ISBLANK(I20),"",NOT(ISERROR(MATCH(I20,Deltagarlista!$E$5:$E$64,0))))</f>
        <v/>
      </c>
      <c r="BF20" s="162" t="str">
        <f>IF(ISBLANK(J20),"",NOT(ISERROR(MATCH(J20,Deltagarlista!$E$5:$E$64,0))))</f>
        <v/>
      </c>
      <c r="BG20" s="162" t="str">
        <f>IF(ISBLANK(K20),"",NOT(ISERROR(MATCH(K20,Deltagarlista!$E$5:$E$64,0))))</f>
        <v/>
      </c>
      <c r="BH20" s="162" t="str">
        <f>IF(ISBLANK(L20),"",NOT(ISERROR(MATCH(L20,Deltagarlista!$E$5:$E$64,0))))</f>
        <v/>
      </c>
      <c r="BI20" s="162" t="str">
        <f>IF(ISBLANK(M20),"",NOT(ISERROR(MATCH(M20,Deltagarlista!$E$5:$E$64,0))))</f>
        <v/>
      </c>
      <c r="BJ20" s="162" t="str">
        <f>IF(ISBLANK(N20),"",NOT(ISERROR(MATCH(N20,Deltagarlista!$E$5:$E$64,0))))</f>
        <v/>
      </c>
      <c r="BK20" s="162" t="str">
        <f>IF(ISBLANK(O20),"",NOT(ISERROR(MATCH(O20,Deltagarlista!$E$5:$E$64,0))))</f>
        <v/>
      </c>
      <c r="BL20" s="162" t="str">
        <f>IF(ISBLANK(P20),"",NOT(ISERROR(MATCH(P20,Deltagarlista!$E$5:$E$64,0))))</f>
        <v/>
      </c>
      <c r="BM20" s="162" t="str">
        <f>IF(ISBLANK(Q20),"",NOT(ISERROR(MATCH(Q20,Deltagarlista!$E$5:$E$64,0))))</f>
        <v/>
      </c>
      <c r="BN20" s="167"/>
      <c r="BO20" s="162">
        <f>SUM(COUNTIF($C$8:$Q$45,Deltagarlista!E17)+COUNTIF($C$53:$Q$90,Deltagarlista!E17)+COUNTIF($C$98:$Q$135,Deltagarlista!E17)+COUNTIF($C$143:$Q$180,Deltagarlista!E17))</f>
        <v>0</v>
      </c>
      <c r="BP20" s="162">
        <f t="shared" si="18"/>
        <v>1</v>
      </c>
      <c r="BQ20" s="162">
        <f t="shared" si="19"/>
        <v>1</v>
      </c>
      <c r="BR20" s="162">
        <f t="shared" si="20"/>
        <v>1</v>
      </c>
      <c r="BS20" s="162">
        <f t="shared" si="21"/>
        <v>1</v>
      </c>
      <c r="BT20" s="162">
        <f t="shared" si="22"/>
        <v>1</v>
      </c>
      <c r="BU20" s="162">
        <f t="shared" si="23"/>
        <v>1</v>
      </c>
      <c r="BV20" s="162">
        <f t="shared" si="24"/>
        <v>1</v>
      </c>
      <c r="BW20" s="162">
        <f t="shared" si="25"/>
        <v>1</v>
      </c>
      <c r="BX20" s="162">
        <f t="shared" si="26"/>
        <v>1</v>
      </c>
      <c r="BY20" s="162">
        <f t="shared" si="27"/>
        <v>1</v>
      </c>
      <c r="BZ20" s="162">
        <f t="shared" si="28"/>
        <v>1</v>
      </c>
      <c r="CA20" s="162">
        <f t="shared" si="29"/>
        <v>1</v>
      </c>
      <c r="CB20" s="162">
        <f t="shared" si="30"/>
        <v>1</v>
      </c>
      <c r="CC20" s="162">
        <f t="shared" si="31"/>
        <v>1</v>
      </c>
      <c r="CD20" s="162">
        <f t="shared" si="32"/>
        <v>1</v>
      </c>
      <c r="CE20" s="162">
        <f t="shared" si="33"/>
        <v>1</v>
      </c>
      <c r="CF20" s="162">
        <f t="shared" si="34"/>
        <v>1</v>
      </c>
      <c r="CG20" s="162">
        <f t="shared" si="35"/>
        <v>1</v>
      </c>
      <c r="CH20" s="162">
        <f t="shared" si="36"/>
        <v>1</v>
      </c>
      <c r="CI20" s="162">
        <f t="shared" si="37"/>
        <v>1</v>
      </c>
      <c r="CL20" s="184" t="str">
        <f>IF(Deltagarlista!E17="","",Deltagarlista!E17)</f>
        <v/>
      </c>
      <c r="CM20" s="162" t="str">
        <f>IF(Deltagarlista!I17="","",(IF(VLOOKUP(CL20,Deltagarlista!$E$5:$I$64,5,FALSE)="Grön","Gr",IF(VLOOKUP(CL20,Deltagarlista!$E$5:$I$64,5,FALSE)="Röd","R",IF(VLOOKUP(CL20,Deltagarlista!$E$5:$I$64,5,FALSE)="Blå","B","Gu")))))</f>
        <v/>
      </c>
      <c r="CO20" s="162" t="str">
        <f t="shared" si="16"/>
        <v/>
      </c>
      <c r="CP20" s="162" t="str">
        <f t="shared" si="17"/>
        <v/>
      </c>
      <c r="DK20" s="162" t="str">
        <f>IF(DM20="","",IF(ISBLANK(Deltagarlista!C16),"",Deltagarlista!C16))</f>
        <v/>
      </c>
      <c r="DL20" s="162" t="str">
        <f>IF(ISBLANK(Deltagarlista!I16),"",IF(Deltagarlista!I16="RÖD","R",IF(Deltagarlista!I16="GRÖN","G",IF(Deltagarlista!I16="BLÅ","B",IF(Deltagarlista!I16="GUL","G","")))))</f>
        <v/>
      </c>
      <c r="DM20" s="162">
        <f>IF(ISBLANK(Deltagarlista!H16),"",1)</f>
        <v>1</v>
      </c>
      <c r="DR20" s="162" t="str">
        <f t="shared" si="39"/>
        <v/>
      </c>
      <c r="DS20" s="162" t="str">
        <f t="shared" si="38"/>
        <v/>
      </c>
      <c r="DT20" s="162" t="e">
        <f>VLOOKUP("B",DL20:$DM$45,2,FALSE)</f>
        <v>#VALUE!</v>
      </c>
    </row>
    <row r="21" spans="2:124" ht="15.9" customHeight="1" x14ac:dyDescent="0.3">
      <c r="B21" s="186">
        <v>14</v>
      </c>
      <c r="C21" s="27"/>
      <c r="D21" s="28"/>
      <c r="E21" s="38"/>
      <c r="F21" s="27"/>
      <c r="G21" s="28"/>
      <c r="H21" s="29"/>
      <c r="I21" s="41"/>
      <c r="J21" s="28"/>
      <c r="K21" s="38"/>
      <c r="L21" s="27"/>
      <c r="M21" s="28"/>
      <c r="N21" s="29"/>
      <c r="O21" s="41"/>
      <c r="P21" s="28"/>
      <c r="Q21" s="29"/>
      <c r="R21" s="187">
        <v>14</v>
      </c>
      <c r="S21" s="188">
        <v>14</v>
      </c>
      <c r="T21" s="188">
        <v>14</v>
      </c>
      <c r="U21" s="188">
        <v>14</v>
      </c>
      <c r="V21" s="188">
        <v>14</v>
      </c>
      <c r="W21" s="188">
        <v>14</v>
      </c>
      <c r="X21" s="188">
        <v>14</v>
      </c>
      <c r="Y21" s="188">
        <v>14</v>
      </c>
      <c r="Z21" s="188">
        <v>14</v>
      </c>
      <c r="AA21" s="188">
        <v>14</v>
      </c>
      <c r="AB21" s="188">
        <v>14</v>
      </c>
      <c r="AC21" s="188">
        <v>14</v>
      </c>
      <c r="AD21" s="188">
        <v>14</v>
      </c>
      <c r="AE21" s="188">
        <v>14</v>
      </c>
      <c r="AF21" s="188">
        <v>14</v>
      </c>
      <c r="AG21" s="188">
        <v>14</v>
      </c>
      <c r="AH21" s="166"/>
      <c r="AI21" s="129">
        <f t="shared" si="1"/>
        <v>0</v>
      </c>
      <c r="AJ21" s="129">
        <f t="shared" si="2"/>
        <v>0</v>
      </c>
      <c r="AK21" s="129">
        <f t="shared" si="3"/>
        <v>0</v>
      </c>
      <c r="AL21" s="129">
        <f t="shared" si="4"/>
        <v>0</v>
      </c>
      <c r="AM21" s="129">
        <f t="shared" si="5"/>
        <v>0</v>
      </c>
      <c r="AN21" s="129">
        <f t="shared" si="6"/>
        <v>0</v>
      </c>
      <c r="AO21" s="129">
        <f t="shared" si="7"/>
        <v>0</v>
      </c>
      <c r="AP21" s="129">
        <f t="shared" si="8"/>
        <v>0</v>
      </c>
      <c r="AQ21" s="129">
        <f t="shared" si="9"/>
        <v>0</v>
      </c>
      <c r="AR21" s="129">
        <f t="shared" si="10"/>
        <v>0</v>
      </c>
      <c r="AS21" s="129">
        <f t="shared" si="11"/>
        <v>0</v>
      </c>
      <c r="AT21" s="129">
        <f t="shared" si="12"/>
        <v>0</v>
      </c>
      <c r="AU21" s="129">
        <f t="shared" si="13"/>
        <v>0</v>
      </c>
      <c r="AV21" s="129">
        <f t="shared" si="14"/>
        <v>0</v>
      </c>
      <c r="AW21" s="129">
        <f t="shared" si="15"/>
        <v>0</v>
      </c>
      <c r="AY21" s="162" t="str">
        <f>IF(ISBLANK(C21),"",NOT(ISERROR(MATCH(C21,Deltagarlista!$E$5:$E$64,0))))</f>
        <v/>
      </c>
      <c r="AZ21" s="162" t="str">
        <f>IF(ISBLANK(D21),"",NOT(ISERROR(MATCH(D21,Deltagarlista!$E$5:$E$64,0))))</f>
        <v/>
      </c>
      <c r="BA21" s="162" t="str">
        <f>IF(ISBLANK(E21),"",NOT(ISERROR(MATCH(E21,Deltagarlista!$E$5:$E$64,0))))</f>
        <v/>
      </c>
      <c r="BB21" s="162" t="str">
        <f>IF(ISBLANK(F21),"",NOT(ISERROR(MATCH(F21,Deltagarlista!$E$5:$E$64,0))))</f>
        <v/>
      </c>
      <c r="BC21" s="162" t="str">
        <f>IF(ISBLANK(G21),"",NOT(ISERROR(MATCH(G21,Deltagarlista!$E$5:$E$64,0))))</f>
        <v/>
      </c>
      <c r="BD21" s="162" t="str">
        <f>IF(ISBLANK(H21),"",NOT(ISERROR(MATCH(H21,Deltagarlista!$E$5:$E$64,0))))</f>
        <v/>
      </c>
      <c r="BE21" s="162" t="str">
        <f>IF(ISBLANK(I21),"",NOT(ISERROR(MATCH(I21,Deltagarlista!$E$5:$E$64,0))))</f>
        <v/>
      </c>
      <c r="BF21" s="162" t="str">
        <f>IF(ISBLANK(J21),"",NOT(ISERROR(MATCH(J21,Deltagarlista!$E$5:$E$64,0))))</f>
        <v/>
      </c>
      <c r="BG21" s="162" t="str">
        <f>IF(ISBLANK(K21),"",NOT(ISERROR(MATCH(K21,Deltagarlista!$E$5:$E$64,0))))</f>
        <v/>
      </c>
      <c r="BH21" s="162" t="str">
        <f>IF(ISBLANK(L21),"",NOT(ISERROR(MATCH(L21,Deltagarlista!$E$5:$E$64,0))))</f>
        <v/>
      </c>
      <c r="BI21" s="162" t="str">
        <f>IF(ISBLANK(M21),"",NOT(ISERROR(MATCH(M21,Deltagarlista!$E$5:$E$64,0))))</f>
        <v/>
      </c>
      <c r="BJ21" s="162" t="str">
        <f>IF(ISBLANK(N21),"",NOT(ISERROR(MATCH(N21,Deltagarlista!$E$5:$E$64,0))))</f>
        <v/>
      </c>
      <c r="BK21" s="162" t="str">
        <f>IF(ISBLANK(O21),"",NOT(ISERROR(MATCH(O21,Deltagarlista!$E$5:$E$64,0))))</f>
        <v/>
      </c>
      <c r="BL21" s="162" t="str">
        <f>IF(ISBLANK(P21),"",NOT(ISERROR(MATCH(P21,Deltagarlista!$E$5:$E$64,0))))</f>
        <v/>
      </c>
      <c r="BM21" s="162" t="str">
        <f>IF(ISBLANK(Q21),"",NOT(ISERROR(MATCH(Q21,Deltagarlista!$E$5:$E$64,0))))</f>
        <v/>
      </c>
      <c r="BN21" s="167"/>
      <c r="BO21" s="162">
        <f>SUM(COUNTIF($C$8:$Q$45,Deltagarlista!E18)+COUNTIF($C$53:$Q$90,Deltagarlista!E18)+COUNTIF($C$98:$Q$135,Deltagarlista!E18)+COUNTIF($C$143:$Q$180,Deltagarlista!E18))</f>
        <v>0</v>
      </c>
      <c r="BP21" s="162">
        <f t="shared" si="18"/>
        <v>1</v>
      </c>
      <c r="BQ21" s="162">
        <f t="shared" si="19"/>
        <v>1</v>
      </c>
      <c r="BR21" s="162">
        <f t="shared" si="20"/>
        <v>1</v>
      </c>
      <c r="BS21" s="162">
        <f t="shared" si="21"/>
        <v>1</v>
      </c>
      <c r="BT21" s="162">
        <f t="shared" si="22"/>
        <v>1</v>
      </c>
      <c r="BU21" s="162">
        <f t="shared" si="23"/>
        <v>1</v>
      </c>
      <c r="BV21" s="162">
        <f t="shared" si="24"/>
        <v>1</v>
      </c>
      <c r="BW21" s="162">
        <f t="shared" si="25"/>
        <v>1</v>
      </c>
      <c r="BX21" s="162">
        <f t="shared" si="26"/>
        <v>1</v>
      </c>
      <c r="BY21" s="162">
        <f t="shared" si="27"/>
        <v>1</v>
      </c>
      <c r="BZ21" s="162">
        <f t="shared" si="28"/>
        <v>1</v>
      </c>
      <c r="CA21" s="162">
        <f t="shared" si="29"/>
        <v>1</v>
      </c>
      <c r="CB21" s="162">
        <f t="shared" si="30"/>
        <v>1</v>
      </c>
      <c r="CC21" s="162">
        <f t="shared" si="31"/>
        <v>1</v>
      </c>
      <c r="CD21" s="162">
        <f t="shared" si="32"/>
        <v>1</v>
      </c>
      <c r="CE21" s="162">
        <f t="shared" si="33"/>
        <v>1</v>
      </c>
      <c r="CF21" s="162">
        <f t="shared" si="34"/>
        <v>1</v>
      </c>
      <c r="CG21" s="162">
        <f t="shared" si="35"/>
        <v>1</v>
      </c>
      <c r="CH21" s="162">
        <f t="shared" si="36"/>
        <v>1</v>
      </c>
      <c r="CI21" s="162">
        <f t="shared" si="37"/>
        <v>1</v>
      </c>
      <c r="CL21" s="184" t="str">
        <f>IF(Deltagarlista!E18="","",Deltagarlista!E18)</f>
        <v/>
      </c>
      <c r="CM21" s="162" t="str">
        <f>IF(Deltagarlista!I18="","",(IF(VLOOKUP(CL21,Deltagarlista!$E$5:$I$64,5,FALSE)="Grön","Gr",IF(VLOOKUP(CL21,Deltagarlista!$E$5:$I$64,5,FALSE)="Röd","R",IF(VLOOKUP(CL21,Deltagarlista!$E$5:$I$64,5,FALSE)="Blå","B","Gu")))))</f>
        <v/>
      </c>
      <c r="CO21" s="162" t="str">
        <f t="shared" si="16"/>
        <v/>
      </c>
      <c r="CP21" s="162" t="str">
        <f t="shared" si="17"/>
        <v/>
      </c>
      <c r="DK21" s="162" t="str">
        <f>IF(DM21="","",IF(ISBLANK(Deltagarlista!C17),"",Deltagarlista!C17))</f>
        <v/>
      </c>
      <c r="DL21" s="162" t="str">
        <f>IF(ISBLANK(Deltagarlista!I17),"",IF(Deltagarlista!I17="RÖD","R",IF(Deltagarlista!I17="GRÖN","G",IF(Deltagarlista!I17="BLÅ","B",IF(Deltagarlista!I17="GUL","G","")))))</f>
        <v/>
      </c>
      <c r="DM21" s="162">
        <f>IF(ISBLANK(Deltagarlista!H17),"",1)</f>
        <v>1</v>
      </c>
      <c r="DR21" s="162" t="str">
        <f t="shared" si="39"/>
        <v/>
      </c>
      <c r="DS21" s="162" t="str">
        <f t="shared" si="38"/>
        <v/>
      </c>
      <c r="DT21" s="162" t="e">
        <f>VLOOKUP("B",DL21:$DM$45,2,FALSE)</f>
        <v>#VALUE!</v>
      </c>
    </row>
    <row r="22" spans="2:124" ht="15.9" customHeight="1" x14ac:dyDescent="0.3">
      <c r="B22" s="186">
        <v>15</v>
      </c>
      <c r="C22" s="27"/>
      <c r="D22" s="28"/>
      <c r="E22" s="38"/>
      <c r="F22" s="27"/>
      <c r="G22" s="28"/>
      <c r="H22" s="29"/>
      <c r="I22" s="41"/>
      <c r="J22" s="28"/>
      <c r="K22" s="38"/>
      <c r="L22" s="27"/>
      <c r="M22" s="28"/>
      <c r="N22" s="29"/>
      <c r="O22" s="41"/>
      <c r="P22" s="28"/>
      <c r="Q22" s="29"/>
      <c r="R22" s="187">
        <v>15</v>
      </c>
      <c r="S22" s="188">
        <v>15</v>
      </c>
      <c r="T22" s="188">
        <v>15</v>
      </c>
      <c r="U22" s="188">
        <v>15</v>
      </c>
      <c r="V22" s="188">
        <v>15</v>
      </c>
      <c r="W22" s="188">
        <v>15</v>
      </c>
      <c r="X22" s="188">
        <v>15</v>
      </c>
      <c r="Y22" s="188">
        <v>15</v>
      </c>
      <c r="Z22" s="188">
        <v>15</v>
      </c>
      <c r="AA22" s="188">
        <v>15</v>
      </c>
      <c r="AB22" s="188">
        <v>15</v>
      </c>
      <c r="AC22" s="188">
        <v>15</v>
      </c>
      <c r="AD22" s="188">
        <v>15</v>
      </c>
      <c r="AE22" s="188">
        <v>15</v>
      </c>
      <c r="AF22" s="188">
        <v>15</v>
      </c>
      <c r="AG22" s="188">
        <v>15</v>
      </c>
      <c r="AH22" s="166"/>
      <c r="AI22" s="129">
        <f t="shared" si="1"/>
        <v>0</v>
      </c>
      <c r="AJ22" s="129">
        <f t="shared" si="2"/>
        <v>0</v>
      </c>
      <c r="AK22" s="129">
        <f t="shared" si="3"/>
        <v>0</v>
      </c>
      <c r="AL22" s="129">
        <f t="shared" si="4"/>
        <v>0</v>
      </c>
      <c r="AM22" s="129">
        <f t="shared" si="5"/>
        <v>0</v>
      </c>
      <c r="AN22" s="129">
        <f t="shared" si="6"/>
        <v>0</v>
      </c>
      <c r="AO22" s="129">
        <f t="shared" si="7"/>
        <v>0</v>
      </c>
      <c r="AP22" s="129">
        <f t="shared" si="8"/>
        <v>0</v>
      </c>
      <c r="AQ22" s="129">
        <f t="shared" si="9"/>
        <v>0</v>
      </c>
      <c r="AR22" s="129">
        <f t="shared" si="10"/>
        <v>0</v>
      </c>
      <c r="AS22" s="129">
        <f t="shared" si="11"/>
        <v>0</v>
      </c>
      <c r="AT22" s="129">
        <f t="shared" si="12"/>
        <v>0</v>
      </c>
      <c r="AU22" s="129">
        <f t="shared" si="13"/>
        <v>0</v>
      </c>
      <c r="AV22" s="129">
        <f t="shared" si="14"/>
        <v>0</v>
      </c>
      <c r="AW22" s="129">
        <f t="shared" si="15"/>
        <v>0</v>
      </c>
      <c r="AY22" s="162" t="str">
        <f>IF(ISBLANK(C22),"",NOT(ISERROR(MATCH(C22,Deltagarlista!$E$5:$E$64,0))))</f>
        <v/>
      </c>
      <c r="AZ22" s="162" t="str">
        <f>IF(ISBLANK(D22),"",NOT(ISERROR(MATCH(D22,Deltagarlista!$E$5:$E$64,0))))</f>
        <v/>
      </c>
      <c r="BA22" s="162" t="str">
        <f>IF(ISBLANK(E22),"",NOT(ISERROR(MATCH(E22,Deltagarlista!$E$5:$E$64,0))))</f>
        <v/>
      </c>
      <c r="BB22" s="162" t="str">
        <f>IF(ISBLANK(F22),"",NOT(ISERROR(MATCH(F22,Deltagarlista!$E$5:$E$64,0))))</f>
        <v/>
      </c>
      <c r="BC22" s="162" t="str">
        <f>IF(ISBLANK(G22),"",NOT(ISERROR(MATCH(G22,Deltagarlista!$E$5:$E$64,0))))</f>
        <v/>
      </c>
      <c r="BD22" s="162" t="str">
        <f>IF(ISBLANK(H22),"",NOT(ISERROR(MATCH(H22,Deltagarlista!$E$5:$E$64,0))))</f>
        <v/>
      </c>
      <c r="BE22" s="162" t="str">
        <f>IF(ISBLANK(I22),"",NOT(ISERROR(MATCH(I22,Deltagarlista!$E$5:$E$64,0))))</f>
        <v/>
      </c>
      <c r="BF22" s="162" t="str">
        <f>IF(ISBLANK(J22),"",NOT(ISERROR(MATCH(J22,Deltagarlista!$E$5:$E$64,0))))</f>
        <v/>
      </c>
      <c r="BG22" s="162" t="str">
        <f>IF(ISBLANK(K22),"",NOT(ISERROR(MATCH(K22,Deltagarlista!$E$5:$E$64,0))))</f>
        <v/>
      </c>
      <c r="BH22" s="162" t="str">
        <f>IF(ISBLANK(L22),"",NOT(ISERROR(MATCH(L22,Deltagarlista!$E$5:$E$64,0))))</f>
        <v/>
      </c>
      <c r="BI22" s="162" t="str">
        <f>IF(ISBLANK(M22),"",NOT(ISERROR(MATCH(M22,Deltagarlista!$E$5:$E$64,0))))</f>
        <v/>
      </c>
      <c r="BJ22" s="162" t="str">
        <f>IF(ISBLANK(N22),"",NOT(ISERROR(MATCH(N22,Deltagarlista!$E$5:$E$64,0))))</f>
        <v/>
      </c>
      <c r="BK22" s="162" t="str">
        <f>IF(ISBLANK(O22),"",NOT(ISERROR(MATCH(O22,Deltagarlista!$E$5:$E$64,0))))</f>
        <v/>
      </c>
      <c r="BL22" s="162" t="str">
        <f>IF(ISBLANK(P22),"",NOT(ISERROR(MATCH(P22,Deltagarlista!$E$5:$E$64,0))))</f>
        <v/>
      </c>
      <c r="BM22" s="162" t="str">
        <f>IF(ISBLANK(Q22),"",NOT(ISERROR(MATCH(Q22,Deltagarlista!$E$5:$E$64,0))))</f>
        <v/>
      </c>
      <c r="BN22" s="167"/>
      <c r="BO22" s="162">
        <f>SUM(COUNTIF($C$8:$Q$45,Deltagarlista!E19)+COUNTIF($C$53:$Q$90,Deltagarlista!E19)+COUNTIF($C$98:$Q$135,Deltagarlista!E19)+COUNTIF($C$143:$Q$180,Deltagarlista!E19))</f>
        <v>0</v>
      </c>
      <c r="BP22" s="162">
        <f t="shared" si="18"/>
        <v>1</v>
      </c>
      <c r="BQ22" s="162">
        <f t="shared" si="19"/>
        <v>1</v>
      </c>
      <c r="BR22" s="162">
        <f t="shared" si="20"/>
        <v>1</v>
      </c>
      <c r="BS22" s="162">
        <f t="shared" si="21"/>
        <v>1</v>
      </c>
      <c r="BT22" s="162">
        <f t="shared" si="22"/>
        <v>1</v>
      </c>
      <c r="BU22" s="162">
        <f t="shared" si="23"/>
        <v>1</v>
      </c>
      <c r="BV22" s="162">
        <f t="shared" si="24"/>
        <v>1</v>
      </c>
      <c r="BW22" s="162">
        <f t="shared" si="25"/>
        <v>1</v>
      </c>
      <c r="BX22" s="162">
        <f t="shared" si="26"/>
        <v>1</v>
      </c>
      <c r="BY22" s="162">
        <f t="shared" si="27"/>
        <v>1</v>
      </c>
      <c r="BZ22" s="162">
        <f t="shared" si="28"/>
        <v>1</v>
      </c>
      <c r="CA22" s="162">
        <f t="shared" si="29"/>
        <v>1</v>
      </c>
      <c r="CB22" s="162">
        <f t="shared" si="30"/>
        <v>1</v>
      </c>
      <c r="CC22" s="162">
        <f t="shared" si="31"/>
        <v>1</v>
      </c>
      <c r="CD22" s="162">
        <f t="shared" si="32"/>
        <v>1</v>
      </c>
      <c r="CE22" s="162">
        <f t="shared" si="33"/>
        <v>1</v>
      </c>
      <c r="CF22" s="162">
        <f t="shared" si="34"/>
        <v>1</v>
      </c>
      <c r="CG22" s="162">
        <f t="shared" si="35"/>
        <v>1</v>
      </c>
      <c r="CH22" s="162">
        <f t="shared" si="36"/>
        <v>1</v>
      </c>
      <c r="CI22" s="162">
        <f t="shared" si="37"/>
        <v>1</v>
      </c>
      <c r="CL22" s="184" t="str">
        <f>IF(Deltagarlista!E19="","",Deltagarlista!E19)</f>
        <v/>
      </c>
      <c r="CM22" s="162" t="str">
        <f>IF(Deltagarlista!I19="","",(IF(VLOOKUP(CL22,Deltagarlista!$E$5:$I$64,5,FALSE)="Grön","Gr",IF(VLOOKUP(CL22,Deltagarlista!$E$5:$I$64,5,FALSE)="Röd","R",IF(VLOOKUP(CL22,Deltagarlista!$E$5:$I$64,5,FALSE)="Blå","B","Gu")))))</f>
        <v/>
      </c>
      <c r="CO22" s="162" t="str">
        <f t="shared" si="16"/>
        <v/>
      </c>
      <c r="CP22" s="162" t="str">
        <f t="shared" si="17"/>
        <v/>
      </c>
      <c r="DK22" s="162" t="str">
        <f>IF(DM22="","",IF(ISBLANK(Deltagarlista!C18),"",Deltagarlista!C18))</f>
        <v/>
      </c>
      <c r="DL22" s="162" t="str">
        <f>IF(ISBLANK(Deltagarlista!I18),"",IF(Deltagarlista!I18="RÖD","R",IF(Deltagarlista!I18="GRÖN","G",IF(Deltagarlista!I18="BLÅ","B",IF(Deltagarlista!I18="GUL","G","")))))</f>
        <v/>
      </c>
      <c r="DM22" s="162">
        <f>IF(ISBLANK(Deltagarlista!H18),"",1)</f>
        <v>1</v>
      </c>
      <c r="DR22" s="162" t="str">
        <f t="shared" si="39"/>
        <v/>
      </c>
      <c r="DS22" s="162" t="str">
        <f t="shared" si="38"/>
        <v/>
      </c>
      <c r="DT22" s="162" t="e">
        <f>VLOOKUP("B",DL22:$DM$45,2,FALSE)</f>
        <v>#VALUE!</v>
      </c>
    </row>
    <row r="23" spans="2:124" ht="15.9" customHeight="1" x14ac:dyDescent="0.3">
      <c r="B23" s="186">
        <v>16</v>
      </c>
      <c r="C23" s="27"/>
      <c r="D23" s="28"/>
      <c r="E23" s="38"/>
      <c r="F23" s="27"/>
      <c r="G23" s="28"/>
      <c r="H23" s="29"/>
      <c r="I23" s="41"/>
      <c r="J23" s="28"/>
      <c r="K23" s="38"/>
      <c r="L23" s="27"/>
      <c r="M23" s="28"/>
      <c r="N23" s="29"/>
      <c r="O23" s="41"/>
      <c r="P23" s="28"/>
      <c r="Q23" s="29"/>
      <c r="R23" s="187">
        <v>16</v>
      </c>
      <c r="S23" s="188">
        <v>16</v>
      </c>
      <c r="T23" s="188">
        <v>16</v>
      </c>
      <c r="U23" s="188">
        <v>16</v>
      </c>
      <c r="V23" s="188">
        <v>16</v>
      </c>
      <c r="W23" s="188">
        <v>16</v>
      </c>
      <c r="X23" s="188">
        <v>16</v>
      </c>
      <c r="Y23" s="188">
        <v>16</v>
      </c>
      <c r="Z23" s="188">
        <v>16</v>
      </c>
      <c r="AA23" s="188">
        <v>16</v>
      </c>
      <c r="AB23" s="188">
        <v>16</v>
      </c>
      <c r="AC23" s="188">
        <v>16</v>
      </c>
      <c r="AD23" s="188">
        <v>16</v>
      </c>
      <c r="AE23" s="188">
        <v>16</v>
      </c>
      <c r="AF23" s="188">
        <v>16</v>
      </c>
      <c r="AG23" s="188">
        <v>16</v>
      </c>
      <c r="AH23" s="166"/>
      <c r="AI23" s="129">
        <f t="shared" si="1"/>
        <v>0</v>
      </c>
      <c r="AJ23" s="129">
        <f t="shared" si="2"/>
        <v>0</v>
      </c>
      <c r="AK23" s="129">
        <f t="shared" si="3"/>
        <v>0</v>
      </c>
      <c r="AL23" s="129">
        <f t="shared" si="4"/>
        <v>0</v>
      </c>
      <c r="AM23" s="129">
        <f t="shared" si="5"/>
        <v>0</v>
      </c>
      <c r="AN23" s="129">
        <f t="shared" si="6"/>
        <v>0</v>
      </c>
      <c r="AO23" s="129">
        <f t="shared" si="7"/>
        <v>0</v>
      </c>
      <c r="AP23" s="129">
        <f t="shared" si="8"/>
        <v>0</v>
      </c>
      <c r="AQ23" s="129">
        <f t="shared" si="9"/>
        <v>0</v>
      </c>
      <c r="AR23" s="129">
        <f t="shared" si="10"/>
        <v>0</v>
      </c>
      <c r="AS23" s="129">
        <f t="shared" si="11"/>
        <v>0</v>
      </c>
      <c r="AT23" s="129">
        <f t="shared" si="12"/>
        <v>0</v>
      </c>
      <c r="AU23" s="129">
        <f t="shared" si="13"/>
        <v>0</v>
      </c>
      <c r="AV23" s="129">
        <f t="shared" si="14"/>
        <v>0</v>
      </c>
      <c r="AW23" s="129">
        <f t="shared" si="15"/>
        <v>0</v>
      </c>
      <c r="AY23" s="162" t="str">
        <f>IF(ISBLANK(C23),"",NOT(ISERROR(MATCH(C23,Deltagarlista!$E$5:$E$64,0))))</f>
        <v/>
      </c>
      <c r="AZ23" s="162" t="str">
        <f>IF(ISBLANK(D23),"",NOT(ISERROR(MATCH(D23,Deltagarlista!$E$5:$E$64,0))))</f>
        <v/>
      </c>
      <c r="BA23" s="162" t="str">
        <f>IF(ISBLANK(E23),"",NOT(ISERROR(MATCH(E23,Deltagarlista!$E$5:$E$64,0))))</f>
        <v/>
      </c>
      <c r="BB23" s="162" t="str">
        <f>IF(ISBLANK(F23),"",NOT(ISERROR(MATCH(F23,Deltagarlista!$E$5:$E$64,0))))</f>
        <v/>
      </c>
      <c r="BC23" s="162" t="str">
        <f>IF(ISBLANK(G23),"",NOT(ISERROR(MATCH(G23,Deltagarlista!$E$5:$E$64,0))))</f>
        <v/>
      </c>
      <c r="BD23" s="162" t="str">
        <f>IF(ISBLANK(H23),"",NOT(ISERROR(MATCH(H23,Deltagarlista!$E$5:$E$64,0))))</f>
        <v/>
      </c>
      <c r="BE23" s="162" t="str">
        <f>IF(ISBLANK(I23),"",NOT(ISERROR(MATCH(I23,Deltagarlista!$E$5:$E$64,0))))</f>
        <v/>
      </c>
      <c r="BF23" s="162" t="str">
        <f>IF(ISBLANK(J23),"",NOT(ISERROR(MATCH(J23,Deltagarlista!$E$5:$E$64,0))))</f>
        <v/>
      </c>
      <c r="BG23" s="162" t="str">
        <f>IF(ISBLANK(K23),"",NOT(ISERROR(MATCH(K23,Deltagarlista!$E$5:$E$64,0))))</f>
        <v/>
      </c>
      <c r="BH23" s="162" t="str">
        <f>IF(ISBLANK(L23),"",NOT(ISERROR(MATCH(L23,Deltagarlista!$E$5:$E$64,0))))</f>
        <v/>
      </c>
      <c r="BI23" s="162" t="str">
        <f>IF(ISBLANK(M23),"",NOT(ISERROR(MATCH(M23,Deltagarlista!$E$5:$E$64,0))))</f>
        <v/>
      </c>
      <c r="BJ23" s="162" t="str">
        <f>IF(ISBLANK(N23),"",NOT(ISERROR(MATCH(N23,Deltagarlista!$E$5:$E$64,0))))</f>
        <v/>
      </c>
      <c r="BK23" s="162" t="str">
        <f>IF(ISBLANK(O23),"",NOT(ISERROR(MATCH(O23,Deltagarlista!$E$5:$E$64,0))))</f>
        <v/>
      </c>
      <c r="BL23" s="162" t="str">
        <f>IF(ISBLANK(P23),"",NOT(ISERROR(MATCH(P23,Deltagarlista!$E$5:$E$64,0))))</f>
        <v/>
      </c>
      <c r="BM23" s="162" t="str">
        <f>IF(ISBLANK(Q23),"",NOT(ISERROR(MATCH(Q23,Deltagarlista!$E$5:$E$64,0))))</f>
        <v/>
      </c>
      <c r="BN23" s="167"/>
      <c r="BO23" s="162">
        <f>SUM(COUNTIF($C$8:$Q$45,Deltagarlista!E20)+COUNTIF($C$53:$Q$90,Deltagarlista!E20)+COUNTIF($C$98:$Q$135,Deltagarlista!E20)+COUNTIF($C$143:$Q$180,Deltagarlista!E20))</f>
        <v>0</v>
      </c>
      <c r="BP23" s="162">
        <f t="shared" si="18"/>
        <v>1</v>
      </c>
      <c r="BQ23" s="162">
        <f t="shared" si="19"/>
        <v>1</v>
      </c>
      <c r="BR23" s="162">
        <f t="shared" si="20"/>
        <v>1</v>
      </c>
      <c r="BS23" s="162">
        <f t="shared" si="21"/>
        <v>1</v>
      </c>
      <c r="BT23" s="162">
        <f t="shared" si="22"/>
        <v>1</v>
      </c>
      <c r="BU23" s="162">
        <f t="shared" si="23"/>
        <v>1</v>
      </c>
      <c r="BV23" s="162">
        <f t="shared" si="24"/>
        <v>1</v>
      </c>
      <c r="BW23" s="162">
        <f t="shared" si="25"/>
        <v>1</v>
      </c>
      <c r="BX23" s="162">
        <f t="shared" si="26"/>
        <v>1</v>
      </c>
      <c r="BY23" s="162">
        <f t="shared" si="27"/>
        <v>1</v>
      </c>
      <c r="BZ23" s="162">
        <f t="shared" si="28"/>
        <v>1</v>
      </c>
      <c r="CA23" s="162">
        <f t="shared" si="29"/>
        <v>1</v>
      </c>
      <c r="CB23" s="162">
        <f t="shared" si="30"/>
        <v>1</v>
      </c>
      <c r="CC23" s="162">
        <f t="shared" si="31"/>
        <v>1</v>
      </c>
      <c r="CD23" s="162">
        <f t="shared" si="32"/>
        <v>1</v>
      </c>
      <c r="CE23" s="162">
        <f t="shared" si="33"/>
        <v>1</v>
      </c>
      <c r="CF23" s="162">
        <f t="shared" si="34"/>
        <v>1</v>
      </c>
      <c r="CG23" s="162">
        <f t="shared" si="35"/>
        <v>1</v>
      </c>
      <c r="CH23" s="162">
        <f t="shared" si="36"/>
        <v>1</v>
      </c>
      <c r="CI23" s="162">
        <f t="shared" si="37"/>
        <v>1</v>
      </c>
      <c r="CL23" s="184" t="str">
        <f>IF(Deltagarlista!E20="","",Deltagarlista!E20)</f>
        <v/>
      </c>
      <c r="CM23" s="162" t="str">
        <f>IF(Deltagarlista!I20="","",(IF(VLOOKUP(CL23,Deltagarlista!$E$5:$I$64,5,FALSE)="Grön","Gr",IF(VLOOKUP(CL23,Deltagarlista!$E$5:$I$64,5,FALSE)="Röd","R",IF(VLOOKUP(CL23,Deltagarlista!$E$5:$I$64,5,FALSE)="Blå","B","Gu")))))</f>
        <v/>
      </c>
      <c r="CO23" s="162" t="str">
        <f t="shared" si="16"/>
        <v/>
      </c>
      <c r="CP23" s="162" t="str">
        <f t="shared" si="17"/>
        <v/>
      </c>
      <c r="DK23" s="162" t="str">
        <f>IF(DM23="","",IF(ISBLANK(Deltagarlista!C19),"",Deltagarlista!C19))</f>
        <v/>
      </c>
      <c r="DL23" s="162" t="str">
        <f>IF(ISBLANK(Deltagarlista!I19),"",IF(Deltagarlista!I19="RÖD","R",IF(Deltagarlista!I19="GRÖN","G",IF(Deltagarlista!I19="BLÅ","B",IF(Deltagarlista!I19="GUL","G","")))))</f>
        <v/>
      </c>
      <c r="DM23" s="162">
        <f>IF(ISBLANK(Deltagarlista!H19),"",1)</f>
        <v>1</v>
      </c>
      <c r="DR23" s="162" t="str">
        <f t="shared" si="39"/>
        <v/>
      </c>
      <c r="DS23" s="162" t="str">
        <f t="shared" si="38"/>
        <v/>
      </c>
      <c r="DT23" s="162" t="e">
        <f>VLOOKUP("B",DL23:$DM$45,2,FALSE)</f>
        <v>#VALUE!</v>
      </c>
    </row>
    <row r="24" spans="2:124" ht="15.9" customHeight="1" x14ac:dyDescent="0.3">
      <c r="B24" s="186">
        <v>17</v>
      </c>
      <c r="C24" s="27"/>
      <c r="D24" s="28"/>
      <c r="E24" s="38"/>
      <c r="F24" s="27"/>
      <c r="G24" s="28"/>
      <c r="H24" s="29"/>
      <c r="I24" s="41"/>
      <c r="J24" s="28"/>
      <c r="K24" s="38"/>
      <c r="L24" s="27"/>
      <c r="M24" s="28"/>
      <c r="N24" s="29"/>
      <c r="O24" s="41"/>
      <c r="P24" s="28"/>
      <c r="Q24" s="29"/>
      <c r="R24" s="187">
        <v>17</v>
      </c>
      <c r="S24" s="188">
        <v>17</v>
      </c>
      <c r="T24" s="188">
        <v>17</v>
      </c>
      <c r="U24" s="188">
        <v>17</v>
      </c>
      <c r="V24" s="188">
        <v>17</v>
      </c>
      <c r="W24" s="188">
        <v>17</v>
      </c>
      <c r="X24" s="188">
        <v>17</v>
      </c>
      <c r="Y24" s="188">
        <v>17</v>
      </c>
      <c r="Z24" s="188">
        <v>17</v>
      </c>
      <c r="AA24" s="188">
        <v>17</v>
      </c>
      <c r="AB24" s="188">
        <v>17</v>
      </c>
      <c r="AC24" s="188">
        <v>17</v>
      </c>
      <c r="AD24" s="188">
        <v>17</v>
      </c>
      <c r="AE24" s="188">
        <v>17</v>
      </c>
      <c r="AF24" s="188">
        <v>17</v>
      </c>
      <c r="AG24" s="188">
        <v>17</v>
      </c>
      <c r="AH24" s="166"/>
      <c r="AI24" s="129">
        <f t="shared" si="1"/>
        <v>0</v>
      </c>
      <c r="AJ24" s="129">
        <f t="shared" si="2"/>
        <v>0</v>
      </c>
      <c r="AK24" s="129">
        <f t="shared" si="3"/>
        <v>0</v>
      </c>
      <c r="AL24" s="129">
        <f t="shared" si="4"/>
        <v>0</v>
      </c>
      <c r="AM24" s="129">
        <f t="shared" si="5"/>
        <v>0</v>
      </c>
      <c r="AN24" s="129">
        <f t="shared" si="6"/>
        <v>0</v>
      </c>
      <c r="AO24" s="129">
        <f t="shared" si="7"/>
        <v>0</v>
      </c>
      <c r="AP24" s="129">
        <f t="shared" si="8"/>
        <v>0</v>
      </c>
      <c r="AQ24" s="129">
        <f t="shared" si="9"/>
        <v>0</v>
      </c>
      <c r="AR24" s="129">
        <f t="shared" si="10"/>
        <v>0</v>
      </c>
      <c r="AS24" s="129">
        <f t="shared" si="11"/>
        <v>0</v>
      </c>
      <c r="AT24" s="129">
        <f t="shared" si="12"/>
        <v>0</v>
      </c>
      <c r="AU24" s="129">
        <f t="shared" si="13"/>
        <v>0</v>
      </c>
      <c r="AV24" s="129">
        <f t="shared" si="14"/>
        <v>0</v>
      </c>
      <c r="AW24" s="129">
        <f t="shared" si="15"/>
        <v>0</v>
      </c>
      <c r="AY24" s="162" t="str">
        <f>IF(ISBLANK(C24),"",NOT(ISERROR(MATCH(C24,Deltagarlista!$E$5:$E$64,0))))</f>
        <v/>
      </c>
      <c r="AZ24" s="162" t="str">
        <f>IF(ISBLANK(D24),"",NOT(ISERROR(MATCH(D24,Deltagarlista!$E$5:$E$64,0))))</f>
        <v/>
      </c>
      <c r="BA24" s="162" t="str">
        <f>IF(ISBLANK(E24),"",NOT(ISERROR(MATCH(E24,Deltagarlista!$E$5:$E$64,0))))</f>
        <v/>
      </c>
      <c r="BB24" s="162" t="str">
        <f>IF(ISBLANK(F24),"",NOT(ISERROR(MATCH(F24,Deltagarlista!$E$5:$E$64,0))))</f>
        <v/>
      </c>
      <c r="BC24" s="162" t="str">
        <f>IF(ISBLANK(G24),"",NOT(ISERROR(MATCH(G24,Deltagarlista!$E$5:$E$64,0))))</f>
        <v/>
      </c>
      <c r="BD24" s="162" t="str">
        <f>IF(ISBLANK(H24),"",NOT(ISERROR(MATCH(H24,Deltagarlista!$E$5:$E$64,0))))</f>
        <v/>
      </c>
      <c r="BE24" s="162" t="str">
        <f>IF(ISBLANK(I24),"",NOT(ISERROR(MATCH(I24,Deltagarlista!$E$5:$E$64,0))))</f>
        <v/>
      </c>
      <c r="BF24" s="162" t="str">
        <f>IF(ISBLANK(J24),"",NOT(ISERROR(MATCH(J24,Deltagarlista!$E$5:$E$64,0))))</f>
        <v/>
      </c>
      <c r="BG24" s="162" t="str">
        <f>IF(ISBLANK(K24),"",NOT(ISERROR(MATCH(K24,Deltagarlista!$E$5:$E$64,0))))</f>
        <v/>
      </c>
      <c r="BH24" s="162" t="str">
        <f>IF(ISBLANK(L24),"",NOT(ISERROR(MATCH(L24,Deltagarlista!$E$5:$E$64,0))))</f>
        <v/>
      </c>
      <c r="BI24" s="162" t="str">
        <f>IF(ISBLANK(M24),"",NOT(ISERROR(MATCH(M24,Deltagarlista!$E$5:$E$64,0))))</f>
        <v/>
      </c>
      <c r="BJ24" s="162" t="str">
        <f>IF(ISBLANK(N24),"",NOT(ISERROR(MATCH(N24,Deltagarlista!$E$5:$E$64,0))))</f>
        <v/>
      </c>
      <c r="BK24" s="162" t="str">
        <f>IF(ISBLANK(O24),"",NOT(ISERROR(MATCH(O24,Deltagarlista!$E$5:$E$64,0))))</f>
        <v/>
      </c>
      <c r="BL24" s="162" t="str">
        <f>IF(ISBLANK(P24),"",NOT(ISERROR(MATCH(P24,Deltagarlista!$E$5:$E$64,0))))</f>
        <v/>
      </c>
      <c r="BM24" s="162" t="str">
        <f>IF(ISBLANK(Q24),"",NOT(ISERROR(MATCH(Q24,Deltagarlista!$E$5:$E$64,0))))</f>
        <v/>
      </c>
      <c r="BN24" s="167"/>
      <c r="BO24" s="162">
        <f>SUM(COUNTIF($C$8:$Q$45,Deltagarlista!E21)+COUNTIF($C$53:$Q$90,Deltagarlista!E21)+COUNTIF($C$98:$Q$135,Deltagarlista!E21)+COUNTIF($C$143:$Q$180,Deltagarlista!E21))</f>
        <v>0</v>
      </c>
      <c r="BP24" s="162">
        <f t="shared" si="18"/>
        <v>1</v>
      </c>
      <c r="BQ24" s="162">
        <f t="shared" si="19"/>
        <v>1</v>
      </c>
      <c r="BR24" s="162">
        <f t="shared" si="20"/>
        <v>1</v>
      </c>
      <c r="BS24" s="162">
        <f t="shared" si="21"/>
        <v>1</v>
      </c>
      <c r="BT24" s="162">
        <f t="shared" si="22"/>
        <v>1</v>
      </c>
      <c r="BU24" s="162">
        <f t="shared" si="23"/>
        <v>1</v>
      </c>
      <c r="BV24" s="162">
        <f t="shared" si="24"/>
        <v>1</v>
      </c>
      <c r="BW24" s="162">
        <f t="shared" si="25"/>
        <v>1</v>
      </c>
      <c r="BX24" s="162">
        <f t="shared" si="26"/>
        <v>1</v>
      </c>
      <c r="BY24" s="162">
        <f t="shared" si="27"/>
        <v>1</v>
      </c>
      <c r="BZ24" s="162">
        <f t="shared" si="28"/>
        <v>1</v>
      </c>
      <c r="CA24" s="162">
        <f t="shared" si="29"/>
        <v>1</v>
      </c>
      <c r="CB24" s="162">
        <f t="shared" si="30"/>
        <v>1</v>
      </c>
      <c r="CC24" s="162">
        <f t="shared" si="31"/>
        <v>1</v>
      </c>
      <c r="CD24" s="162">
        <f t="shared" si="32"/>
        <v>1</v>
      </c>
      <c r="CE24" s="162">
        <f t="shared" si="33"/>
        <v>1</v>
      </c>
      <c r="CF24" s="162">
        <f t="shared" si="34"/>
        <v>1</v>
      </c>
      <c r="CG24" s="162">
        <f t="shared" si="35"/>
        <v>1</v>
      </c>
      <c r="CH24" s="162">
        <f t="shared" si="36"/>
        <v>1</v>
      </c>
      <c r="CI24" s="162">
        <f t="shared" si="37"/>
        <v>1</v>
      </c>
      <c r="CL24" s="184" t="str">
        <f>IF(Deltagarlista!E21="","",Deltagarlista!E21)</f>
        <v/>
      </c>
      <c r="CM24" s="162" t="str">
        <f>IF(Deltagarlista!I21="","",(IF(VLOOKUP(CL24,Deltagarlista!$E$5:$I$64,5,FALSE)="Grön","Gr",IF(VLOOKUP(CL24,Deltagarlista!$E$5:$I$64,5,FALSE)="Röd","R",IF(VLOOKUP(CL24,Deltagarlista!$E$5:$I$64,5,FALSE)="Blå","B","Gu")))))</f>
        <v/>
      </c>
      <c r="CO24" s="162" t="str">
        <f t="shared" si="16"/>
        <v/>
      </c>
      <c r="CP24" s="162" t="str">
        <f t="shared" si="17"/>
        <v/>
      </c>
      <c r="DK24" s="162" t="str">
        <f>IF(DM24="","",IF(ISBLANK(Deltagarlista!C20),"",Deltagarlista!C20))</f>
        <v/>
      </c>
      <c r="DL24" s="162" t="str">
        <f>IF(ISBLANK(Deltagarlista!I20),"",IF(Deltagarlista!I20="RÖD","R",IF(Deltagarlista!I20="GRÖN","G",IF(Deltagarlista!I20="BLÅ","B",IF(Deltagarlista!I20="GUL","G","")))))</f>
        <v/>
      </c>
      <c r="DM24" s="162">
        <f>IF(ISBLANK(Deltagarlista!H20),"",1)</f>
        <v>1</v>
      </c>
      <c r="DR24" s="162" t="str">
        <f t="shared" si="39"/>
        <v/>
      </c>
      <c r="DS24" s="162" t="str">
        <f t="shared" si="38"/>
        <v/>
      </c>
      <c r="DT24" s="162" t="e">
        <f>VLOOKUP("B",DL24:$DM$45,2,FALSE)</f>
        <v>#VALUE!</v>
      </c>
    </row>
    <row r="25" spans="2:124" ht="15.9" customHeight="1" x14ac:dyDescent="0.3">
      <c r="B25" s="186">
        <v>18</v>
      </c>
      <c r="C25" s="27"/>
      <c r="D25" s="28"/>
      <c r="E25" s="38"/>
      <c r="F25" s="27"/>
      <c r="G25" s="28"/>
      <c r="H25" s="29"/>
      <c r="I25" s="41"/>
      <c r="J25" s="28"/>
      <c r="K25" s="38"/>
      <c r="L25" s="27"/>
      <c r="M25" s="28"/>
      <c r="N25" s="29"/>
      <c r="O25" s="41"/>
      <c r="P25" s="28"/>
      <c r="Q25" s="29"/>
      <c r="R25" s="187">
        <v>18</v>
      </c>
      <c r="S25" s="188">
        <v>18</v>
      </c>
      <c r="T25" s="188">
        <v>18</v>
      </c>
      <c r="U25" s="188">
        <v>18</v>
      </c>
      <c r="V25" s="188">
        <v>18</v>
      </c>
      <c r="W25" s="188">
        <v>18</v>
      </c>
      <c r="X25" s="188">
        <v>18</v>
      </c>
      <c r="Y25" s="188">
        <v>18</v>
      </c>
      <c r="Z25" s="188">
        <v>18</v>
      </c>
      <c r="AA25" s="188">
        <v>18</v>
      </c>
      <c r="AB25" s="188">
        <v>18</v>
      </c>
      <c r="AC25" s="188">
        <v>18</v>
      </c>
      <c r="AD25" s="188">
        <v>18</v>
      </c>
      <c r="AE25" s="188">
        <v>18</v>
      </c>
      <c r="AF25" s="188">
        <v>18</v>
      </c>
      <c r="AG25" s="188">
        <v>18</v>
      </c>
      <c r="AH25" s="166"/>
      <c r="AI25" s="129">
        <f t="shared" si="1"/>
        <v>0</v>
      </c>
      <c r="AJ25" s="129">
        <f t="shared" si="2"/>
        <v>0</v>
      </c>
      <c r="AK25" s="129">
        <f t="shared" si="3"/>
        <v>0</v>
      </c>
      <c r="AL25" s="129">
        <f t="shared" si="4"/>
        <v>0</v>
      </c>
      <c r="AM25" s="129">
        <f t="shared" si="5"/>
        <v>0</v>
      </c>
      <c r="AN25" s="129">
        <f t="shared" si="6"/>
        <v>0</v>
      </c>
      <c r="AO25" s="129">
        <f t="shared" si="7"/>
        <v>0</v>
      </c>
      <c r="AP25" s="129">
        <f t="shared" si="8"/>
        <v>0</v>
      </c>
      <c r="AQ25" s="129">
        <f t="shared" si="9"/>
        <v>0</v>
      </c>
      <c r="AR25" s="129">
        <f t="shared" si="10"/>
        <v>0</v>
      </c>
      <c r="AS25" s="129">
        <f t="shared" si="11"/>
        <v>0</v>
      </c>
      <c r="AT25" s="129">
        <f t="shared" si="12"/>
        <v>0</v>
      </c>
      <c r="AU25" s="129">
        <f t="shared" si="13"/>
        <v>0</v>
      </c>
      <c r="AV25" s="129">
        <f t="shared" si="14"/>
        <v>0</v>
      </c>
      <c r="AW25" s="129">
        <f t="shared" si="15"/>
        <v>0</v>
      </c>
      <c r="AY25" s="162" t="str">
        <f>IF(ISBLANK(C25),"",NOT(ISERROR(MATCH(C25,Deltagarlista!$E$5:$E$64,0))))</f>
        <v/>
      </c>
      <c r="AZ25" s="162" t="str">
        <f>IF(ISBLANK(D25),"",NOT(ISERROR(MATCH(D25,Deltagarlista!$E$5:$E$64,0))))</f>
        <v/>
      </c>
      <c r="BA25" s="162" t="str">
        <f>IF(ISBLANK(E25),"",NOT(ISERROR(MATCH(E25,Deltagarlista!$E$5:$E$64,0))))</f>
        <v/>
      </c>
      <c r="BB25" s="162" t="str">
        <f>IF(ISBLANK(F25),"",NOT(ISERROR(MATCH(F25,Deltagarlista!$E$5:$E$64,0))))</f>
        <v/>
      </c>
      <c r="BC25" s="162" t="str">
        <f>IF(ISBLANK(G25),"",NOT(ISERROR(MATCH(G25,Deltagarlista!$E$5:$E$64,0))))</f>
        <v/>
      </c>
      <c r="BD25" s="162" t="str">
        <f>IF(ISBLANK(H25),"",NOT(ISERROR(MATCH(H25,Deltagarlista!$E$5:$E$64,0))))</f>
        <v/>
      </c>
      <c r="BE25" s="162" t="str">
        <f>IF(ISBLANK(I25),"",NOT(ISERROR(MATCH(I25,Deltagarlista!$E$5:$E$64,0))))</f>
        <v/>
      </c>
      <c r="BF25" s="162" t="str">
        <f>IF(ISBLANK(J25),"",NOT(ISERROR(MATCH(J25,Deltagarlista!$E$5:$E$64,0))))</f>
        <v/>
      </c>
      <c r="BG25" s="162" t="str">
        <f>IF(ISBLANK(K25),"",NOT(ISERROR(MATCH(K25,Deltagarlista!$E$5:$E$64,0))))</f>
        <v/>
      </c>
      <c r="BH25" s="162" t="str">
        <f>IF(ISBLANK(L25),"",NOT(ISERROR(MATCH(L25,Deltagarlista!$E$5:$E$64,0))))</f>
        <v/>
      </c>
      <c r="BI25" s="162" t="str">
        <f>IF(ISBLANK(M25),"",NOT(ISERROR(MATCH(M25,Deltagarlista!$E$5:$E$64,0))))</f>
        <v/>
      </c>
      <c r="BJ25" s="162" t="str">
        <f>IF(ISBLANK(N25),"",NOT(ISERROR(MATCH(N25,Deltagarlista!$E$5:$E$64,0))))</f>
        <v/>
      </c>
      <c r="BK25" s="162" t="str">
        <f>IF(ISBLANK(O25),"",NOT(ISERROR(MATCH(O25,Deltagarlista!$E$5:$E$64,0))))</f>
        <v/>
      </c>
      <c r="BL25" s="162" t="str">
        <f>IF(ISBLANK(P25),"",NOT(ISERROR(MATCH(P25,Deltagarlista!$E$5:$E$64,0))))</f>
        <v/>
      </c>
      <c r="BM25" s="162" t="str">
        <f>IF(ISBLANK(Q25),"",NOT(ISERROR(MATCH(Q25,Deltagarlista!$E$5:$E$64,0))))</f>
        <v/>
      </c>
      <c r="BN25" s="167"/>
      <c r="BO25" s="162">
        <f>SUM(COUNTIF($C$8:$Q$45,Deltagarlista!E22)+COUNTIF($C$53:$Q$90,Deltagarlista!E22)+COUNTIF($C$98:$Q$135,Deltagarlista!E22)+COUNTIF($C$143:$Q$180,Deltagarlista!E22))</f>
        <v>0</v>
      </c>
      <c r="BP25" s="162">
        <f t="shared" si="18"/>
        <v>1</v>
      </c>
      <c r="BQ25" s="162">
        <f t="shared" si="19"/>
        <v>1</v>
      </c>
      <c r="BR25" s="162">
        <f t="shared" si="20"/>
        <v>1</v>
      </c>
      <c r="BS25" s="162">
        <f t="shared" si="21"/>
        <v>1</v>
      </c>
      <c r="BT25" s="162">
        <f t="shared" si="22"/>
        <v>1</v>
      </c>
      <c r="BU25" s="162">
        <f t="shared" si="23"/>
        <v>1</v>
      </c>
      <c r="BV25" s="162">
        <f t="shared" si="24"/>
        <v>1</v>
      </c>
      <c r="BW25" s="162">
        <f t="shared" si="25"/>
        <v>1</v>
      </c>
      <c r="BX25" s="162">
        <f t="shared" si="26"/>
        <v>1</v>
      </c>
      <c r="BY25" s="162">
        <f t="shared" si="27"/>
        <v>1</v>
      </c>
      <c r="BZ25" s="162">
        <f t="shared" si="28"/>
        <v>1</v>
      </c>
      <c r="CA25" s="162">
        <f t="shared" si="29"/>
        <v>1</v>
      </c>
      <c r="CB25" s="162">
        <f t="shared" si="30"/>
        <v>1</v>
      </c>
      <c r="CC25" s="162">
        <f t="shared" si="31"/>
        <v>1</v>
      </c>
      <c r="CD25" s="162">
        <f t="shared" si="32"/>
        <v>1</v>
      </c>
      <c r="CE25" s="162">
        <f t="shared" si="33"/>
        <v>1</v>
      </c>
      <c r="CF25" s="162">
        <f t="shared" si="34"/>
        <v>1</v>
      </c>
      <c r="CG25" s="162">
        <f t="shared" si="35"/>
        <v>1</v>
      </c>
      <c r="CH25" s="162">
        <f t="shared" si="36"/>
        <v>1</v>
      </c>
      <c r="CI25" s="162">
        <f t="shared" si="37"/>
        <v>1</v>
      </c>
      <c r="CL25" s="184" t="str">
        <f>IF(Deltagarlista!E22="","",Deltagarlista!E22)</f>
        <v/>
      </c>
      <c r="CM25" s="162" t="str">
        <f>IF(Deltagarlista!I22="","",(IF(VLOOKUP(CL25,Deltagarlista!$E$5:$I$64,5,FALSE)="Grön","Gr",IF(VLOOKUP(CL25,Deltagarlista!$E$5:$I$64,5,FALSE)="Röd","R",IF(VLOOKUP(CL25,Deltagarlista!$E$5:$I$64,5,FALSE)="Blå","B","Gu")))))</f>
        <v/>
      </c>
      <c r="CO25" s="162" t="str">
        <f t="shared" si="16"/>
        <v/>
      </c>
      <c r="CP25" s="162" t="str">
        <f t="shared" si="17"/>
        <v/>
      </c>
      <c r="DK25" s="162" t="str">
        <f>IF(DM25="","",IF(ISBLANK(Deltagarlista!C21),"",Deltagarlista!C21))</f>
        <v/>
      </c>
      <c r="DL25" s="162" t="str">
        <f>IF(ISBLANK(Deltagarlista!I21),"",IF(Deltagarlista!I21="RÖD","R",IF(Deltagarlista!I21="GRÖN","G",IF(Deltagarlista!I21="BLÅ","B",IF(Deltagarlista!I21="GUL","G","")))))</f>
        <v/>
      </c>
      <c r="DM25" s="162">
        <f>IF(ISBLANK(Deltagarlista!H21),"",1)</f>
        <v>1</v>
      </c>
      <c r="DR25" s="162" t="str">
        <f t="shared" si="39"/>
        <v/>
      </c>
      <c r="DS25" s="162" t="str">
        <f t="shared" si="38"/>
        <v/>
      </c>
      <c r="DT25" s="162" t="e">
        <f>VLOOKUP("B",DL25:$DM$45,2,FALSE)</f>
        <v>#VALUE!</v>
      </c>
    </row>
    <row r="26" spans="2:124" ht="15.9" customHeight="1" x14ac:dyDescent="0.3">
      <c r="B26" s="186">
        <v>19</v>
      </c>
      <c r="C26" s="27"/>
      <c r="D26" s="28"/>
      <c r="E26" s="38"/>
      <c r="F26" s="27"/>
      <c r="G26" s="28"/>
      <c r="H26" s="29"/>
      <c r="I26" s="41"/>
      <c r="J26" s="28"/>
      <c r="K26" s="38"/>
      <c r="L26" s="27"/>
      <c r="M26" s="28"/>
      <c r="N26" s="29"/>
      <c r="O26" s="41"/>
      <c r="P26" s="28"/>
      <c r="Q26" s="29"/>
      <c r="R26" s="187">
        <v>19</v>
      </c>
      <c r="S26" s="188">
        <v>19</v>
      </c>
      <c r="T26" s="188">
        <v>19</v>
      </c>
      <c r="U26" s="188">
        <v>19</v>
      </c>
      <c r="V26" s="188">
        <v>19</v>
      </c>
      <c r="W26" s="188">
        <v>19</v>
      </c>
      <c r="X26" s="188">
        <v>19</v>
      </c>
      <c r="Y26" s="188">
        <v>19</v>
      </c>
      <c r="Z26" s="188">
        <v>19</v>
      </c>
      <c r="AA26" s="188">
        <v>19</v>
      </c>
      <c r="AB26" s="188">
        <v>19</v>
      </c>
      <c r="AC26" s="188">
        <v>19</v>
      </c>
      <c r="AD26" s="188">
        <v>19</v>
      </c>
      <c r="AE26" s="188">
        <v>19</v>
      </c>
      <c r="AF26" s="188">
        <v>19</v>
      </c>
      <c r="AG26" s="188">
        <v>19</v>
      </c>
      <c r="AH26" s="166"/>
      <c r="AI26" s="129">
        <f t="shared" si="1"/>
        <v>0</v>
      </c>
      <c r="AJ26" s="129">
        <f t="shared" si="2"/>
        <v>0</v>
      </c>
      <c r="AK26" s="129">
        <f t="shared" si="3"/>
        <v>0</v>
      </c>
      <c r="AL26" s="129">
        <f t="shared" si="4"/>
        <v>0</v>
      </c>
      <c r="AM26" s="129">
        <f t="shared" si="5"/>
        <v>0</v>
      </c>
      <c r="AN26" s="129">
        <f t="shared" si="6"/>
        <v>0</v>
      </c>
      <c r="AO26" s="129">
        <f t="shared" si="7"/>
        <v>0</v>
      </c>
      <c r="AP26" s="129">
        <f t="shared" si="8"/>
        <v>0</v>
      </c>
      <c r="AQ26" s="129">
        <f t="shared" si="9"/>
        <v>0</v>
      </c>
      <c r="AR26" s="129">
        <f t="shared" si="10"/>
        <v>0</v>
      </c>
      <c r="AS26" s="129">
        <f t="shared" si="11"/>
        <v>0</v>
      </c>
      <c r="AT26" s="129">
        <f t="shared" si="12"/>
        <v>0</v>
      </c>
      <c r="AU26" s="129">
        <f t="shared" si="13"/>
        <v>0</v>
      </c>
      <c r="AV26" s="129">
        <f t="shared" si="14"/>
        <v>0</v>
      </c>
      <c r="AW26" s="129">
        <f t="shared" si="15"/>
        <v>0</v>
      </c>
      <c r="AY26" s="162" t="str">
        <f>IF(ISBLANK(C26),"",NOT(ISERROR(MATCH(C26,Deltagarlista!$E$5:$E$64,0))))</f>
        <v/>
      </c>
      <c r="AZ26" s="162" t="str">
        <f>IF(ISBLANK(D26),"",NOT(ISERROR(MATCH(D26,Deltagarlista!$E$5:$E$64,0))))</f>
        <v/>
      </c>
      <c r="BA26" s="162" t="str">
        <f>IF(ISBLANK(E26),"",NOT(ISERROR(MATCH(E26,Deltagarlista!$E$5:$E$64,0))))</f>
        <v/>
      </c>
      <c r="BB26" s="162" t="str">
        <f>IF(ISBLANK(F26),"",NOT(ISERROR(MATCH(F26,Deltagarlista!$E$5:$E$64,0))))</f>
        <v/>
      </c>
      <c r="BC26" s="162" t="str">
        <f>IF(ISBLANK(G26),"",NOT(ISERROR(MATCH(G26,Deltagarlista!$E$5:$E$64,0))))</f>
        <v/>
      </c>
      <c r="BD26" s="162" t="str">
        <f>IF(ISBLANK(H26),"",NOT(ISERROR(MATCH(H26,Deltagarlista!$E$5:$E$64,0))))</f>
        <v/>
      </c>
      <c r="BE26" s="162" t="str">
        <f>IF(ISBLANK(I26),"",NOT(ISERROR(MATCH(I26,Deltagarlista!$E$5:$E$64,0))))</f>
        <v/>
      </c>
      <c r="BF26" s="162" t="str">
        <f>IF(ISBLANK(J26),"",NOT(ISERROR(MATCH(J26,Deltagarlista!$E$5:$E$64,0))))</f>
        <v/>
      </c>
      <c r="BG26" s="162" t="str">
        <f>IF(ISBLANK(K26),"",NOT(ISERROR(MATCH(K26,Deltagarlista!$E$5:$E$64,0))))</f>
        <v/>
      </c>
      <c r="BH26" s="162" t="str">
        <f>IF(ISBLANK(L26),"",NOT(ISERROR(MATCH(L26,Deltagarlista!$E$5:$E$64,0))))</f>
        <v/>
      </c>
      <c r="BI26" s="162" t="str">
        <f>IF(ISBLANK(M26),"",NOT(ISERROR(MATCH(M26,Deltagarlista!$E$5:$E$64,0))))</f>
        <v/>
      </c>
      <c r="BJ26" s="162" t="str">
        <f>IF(ISBLANK(N26),"",NOT(ISERROR(MATCH(N26,Deltagarlista!$E$5:$E$64,0))))</f>
        <v/>
      </c>
      <c r="BK26" s="162" t="str">
        <f>IF(ISBLANK(O26),"",NOT(ISERROR(MATCH(O26,Deltagarlista!$E$5:$E$64,0))))</f>
        <v/>
      </c>
      <c r="BL26" s="162" t="str">
        <f>IF(ISBLANK(P26),"",NOT(ISERROR(MATCH(P26,Deltagarlista!$E$5:$E$64,0))))</f>
        <v/>
      </c>
      <c r="BM26" s="162" t="str">
        <f>IF(ISBLANK(Q26),"",NOT(ISERROR(MATCH(Q26,Deltagarlista!$E$5:$E$64,0))))</f>
        <v/>
      </c>
      <c r="BN26" s="167"/>
      <c r="BO26" s="162">
        <f>SUM(COUNTIF($C$8:$Q$45,Deltagarlista!E23)+COUNTIF($C$53:$Q$90,Deltagarlista!E23)+COUNTIF($C$98:$Q$135,Deltagarlista!E23)+COUNTIF($C$143:$Q$180,Deltagarlista!E23))</f>
        <v>0</v>
      </c>
      <c r="BP26" s="162">
        <f t="shared" si="18"/>
        <v>1</v>
      </c>
      <c r="BQ26" s="162">
        <f t="shared" si="19"/>
        <v>1</v>
      </c>
      <c r="BR26" s="162">
        <f t="shared" si="20"/>
        <v>1</v>
      </c>
      <c r="BS26" s="162">
        <f t="shared" si="21"/>
        <v>1</v>
      </c>
      <c r="BT26" s="162">
        <f t="shared" si="22"/>
        <v>1</v>
      </c>
      <c r="BU26" s="162">
        <f t="shared" si="23"/>
        <v>1</v>
      </c>
      <c r="BV26" s="162">
        <f t="shared" si="24"/>
        <v>1</v>
      </c>
      <c r="BW26" s="162">
        <f t="shared" si="25"/>
        <v>1</v>
      </c>
      <c r="BX26" s="162">
        <f t="shared" si="26"/>
        <v>1</v>
      </c>
      <c r="BY26" s="162">
        <f t="shared" si="27"/>
        <v>1</v>
      </c>
      <c r="BZ26" s="162">
        <f t="shared" si="28"/>
        <v>1</v>
      </c>
      <c r="CA26" s="162">
        <f t="shared" si="29"/>
        <v>1</v>
      </c>
      <c r="CB26" s="162">
        <f t="shared" si="30"/>
        <v>1</v>
      </c>
      <c r="CC26" s="162">
        <f t="shared" si="31"/>
        <v>1</v>
      </c>
      <c r="CD26" s="162">
        <f t="shared" si="32"/>
        <v>1</v>
      </c>
      <c r="CE26" s="162">
        <f t="shared" si="33"/>
        <v>1</v>
      </c>
      <c r="CF26" s="162">
        <f t="shared" si="34"/>
        <v>1</v>
      </c>
      <c r="CG26" s="162">
        <f t="shared" si="35"/>
        <v>1</v>
      </c>
      <c r="CH26" s="162">
        <f t="shared" si="36"/>
        <v>1</v>
      </c>
      <c r="CI26" s="162">
        <f t="shared" si="37"/>
        <v>1</v>
      </c>
      <c r="CL26" s="184" t="str">
        <f>IF(Deltagarlista!E23="","",Deltagarlista!E23)</f>
        <v/>
      </c>
      <c r="CM26" s="162" t="str">
        <f>IF(Deltagarlista!I23="","",(IF(VLOOKUP(CL26,Deltagarlista!$E$5:$I$64,5,FALSE)="Grön","Gr",IF(VLOOKUP(CL26,Deltagarlista!$E$5:$I$64,5,FALSE)="Röd","R",IF(VLOOKUP(CL26,Deltagarlista!$E$5:$I$64,5,FALSE)="Blå","B","Gu")))))</f>
        <v/>
      </c>
      <c r="CO26" s="162" t="str">
        <f t="shared" si="16"/>
        <v/>
      </c>
      <c r="CP26" s="162" t="str">
        <f t="shared" si="17"/>
        <v/>
      </c>
      <c r="DK26" s="162" t="str">
        <f>IF(DM26="","",IF(ISBLANK(Deltagarlista!C22),"",Deltagarlista!C22))</f>
        <v/>
      </c>
      <c r="DL26" s="162" t="str">
        <f>IF(ISBLANK(Deltagarlista!I22),"",IF(Deltagarlista!I22="RÖD","R",IF(Deltagarlista!I22="GRÖN","G",IF(Deltagarlista!I22="BLÅ","B",IF(Deltagarlista!I22="GUL","G","")))))</f>
        <v/>
      </c>
      <c r="DM26" s="162">
        <f>IF(ISBLANK(Deltagarlista!H22),"",1)</f>
        <v>1</v>
      </c>
      <c r="DR26" s="162" t="str">
        <f>IF(AND(DK26&lt;&gt;"",DL26="R",DK26&lt;&gt;DR25),DK26,IF(AND(DK27&lt;&gt;"",DL27="R",DK27&lt;&gt;DR25),DK27,IF(AND(DK28&lt;&gt;"",DL28="R",DK28&lt;&gt;DR25),DK28,IF(AND(DK29&lt;&gt;"",DL29="R",DK29&lt;&gt;DR25),DK29,IF(AND(DK30&lt;&gt;"",DL30="R",DK30&lt;&gt;DR25),DK30,IF(AND(DK31&lt;&gt;"",DL31="R",DK31&lt;&gt;DR25),DK31,IF(AND(DK32&lt;&gt;"",DL32="R",DK32&lt;&gt;DR25),DK32,IF(AND(DK33&lt;&gt;"",DL33="R",DK33&lt;&gt;DR25),DK33,IF(AND(DK34&lt;&gt;"",DL34="R",DK34&lt;&gt;DR25),DK34,IF(AND(DK35&lt;&gt;"",DL35="R",DK35&lt;&gt;DR25),DK35,IF(AND(DK36&lt;&gt;"",DL36="R",DK36&lt;&gt;DR25),DK36,IF(AND(DK37&lt;&gt;"",DL37="R",DK37&lt;&gt;DR25),DK37,IF(AND(DK38&lt;&gt;"",DL38="R",DK38&lt;&gt;DR25),DK38,IF(AND(DK39&lt;&gt;"",DL39="R",DK39&lt;&gt;DR25),DK39,IF(AND(DK40&lt;&gt;"",DL40="R",DK40&lt;&gt;DR25),DK40,IF(AND(DK41&lt;&gt;"",DL41="R",DK41&lt;&gt;DR25),DK41,IF(AND(DK42&lt;&gt;"",DL42="R",DK42&lt;&gt;DR25),DK42,IF(AND(DK43&lt;&gt;"",DL43="R",DK43&lt;&gt;DR25),DK43,""))))))))))))))))))</f>
        <v/>
      </c>
      <c r="DS26" s="162" t="str">
        <f t="shared" si="38"/>
        <v/>
      </c>
    </row>
    <row r="27" spans="2:124" ht="15.9" customHeight="1" x14ac:dyDescent="0.3">
      <c r="B27" s="186">
        <v>20</v>
      </c>
      <c r="C27" s="27"/>
      <c r="D27" s="28"/>
      <c r="E27" s="38"/>
      <c r="F27" s="27"/>
      <c r="G27" s="28"/>
      <c r="H27" s="29"/>
      <c r="I27" s="41"/>
      <c r="J27" s="28"/>
      <c r="K27" s="38"/>
      <c r="L27" s="27"/>
      <c r="M27" s="28"/>
      <c r="N27" s="29"/>
      <c r="O27" s="41"/>
      <c r="P27" s="28"/>
      <c r="Q27" s="29"/>
      <c r="R27" s="187">
        <v>20</v>
      </c>
      <c r="S27" s="188">
        <v>20</v>
      </c>
      <c r="T27" s="188">
        <v>20</v>
      </c>
      <c r="U27" s="188">
        <v>20</v>
      </c>
      <c r="V27" s="188">
        <v>20</v>
      </c>
      <c r="W27" s="188">
        <v>20</v>
      </c>
      <c r="X27" s="188">
        <v>20</v>
      </c>
      <c r="Y27" s="188">
        <v>20</v>
      </c>
      <c r="Z27" s="188">
        <v>20</v>
      </c>
      <c r="AA27" s="188">
        <v>20</v>
      </c>
      <c r="AB27" s="188">
        <v>20</v>
      </c>
      <c r="AC27" s="188">
        <v>20</v>
      </c>
      <c r="AD27" s="188">
        <v>20</v>
      </c>
      <c r="AE27" s="188">
        <v>20</v>
      </c>
      <c r="AF27" s="188">
        <v>20</v>
      </c>
      <c r="AG27" s="188">
        <v>20</v>
      </c>
      <c r="AH27" s="166"/>
      <c r="AI27" s="129">
        <f t="shared" si="1"/>
        <v>0</v>
      </c>
      <c r="AJ27" s="129">
        <f t="shared" si="2"/>
        <v>0</v>
      </c>
      <c r="AK27" s="129">
        <f t="shared" si="3"/>
        <v>0</v>
      </c>
      <c r="AL27" s="129">
        <f t="shared" si="4"/>
        <v>0</v>
      </c>
      <c r="AM27" s="129">
        <f t="shared" si="5"/>
        <v>0</v>
      </c>
      <c r="AN27" s="129">
        <f t="shared" si="6"/>
        <v>0</v>
      </c>
      <c r="AO27" s="129">
        <f t="shared" si="7"/>
        <v>0</v>
      </c>
      <c r="AP27" s="129">
        <f t="shared" si="8"/>
        <v>0</v>
      </c>
      <c r="AQ27" s="129">
        <f t="shared" si="9"/>
        <v>0</v>
      </c>
      <c r="AR27" s="129">
        <f t="shared" si="10"/>
        <v>0</v>
      </c>
      <c r="AS27" s="129">
        <f t="shared" si="11"/>
        <v>0</v>
      </c>
      <c r="AT27" s="129">
        <f t="shared" si="12"/>
        <v>0</v>
      </c>
      <c r="AU27" s="129">
        <f t="shared" si="13"/>
        <v>0</v>
      </c>
      <c r="AV27" s="129">
        <f t="shared" si="14"/>
        <v>0</v>
      </c>
      <c r="AW27" s="129">
        <f t="shared" si="15"/>
        <v>0</v>
      </c>
      <c r="AY27" s="162" t="str">
        <f>IF(ISBLANK(C27),"",NOT(ISERROR(MATCH(C27,Deltagarlista!$E$5:$E$64,0))))</f>
        <v/>
      </c>
      <c r="AZ27" s="162" t="str">
        <f>IF(ISBLANK(D27),"",NOT(ISERROR(MATCH(D27,Deltagarlista!$E$5:$E$64,0))))</f>
        <v/>
      </c>
      <c r="BA27" s="162" t="str">
        <f>IF(ISBLANK(E27),"",NOT(ISERROR(MATCH(E27,Deltagarlista!$E$5:$E$64,0))))</f>
        <v/>
      </c>
      <c r="BB27" s="162" t="str">
        <f>IF(ISBLANK(F27),"",NOT(ISERROR(MATCH(F27,Deltagarlista!$E$5:$E$64,0))))</f>
        <v/>
      </c>
      <c r="BC27" s="162" t="str">
        <f>IF(ISBLANK(G27),"",NOT(ISERROR(MATCH(G27,Deltagarlista!$E$5:$E$64,0))))</f>
        <v/>
      </c>
      <c r="BD27" s="162" t="str">
        <f>IF(ISBLANK(H27),"",NOT(ISERROR(MATCH(H27,Deltagarlista!$E$5:$E$64,0))))</f>
        <v/>
      </c>
      <c r="BE27" s="162" t="str">
        <f>IF(ISBLANK(I27),"",NOT(ISERROR(MATCH(I27,Deltagarlista!$E$5:$E$64,0))))</f>
        <v/>
      </c>
      <c r="BF27" s="162" t="str">
        <f>IF(ISBLANK(J27),"",NOT(ISERROR(MATCH(J27,Deltagarlista!$E$5:$E$64,0))))</f>
        <v/>
      </c>
      <c r="BG27" s="162" t="str">
        <f>IF(ISBLANK(K27),"",NOT(ISERROR(MATCH(K27,Deltagarlista!$E$5:$E$64,0))))</f>
        <v/>
      </c>
      <c r="BH27" s="162" t="str">
        <f>IF(ISBLANK(L27),"",NOT(ISERROR(MATCH(L27,Deltagarlista!$E$5:$E$64,0))))</f>
        <v/>
      </c>
      <c r="BI27" s="162" t="str">
        <f>IF(ISBLANK(M27),"",NOT(ISERROR(MATCH(M27,Deltagarlista!$E$5:$E$64,0))))</f>
        <v/>
      </c>
      <c r="BJ27" s="162" t="str">
        <f>IF(ISBLANK(N27),"",NOT(ISERROR(MATCH(N27,Deltagarlista!$E$5:$E$64,0))))</f>
        <v/>
      </c>
      <c r="BK27" s="162" t="str">
        <f>IF(ISBLANK(O27),"",NOT(ISERROR(MATCH(O27,Deltagarlista!$E$5:$E$64,0))))</f>
        <v/>
      </c>
      <c r="BL27" s="162" t="str">
        <f>IF(ISBLANK(P27),"",NOT(ISERROR(MATCH(P27,Deltagarlista!$E$5:$E$64,0))))</f>
        <v/>
      </c>
      <c r="BM27" s="162" t="str">
        <f>IF(ISBLANK(Q27),"",NOT(ISERROR(MATCH(Q27,Deltagarlista!$E$5:$E$64,0))))</f>
        <v/>
      </c>
      <c r="BN27" s="167"/>
      <c r="BO27" s="162">
        <f>SUM(COUNTIF($C$8:$Q$45,Deltagarlista!E24)+COUNTIF($C$53:$Q$90,Deltagarlista!E24)+COUNTIF($C$98:$Q$135,Deltagarlista!E24)+COUNTIF($C$143:$Q$180,Deltagarlista!E24))</f>
        <v>0</v>
      </c>
      <c r="BP27" s="162">
        <f t="shared" si="18"/>
        <v>1</v>
      </c>
      <c r="BQ27" s="162">
        <f t="shared" si="19"/>
        <v>1</v>
      </c>
      <c r="BR27" s="162">
        <f t="shared" si="20"/>
        <v>1</v>
      </c>
      <c r="BS27" s="162">
        <f t="shared" si="21"/>
        <v>1</v>
      </c>
      <c r="BT27" s="162">
        <f t="shared" si="22"/>
        <v>1</v>
      </c>
      <c r="BU27" s="162">
        <f t="shared" si="23"/>
        <v>1</v>
      </c>
      <c r="BV27" s="162">
        <f t="shared" si="24"/>
        <v>1</v>
      </c>
      <c r="BW27" s="162">
        <f t="shared" si="25"/>
        <v>1</v>
      </c>
      <c r="BX27" s="162">
        <f t="shared" si="26"/>
        <v>1</v>
      </c>
      <c r="BY27" s="162">
        <f t="shared" si="27"/>
        <v>1</v>
      </c>
      <c r="BZ27" s="162">
        <f t="shared" si="28"/>
        <v>1</v>
      </c>
      <c r="CA27" s="162">
        <f t="shared" si="29"/>
        <v>1</v>
      </c>
      <c r="CB27" s="162">
        <f t="shared" si="30"/>
        <v>1</v>
      </c>
      <c r="CC27" s="162">
        <f t="shared" si="31"/>
        <v>1</v>
      </c>
      <c r="CD27" s="162">
        <f t="shared" si="32"/>
        <v>1</v>
      </c>
      <c r="CE27" s="162">
        <f t="shared" si="33"/>
        <v>1</v>
      </c>
      <c r="CF27" s="162">
        <f t="shared" si="34"/>
        <v>1</v>
      </c>
      <c r="CG27" s="162">
        <f t="shared" si="35"/>
        <v>1</v>
      </c>
      <c r="CH27" s="162">
        <f t="shared" si="36"/>
        <v>1</v>
      </c>
      <c r="CI27" s="162">
        <f t="shared" si="37"/>
        <v>1</v>
      </c>
      <c r="CL27" s="184" t="str">
        <f>IF(Deltagarlista!E24="","",Deltagarlista!E24)</f>
        <v/>
      </c>
      <c r="CM27" s="162" t="str">
        <f>IF(Deltagarlista!I24="","",(IF(VLOOKUP(CL27,Deltagarlista!$E$5:$I$64,5,FALSE)="Grön","Gr",IF(VLOOKUP(CL27,Deltagarlista!$E$5:$I$64,5,FALSE)="Röd","R",IF(VLOOKUP(CL27,Deltagarlista!$E$5:$I$64,5,FALSE)="Blå","B","Gu")))))</f>
        <v/>
      </c>
      <c r="CO27" s="162" t="str">
        <f t="shared" si="16"/>
        <v/>
      </c>
      <c r="CP27" s="162" t="str">
        <f t="shared" si="17"/>
        <v/>
      </c>
      <c r="DK27" s="162" t="str">
        <f>IF(DM27="","",IF(ISBLANK(Deltagarlista!C23),"",Deltagarlista!C23))</f>
        <v/>
      </c>
      <c r="DL27" s="162" t="str">
        <f>IF(ISBLANK(Deltagarlista!I23),"",IF(Deltagarlista!I23="RÖD","R",IF(Deltagarlista!I23="GRÖN","G",IF(Deltagarlista!I23="BLÅ","B",IF(Deltagarlista!I23="GUL","G","")))))</f>
        <v/>
      </c>
      <c r="DM27" s="162">
        <f>IF(ISBLANK(Deltagarlista!H23),"",1)</f>
        <v>1</v>
      </c>
      <c r="DR27" s="162" t="str">
        <f t="shared" si="39"/>
        <v/>
      </c>
      <c r="DS27" s="162" t="str">
        <f t="shared" si="38"/>
        <v/>
      </c>
    </row>
    <row r="28" spans="2:124" ht="15.9" customHeight="1" x14ac:dyDescent="0.3">
      <c r="B28" s="186">
        <v>21</v>
      </c>
      <c r="C28" s="27"/>
      <c r="D28" s="28"/>
      <c r="E28" s="38"/>
      <c r="F28" s="27"/>
      <c r="G28" s="28"/>
      <c r="H28" s="29"/>
      <c r="I28" s="41"/>
      <c r="J28" s="28"/>
      <c r="K28" s="38"/>
      <c r="L28" s="27"/>
      <c r="M28" s="28"/>
      <c r="N28" s="29"/>
      <c r="O28" s="41"/>
      <c r="P28" s="28"/>
      <c r="Q28" s="29"/>
      <c r="R28" s="187">
        <v>21</v>
      </c>
      <c r="S28" s="188">
        <v>21</v>
      </c>
      <c r="T28" s="188">
        <v>21</v>
      </c>
      <c r="U28" s="188">
        <v>21</v>
      </c>
      <c r="V28" s="188">
        <v>21</v>
      </c>
      <c r="W28" s="188">
        <v>21</v>
      </c>
      <c r="X28" s="188">
        <v>21</v>
      </c>
      <c r="Y28" s="188">
        <v>21</v>
      </c>
      <c r="Z28" s="188">
        <v>21</v>
      </c>
      <c r="AA28" s="188">
        <v>21</v>
      </c>
      <c r="AB28" s="188">
        <v>21</v>
      </c>
      <c r="AC28" s="188">
        <v>21</v>
      </c>
      <c r="AD28" s="188">
        <v>21</v>
      </c>
      <c r="AE28" s="188">
        <v>21</v>
      </c>
      <c r="AF28" s="188">
        <v>21</v>
      </c>
      <c r="AG28" s="188">
        <v>21</v>
      </c>
      <c r="AH28" s="166"/>
      <c r="AI28" s="129">
        <f t="shared" si="1"/>
        <v>0</v>
      </c>
      <c r="AJ28" s="129">
        <f t="shared" si="2"/>
        <v>0</v>
      </c>
      <c r="AK28" s="129">
        <f t="shared" si="3"/>
        <v>0</v>
      </c>
      <c r="AL28" s="129">
        <f t="shared" si="4"/>
        <v>0</v>
      </c>
      <c r="AM28" s="129">
        <f t="shared" si="5"/>
        <v>0</v>
      </c>
      <c r="AN28" s="129">
        <f t="shared" si="6"/>
        <v>0</v>
      </c>
      <c r="AO28" s="129">
        <f t="shared" si="7"/>
        <v>0</v>
      </c>
      <c r="AP28" s="129">
        <f t="shared" si="8"/>
        <v>0</v>
      </c>
      <c r="AQ28" s="129">
        <f t="shared" si="9"/>
        <v>0</v>
      </c>
      <c r="AR28" s="129">
        <f t="shared" si="10"/>
        <v>0</v>
      </c>
      <c r="AS28" s="129">
        <f t="shared" si="11"/>
        <v>0</v>
      </c>
      <c r="AT28" s="129">
        <f t="shared" si="12"/>
        <v>0</v>
      </c>
      <c r="AU28" s="129">
        <f t="shared" si="13"/>
        <v>0</v>
      </c>
      <c r="AV28" s="129">
        <f t="shared" si="14"/>
        <v>0</v>
      </c>
      <c r="AW28" s="129">
        <f t="shared" si="15"/>
        <v>0</v>
      </c>
      <c r="AY28" s="162" t="str">
        <f>IF(ISBLANK(C28),"",NOT(ISERROR(MATCH(C28,Deltagarlista!$E$5:$E$64,0))))</f>
        <v/>
      </c>
      <c r="AZ28" s="162" t="str">
        <f>IF(ISBLANK(D28),"",NOT(ISERROR(MATCH(D28,Deltagarlista!$E$5:$E$64,0))))</f>
        <v/>
      </c>
      <c r="BA28" s="162" t="str">
        <f>IF(ISBLANK(E28),"",NOT(ISERROR(MATCH(E28,Deltagarlista!$E$5:$E$64,0))))</f>
        <v/>
      </c>
      <c r="BB28" s="162" t="str">
        <f>IF(ISBLANK(F28),"",NOT(ISERROR(MATCH(F28,Deltagarlista!$E$5:$E$64,0))))</f>
        <v/>
      </c>
      <c r="BC28" s="162" t="str">
        <f>IF(ISBLANK(G28),"",NOT(ISERROR(MATCH(G28,Deltagarlista!$E$5:$E$64,0))))</f>
        <v/>
      </c>
      <c r="BD28" s="162" t="str">
        <f>IF(ISBLANK(H28),"",NOT(ISERROR(MATCH(H28,Deltagarlista!$E$5:$E$64,0))))</f>
        <v/>
      </c>
      <c r="BE28" s="162" t="str">
        <f>IF(ISBLANK(I28),"",NOT(ISERROR(MATCH(I28,Deltagarlista!$E$5:$E$64,0))))</f>
        <v/>
      </c>
      <c r="BF28" s="162" t="str">
        <f>IF(ISBLANK(J28),"",NOT(ISERROR(MATCH(J28,Deltagarlista!$E$5:$E$64,0))))</f>
        <v/>
      </c>
      <c r="BG28" s="162" t="str">
        <f>IF(ISBLANK(K28),"",NOT(ISERROR(MATCH(K28,Deltagarlista!$E$5:$E$64,0))))</f>
        <v/>
      </c>
      <c r="BH28" s="162" t="str">
        <f>IF(ISBLANK(L28),"",NOT(ISERROR(MATCH(L28,Deltagarlista!$E$5:$E$64,0))))</f>
        <v/>
      </c>
      <c r="BI28" s="162" t="str">
        <f>IF(ISBLANK(M28),"",NOT(ISERROR(MATCH(M28,Deltagarlista!$E$5:$E$64,0))))</f>
        <v/>
      </c>
      <c r="BJ28" s="162" t="str">
        <f>IF(ISBLANK(N28),"",NOT(ISERROR(MATCH(N28,Deltagarlista!$E$5:$E$64,0))))</f>
        <v/>
      </c>
      <c r="BK28" s="162" t="str">
        <f>IF(ISBLANK(O28),"",NOT(ISERROR(MATCH(O28,Deltagarlista!$E$5:$E$64,0))))</f>
        <v/>
      </c>
      <c r="BL28" s="162" t="str">
        <f>IF(ISBLANK(P28),"",NOT(ISERROR(MATCH(P28,Deltagarlista!$E$5:$E$64,0))))</f>
        <v/>
      </c>
      <c r="BM28" s="162" t="str">
        <f>IF(ISBLANK(Q28),"",NOT(ISERROR(MATCH(Q28,Deltagarlista!$E$5:$E$64,0))))</f>
        <v/>
      </c>
      <c r="BN28" s="167"/>
      <c r="BO28" s="162">
        <f>SUM(COUNTIF($C$8:$Q$45,Deltagarlista!E25)+COUNTIF($C$53:$Q$90,Deltagarlista!E25)+COUNTIF($C$98:$Q$135,Deltagarlista!E25)+COUNTIF($C$143:$Q$180,Deltagarlista!E25))</f>
        <v>0</v>
      </c>
      <c r="BP28" s="162">
        <f t="shared" si="18"/>
        <v>1</v>
      </c>
      <c r="BQ28" s="162">
        <f t="shared" si="19"/>
        <v>1</v>
      </c>
      <c r="BR28" s="162">
        <f t="shared" si="20"/>
        <v>1</v>
      </c>
      <c r="BS28" s="162">
        <f t="shared" si="21"/>
        <v>1</v>
      </c>
      <c r="BT28" s="162">
        <f t="shared" si="22"/>
        <v>1</v>
      </c>
      <c r="BU28" s="162">
        <f t="shared" si="23"/>
        <v>1</v>
      </c>
      <c r="BV28" s="162">
        <f t="shared" si="24"/>
        <v>1</v>
      </c>
      <c r="BW28" s="162">
        <f t="shared" si="25"/>
        <v>1</v>
      </c>
      <c r="BX28" s="162">
        <f t="shared" si="26"/>
        <v>1</v>
      </c>
      <c r="BY28" s="162">
        <f t="shared" si="27"/>
        <v>1</v>
      </c>
      <c r="BZ28" s="162">
        <f t="shared" si="28"/>
        <v>1</v>
      </c>
      <c r="CA28" s="162">
        <f t="shared" si="29"/>
        <v>1</v>
      </c>
      <c r="CB28" s="162">
        <f t="shared" si="30"/>
        <v>1</v>
      </c>
      <c r="CC28" s="162">
        <f t="shared" si="31"/>
        <v>1</v>
      </c>
      <c r="CD28" s="162">
        <f t="shared" si="32"/>
        <v>1</v>
      </c>
      <c r="CE28" s="162">
        <f t="shared" si="33"/>
        <v>1</v>
      </c>
      <c r="CF28" s="162">
        <f t="shared" si="34"/>
        <v>1</v>
      </c>
      <c r="CG28" s="162">
        <f t="shared" si="35"/>
        <v>1</v>
      </c>
      <c r="CH28" s="162">
        <f t="shared" si="36"/>
        <v>1</v>
      </c>
      <c r="CI28" s="162">
        <f t="shared" si="37"/>
        <v>1</v>
      </c>
      <c r="CL28" s="184" t="str">
        <f>IF(Deltagarlista!E25="","",Deltagarlista!E25)</f>
        <v/>
      </c>
      <c r="CM28" s="162" t="str">
        <f>IF(Deltagarlista!I25="","",(IF(VLOOKUP(CL28,Deltagarlista!$E$5:$I$64,5,FALSE)="Grön","Gr",IF(VLOOKUP(CL28,Deltagarlista!$E$5:$I$64,5,FALSE)="Röd","R",IF(VLOOKUP(CL28,Deltagarlista!$E$5:$I$64,5,FALSE)="Blå","B","Gu")))))</f>
        <v/>
      </c>
      <c r="CO28" s="162" t="str">
        <f t="shared" si="16"/>
        <v/>
      </c>
      <c r="CP28" s="162" t="str">
        <f t="shared" si="17"/>
        <v/>
      </c>
      <c r="DK28" s="162" t="str">
        <f>IF(DM28="","",IF(ISBLANK(Deltagarlista!C24),"",Deltagarlista!C24))</f>
        <v/>
      </c>
      <c r="DL28" s="162" t="str">
        <f>IF(ISBLANK(Deltagarlista!I24),"",IF(Deltagarlista!I24="RÖD","R",IF(Deltagarlista!I24="GRÖN","G",IF(Deltagarlista!I24="BLÅ","B",IF(Deltagarlista!I24="GUL","G","")))))</f>
        <v/>
      </c>
      <c r="DM28" s="162">
        <f>IF(ISBLANK(Deltagarlista!H24),"",1)</f>
        <v>1</v>
      </c>
      <c r="DR28" s="162" t="str">
        <f t="shared" si="39"/>
        <v/>
      </c>
      <c r="DS28" s="162" t="str">
        <f t="shared" si="38"/>
        <v/>
      </c>
    </row>
    <row r="29" spans="2:124" ht="15.9" customHeight="1" x14ac:dyDescent="0.3">
      <c r="B29" s="186">
        <v>22</v>
      </c>
      <c r="C29" s="27"/>
      <c r="D29" s="28"/>
      <c r="E29" s="38"/>
      <c r="F29" s="27"/>
      <c r="G29" s="28"/>
      <c r="H29" s="29"/>
      <c r="I29" s="41"/>
      <c r="J29" s="28"/>
      <c r="K29" s="38"/>
      <c r="L29" s="27"/>
      <c r="M29" s="28"/>
      <c r="N29" s="29"/>
      <c r="O29" s="41"/>
      <c r="P29" s="28"/>
      <c r="Q29" s="29"/>
      <c r="R29" s="187">
        <v>22</v>
      </c>
      <c r="S29" s="188">
        <v>22</v>
      </c>
      <c r="T29" s="188">
        <v>22</v>
      </c>
      <c r="U29" s="188">
        <v>22</v>
      </c>
      <c r="V29" s="188">
        <v>22</v>
      </c>
      <c r="W29" s="188">
        <v>22</v>
      </c>
      <c r="X29" s="188">
        <v>22</v>
      </c>
      <c r="Y29" s="188">
        <v>22</v>
      </c>
      <c r="Z29" s="188">
        <v>22</v>
      </c>
      <c r="AA29" s="188">
        <v>22</v>
      </c>
      <c r="AB29" s="188">
        <v>22</v>
      </c>
      <c r="AC29" s="188">
        <v>22</v>
      </c>
      <c r="AD29" s="188">
        <v>22</v>
      </c>
      <c r="AE29" s="188">
        <v>22</v>
      </c>
      <c r="AF29" s="188">
        <v>22</v>
      </c>
      <c r="AG29" s="188">
        <v>22</v>
      </c>
      <c r="AH29" s="166"/>
      <c r="AI29" s="129">
        <f t="shared" si="1"/>
        <v>0</v>
      </c>
      <c r="AJ29" s="129">
        <f t="shared" si="2"/>
        <v>0</v>
      </c>
      <c r="AK29" s="129">
        <f t="shared" si="3"/>
        <v>0</v>
      </c>
      <c r="AL29" s="129">
        <f t="shared" si="4"/>
        <v>0</v>
      </c>
      <c r="AM29" s="129">
        <f t="shared" si="5"/>
        <v>0</v>
      </c>
      <c r="AN29" s="129">
        <f t="shared" si="6"/>
        <v>0</v>
      </c>
      <c r="AO29" s="129">
        <f t="shared" si="7"/>
        <v>0</v>
      </c>
      <c r="AP29" s="129">
        <f t="shared" si="8"/>
        <v>0</v>
      </c>
      <c r="AQ29" s="129">
        <f t="shared" si="9"/>
        <v>0</v>
      </c>
      <c r="AR29" s="129">
        <f t="shared" si="10"/>
        <v>0</v>
      </c>
      <c r="AS29" s="129">
        <f t="shared" si="11"/>
        <v>0</v>
      </c>
      <c r="AT29" s="129">
        <f t="shared" si="12"/>
        <v>0</v>
      </c>
      <c r="AU29" s="129">
        <f t="shared" si="13"/>
        <v>0</v>
      </c>
      <c r="AV29" s="129">
        <f t="shared" si="14"/>
        <v>0</v>
      </c>
      <c r="AW29" s="129">
        <f t="shared" si="15"/>
        <v>0</v>
      </c>
      <c r="AY29" s="162" t="str">
        <f>IF(ISBLANK(C29),"",NOT(ISERROR(MATCH(C29,Deltagarlista!$E$5:$E$64,0))))</f>
        <v/>
      </c>
      <c r="AZ29" s="162" t="str">
        <f>IF(ISBLANK(D29),"",NOT(ISERROR(MATCH(D29,Deltagarlista!$E$5:$E$64,0))))</f>
        <v/>
      </c>
      <c r="BA29" s="162" t="str">
        <f>IF(ISBLANK(E29),"",NOT(ISERROR(MATCH(E29,Deltagarlista!$E$5:$E$64,0))))</f>
        <v/>
      </c>
      <c r="BB29" s="162" t="str">
        <f>IF(ISBLANK(F29),"",NOT(ISERROR(MATCH(F29,Deltagarlista!$E$5:$E$64,0))))</f>
        <v/>
      </c>
      <c r="BC29" s="162" t="str">
        <f>IF(ISBLANK(G29),"",NOT(ISERROR(MATCH(G29,Deltagarlista!$E$5:$E$64,0))))</f>
        <v/>
      </c>
      <c r="BD29" s="162" t="str">
        <f>IF(ISBLANK(H29),"",NOT(ISERROR(MATCH(H29,Deltagarlista!$E$5:$E$64,0))))</f>
        <v/>
      </c>
      <c r="BE29" s="162" t="str">
        <f>IF(ISBLANK(I29),"",NOT(ISERROR(MATCH(I29,Deltagarlista!$E$5:$E$64,0))))</f>
        <v/>
      </c>
      <c r="BF29" s="162" t="str">
        <f>IF(ISBLANK(J29),"",NOT(ISERROR(MATCH(J29,Deltagarlista!$E$5:$E$64,0))))</f>
        <v/>
      </c>
      <c r="BG29" s="162" t="str">
        <f>IF(ISBLANK(K29),"",NOT(ISERROR(MATCH(K29,Deltagarlista!$E$5:$E$64,0))))</f>
        <v/>
      </c>
      <c r="BH29" s="162" t="str">
        <f>IF(ISBLANK(L29),"",NOT(ISERROR(MATCH(L29,Deltagarlista!$E$5:$E$64,0))))</f>
        <v/>
      </c>
      <c r="BI29" s="162" t="str">
        <f>IF(ISBLANK(M29),"",NOT(ISERROR(MATCH(M29,Deltagarlista!$E$5:$E$64,0))))</f>
        <v/>
      </c>
      <c r="BJ29" s="162" t="str">
        <f>IF(ISBLANK(N29),"",NOT(ISERROR(MATCH(N29,Deltagarlista!$E$5:$E$64,0))))</f>
        <v/>
      </c>
      <c r="BK29" s="162" t="str">
        <f>IF(ISBLANK(O29),"",NOT(ISERROR(MATCH(O29,Deltagarlista!$E$5:$E$64,0))))</f>
        <v/>
      </c>
      <c r="BL29" s="162" t="str">
        <f>IF(ISBLANK(P29),"",NOT(ISERROR(MATCH(P29,Deltagarlista!$E$5:$E$64,0))))</f>
        <v/>
      </c>
      <c r="BM29" s="162" t="str">
        <f>IF(ISBLANK(Q29),"",NOT(ISERROR(MATCH(Q29,Deltagarlista!$E$5:$E$64,0))))</f>
        <v/>
      </c>
      <c r="BN29" s="167"/>
      <c r="BO29" s="162">
        <f>SUM(COUNTIF($C$8:$Q$45,Deltagarlista!E26)+COUNTIF($C$53:$Q$90,Deltagarlista!E26)+COUNTIF($C$98:$Q$135,Deltagarlista!E26)+COUNTIF($C$143:$Q$180,Deltagarlista!E26))</f>
        <v>0</v>
      </c>
      <c r="BP29" s="162">
        <f t="shared" si="18"/>
        <v>1</v>
      </c>
      <c r="BQ29" s="162">
        <f t="shared" si="19"/>
        <v>1</v>
      </c>
      <c r="BR29" s="162">
        <f t="shared" si="20"/>
        <v>1</v>
      </c>
      <c r="BS29" s="162">
        <f t="shared" si="21"/>
        <v>1</v>
      </c>
      <c r="BT29" s="162">
        <f t="shared" si="22"/>
        <v>1</v>
      </c>
      <c r="BU29" s="162">
        <f t="shared" si="23"/>
        <v>1</v>
      </c>
      <c r="BV29" s="162">
        <f t="shared" si="24"/>
        <v>1</v>
      </c>
      <c r="BW29" s="162">
        <f t="shared" si="25"/>
        <v>1</v>
      </c>
      <c r="BX29" s="162">
        <f t="shared" si="26"/>
        <v>1</v>
      </c>
      <c r="BY29" s="162">
        <f t="shared" si="27"/>
        <v>1</v>
      </c>
      <c r="BZ29" s="162">
        <f t="shared" si="28"/>
        <v>1</v>
      </c>
      <c r="CA29" s="162">
        <f t="shared" si="29"/>
        <v>1</v>
      </c>
      <c r="CB29" s="162">
        <f t="shared" si="30"/>
        <v>1</v>
      </c>
      <c r="CC29" s="162">
        <f t="shared" si="31"/>
        <v>1</v>
      </c>
      <c r="CD29" s="162">
        <f t="shared" si="32"/>
        <v>1</v>
      </c>
      <c r="CE29" s="162">
        <f t="shared" si="33"/>
        <v>1</v>
      </c>
      <c r="CF29" s="162">
        <f t="shared" si="34"/>
        <v>1</v>
      </c>
      <c r="CG29" s="162">
        <f t="shared" si="35"/>
        <v>1</v>
      </c>
      <c r="CH29" s="162">
        <f t="shared" si="36"/>
        <v>1</v>
      </c>
      <c r="CI29" s="162">
        <f t="shared" si="37"/>
        <v>1</v>
      </c>
      <c r="CL29" s="184" t="str">
        <f>IF(Deltagarlista!E26="","",Deltagarlista!E26)</f>
        <v/>
      </c>
      <c r="CM29" s="162" t="str">
        <f>IF(Deltagarlista!I26="","",(IF(VLOOKUP(CL29,Deltagarlista!$E$5:$I$64,5,FALSE)="Grön","Gr",IF(VLOOKUP(CL29,Deltagarlista!$E$5:$I$64,5,FALSE)="Röd","R",IF(VLOOKUP(CL29,Deltagarlista!$E$5:$I$64,5,FALSE)="Blå","B","Gu")))))</f>
        <v/>
      </c>
      <c r="CO29" s="162" t="str">
        <f t="shared" si="16"/>
        <v/>
      </c>
      <c r="CP29" s="162" t="str">
        <f t="shared" si="17"/>
        <v/>
      </c>
      <c r="DK29" s="162" t="str">
        <f>IF(DM29="","",IF(ISBLANK(Deltagarlista!C25),"",Deltagarlista!C25))</f>
        <v/>
      </c>
      <c r="DL29" s="162" t="str">
        <f>IF(ISBLANK(Deltagarlista!I25),"",IF(Deltagarlista!I25="RÖD","R",IF(Deltagarlista!I25="GRÖN","G",IF(Deltagarlista!I25="BLÅ","B",IF(Deltagarlista!I25="GUL","G","")))))</f>
        <v/>
      </c>
      <c r="DM29" s="162">
        <f>IF(ISBLANK(Deltagarlista!H25),"",1)</f>
        <v>1</v>
      </c>
      <c r="DR29" s="162" t="str">
        <f t="shared" si="39"/>
        <v/>
      </c>
      <c r="DS29" s="162" t="str">
        <f t="shared" si="38"/>
        <v/>
      </c>
    </row>
    <row r="30" spans="2:124" ht="15.9" customHeight="1" x14ac:dyDescent="0.3">
      <c r="B30" s="186">
        <v>23</v>
      </c>
      <c r="C30" s="27"/>
      <c r="D30" s="28"/>
      <c r="E30" s="38"/>
      <c r="F30" s="27"/>
      <c r="G30" s="28"/>
      <c r="H30" s="29"/>
      <c r="I30" s="41"/>
      <c r="J30" s="28"/>
      <c r="K30" s="38"/>
      <c r="L30" s="27"/>
      <c r="M30" s="28"/>
      <c r="N30" s="29"/>
      <c r="O30" s="41"/>
      <c r="P30" s="28"/>
      <c r="Q30" s="29"/>
      <c r="R30" s="187">
        <v>23</v>
      </c>
      <c r="S30" s="188">
        <v>23</v>
      </c>
      <c r="T30" s="188">
        <v>23</v>
      </c>
      <c r="U30" s="188">
        <v>23</v>
      </c>
      <c r="V30" s="188">
        <v>23</v>
      </c>
      <c r="W30" s="188">
        <v>23</v>
      </c>
      <c r="X30" s="188">
        <v>23</v>
      </c>
      <c r="Y30" s="188">
        <v>23</v>
      </c>
      <c r="Z30" s="188">
        <v>23</v>
      </c>
      <c r="AA30" s="188">
        <v>23</v>
      </c>
      <c r="AB30" s="188">
        <v>23</v>
      </c>
      <c r="AC30" s="188">
        <v>23</v>
      </c>
      <c r="AD30" s="188">
        <v>23</v>
      </c>
      <c r="AE30" s="188">
        <v>23</v>
      </c>
      <c r="AF30" s="188">
        <v>23</v>
      </c>
      <c r="AG30" s="188">
        <v>23</v>
      </c>
      <c r="AH30" s="166"/>
      <c r="AI30" s="129">
        <f t="shared" si="1"/>
        <v>0</v>
      </c>
      <c r="AJ30" s="129">
        <f t="shared" si="2"/>
        <v>0</v>
      </c>
      <c r="AK30" s="129">
        <f t="shared" si="3"/>
        <v>0</v>
      </c>
      <c r="AL30" s="129">
        <f t="shared" si="4"/>
        <v>0</v>
      </c>
      <c r="AM30" s="129">
        <f t="shared" si="5"/>
        <v>0</v>
      </c>
      <c r="AN30" s="129">
        <f t="shared" si="6"/>
        <v>0</v>
      </c>
      <c r="AO30" s="129">
        <f t="shared" si="7"/>
        <v>0</v>
      </c>
      <c r="AP30" s="129">
        <f t="shared" si="8"/>
        <v>0</v>
      </c>
      <c r="AQ30" s="129">
        <f t="shared" si="9"/>
        <v>0</v>
      </c>
      <c r="AR30" s="129">
        <f t="shared" si="10"/>
        <v>0</v>
      </c>
      <c r="AS30" s="129">
        <f t="shared" si="11"/>
        <v>0</v>
      </c>
      <c r="AT30" s="129">
        <f t="shared" si="12"/>
        <v>0</v>
      </c>
      <c r="AU30" s="129">
        <f t="shared" si="13"/>
        <v>0</v>
      </c>
      <c r="AV30" s="129">
        <f t="shared" si="14"/>
        <v>0</v>
      </c>
      <c r="AW30" s="129">
        <f t="shared" si="15"/>
        <v>0</v>
      </c>
      <c r="AY30" s="162" t="str">
        <f>IF(ISBLANK(C30),"",NOT(ISERROR(MATCH(C30,Deltagarlista!$E$5:$E$64,0))))</f>
        <v/>
      </c>
      <c r="AZ30" s="162" t="str">
        <f>IF(ISBLANK(D30),"",NOT(ISERROR(MATCH(D30,Deltagarlista!$E$5:$E$64,0))))</f>
        <v/>
      </c>
      <c r="BA30" s="162" t="str">
        <f>IF(ISBLANK(E30),"",NOT(ISERROR(MATCH(E30,Deltagarlista!$E$5:$E$64,0))))</f>
        <v/>
      </c>
      <c r="BB30" s="162" t="str">
        <f>IF(ISBLANK(F30),"",NOT(ISERROR(MATCH(F30,Deltagarlista!$E$5:$E$64,0))))</f>
        <v/>
      </c>
      <c r="BC30" s="162" t="str">
        <f>IF(ISBLANK(G30),"",NOT(ISERROR(MATCH(G30,Deltagarlista!$E$5:$E$64,0))))</f>
        <v/>
      </c>
      <c r="BD30" s="162" t="str">
        <f>IF(ISBLANK(H30),"",NOT(ISERROR(MATCH(H30,Deltagarlista!$E$5:$E$64,0))))</f>
        <v/>
      </c>
      <c r="BE30" s="162" t="str">
        <f>IF(ISBLANK(I30),"",NOT(ISERROR(MATCH(I30,Deltagarlista!$E$5:$E$64,0))))</f>
        <v/>
      </c>
      <c r="BF30" s="162" t="str">
        <f>IF(ISBLANK(J30),"",NOT(ISERROR(MATCH(J30,Deltagarlista!$E$5:$E$64,0))))</f>
        <v/>
      </c>
      <c r="BG30" s="162" t="str">
        <f>IF(ISBLANK(K30),"",NOT(ISERROR(MATCH(K30,Deltagarlista!$E$5:$E$64,0))))</f>
        <v/>
      </c>
      <c r="BH30" s="162" t="str">
        <f>IF(ISBLANK(L30),"",NOT(ISERROR(MATCH(L30,Deltagarlista!$E$5:$E$64,0))))</f>
        <v/>
      </c>
      <c r="BI30" s="162" t="str">
        <f>IF(ISBLANK(M30),"",NOT(ISERROR(MATCH(M30,Deltagarlista!$E$5:$E$64,0))))</f>
        <v/>
      </c>
      <c r="BJ30" s="162" t="str">
        <f>IF(ISBLANK(N30),"",NOT(ISERROR(MATCH(N30,Deltagarlista!$E$5:$E$64,0))))</f>
        <v/>
      </c>
      <c r="BK30" s="162" t="str">
        <f>IF(ISBLANK(O30),"",NOT(ISERROR(MATCH(O30,Deltagarlista!$E$5:$E$64,0))))</f>
        <v/>
      </c>
      <c r="BL30" s="162" t="str">
        <f>IF(ISBLANK(P30),"",NOT(ISERROR(MATCH(P30,Deltagarlista!$E$5:$E$64,0))))</f>
        <v/>
      </c>
      <c r="BM30" s="162" t="str">
        <f>IF(ISBLANK(Q30),"",NOT(ISERROR(MATCH(Q30,Deltagarlista!$E$5:$E$64,0))))</f>
        <v/>
      </c>
      <c r="BN30" s="167"/>
      <c r="BO30" s="162">
        <f>SUM(COUNTIF($C$8:$Q$45,Deltagarlista!E27)+COUNTIF($C$53:$Q$90,Deltagarlista!E27)+COUNTIF($C$98:$Q$135,Deltagarlista!E27)+COUNTIF($C$143:$Q$180,Deltagarlista!E27))</f>
        <v>0</v>
      </c>
      <c r="BP30" s="162">
        <f t="shared" si="18"/>
        <v>1</v>
      </c>
      <c r="BQ30" s="162">
        <f t="shared" si="19"/>
        <v>1</v>
      </c>
      <c r="BR30" s="162">
        <f t="shared" si="20"/>
        <v>1</v>
      </c>
      <c r="BS30" s="162">
        <f t="shared" si="21"/>
        <v>1</v>
      </c>
      <c r="BT30" s="162">
        <f t="shared" si="22"/>
        <v>1</v>
      </c>
      <c r="BU30" s="162">
        <f t="shared" si="23"/>
        <v>1</v>
      </c>
      <c r="BV30" s="162">
        <f t="shared" si="24"/>
        <v>1</v>
      </c>
      <c r="BW30" s="162">
        <f t="shared" si="25"/>
        <v>1</v>
      </c>
      <c r="BX30" s="162">
        <f t="shared" si="26"/>
        <v>1</v>
      </c>
      <c r="BY30" s="162">
        <f t="shared" si="27"/>
        <v>1</v>
      </c>
      <c r="BZ30" s="162">
        <f t="shared" si="28"/>
        <v>1</v>
      </c>
      <c r="CA30" s="162">
        <f t="shared" si="29"/>
        <v>1</v>
      </c>
      <c r="CB30" s="162">
        <f t="shared" si="30"/>
        <v>1</v>
      </c>
      <c r="CC30" s="162">
        <f t="shared" si="31"/>
        <v>1</v>
      </c>
      <c r="CD30" s="162">
        <f t="shared" si="32"/>
        <v>1</v>
      </c>
      <c r="CE30" s="162">
        <f t="shared" si="33"/>
        <v>1</v>
      </c>
      <c r="CF30" s="162">
        <f t="shared" si="34"/>
        <v>1</v>
      </c>
      <c r="CG30" s="162">
        <f t="shared" si="35"/>
        <v>1</v>
      </c>
      <c r="CH30" s="162">
        <f t="shared" si="36"/>
        <v>1</v>
      </c>
      <c r="CI30" s="162">
        <f t="shared" si="37"/>
        <v>1</v>
      </c>
      <c r="CL30" s="184" t="str">
        <f>IF(Deltagarlista!E27="","",Deltagarlista!E27)</f>
        <v/>
      </c>
      <c r="CM30" s="162" t="str">
        <f>IF(Deltagarlista!I27="","",(IF(VLOOKUP(CL30,Deltagarlista!$E$5:$I$64,5,FALSE)="Grön","Gr",IF(VLOOKUP(CL30,Deltagarlista!$E$5:$I$64,5,FALSE)="Röd","R",IF(VLOOKUP(CL30,Deltagarlista!$E$5:$I$64,5,FALSE)="Blå","B","Gu")))))</f>
        <v/>
      </c>
      <c r="CO30" s="162" t="str">
        <f t="shared" si="16"/>
        <v/>
      </c>
      <c r="CP30" s="162" t="str">
        <f t="shared" si="17"/>
        <v/>
      </c>
      <c r="DK30" s="162" t="str">
        <f>IF(DM30="","",IF(ISBLANK(Deltagarlista!C26),"",Deltagarlista!C26))</f>
        <v/>
      </c>
      <c r="DL30" s="162" t="str">
        <f>IF(ISBLANK(Deltagarlista!I26),"",IF(Deltagarlista!I26="RÖD","R",IF(Deltagarlista!I26="GRÖN","G",IF(Deltagarlista!I26="BLÅ","B",IF(Deltagarlista!I26="GUL","G","")))))</f>
        <v/>
      </c>
      <c r="DM30" s="162">
        <f>IF(ISBLANK(Deltagarlista!H26),"",1)</f>
        <v>1</v>
      </c>
      <c r="DR30" s="162" t="str">
        <f t="shared" si="39"/>
        <v/>
      </c>
      <c r="DS30" s="162" t="str">
        <f t="shared" si="38"/>
        <v/>
      </c>
    </row>
    <row r="31" spans="2:124" ht="15.9" customHeight="1" x14ac:dyDescent="0.3">
      <c r="B31" s="186">
        <v>24</v>
      </c>
      <c r="C31" s="27"/>
      <c r="D31" s="28"/>
      <c r="E31" s="38"/>
      <c r="F31" s="27"/>
      <c r="G31" s="28"/>
      <c r="H31" s="29"/>
      <c r="I31" s="41"/>
      <c r="J31" s="28"/>
      <c r="K31" s="38"/>
      <c r="L31" s="27"/>
      <c r="M31" s="28"/>
      <c r="N31" s="29"/>
      <c r="O31" s="41"/>
      <c r="P31" s="28"/>
      <c r="Q31" s="29"/>
      <c r="R31" s="187">
        <v>24</v>
      </c>
      <c r="S31" s="188">
        <v>24</v>
      </c>
      <c r="T31" s="188">
        <v>24</v>
      </c>
      <c r="U31" s="188">
        <v>24</v>
      </c>
      <c r="V31" s="188">
        <v>24</v>
      </c>
      <c r="W31" s="188">
        <v>24</v>
      </c>
      <c r="X31" s="188">
        <v>24</v>
      </c>
      <c r="Y31" s="188">
        <v>24</v>
      </c>
      <c r="Z31" s="188">
        <v>24</v>
      </c>
      <c r="AA31" s="188">
        <v>24</v>
      </c>
      <c r="AB31" s="188">
        <v>24</v>
      </c>
      <c r="AC31" s="188">
        <v>24</v>
      </c>
      <c r="AD31" s="188">
        <v>24</v>
      </c>
      <c r="AE31" s="188">
        <v>24</v>
      </c>
      <c r="AF31" s="188">
        <v>24</v>
      </c>
      <c r="AG31" s="188">
        <v>24</v>
      </c>
      <c r="AH31" s="166"/>
      <c r="AI31" s="129">
        <f t="shared" si="1"/>
        <v>0</v>
      </c>
      <c r="AJ31" s="129">
        <f t="shared" si="2"/>
        <v>0</v>
      </c>
      <c r="AK31" s="129">
        <f t="shared" si="3"/>
        <v>0</v>
      </c>
      <c r="AL31" s="129">
        <f t="shared" si="4"/>
        <v>0</v>
      </c>
      <c r="AM31" s="129">
        <f t="shared" si="5"/>
        <v>0</v>
      </c>
      <c r="AN31" s="129">
        <f t="shared" si="6"/>
        <v>0</v>
      </c>
      <c r="AO31" s="129">
        <f t="shared" si="7"/>
        <v>0</v>
      </c>
      <c r="AP31" s="129">
        <f t="shared" si="8"/>
        <v>0</v>
      </c>
      <c r="AQ31" s="129">
        <f t="shared" si="9"/>
        <v>0</v>
      </c>
      <c r="AR31" s="129">
        <f t="shared" si="10"/>
        <v>0</v>
      </c>
      <c r="AS31" s="129">
        <f t="shared" si="11"/>
        <v>0</v>
      </c>
      <c r="AT31" s="129">
        <f t="shared" si="12"/>
        <v>0</v>
      </c>
      <c r="AU31" s="129">
        <f t="shared" si="13"/>
        <v>0</v>
      </c>
      <c r="AV31" s="129">
        <f t="shared" si="14"/>
        <v>0</v>
      </c>
      <c r="AW31" s="129">
        <f t="shared" si="15"/>
        <v>0</v>
      </c>
      <c r="AY31" s="162" t="str">
        <f>IF(ISBLANK(C31),"",NOT(ISERROR(MATCH(C31,Deltagarlista!$E$5:$E$64,0))))</f>
        <v/>
      </c>
      <c r="AZ31" s="162" t="str">
        <f>IF(ISBLANK(D31),"",NOT(ISERROR(MATCH(D31,Deltagarlista!$E$5:$E$64,0))))</f>
        <v/>
      </c>
      <c r="BA31" s="162" t="str">
        <f>IF(ISBLANK(E31),"",NOT(ISERROR(MATCH(E31,Deltagarlista!$E$5:$E$64,0))))</f>
        <v/>
      </c>
      <c r="BB31" s="162" t="str">
        <f>IF(ISBLANK(F31),"",NOT(ISERROR(MATCH(F31,Deltagarlista!$E$5:$E$64,0))))</f>
        <v/>
      </c>
      <c r="BC31" s="162" t="str">
        <f>IF(ISBLANK(G31),"",NOT(ISERROR(MATCH(G31,Deltagarlista!$E$5:$E$64,0))))</f>
        <v/>
      </c>
      <c r="BD31" s="162" t="str">
        <f>IF(ISBLANK(H31),"",NOT(ISERROR(MATCH(H31,Deltagarlista!$E$5:$E$64,0))))</f>
        <v/>
      </c>
      <c r="BE31" s="162" t="str">
        <f>IF(ISBLANK(I31),"",NOT(ISERROR(MATCH(I31,Deltagarlista!$E$5:$E$64,0))))</f>
        <v/>
      </c>
      <c r="BF31" s="162" t="str">
        <f>IF(ISBLANK(J31),"",NOT(ISERROR(MATCH(J31,Deltagarlista!$E$5:$E$64,0))))</f>
        <v/>
      </c>
      <c r="BG31" s="162" t="str">
        <f>IF(ISBLANK(K31),"",NOT(ISERROR(MATCH(K31,Deltagarlista!$E$5:$E$64,0))))</f>
        <v/>
      </c>
      <c r="BH31" s="162" t="str">
        <f>IF(ISBLANK(L31),"",NOT(ISERROR(MATCH(L31,Deltagarlista!$E$5:$E$64,0))))</f>
        <v/>
      </c>
      <c r="BI31" s="162" t="str">
        <f>IF(ISBLANK(M31),"",NOT(ISERROR(MATCH(M31,Deltagarlista!$E$5:$E$64,0))))</f>
        <v/>
      </c>
      <c r="BJ31" s="162" t="str">
        <f>IF(ISBLANK(N31),"",NOT(ISERROR(MATCH(N31,Deltagarlista!$E$5:$E$64,0))))</f>
        <v/>
      </c>
      <c r="BK31" s="162" t="str">
        <f>IF(ISBLANK(O31),"",NOT(ISERROR(MATCH(O31,Deltagarlista!$E$5:$E$64,0))))</f>
        <v/>
      </c>
      <c r="BL31" s="162" t="str">
        <f>IF(ISBLANK(P31),"",NOT(ISERROR(MATCH(P31,Deltagarlista!$E$5:$E$64,0))))</f>
        <v/>
      </c>
      <c r="BM31" s="162" t="str">
        <f>IF(ISBLANK(Q31),"",NOT(ISERROR(MATCH(Q31,Deltagarlista!$E$5:$E$64,0))))</f>
        <v/>
      </c>
      <c r="BN31" s="167"/>
      <c r="BO31" s="162">
        <f>SUM(COUNTIF($C$8:$Q$45,Deltagarlista!E28)+COUNTIF($C$53:$Q$90,Deltagarlista!E28)+COUNTIF($C$98:$Q$135,Deltagarlista!E28)+COUNTIF($C$143:$Q$180,Deltagarlista!E28))</f>
        <v>0</v>
      </c>
      <c r="BP31" s="162">
        <f t="shared" si="18"/>
        <v>1</v>
      </c>
      <c r="BQ31" s="162">
        <f t="shared" si="19"/>
        <v>1</v>
      </c>
      <c r="BR31" s="162">
        <f t="shared" si="20"/>
        <v>1</v>
      </c>
      <c r="BS31" s="162">
        <f t="shared" si="21"/>
        <v>1</v>
      </c>
      <c r="BT31" s="162">
        <f t="shared" si="22"/>
        <v>1</v>
      </c>
      <c r="BU31" s="162">
        <f t="shared" si="23"/>
        <v>1</v>
      </c>
      <c r="BV31" s="162">
        <f t="shared" si="24"/>
        <v>1</v>
      </c>
      <c r="BW31" s="162">
        <f t="shared" si="25"/>
        <v>1</v>
      </c>
      <c r="BX31" s="162">
        <f t="shared" si="26"/>
        <v>1</v>
      </c>
      <c r="BY31" s="162">
        <f t="shared" si="27"/>
        <v>1</v>
      </c>
      <c r="BZ31" s="162">
        <f t="shared" si="28"/>
        <v>1</v>
      </c>
      <c r="CA31" s="162">
        <f t="shared" si="29"/>
        <v>1</v>
      </c>
      <c r="CB31" s="162">
        <f t="shared" si="30"/>
        <v>1</v>
      </c>
      <c r="CC31" s="162">
        <f t="shared" si="31"/>
        <v>1</v>
      </c>
      <c r="CD31" s="162">
        <f t="shared" si="32"/>
        <v>1</v>
      </c>
      <c r="CE31" s="162">
        <f t="shared" si="33"/>
        <v>1</v>
      </c>
      <c r="CF31" s="162">
        <f t="shared" si="34"/>
        <v>1</v>
      </c>
      <c r="CG31" s="162">
        <f t="shared" si="35"/>
        <v>1</v>
      </c>
      <c r="CH31" s="162">
        <f t="shared" si="36"/>
        <v>1</v>
      </c>
      <c r="CI31" s="162">
        <f t="shared" si="37"/>
        <v>1</v>
      </c>
      <c r="CL31" s="184" t="str">
        <f>IF(Deltagarlista!E28="","",Deltagarlista!E28)</f>
        <v/>
      </c>
      <c r="CM31" s="162" t="str">
        <f>IF(Deltagarlista!I28="","",(IF(VLOOKUP(CL31,Deltagarlista!$E$5:$I$64,5,FALSE)="Grön","Gr",IF(VLOOKUP(CL31,Deltagarlista!$E$5:$I$64,5,FALSE)="Röd","R",IF(VLOOKUP(CL31,Deltagarlista!$E$5:$I$64,5,FALSE)="Blå","B","Gu")))))</f>
        <v/>
      </c>
      <c r="CO31" s="162" t="str">
        <f t="shared" si="16"/>
        <v/>
      </c>
      <c r="CP31" s="162" t="str">
        <f t="shared" si="17"/>
        <v/>
      </c>
      <c r="DK31" s="162" t="str">
        <f>IF(DM31="","",IF(ISBLANK(Deltagarlista!C27),"",Deltagarlista!C27))</f>
        <v/>
      </c>
      <c r="DL31" s="162" t="str">
        <f>IF(ISBLANK(Deltagarlista!I27),"",IF(Deltagarlista!I27="RÖD","R",IF(Deltagarlista!I27="GRÖN","G",IF(Deltagarlista!I27="BLÅ","B",IF(Deltagarlista!I27="GUL","G","")))))</f>
        <v/>
      </c>
      <c r="DM31" s="162">
        <f>IF(ISBLANK(Deltagarlista!H27),"",1)</f>
        <v>1</v>
      </c>
      <c r="DR31" s="162" t="str">
        <f t="shared" si="39"/>
        <v/>
      </c>
      <c r="DS31" s="162" t="str">
        <f t="shared" si="38"/>
        <v/>
      </c>
    </row>
    <row r="32" spans="2:124" ht="15.9" customHeight="1" x14ac:dyDescent="0.3">
      <c r="B32" s="186">
        <v>25</v>
      </c>
      <c r="C32" s="27"/>
      <c r="D32" s="28"/>
      <c r="E32" s="38"/>
      <c r="F32" s="27"/>
      <c r="G32" s="28"/>
      <c r="H32" s="29"/>
      <c r="I32" s="41"/>
      <c r="J32" s="28"/>
      <c r="K32" s="38"/>
      <c r="L32" s="27"/>
      <c r="M32" s="28"/>
      <c r="N32" s="29"/>
      <c r="O32" s="41"/>
      <c r="P32" s="28"/>
      <c r="Q32" s="29"/>
      <c r="R32" s="187">
        <v>25</v>
      </c>
      <c r="S32" s="188">
        <v>25</v>
      </c>
      <c r="T32" s="188">
        <v>25</v>
      </c>
      <c r="U32" s="188">
        <v>25</v>
      </c>
      <c r="V32" s="188">
        <v>25</v>
      </c>
      <c r="W32" s="188">
        <v>25</v>
      </c>
      <c r="X32" s="188">
        <v>25</v>
      </c>
      <c r="Y32" s="188">
        <v>25</v>
      </c>
      <c r="Z32" s="188">
        <v>25</v>
      </c>
      <c r="AA32" s="188">
        <v>25</v>
      </c>
      <c r="AB32" s="188">
        <v>25</v>
      </c>
      <c r="AC32" s="188">
        <v>25</v>
      </c>
      <c r="AD32" s="188">
        <v>25</v>
      </c>
      <c r="AE32" s="188">
        <v>25</v>
      </c>
      <c r="AF32" s="188">
        <v>25</v>
      </c>
      <c r="AG32" s="188">
        <v>25</v>
      </c>
      <c r="AH32" s="166"/>
      <c r="AI32" s="129">
        <f t="shared" si="1"/>
        <v>0</v>
      </c>
      <c r="AJ32" s="129">
        <f t="shared" si="2"/>
        <v>0</v>
      </c>
      <c r="AK32" s="129">
        <f t="shared" si="3"/>
        <v>0</v>
      </c>
      <c r="AL32" s="129">
        <f t="shared" si="4"/>
        <v>0</v>
      </c>
      <c r="AM32" s="129">
        <f t="shared" si="5"/>
        <v>0</v>
      </c>
      <c r="AN32" s="129">
        <f t="shared" si="6"/>
        <v>0</v>
      </c>
      <c r="AO32" s="129">
        <f t="shared" si="7"/>
        <v>0</v>
      </c>
      <c r="AP32" s="129">
        <f t="shared" si="8"/>
        <v>0</v>
      </c>
      <c r="AQ32" s="129">
        <f t="shared" si="9"/>
        <v>0</v>
      </c>
      <c r="AR32" s="129">
        <f t="shared" si="10"/>
        <v>0</v>
      </c>
      <c r="AS32" s="129">
        <f t="shared" si="11"/>
        <v>0</v>
      </c>
      <c r="AT32" s="129">
        <f t="shared" si="12"/>
        <v>0</v>
      </c>
      <c r="AU32" s="129">
        <f t="shared" si="13"/>
        <v>0</v>
      </c>
      <c r="AV32" s="129">
        <f t="shared" si="14"/>
        <v>0</v>
      </c>
      <c r="AW32" s="129">
        <f t="shared" si="15"/>
        <v>0</v>
      </c>
      <c r="AY32" s="162" t="str">
        <f>IF(ISBLANK(C32),"",NOT(ISERROR(MATCH(C32,Deltagarlista!$E$5:$E$64,0))))</f>
        <v/>
      </c>
      <c r="AZ32" s="162" t="str">
        <f>IF(ISBLANK(D32),"",NOT(ISERROR(MATCH(D32,Deltagarlista!$E$5:$E$64,0))))</f>
        <v/>
      </c>
      <c r="BA32" s="162" t="str">
        <f>IF(ISBLANK(E32),"",NOT(ISERROR(MATCH(E32,Deltagarlista!$E$5:$E$64,0))))</f>
        <v/>
      </c>
      <c r="BB32" s="162" t="str">
        <f>IF(ISBLANK(F32),"",NOT(ISERROR(MATCH(F32,Deltagarlista!$E$5:$E$64,0))))</f>
        <v/>
      </c>
      <c r="BC32" s="162" t="str">
        <f>IF(ISBLANK(G32),"",NOT(ISERROR(MATCH(G32,Deltagarlista!$E$5:$E$64,0))))</f>
        <v/>
      </c>
      <c r="BD32" s="162" t="str">
        <f>IF(ISBLANK(H32),"",NOT(ISERROR(MATCH(H32,Deltagarlista!$E$5:$E$64,0))))</f>
        <v/>
      </c>
      <c r="BE32" s="162" t="str">
        <f>IF(ISBLANK(I32),"",NOT(ISERROR(MATCH(I32,Deltagarlista!$E$5:$E$64,0))))</f>
        <v/>
      </c>
      <c r="BF32" s="162" t="str">
        <f>IF(ISBLANK(J32),"",NOT(ISERROR(MATCH(J32,Deltagarlista!$E$5:$E$64,0))))</f>
        <v/>
      </c>
      <c r="BG32" s="162" t="str">
        <f>IF(ISBLANK(K32),"",NOT(ISERROR(MATCH(K32,Deltagarlista!$E$5:$E$64,0))))</f>
        <v/>
      </c>
      <c r="BH32" s="162" t="str">
        <f>IF(ISBLANK(L32),"",NOT(ISERROR(MATCH(L32,Deltagarlista!$E$5:$E$64,0))))</f>
        <v/>
      </c>
      <c r="BI32" s="162" t="str">
        <f>IF(ISBLANK(M32),"",NOT(ISERROR(MATCH(M32,Deltagarlista!$E$5:$E$64,0))))</f>
        <v/>
      </c>
      <c r="BJ32" s="162" t="str">
        <f>IF(ISBLANK(N32),"",NOT(ISERROR(MATCH(N32,Deltagarlista!$E$5:$E$64,0))))</f>
        <v/>
      </c>
      <c r="BK32" s="162" t="str">
        <f>IF(ISBLANK(O32),"",NOT(ISERROR(MATCH(O32,Deltagarlista!$E$5:$E$64,0))))</f>
        <v/>
      </c>
      <c r="BL32" s="162" t="str">
        <f>IF(ISBLANK(P32),"",NOT(ISERROR(MATCH(P32,Deltagarlista!$E$5:$E$64,0))))</f>
        <v/>
      </c>
      <c r="BM32" s="162" t="str">
        <f>IF(ISBLANK(Q32),"",NOT(ISERROR(MATCH(Q32,Deltagarlista!$E$5:$E$64,0))))</f>
        <v/>
      </c>
      <c r="BN32" s="167"/>
      <c r="BO32" s="162">
        <f>SUM(COUNTIF($C$8:$Q$45,Deltagarlista!E29)+COUNTIF($C$53:$Q$90,Deltagarlista!E29)+COUNTIF($C$98:$Q$135,Deltagarlista!E29)+COUNTIF($C$143:$Q$180,Deltagarlista!E29))</f>
        <v>0</v>
      </c>
      <c r="BP32" s="162">
        <f t="shared" si="18"/>
        <v>1</v>
      </c>
      <c r="BQ32" s="162">
        <f t="shared" si="19"/>
        <v>1</v>
      </c>
      <c r="BR32" s="162">
        <f t="shared" si="20"/>
        <v>1</v>
      </c>
      <c r="BS32" s="162">
        <f t="shared" si="21"/>
        <v>1</v>
      </c>
      <c r="BT32" s="162">
        <f t="shared" si="22"/>
        <v>1</v>
      </c>
      <c r="BU32" s="162">
        <f t="shared" si="23"/>
        <v>1</v>
      </c>
      <c r="BV32" s="162">
        <f t="shared" si="24"/>
        <v>1</v>
      </c>
      <c r="BW32" s="162">
        <f t="shared" si="25"/>
        <v>1</v>
      </c>
      <c r="BX32" s="162">
        <f t="shared" si="26"/>
        <v>1</v>
      </c>
      <c r="BY32" s="162">
        <f t="shared" si="27"/>
        <v>1</v>
      </c>
      <c r="BZ32" s="162">
        <f t="shared" si="28"/>
        <v>1</v>
      </c>
      <c r="CA32" s="162">
        <f t="shared" si="29"/>
        <v>1</v>
      </c>
      <c r="CB32" s="162">
        <f t="shared" si="30"/>
        <v>1</v>
      </c>
      <c r="CC32" s="162">
        <f t="shared" si="31"/>
        <v>1</v>
      </c>
      <c r="CD32" s="162">
        <f t="shared" si="32"/>
        <v>1</v>
      </c>
      <c r="CE32" s="162">
        <f t="shared" si="33"/>
        <v>1</v>
      </c>
      <c r="CF32" s="162">
        <f t="shared" si="34"/>
        <v>1</v>
      </c>
      <c r="CG32" s="162">
        <f t="shared" si="35"/>
        <v>1</v>
      </c>
      <c r="CH32" s="162">
        <f t="shared" si="36"/>
        <v>1</v>
      </c>
      <c r="CI32" s="162">
        <f t="shared" si="37"/>
        <v>1</v>
      </c>
      <c r="CL32" s="184" t="str">
        <f>IF(Deltagarlista!E29="","",Deltagarlista!E29)</f>
        <v/>
      </c>
      <c r="CM32" s="162" t="str">
        <f>IF(Deltagarlista!I29="","",(IF(VLOOKUP(CL32,Deltagarlista!$E$5:$I$64,5,FALSE)="Grön","Gr",IF(VLOOKUP(CL32,Deltagarlista!$E$5:$I$64,5,FALSE)="Röd","R",IF(VLOOKUP(CL32,Deltagarlista!$E$5:$I$64,5,FALSE)="Blå","B","Gu")))))</f>
        <v/>
      </c>
      <c r="CO32" s="162" t="str">
        <f t="shared" si="16"/>
        <v/>
      </c>
      <c r="CP32" s="162" t="str">
        <f t="shared" si="17"/>
        <v/>
      </c>
      <c r="DK32" s="162" t="str">
        <f>IF(DM32="","",IF(ISBLANK(Deltagarlista!C28),"",Deltagarlista!C28))</f>
        <v/>
      </c>
      <c r="DL32" s="162" t="str">
        <f>IF(ISBLANK(Deltagarlista!I28),"",IF(Deltagarlista!I28="RÖD","R",IF(Deltagarlista!I28="GRÖN","G",IF(Deltagarlista!I28="BLÅ","B",IF(Deltagarlista!I28="GUL","G","")))))</f>
        <v/>
      </c>
      <c r="DM32" s="162">
        <f>IF(ISBLANK(Deltagarlista!H28),"",1)</f>
        <v>1</v>
      </c>
      <c r="DR32" s="162" t="str">
        <f t="shared" si="39"/>
        <v/>
      </c>
      <c r="DS32" s="162" t="str">
        <f t="shared" si="38"/>
        <v/>
      </c>
    </row>
    <row r="33" spans="2:123" ht="15.9" customHeight="1" x14ac:dyDescent="0.3">
      <c r="B33" s="186">
        <v>26</v>
      </c>
      <c r="C33" s="27"/>
      <c r="D33" s="28"/>
      <c r="E33" s="38"/>
      <c r="F33" s="27"/>
      <c r="G33" s="28"/>
      <c r="H33" s="29"/>
      <c r="I33" s="41"/>
      <c r="J33" s="28"/>
      <c r="K33" s="38"/>
      <c r="L33" s="27"/>
      <c r="M33" s="28"/>
      <c r="N33" s="29"/>
      <c r="O33" s="41"/>
      <c r="P33" s="28"/>
      <c r="Q33" s="29"/>
      <c r="R33" s="187">
        <v>26</v>
      </c>
      <c r="S33" s="188">
        <v>26</v>
      </c>
      <c r="T33" s="188">
        <v>26</v>
      </c>
      <c r="U33" s="188">
        <v>26</v>
      </c>
      <c r="V33" s="188">
        <v>26</v>
      </c>
      <c r="W33" s="188">
        <v>26</v>
      </c>
      <c r="X33" s="188">
        <v>26</v>
      </c>
      <c r="Y33" s="188">
        <v>26</v>
      </c>
      <c r="Z33" s="188">
        <v>26</v>
      </c>
      <c r="AA33" s="188">
        <v>26</v>
      </c>
      <c r="AB33" s="188">
        <v>26</v>
      </c>
      <c r="AC33" s="188">
        <v>26</v>
      </c>
      <c r="AD33" s="188">
        <v>26</v>
      </c>
      <c r="AE33" s="188">
        <v>26</v>
      </c>
      <c r="AF33" s="188">
        <v>26</v>
      </c>
      <c r="AG33" s="188">
        <v>26</v>
      </c>
      <c r="AH33" s="166"/>
      <c r="AI33" s="129">
        <f t="shared" si="1"/>
        <v>0</v>
      </c>
      <c r="AJ33" s="129">
        <f t="shared" si="2"/>
        <v>0</v>
      </c>
      <c r="AK33" s="129">
        <f t="shared" si="3"/>
        <v>0</v>
      </c>
      <c r="AL33" s="129">
        <f t="shared" si="4"/>
        <v>0</v>
      </c>
      <c r="AM33" s="129">
        <f t="shared" si="5"/>
        <v>0</v>
      </c>
      <c r="AN33" s="129">
        <f t="shared" si="6"/>
        <v>0</v>
      </c>
      <c r="AO33" s="129">
        <f t="shared" si="7"/>
        <v>0</v>
      </c>
      <c r="AP33" s="129">
        <f t="shared" si="8"/>
        <v>0</v>
      </c>
      <c r="AQ33" s="129">
        <f t="shared" si="9"/>
        <v>0</v>
      </c>
      <c r="AR33" s="129">
        <f t="shared" si="10"/>
        <v>0</v>
      </c>
      <c r="AS33" s="129">
        <f t="shared" si="11"/>
        <v>0</v>
      </c>
      <c r="AT33" s="129">
        <f t="shared" si="12"/>
        <v>0</v>
      </c>
      <c r="AU33" s="129">
        <f t="shared" si="13"/>
        <v>0</v>
      </c>
      <c r="AV33" s="129">
        <f t="shared" si="14"/>
        <v>0</v>
      </c>
      <c r="AW33" s="129">
        <f t="shared" si="15"/>
        <v>0</v>
      </c>
      <c r="AY33" s="162" t="str">
        <f>IF(ISBLANK(C33),"",NOT(ISERROR(MATCH(C33,Deltagarlista!$E$5:$E$64,0))))</f>
        <v/>
      </c>
      <c r="AZ33" s="162" t="str">
        <f>IF(ISBLANK(D33),"",NOT(ISERROR(MATCH(D33,Deltagarlista!$E$5:$E$64,0))))</f>
        <v/>
      </c>
      <c r="BA33" s="162" t="str">
        <f>IF(ISBLANK(E33),"",NOT(ISERROR(MATCH(E33,Deltagarlista!$E$5:$E$64,0))))</f>
        <v/>
      </c>
      <c r="BB33" s="162" t="str">
        <f>IF(ISBLANK(F33),"",NOT(ISERROR(MATCH(F33,Deltagarlista!$E$5:$E$64,0))))</f>
        <v/>
      </c>
      <c r="BC33" s="162" t="str">
        <f>IF(ISBLANK(G33),"",NOT(ISERROR(MATCH(G33,Deltagarlista!$E$5:$E$64,0))))</f>
        <v/>
      </c>
      <c r="BD33" s="162" t="str">
        <f>IF(ISBLANK(H33),"",NOT(ISERROR(MATCH(H33,Deltagarlista!$E$5:$E$64,0))))</f>
        <v/>
      </c>
      <c r="BE33" s="162" t="str">
        <f>IF(ISBLANK(I33),"",NOT(ISERROR(MATCH(I33,Deltagarlista!$E$5:$E$64,0))))</f>
        <v/>
      </c>
      <c r="BF33" s="162" t="str">
        <f>IF(ISBLANK(J33),"",NOT(ISERROR(MATCH(J33,Deltagarlista!$E$5:$E$64,0))))</f>
        <v/>
      </c>
      <c r="BG33" s="162" t="str">
        <f>IF(ISBLANK(K33),"",NOT(ISERROR(MATCH(K33,Deltagarlista!$E$5:$E$64,0))))</f>
        <v/>
      </c>
      <c r="BH33" s="162" t="str">
        <f>IF(ISBLANK(L33),"",NOT(ISERROR(MATCH(L33,Deltagarlista!$E$5:$E$64,0))))</f>
        <v/>
      </c>
      <c r="BI33" s="162" t="str">
        <f>IF(ISBLANK(M33),"",NOT(ISERROR(MATCH(M33,Deltagarlista!$E$5:$E$64,0))))</f>
        <v/>
      </c>
      <c r="BJ33" s="162" t="str">
        <f>IF(ISBLANK(N33),"",NOT(ISERROR(MATCH(N33,Deltagarlista!$E$5:$E$64,0))))</f>
        <v/>
      </c>
      <c r="BK33" s="162" t="str">
        <f>IF(ISBLANK(O33),"",NOT(ISERROR(MATCH(O33,Deltagarlista!$E$5:$E$64,0))))</f>
        <v/>
      </c>
      <c r="BL33" s="162" t="str">
        <f>IF(ISBLANK(P33),"",NOT(ISERROR(MATCH(P33,Deltagarlista!$E$5:$E$64,0))))</f>
        <v/>
      </c>
      <c r="BM33" s="162" t="str">
        <f>IF(ISBLANK(Q33),"",NOT(ISERROR(MATCH(Q33,Deltagarlista!$E$5:$E$64,0))))</f>
        <v/>
      </c>
      <c r="BN33" s="167"/>
      <c r="BO33" s="162">
        <f>SUM(COUNTIF($C$8:$Q$45,Deltagarlista!E30)+COUNTIF($C$53:$Q$90,Deltagarlista!E30)+COUNTIF($C$98:$Q$135,Deltagarlista!E30)+COUNTIF($C$143:$Q$180,Deltagarlista!E30))</f>
        <v>0</v>
      </c>
      <c r="BP33" s="162">
        <f t="shared" si="18"/>
        <v>1</v>
      </c>
      <c r="BQ33" s="162">
        <f t="shared" si="19"/>
        <v>1</v>
      </c>
      <c r="BR33" s="162">
        <f t="shared" si="20"/>
        <v>1</v>
      </c>
      <c r="BS33" s="162">
        <f t="shared" si="21"/>
        <v>1</v>
      </c>
      <c r="BT33" s="162">
        <f t="shared" si="22"/>
        <v>1</v>
      </c>
      <c r="BU33" s="162">
        <f t="shared" si="23"/>
        <v>1</v>
      </c>
      <c r="BV33" s="162">
        <f t="shared" si="24"/>
        <v>1</v>
      </c>
      <c r="BW33" s="162">
        <f t="shared" si="25"/>
        <v>1</v>
      </c>
      <c r="BX33" s="162">
        <f t="shared" si="26"/>
        <v>1</v>
      </c>
      <c r="BY33" s="162">
        <f t="shared" si="27"/>
        <v>1</v>
      </c>
      <c r="BZ33" s="162">
        <f t="shared" si="28"/>
        <v>1</v>
      </c>
      <c r="CA33" s="162">
        <f t="shared" si="29"/>
        <v>1</v>
      </c>
      <c r="CB33" s="162">
        <f t="shared" si="30"/>
        <v>1</v>
      </c>
      <c r="CC33" s="162">
        <f t="shared" si="31"/>
        <v>1</v>
      </c>
      <c r="CD33" s="162">
        <f t="shared" si="32"/>
        <v>1</v>
      </c>
      <c r="CE33" s="162">
        <f t="shared" si="33"/>
        <v>1</v>
      </c>
      <c r="CF33" s="162">
        <f t="shared" si="34"/>
        <v>1</v>
      </c>
      <c r="CG33" s="162">
        <f t="shared" si="35"/>
        <v>1</v>
      </c>
      <c r="CH33" s="162">
        <f t="shared" si="36"/>
        <v>1</v>
      </c>
      <c r="CI33" s="162">
        <f t="shared" si="37"/>
        <v>1</v>
      </c>
      <c r="CL33" s="184" t="str">
        <f>IF(Deltagarlista!E30="","",Deltagarlista!E30)</f>
        <v/>
      </c>
      <c r="CM33" s="162" t="str">
        <f>IF(Deltagarlista!I30="","",(IF(VLOOKUP(CL33,Deltagarlista!$E$5:$I$64,5,FALSE)="Grön","Gr",IF(VLOOKUP(CL33,Deltagarlista!$E$5:$I$64,5,FALSE)="Röd","R",IF(VLOOKUP(CL33,Deltagarlista!$E$5:$I$64,5,FALSE)="Blå","B","Gu")))))</f>
        <v/>
      </c>
      <c r="CO33" s="162" t="str">
        <f t="shared" si="16"/>
        <v/>
      </c>
      <c r="CP33" s="162" t="str">
        <f t="shared" si="17"/>
        <v/>
      </c>
      <c r="DK33" s="162" t="str">
        <f>IF(DM33="","",IF(ISBLANK(Deltagarlista!C29),"",Deltagarlista!C29))</f>
        <v/>
      </c>
      <c r="DL33" s="162" t="str">
        <f>IF(ISBLANK(Deltagarlista!I29),"",IF(Deltagarlista!I29="RÖD","R",IF(Deltagarlista!I29="GRÖN","G",IF(Deltagarlista!I29="BLÅ","B",IF(Deltagarlista!I29="GUL","G","")))))</f>
        <v/>
      </c>
      <c r="DM33" s="162">
        <f>IF(ISBLANK(Deltagarlista!H29),"",1)</f>
        <v>1</v>
      </c>
      <c r="DR33" s="162" t="str">
        <f t="shared" si="39"/>
        <v/>
      </c>
      <c r="DS33" s="162" t="str">
        <f t="shared" si="38"/>
        <v/>
      </c>
    </row>
    <row r="34" spans="2:123" ht="15.9" customHeight="1" x14ac:dyDescent="0.3">
      <c r="B34" s="186">
        <v>27</v>
      </c>
      <c r="C34" s="27"/>
      <c r="D34" s="28"/>
      <c r="E34" s="38"/>
      <c r="F34" s="27"/>
      <c r="G34" s="28"/>
      <c r="H34" s="29"/>
      <c r="I34" s="41"/>
      <c r="J34" s="28"/>
      <c r="K34" s="38"/>
      <c r="L34" s="27"/>
      <c r="M34" s="28"/>
      <c r="N34" s="29"/>
      <c r="O34" s="41"/>
      <c r="P34" s="28"/>
      <c r="Q34" s="29"/>
      <c r="R34" s="187">
        <v>27</v>
      </c>
      <c r="S34" s="188">
        <v>27</v>
      </c>
      <c r="T34" s="188">
        <v>27</v>
      </c>
      <c r="U34" s="188">
        <v>27</v>
      </c>
      <c r="V34" s="188">
        <v>27</v>
      </c>
      <c r="W34" s="188">
        <v>27</v>
      </c>
      <c r="X34" s="188">
        <v>27</v>
      </c>
      <c r="Y34" s="188">
        <v>27</v>
      </c>
      <c r="Z34" s="188">
        <v>27</v>
      </c>
      <c r="AA34" s="188">
        <v>27</v>
      </c>
      <c r="AB34" s="188">
        <v>27</v>
      </c>
      <c r="AC34" s="188">
        <v>27</v>
      </c>
      <c r="AD34" s="188">
        <v>27</v>
      </c>
      <c r="AE34" s="188">
        <v>27</v>
      </c>
      <c r="AF34" s="188">
        <v>27</v>
      </c>
      <c r="AG34" s="188">
        <v>27</v>
      </c>
      <c r="AH34" s="166"/>
      <c r="AI34" s="129">
        <f t="shared" si="1"/>
        <v>0</v>
      </c>
      <c r="AJ34" s="129">
        <f t="shared" si="2"/>
        <v>0</v>
      </c>
      <c r="AK34" s="129">
        <f t="shared" si="3"/>
        <v>0</v>
      </c>
      <c r="AL34" s="129">
        <f t="shared" si="4"/>
        <v>0</v>
      </c>
      <c r="AM34" s="129">
        <f t="shared" si="5"/>
        <v>0</v>
      </c>
      <c r="AN34" s="129">
        <f t="shared" si="6"/>
        <v>0</v>
      </c>
      <c r="AO34" s="129">
        <f t="shared" si="7"/>
        <v>0</v>
      </c>
      <c r="AP34" s="129">
        <f t="shared" si="8"/>
        <v>0</v>
      </c>
      <c r="AQ34" s="129">
        <f t="shared" si="9"/>
        <v>0</v>
      </c>
      <c r="AR34" s="129">
        <f t="shared" si="10"/>
        <v>0</v>
      </c>
      <c r="AS34" s="129">
        <f t="shared" si="11"/>
        <v>0</v>
      </c>
      <c r="AT34" s="129">
        <f t="shared" si="12"/>
        <v>0</v>
      </c>
      <c r="AU34" s="129">
        <f t="shared" si="13"/>
        <v>0</v>
      </c>
      <c r="AV34" s="129">
        <f t="shared" si="14"/>
        <v>0</v>
      </c>
      <c r="AW34" s="129">
        <f t="shared" si="15"/>
        <v>0</v>
      </c>
      <c r="AY34" s="162" t="str">
        <f>IF(ISBLANK(C34),"",NOT(ISERROR(MATCH(C34,Deltagarlista!$E$5:$E$64,0))))</f>
        <v/>
      </c>
      <c r="AZ34" s="162" t="str">
        <f>IF(ISBLANK(D34),"",NOT(ISERROR(MATCH(D34,Deltagarlista!$E$5:$E$64,0))))</f>
        <v/>
      </c>
      <c r="BA34" s="162" t="str">
        <f>IF(ISBLANK(E34),"",NOT(ISERROR(MATCH(E34,Deltagarlista!$E$5:$E$64,0))))</f>
        <v/>
      </c>
      <c r="BB34" s="162" t="str">
        <f>IF(ISBLANK(F34),"",NOT(ISERROR(MATCH(F34,Deltagarlista!$E$5:$E$64,0))))</f>
        <v/>
      </c>
      <c r="BC34" s="162" t="str">
        <f>IF(ISBLANK(G34),"",NOT(ISERROR(MATCH(G34,Deltagarlista!$E$5:$E$64,0))))</f>
        <v/>
      </c>
      <c r="BD34" s="162" t="str">
        <f>IF(ISBLANK(H34),"",NOT(ISERROR(MATCH(H34,Deltagarlista!$E$5:$E$64,0))))</f>
        <v/>
      </c>
      <c r="BE34" s="162" t="str">
        <f>IF(ISBLANK(I34),"",NOT(ISERROR(MATCH(I34,Deltagarlista!$E$5:$E$64,0))))</f>
        <v/>
      </c>
      <c r="BF34" s="162" t="str">
        <f>IF(ISBLANK(J34),"",NOT(ISERROR(MATCH(J34,Deltagarlista!$E$5:$E$64,0))))</f>
        <v/>
      </c>
      <c r="BG34" s="162" t="str">
        <f>IF(ISBLANK(K34),"",NOT(ISERROR(MATCH(K34,Deltagarlista!$E$5:$E$64,0))))</f>
        <v/>
      </c>
      <c r="BH34" s="162" t="str">
        <f>IF(ISBLANK(L34),"",NOT(ISERROR(MATCH(L34,Deltagarlista!$E$5:$E$64,0))))</f>
        <v/>
      </c>
      <c r="BI34" s="162" t="str">
        <f>IF(ISBLANK(M34),"",NOT(ISERROR(MATCH(M34,Deltagarlista!$E$5:$E$64,0))))</f>
        <v/>
      </c>
      <c r="BJ34" s="162" t="str">
        <f>IF(ISBLANK(N34),"",NOT(ISERROR(MATCH(N34,Deltagarlista!$E$5:$E$64,0))))</f>
        <v/>
      </c>
      <c r="BK34" s="162" t="str">
        <f>IF(ISBLANK(O34),"",NOT(ISERROR(MATCH(O34,Deltagarlista!$E$5:$E$64,0))))</f>
        <v/>
      </c>
      <c r="BL34" s="162" t="str">
        <f>IF(ISBLANK(P34),"",NOT(ISERROR(MATCH(P34,Deltagarlista!$E$5:$E$64,0))))</f>
        <v/>
      </c>
      <c r="BM34" s="162" t="str">
        <f>IF(ISBLANK(Q34),"",NOT(ISERROR(MATCH(Q34,Deltagarlista!$E$5:$E$64,0))))</f>
        <v/>
      </c>
      <c r="BN34" s="167"/>
      <c r="BO34" s="162">
        <f>SUM(COUNTIF($C$8:$Q$45,Deltagarlista!E31)+COUNTIF($C$53:$Q$90,Deltagarlista!E31)+COUNTIF($C$98:$Q$135,Deltagarlista!E31)+COUNTIF($C$143:$Q$180,Deltagarlista!E31))</f>
        <v>0</v>
      </c>
      <c r="BP34" s="162">
        <f t="shared" si="18"/>
        <v>1</v>
      </c>
      <c r="BQ34" s="162">
        <f t="shared" si="19"/>
        <v>1</v>
      </c>
      <c r="BR34" s="162">
        <f t="shared" si="20"/>
        <v>1</v>
      </c>
      <c r="BS34" s="162">
        <f t="shared" si="21"/>
        <v>1</v>
      </c>
      <c r="BT34" s="162">
        <f t="shared" si="22"/>
        <v>1</v>
      </c>
      <c r="BU34" s="162">
        <f t="shared" si="23"/>
        <v>1</v>
      </c>
      <c r="BV34" s="162">
        <f t="shared" si="24"/>
        <v>1</v>
      </c>
      <c r="BW34" s="162">
        <f t="shared" si="25"/>
        <v>1</v>
      </c>
      <c r="BX34" s="162">
        <f t="shared" si="26"/>
        <v>1</v>
      </c>
      <c r="BY34" s="162">
        <f t="shared" si="27"/>
        <v>1</v>
      </c>
      <c r="BZ34" s="162">
        <f t="shared" si="28"/>
        <v>1</v>
      </c>
      <c r="CA34" s="162">
        <f t="shared" si="29"/>
        <v>1</v>
      </c>
      <c r="CB34" s="162">
        <f t="shared" si="30"/>
        <v>1</v>
      </c>
      <c r="CC34" s="162">
        <f t="shared" si="31"/>
        <v>1</v>
      </c>
      <c r="CD34" s="162">
        <f t="shared" si="32"/>
        <v>1</v>
      </c>
      <c r="CE34" s="162">
        <f t="shared" si="33"/>
        <v>1</v>
      </c>
      <c r="CF34" s="162">
        <f t="shared" si="34"/>
        <v>1</v>
      </c>
      <c r="CG34" s="162">
        <f t="shared" si="35"/>
        <v>1</v>
      </c>
      <c r="CH34" s="162">
        <f t="shared" si="36"/>
        <v>1</v>
      </c>
      <c r="CI34" s="162">
        <f t="shared" si="37"/>
        <v>1</v>
      </c>
      <c r="CL34" s="184" t="str">
        <f>IF(Deltagarlista!E31="","",Deltagarlista!E31)</f>
        <v/>
      </c>
      <c r="CM34" s="162" t="str">
        <f>IF(Deltagarlista!I31="","",(IF(VLOOKUP(CL34,Deltagarlista!$E$5:$I$64,5,FALSE)="Grön","Gr",IF(VLOOKUP(CL34,Deltagarlista!$E$5:$I$64,5,FALSE)="Röd","R",IF(VLOOKUP(CL34,Deltagarlista!$E$5:$I$64,5,FALSE)="Blå","B","Gu")))))</f>
        <v/>
      </c>
      <c r="CO34" s="162" t="str">
        <f t="shared" si="16"/>
        <v/>
      </c>
      <c r="CP34" s="162" t="str">
        <f t="shared" si="17"/>
        <v/>
      </c>
      <c r="DK34" s="162" t="str">
        <f>IF(DM34="","",IF(ISBLANK(Deltagarlista!C30),"",Deltagarlista!C30))</f>
        <v/>
      </c>
      <c r="DL34" s="162" t="str">
        <f>IF(ISBLANK(Deltagarlista!I30),"",IF(Deltagarlista!I30="RÖD","R",IF(Deltagarlista!I30="GRÖN","G",IF(Deltagarlista!I30="BLÅ","B",IF(Deltagarlista!I30="GUL","G","")))))</f>
        <v/>
      </c>
      <c r="DM34" s="162">
        <f>IF(ISBLANK(Deltagarlista!H30),"",1)</f>
        <v>1</v>
      </c>
      <c r="DR34" s="162" t="str">
        <f t="shared" si="39"/>
        <v/>
      </c>
      <c r="DS34" s="162" t="str">
        <f t="shared" si="38"/>
        <v/>
      </c>
    </row>
    <row r="35" spans="2:123" ht="15.9" customHeight="1" x14ac:dyDescent="0.3">
      <c r="B35" s="186">
        <v>28</v>
      </c>
      <c r="C35" s="27"/>
      <c r="D35" s="28"/>
      <c r="E35" s="38"/>
      <c r="F35" s="27"/>
      <c r="G35" s="28"/>
      <c r="H35" s="29"/>
      <c r="I35" s="41"/>
      <c r="J35" s="28"/>
      <c r="K35" s="38"/>
      <c r="L35" s="27"/>
      <c r="M35" s="28"/>
      <c r="N35" s="29"/>
      <c r="O35" s="41"/>
      <c r="P35" s="28"/>
      <c r="Q35" s="29"/>
      <c r="R35" s="187">
        <v>28</v>
      </c>
      <c r="S35" s="188">
        <v>28</v>
      </c>
      <c r="T35" s="188">
        <v>28</v>
      </c>
      <c r="U35" s="188">
        <v>28</v>
      </c>
      <c r="V35" s="188">
        <v>28</v>
      </c>
      <c r="W35" s="188">
        <v>28</v>
      </c>
      <c r="X35" s="188">
        <v>28</v>
      </c>
      <c r="Y35" s="188">
        <v>28</v>
      </c>
      <c r="Z35" s="188">
        <v>28</v>
      </c>
      <c r="AA35" s="188">
        <v>28</v>
      </c>
      <c r="AB35" s="188">
        <v>28</v>
      </c>
      <c r="AC35" s="188">
        <v>28</v>
      </c>
      <c r="AD35" s="188">
        <v>28</v>
      </c>
      <c r="AE35" s="188">
        <v>28</v>
      </c>
      <c r="AF35" s="188">
        <v>28</v>
      </c>
      <c r="AG35" s="188">
        <v>28</v>
      </c>
      <c r="AH35" s="166"/>
      <c r="AI35" s="129">
        <f t="shared" si="1"/>
        <v>0</v>
      </c>
      <c r="AJ35" s="129">
        <f t="shared" si="2"/>
        <v>0</v>
      </c>
      <c r="AK35" s="129">
        <f t="shared" si="3"/>
        <v>0</v>
      </c>
      <c r="AL35" s="129">
        <f t="shared" si="4"/>
        <v>0</v>
      </c>
      <c r="AM35" s="129">
        <f t="shared" si="5"/>
        <v>0</v>
      </c>
      <c r="AN35" s="129">
        <f t="shared" si="6"/>
        <v>0</v>
      </c>
      <c r="AO35" s="129">
        <f t="shared" si="7"/>
        <v>0</v>
      </c>
      <c r="AP35" s="129">
        <f t="shared" si="8"/>
        <v>0</v>
      </c>
      <c r="AQ35" s="129">
        <f t="shared" si="9"/>
        <v>0</v>
      </c>
      <c r="AR35" s="129">
        <f t="shared" si="10"/>
        <v>0</v>
      </c>
      <c r="AS35" s="129">
        <f t="shared" si="11"/>
        <v>0</v>
      </c>
      <c r="AT35" s="129">
        <f t="shared" si="12"/>
        <v>0</v>
      </c>
      <c r="AU35" s="129">
        <f t="shared" si="13"/>
        <v>0</v>
      </c>
      <c r="AV35" s="129">
        <f t="shared" si="14"/>
        <v>0</v>
      </c>
      <c r="AW35" s="129">
        <f t="shared" si="15"/>
        <v>0</v>
      </c>
      <c r="AY35" s="162" t="str">
        <f>IF(ISBLANK(C35),"",NOT(ISERROR(MATCH(C35,Deltagarlista!$E$5:$E$64,0))))</f>
        <v/>
      </c>
      <c r="AZ35" s="162" t="str">
        <f>IF(ISBLANK(D35),"",NOT(ISERROR(MATCH(D35,Deltagarlista!$E$5:$E$64,0))))</f>
        <v/>
      </c>
      <c r="BA35" s="162" t="str">
        <f>IF(ISBLANK(E35),"",NOT(ISERROR(MATCH(E35,Deltagarlista!$E$5:$E$64,0))))</f>
        <v/>
      </c>
      <c r="BB35" s="162" t="str">
        <f>IF(ISBLANK(F35),"",NOT(ISERROR(MATCH(F35,Deltagarlista!$E$5:$E$64,0))))</f>
        <v/>
      </c>
      <c r="BC35" s="162" t="str">
        <f>IF(ISBLANK(G35),"",NOT(ISERROR(MATCH(G35,Deltagarlista!$E$5:$E$64,0))))</f>
        <v/>
      </c>
      <c r="BD35" s="162" t="str">
        <f>IF(ISBLANK(H35),"",NOT(ISERROR(MATCH(H35,Deltagarlista!$E$5:$E$64,0))))</f>
        <v/>
      </c>
      <c r="BE35" s="162" t="str">
        <f>IF(ISBLANK(I35),"",NOT(ISERROR(MATCH(I35,Deltagarlista!$E$5:$E$64,0))))</f>
        <v/>
      </c>
      <c r="BF35" s="162" t="str">
        <f>IF(ISBLANK(J35),"",NOT(ISERROR(MATCH(J35,Deltagarlista!$E$5:$E$64,0))))</f>
        <v/>
      </c>
      <c r="BG35" s="162" t="str">
        <f>IF(ISBLANK(K35),"",NOT(ISERROR(MATCH(K35,Deltagarlista!$E$5:$E$64,0))))</f>
        <v/>
      </c>
      <c r="BH35" s="162" t="str">
        <f>IF(ISBLANK(L35),"",NOT(ISERROR(MATCH(L35,Deltagarlista!$E$5:$E$64,0))))</f>
        <v/>
      </c>
      <c r="BI35" s="162" t="str">
        <f>IF(ISBLANK(M35),"",NOT(ISERROR(MATCH(M35,Deltagarlista!$E$5:$E$64,0))))</f>
        <v/>
      </c>
      <c r="BJ35" s="162" t="str">
        <f>IF(ISBLANK(N35),"",NOT(ISERROR(MATCH(N35,Deltagarlista!$E$5:$E$64,0))))</f>
        <v/>
      </c>
      <c r="BK35" s="162" t="str">
        <f>IF(ISBLANK(O35),"",NOT(ISERROR(MATCH(O35,Deltagarlista!$E$5:$E$64,0))))</f>
        <v/>
      </c>
      <c r="BL35" s="162" t="str">
        <f>IF(ISBLANK(P35),"",NOT(ISERROR(MATCH(P35,Deltagarlista!$E$5:$E$64,0))))</f>
        <v/>
      </c>
      <c r="BM35" s="162" t="str">
        <f>IF(ISBLANK(Q35),"",NOT(ISERROR(MATCH(Q35,Deltagarlista!$E$5:$E$64,0))))</f>
        <v/>
      </c>
      <c r="BN35" s="167"/>
      <c r="BO35" s="162">
        <f>SUM(COUNTIF($C$8:$Q$45,Deltagarlista!E32)+COUNTIF($C$53:$Q$90,Deltagarlista!E32)+COUNTIF($C$98:$Q$135,Deltagarlista!E32)+COUNTIF($C$143:$Q$180,Deltagarlista!E32))</f>
        <v>0</v>
      </c>
      <c r="BP35" s="162">
        <f t="shared" si="18"/>
        <v>1</v>
      </c>
      <c r="BQ35" s="162">
        <f t="shared" si="19"/>
        <v>1</v>
      </c>
      <c r="BR35" s="162">
        <f t="shared" si="20"/>
        <v>1</v>
      </c>
      <c r="BS35" s="162">
        <f t="shared" si="21"/>
        <v>1</v>
      </c>
      <c r="BT35" s="162">
        <f t="shared" si="22"/>
        <v>1</v>
      </c>
      <c r="BU35" s="162">
        <f t="shared" si="23"/>
        <v>1</v>
      </c>
      <c r="BV35" s="162">
        <f t="shared" si="24"/>
        <v>1</v>
      </c>
      <c r="BW35" s="162">
        <f t="shared" si="25"/>
        <v>1</v>
      </c>
      <c r="BX35" s="162">
        <f t="shared" si="26"/>
        <v>1</v>
      </c>
      <c r="BY35" s="162">
        <f t="shared" si="27"/>
        <v>1</v>
      </c>
      <c r="BZ35" s="162">
        <f t="shared" si="28"/>
        <v>1</v>
      </c>
      <c r="CA35" s="162">
        <f t="shared" si="29"/>
        <v>1</v>
      </c>
      <c r="CB35" s="162">
        <f t="shared" si="30"/>
        <v>1</v>
      </c>
      <c r="CC35" s="162">
        <f t="shared" si="31"/>
        <v>1</v>
      </c>
      <c r="CD35" s="162">
        <f t="shared" si="32"/>
        <v>1</v>
      </c>
      <c r="CE35" s="162">
        <f t="shared" si="33"/>
        <v>1</v>
      </c>
      <c r="CF35" s="162">
        <f t="shared" si="34"/>
        <v>1</v>
      </c>
      <c r="CG35" s="162">
        <f t="shared" si="35"/>
        <v>1</v>
      </c>
      <c r="CH35" s="162">
        <f t="shared" si="36"/>
        <v>1</v>
      </c>
      <c r="CI35" s="162">
        <f t="shared" si="37"/>
        <v>1</v>
      </c>
      <c r="CL35" s="184" t="str">
        <f>IF(Deltagarlista!E32="","",Deltagarlista!E32)</f>
        <v/>
      </c>
      <c r="CM35" s="162" t="str">
        <f>IF(Deltagarlista!I32="","",(IF(VLOOKUP(CL35,Deltagarlista!$E$5:$I$64,5,FALSE)="Grön","Gr",IF(VLOOKUP(CL35,Deltagarlista!$E$5:$I$64,5,FALSE)="Röd","R",IF(VLOOKUP(CL35,Deltagarlista!$E$5:$I$64,5,FALSE)="Blå","B","Gu")))))</f>
        <v/>
      </c>
      <c r="CO35" s="162" t="str">
        <f t="shared" si="16"/>
        <v/>
      </c>
      <c r="CP35" s="162" t="str">
        <f t="shared" si="17"/>
        <v/>
      </c>
      <c r="DK35" s="162" t="str">
        <f>IF(DM35="","",IF(ISBLANK(Deltagarlista!C31),"",Deltagarlista!C31))</f>
        <v/>
      </c>
      <c r="DL35" s="162" t="str">
        <f>IF(ISBLANK(Deltagarlista!I31),"",IF(Deltagarlista!I31="RÖD","R",IF(Deltagarlista!I31="GRÖN","G",IF(Deltagarlista!I31="BLÅ","B",IF(Deltagarlista!I31="GUL","G","")))))</f>
        <v/>
      </c>
      <c r="DM35" s="162">
        <f>IF(ISBLANK(Deltagarlista!H31),"",1)</f>
        <v>1</v>
      </c>
      <c r="DR35" s="162" t="str">
        <f t="shared" si="39"/>
        <v/>
      </c>
      <c r="DS35" s="162" t="str">
        <f t="shared" si="38"/>
        <v/>
      </c>
    </row>
    <row r="36" spans="2:123" ht="15.9" customHeight="1" x14ac:dyDescent="0.3">
      <c r="B36" s="186">
        <v>29</v>
      </c>
      <c r="C36" s="27"/>
      <c r="D36" s="28"/>
      <c r="E36" s="38"/>
      <c r="F36" s="27"/>
      <c r="G36" s="28"/>
      <c r="H36" s="29"/>
      <c r="I36" s="41"/>
      <c r="J36" s="28"/>
      <c r="K36" s="38"/>
      <c r="L36" s="27"/>
      <c r="M36" s="28"/>
      <c r="N36" s="29"/>
      <c r="O36" s="41"/>
      <c r="P36" s="28"/>
      <c r="Q36" s="29"/>
      <c r="R36" s="187">
        <v>29</v>
      </c>
      <c r="S36" s="188">
        <v>29</v>
      </c>
      <c r="T36" s="188">
        <v>29</v>
      </c>
      <c r="U36" s="188">
        <v>29</v>
      </c>
      <c r="V36" s="188">
        <v>29</v>
      </c>
      <c r="W36" s="188">
        <v>29</v>
      </c>
      <c r="X36" s="188">
        <v>29</v>
      </c>
      <c r="Y36" s="188">
        <v>29</v>
      </c>
      <c r="Z36" s="188">
        <v>29</v>
      </c>
      <c r="AA36" s="188">
        <v>29</v>
      </c>
      <c r="AB36" s="188">
        <v>29</v>
      </c>
      <c r="AC36" s="188">
        <v>29</v>
      </c>
      <c r="AD36" s="188">
        <v>29</v>
      </c>
      <c r="AE36" s="188">
        <v>29</v>
      </c>
      <c r="AF36" s="188">
        <v>29</v>
      </c>
      <c r="AG36" s="188">
        <v>29</v>
      </c>
      <c r="AH36" s="166"/>
      <c r="AI36" s="129">
        <f t="shared" si="1"/>
        <v>0</v>
      </c>
      <c r="AJ36" s="129">
        <f t="shared" si="2"/>
        <v>0</v>
      </c>
      <c r="AK36" s="129">
        <f t="shared" si="3"/>
        <v>0</v>
      </c>
      <c r="AL36" s="129">
        <f t="shared" si="4"/>
        <v>0</v>
      </c>
      <c r="AM36" s="129">
        <f t="shared" si="5"/>
        <v>0</v>
      </c>
      <c r="AN36" s="129">
        <f t="shared" si="6"/>
        <v>0</v>
      </c>
      <c r="AO36" s="129">
        <f t="shared" si="7"/>
        <v>0</v>
      </c>
      <c r="AP36" s="129">
        <f t="shared" si="8"/>
        <v>0</v>
      </c>
      <c r="AQ36" s="129">
        <f t="shared" si="9"/>
        <v>0</v>
      </c>
      <c r="AR36" s="129">
        <f t="shared" si="10"/>
        <v>0</v>
      </c>
      <c r="AS36" s="129">
        <f t="shared" si="11"/>
        <v>0</v>
      </c>
      <c r="AT36" s="129">
        <f t="shared" si="12"/>
        <v>0</v>
      </c>
      <c r="AU36" s="129">
        <f t="shared" si="13"/>
        <v>0</v>
      </c>
      <c r="AV36" s="129">
        <f t="shared" si="14"/>
        <v>0</v>
      </c>
      <c r="AW36" s="129">
        <f t="shared" si="15"/>
        <v>0</v>
      </c>
      <c r="AY36" s="162" t="str">
        <f>IF(ISBLANK(C36),"",NOT(ISERROR(MATCH(C36,Deltagarlista!$E$5:$E$64,0))))</f>
        <v/>
      </c>
      <c r="AZ36" s="162" t="str">
        <f>IF(ISBLANK(D36),"",NOT(ISERROR(MATCH(D36,Deltagarlista!$E$5:$E$64,0))))</f>
        <v/>
      </c>
      <c r="BA36" s="162" t="str">
        <f>IF(ISBLANK(E36),"",NOT(ISERROR(MATCH(E36,Deltagarlista!$E$5:$E$64,0))))</f>
        <v/>
      </c>
      <c r="BB36" s="162" t="str">
        <f>IF(ISBLANK(F36),"",NOT(ISERROR(MATCH(F36,Deltagarlista!$E$5:$E$64,0))))</f>
        <v/>
      </c>
      <c r="BC36" s="162" t="str">
        <f>IF(ISBLANK(G36),"",NOT(ISERROR(MATCH(G36,Deltagarlista!$E$5:$E$64,0))))</f>
        <v/>
      </c>
      <c r="BD36" s="162" t="str">
        <f>IF(ISBLANK(H36),"",NOT(ISERROR(MATCH(H36,Deltagarlista!$E$5:$E$64,0))))</f>
        <v/>
      </c>
      <c r="BE36" s="162" t="str">
        <f>IF(ISBLANK(I36),"",NOT(ISERROR(MATCH(I36,Deltagarlista!$E$5:$E$64,0))))</f>
        <v/>
      </c>
      <c r="BF36" s="162" t="str">
        <f>IF(ISBLANK(J36),"",NOT(ISERROR(MATCH(J36,Deltagarlista!$E$5:$E$64,0))))</f>
        <v/>
      </c>
      <c r="BG36" s="162" t="str">
        <f>IF(ISBLANK(K36),"",NOT(ISERROR(MATCH(K36,Deltagarlista!$E$5:$E$64,0))))</f>
        <v/>
      </c>
      <c r="BH36" s="162" t="str">
        <f>IF(ISBLANK(L36),"",NOT(ISERROR(MATCH(L36,Deltagarlista!$E$5:$E$64,0))))</f>
        <v/>
      </c>
      <c r="BI36" s="162" t="str">
        <f>IF(ISBLANK(M36),"",NOT(ISERROR(MATCH(M36,Deltagarlista!$E$5:$E$64,0))))</f>
        <v/>
      </c>
      <c r="BJ36" s="162" t="str">
        <f>IF(ISBLANK(N36),"",NOT(ISERROR(MATCH(N36,Deltagarlista!$E$5:$E$64,0))))</f>
        <v/>
      </c>
      <c r="BK36" s="162" t="str">
        <f>IF(ISBLANK(O36),"",NOT(ISERROR(MATCH(O36,Deltagarlista!$E$5:$E$64,0))))</f>
        <v/>
      </c>
      <c r="BL36" s="162" t="str">
        <f>IF(ISBLANK(P36),"",NOT(ISERROR(MATCH(P36,Deltagarlista!$E$5:$E$64,0))))</f>
        <v/>
      </c>
      <c r="BM36" s="162" t="str">
        <f>IF(ISBLANK(Q36),"",NOT(ISERROR(MATCH(Q36,Deltagarlista!$E$5:$E$64,0))))</f>
        <v/>
      </c>
      <c r="BN36" s="167"/>
      <c r="BO36" s="162">
        <f>SUM(COUNTIF($C$8:$Q$45,Deltagarlista!E33)+COUNTIF($C$53:$Q$90,Deltagarlista!E33)+COUNTIF($C$98:$Q$135,Deltagarlista!E33)+COUNTIF($C$143:$Q$180,Deltagarlista!E33))</f>
        <v>0</v>
      </c>
      <c r="BP36" s="162">
        <f t="shared" si="18"/>
        <v>1</v>
      </c>
      <c r="BQ36" s="162">
        <f t="shared" si="19"/>
        <v>1</v>
      </c>
      <c r="BR36" s="162">
        <f t="shared" si="20"/>
        <v>1</v>
      </c>
      <c r="BS36" s="162">
        <f t="shared" si="21"/>
        <v>1</v>
      </c>
      <c r="BT36" s="162">
        <f t="shared" si="22"/>
        <v>1</v>
      </c>
      <c r="BU36" s="162">
        <f t="shared" si="23"/>
        <v>1</v>
      </c>
      <c r="BV36" s="162">
        <f t="shared" si="24"/>
        <v>1</v>
      </c>
      <c r="BW36" s="162">
        <f t="shared" si="25"/>
        <v>1</v>
      </c>
      <c r="BX36" s="162">
        <f t="shared" si="26"/>
        <v>1</v>
      </c>
      <c r="BY36" s="162">
        <f t="shared" si="27"/>
        <v>1</v>
      </c>
      <c r="BZ36" s="162">
        <f t="shared" si="28"/>
        <v>1</v>
      </c>
      <c r="CA36" s="162">
        <f t="shared" si="29"/>
        <v>1</v>
      </c>
      <c r="CB36" s="162">
        <f t="shared" si="30"/>
        <v>1</v>
      </c>
      <c r="CC36" s="162">
        <f t="shared" si="31"/>
        <v>1</v>
      </c>
      <c r="CD36" s="162">
        <f t="shared" si="32"/>
        <v>1</v>
      </c>
      <c r="CE36" s="162">
        <f t="shared" si="33"/>
        <v>1</v>
      </c>
      <c r="CF36" s="162">
        <f t="shared" si="34"/>
        <v>1</v>
      </c>
      <c r="CG36" s="162">
        <f t="shared" si="35"/>
        <v>1</v>
      </c>
      <c r="CH36" s="162">
        <f t="shared" si="36"/>
        <v>1</v>
      </c>
      <c r="CI36" s="162">
        <f t="shared" si="37"/>
        <v>1</v>
      </c>
      <c r="CL36" s="184" t="str">
        <f>IF(Deltagarlista!E33="","",Deltagarlista!E33)</f>
        <v/>
      </c>
      <c r="CM36" s="162" t="str">
        <f>IF(Deltagarlista!I33="","",(IF(VLOOKUP(CL36,Deltagarlista!$E$5:$I$64,5,FALSE)="Grön","Gr",IF(VLOOKUP(CL36,Deltagarlista!$E$5:$I$64,5,FALSE)="Röd","R",IF(VLOOKUP(CL36,Deltagarlista!$E$5:$I$64,5,FALSE)="Blå","B","Gu")))))</f>
        <v/>
      </c>
      <c r="CO36" s="162" t="str">
        <f t="shared" si="16"/>
        <v/>
      </c>
      <c r="CP36" s="162" t="str">
        <f t="shared" si="17"/>
        <v/>
      </c>
      <c r="DK36" s="162" t="str">
        <f>IF(DM36="","",IF(ISBLANK(Deltagarlista!C32),"",Deltagarlista!C32))</f>
        <v/>
      </c>
      <c r="DL36" s="162" t="str">
        <f>IF(ISBLANK(Deltagarlista!I32),"",IF(Deltagarlista!I32="RÖD","R",IF(Deltagarlista!I32="GRÖN","G",IF(Deltagarlista!I32="BLÅ","B",IF(Deltagarlista!I32="GUL","G","")))))</f>
        <v/>
      </c>
      <c r="DM36" s="162">
        <f>IF(ISBLANK(Deltagarlista!H32),"",1)</f>
        <v>1</v>
      </c>
      <c r="DR36" s="162" t="str">
        <f t="shared" si="39"/>
        <v/>
      </c>
      <c r="DS36" s="162" t="str">
        <f t="shared" si="38"/>
        <v/>
      </c>
    </row>
    <row r="37" spans="2:123" ht="15.9" customHeight="1" thickBot="1" x14ac:dyDescent="0.35">
      <c r="B37" s="186">
        <v>30</v>
      </c>
      <c r="C37" s="217"/>
      <c r="D37" s="218"/>
      <c r="E37" s="219"/>
      <c r="F37" s="217"/>
      <c r="G37" s="218"/>
      <c r="H37" s="220"/>
      <c r="I37" s="221"/>
      <c r="J37" s="218"/>
      <c r="K37" s="219"/>
      <c r="L37" s="217"/>
      <c r="M37" s="218"/>
      <c r="N37" s="220"/>
      <c r="O37" s="221"/>
      <c r="P37" s="218"/>
      <c r="Q37" s="220"/>
      <c r="R37" s="187">
        <v>30</v>
      </c>
      <c r="S37" s="188">
        <v>30</v>
      </c>
      <c r="T37" s="188">
        <v>30</v>
      </c>
      <c r="U37" s="188">
        <v>30</v>
      </c>
      <c r="V37" s="188">
        <v>30</v>
      </c>
      <c r="W37" s="188">
        <v>30</v>
      </c>
      <c r="X37" s="188">
        <v>30</v>
      </c>
      <c r="Y37" s="188">
        <v>30</v>
      </c>
      <c r="Z37" s="188">
        <v>30</v>
      </c>
      <c r="AA37" s="188">
        <v>30</v>
      </c>
      <c r="AB37" s="188">
        <v>30</v>
      </c>
      <c r="AC37" s="188">
        <v>30</v>
      </c>
      <c r="AD37" s="188">
        <v>30</v>
      </c>
      <c r="AE37" s="188">
        <v>30</v>
      </c>
      <c r="AF37" s="188">
        <v>30</v>
      </c>
      <c r="AG37" s="188">
        <v>30</v>
      </c>
      <c r="AH37" s="166"/>
      <c r="AI37" s="129">
        <f t="shared" si="1"/>
        <v>0</v>
      </c>
      <c r="AJ37" s="129">
        <f t="shared" si="2"/>
        <v>0</v>
      </c>
      <c r="AK37" s="129">
        <f t="shared" si="3"/>
        <v>0</v>
      </c>
      <c r="AL37" s="129">
        <f t="shared" si="4"/>
        <v>0</v>
      </c>
      <c r="AM37" s="129">
        <f t="shared" si="5"/>
        <v>0</v>
      </c>
      <c r="AN37" s="129">
        <f t="shared" si="6"/>
        <v>0</v>
      </c>
      <c r="AO37" s="129">
        <f t="shared" si="7"/>
        <v>0</v>
      </c>
      <c r="AP37" s="129">
        <f t="shared" si="8"/>
        <v>0</v>
      </c>
      <c r="AQ37" s="129">
        <f t="shared" si="9"/>
        <v>0</v>
      </c>
      <c r="AR37" s="129">
        <f t="shared" si="10"/>
        <v>0</v>
      </c>
      <c r="AS37" s="129">
        <f t="shared" si="11"/>
        <v>0</v>
      </c>
      <c r="AT37" s="129">
        <f t="shared" si="12"/>
        <v>0</v>
      </c>
      <c r="AU37" s="129">
        <f t="shared" si="13"/>
        <v>0</v>
      </c>
      <c r="AV37" s="129">
        <f t="shared" si="14"/>
        <v>0</v>
      </c>
      <c r="AW37" s="129">
        <f t="shared" si="15"/>
        <v>0</v>
      </c>
      <c r="AY37" s="162" t="str">
        <f>IF(ISBLANK(C37),"",NOT(ISERROR(MATCH(C37,Deltagarlista!$E$5:$E$64,0))))</f>
        <v/>
      </c>
      <c r="AZ37" s="162" t="str">
        <f>IF(ISBLANK(D37),"",NOT(ISERROR(MATCH(D37,Deltagarlista!$E$5:$E$64,0))))</f>
        <v/>
      </c>
      <c r="BA37" s="162" t="str">
        <f>IF(ISBLANK(E37),"",NOT(ISERROR(MATCH(E37,Deltagarlista!$E$5:$E$64,0))))</f>
        <v/>
      </c>
      <c r="BB37" s="162" t="str">
        <f>IF(ISBLANK(F37),"",NOT(ISERROR(MATCH(F37,Deltagarlista!$E$5:$E$64,0))))</f>
        <v/>
      </c>
      <c r="BC37" s="162" t="str">
        <f>IF(ISBLANK(G37),"",NOT(ISERROR(MATCH(G37,Deltagarlista!$E$5:$E$64,0))))</f>
        <v/>
      </c>
      <c r="BD37" s="162" t="str">
        <f>IF(ISBLANK(H37),"",NOT(ISERROR(MATCH(H37,Deltagarlista!$E$5:$E$64,0))))</f>
        <v/>
      </c>
      <c r="BE37" s="162" t="str">
        <f>IF(ISBLANK(I37),"",NOT(ISERROR(MATCH(I37,Deltagarlista!$E$5:$E$64,0))))</f>
        <v/>
      </c>
      <c r="BF37" s="162" t="str">
        <f>IF(ISBLANK(J37),"",NOT(ISERROR(MATCH(J37,Deltagarlista!$E$5:$E$64,0))))</f>
        <v/>
      </c>
      <c r="BG37" s="162" t="str">
        <f>IF(ISBLANK(K37),"",NOT(ISERROR(MATCH(K37,Deltagarlista!$E$5:$E$64,0))))</f>
        <v/>
      </c>
      <c r="BH37" s="162" t="str">
        <f>IF(ISBLANK(L37),"",NOT(ISERROR(MATCH(L37,Deltagarlista!$E$5:$E$64,0))))</f>
        <v/>
      </c>
      <c r="BI37" s="162" t="str">
        <f>IF(ISBLANK(M37),"",NOT(ISERROR(MATCH(M37,Deltagarlista!$E$5:$E$64,0))))</f>
        <v/>
      </c>
      <c r="BJ37" s="162" t="str">
        <f>IF(ISBLANK(N37),"",NOT(ISERROR(MATCH(N37,Deltagarlista!$E$5:$E$64,0))))</f>
        <v/>
      </c>
      <c r="BK37" s="162" t="str">
        <f>IF(ISBLANK(O37),"",NOT(ISERROR(MATCH(O37,Deltagarlista!$E$5:$E$64,0))))</f>
        <v/>
      </c>
      <c r="BL37" s="162" t="str">
        <f>IF(ISBLANK(P37),"",NOT(ISERROR(MATCH(P37,Deltagarlista!$E$5:$E$64,0))))</f>
        <v/>
      </c>
      <c r="BM37" s="162" t="str">
        <f>IF(ISBLANK(Q37),"",NOT(ISERROR(MATCH(Q37,Deltagarlista!$E$5:$E$64,0))))</f>
        <v/>
      </c>
      <c r="BN37" s="167"/>
      <c r="BO37" s="162">
        <f>SUM(COUNTIF($C$8:$Q$45,Deltagarlista!E34)+COUNTIF($C$53:$Q$90,Deltagarlista!E34)+COUNTIF($C$98:$Q$135,Deltagarlista!E34)+COUNTIF($C$143:$Q$180,Deltagarlista!E34))</f>
        <v>0</v>
      </c>
      <c r="BP37" s="162">
        <f t="shared" si="18"/>
        <v>1</v>
      </c>
      <c r="BQ37" s="162">
        <f t="shared" si="19"/>
        <v>1</v>
      </c>
      <c r="BR37" s="162">
        <f t="shared" si="20"/>
        <v>1</v>
      </c>
      <c r="BS37" s="162">
        <f t="shared" si="21"/>
        <v>1</v>
      </c>
      <c r="BT37" s="162">
        <f t="shared" si="22"/>
        <v>1</v>
      </c>
      <c r="BU37" s="162">
        <f t="shared" si="23"/>
        <v>1</v>
      </c>
      <c r="BV37" s="162">
        <f t="shared" si="24"/>
        <v>1</v>
      </c>
      <c r="BW37" s="162">
        <f t="shared" si="25"/>
        <v>1</v>
      </c>
      <c r="BX37" s="162">
        <f t="shared" si="26"/>
        <v>1</v>
      </c>
      <c r="BY37" s="162">
        <f t="shared" si="27"/>
        <v>1</v>
      </c>
      <c r="BZ37" s="162">
        <f t="shared" si="28"/>
        <v>1</v>
      </c>
      <c r="CA37" s="162">
        <f t="shared" si="29"/>
        <v>1</v>
      </c>
      <c r="CB37" s="162">
        <f t="shared" si="30"/>
        <v>1</v>
      </c>
      <c r="CC37" s="162">
        <f t="shared" si="31"/>
        <v>1</v>
      </c>
      <c r="CD37" s="162">
        <f t="shared" si="32"/>
        <v>1</v>
      </c>
      <c r="CE37" s="162">
        <f t="shared" si="33"/>
        <v>1</v>
      </c>
      <c r="CF37" s="162">
        <f t="shared" si="34"/>
        <v>1</v>
      </c>
      <c r="CG37" s="162">
        <f t="shared" si="35"/>
        <v>1</v>
      </c>
      <c r="CH37" s="162">
        <f t="shared" si="36"/>
        <v>1</v>
      </c>
      <c r="CI37" s="162">
        <f t="shared" si="37"/>
        <v>1</v>
      </c>
      <c r="CL37" s="184" t="str">
        <f>IF(Deltagarlista!E34="","",Deltagarlista!E34)</f>
        <v/>
      </c>
      <c r="CM37" s="162" t="str">
        <f>IF(Deltagarlista!I34="","",(IF(VLOOKUP(CL37,Deltagarlista!$E$5:$I$64,5,FALSE)="Grön","Gr",IF(VLOOKUP(CL37,Deltagarlista!$E$5:$I$64,5,FALSE)="Röd","R",IF(VLOOKUP(CL37,Deltagarlista!$E$5:$I$64,5,FALSE)="Blå","B","Gu")))))</f>
        <v/>
      </c>
      <c r="CO37" s="162" t="str">
        <f t="shared" si="16"/>
        <v/>
      </c>
      <c r="CP37" s="162" t="str">
        <f t="shared" si="17"/>
        <v/>
      </c>
      <c r="DK37" s="162" t="str">
        <f>IF(DM37="","",IF(ISBLANK(Deltagarlista!C33),"",Deltagarlista!C33))</f>
        <v/>
      </c>
      <c r="DL37" s="162" t="str">
        <f>IF(ISBLANK(Deltagarlista!I33),"",IF(Deltagarlista!I33="RÖD","R",IF(Deltagarlista!I33="GRÖN","G",IF(Deltagarlista!I33="BLÅ","B",IF(Deltagarlista!I33="GUL","G","")))))</f>
        <v/>
      </c>
      <c r="DM37" s="162">
        <f>IF(ISBLANK(Deltagarlista!H33),"",1)</f>
        <v>1</v>
      </c>
      <c r="DR37" s="162" t="str">
        <f t="shared" ref="DR37:DR39" si="40">IF(DL37="R",DK37,"")</f>
        <v/>
      </c>
      <c r="DS37" s="162" t="str">
        <f t="shared" si="38"/>
        <v/>
      </c>
    </row>
    <row r="38" spans="2:123" ht="15.9" customHeight="1" x14ac:dyDescent="0.3">
      <c r="B38" s="189" t="s">
        <v>5</v>
      </c>
      <c r="C38" s="24"/>
      <c r="D38" s="25"/>
      <c r="E38" s="37"/>
      <c r="F38" s="24"/>
      <c r="G38" s="25"/>
      <c r="H38" s="26"/>
      <c r="I38" s="40"/>
      <c r="J38" s="25"/>
      <c r="K38" s="37"/>
      <c r="L38" s="24"/>
      <c r="M38" s="25"/>
      <c r="N38" s="26"/>
      <c r="O38" s="40"/>
      <c r="P38" s="25"/>
      <c r="Q38" s="26"/>
      <c r="R38" s="190" t="s">
        <v>5</v>
      </c>
      <c r="S38" s="188" t="s">
        <v>5</v>
      </c>
      <c r="T38" s="188" t="s">
        <v>5</v>
      </c>
      <c r="U38" s="188" t="s">
        <v>5</v>
      </c>
      <c r="V38" s="188" t="s">
        <v>5</v>
      </c>
      <c r="W38" s="188" t="s">
        <v>5</v>
      </c>
      <c r="X38" s="188" t="s">
        <v>5</v>
      </c>
      <c r="Y38" s="188" t="s">
        <v>5</v>
      </c>
      <c r="Z38" s="188" t="s">
        <v>5</v>
      </c>
      <c r="AA38" s="188" t="s">
        <v>5</v>
      </c>
      <c r="AB38" s="188" t="s">
        <v>5</v>
      </c>
      <c r="AC38" s="188" t="s">
        <v>5</v>
      </c>
      <c r="AD38" s="188" t="s">
        <v>5</v>
      </c>
      <c r="AE38" s="188" t="s">
        <v>5</v>
      </c>
      <c r="AF38" s="188" t="s">
        <v>5</v>
      </c>
      <c r="AG38" s="188" t="s">
        <v>5</v>
      </c>
      <c r="AH38" s="166"/>
      <c r="AI38" s="129">
        <f t="shared" si="1"/>
        <v>0</v>
      </c>
      <c r="AJ38" s="129">
        <f t="shared" si="2"/>
        <v>0</v>
      </c>
      <c r="AK38" s="129">
        <f t="shared" si="3"/>
        <v>0</v>
      </c>
      <c r="AL38" s="129">
        <f t="shared" si="4"/>
        <v>0</v>
      </c>
      <c r="AM38" s="129">
        <f t="shared" si="5"/>
        <v>0</v>
      </c>
      <c r="AN38" s="129">
        <f t="shared" si="6"/>
        <v>0</v>
      </c>
      <c r="AO38" s="129">
        <f t="shared" si="7"/>
        <v>0</v>
      </c>
      <c r="AP38" s="129">
        <f t="shared" si="8"/>
        <v>0</v>
      </c>
      <c r="AQ38" s="129">
        <f t="shared" si="9"/>
        <v>0</v>
      </c>
      <c r="AR38" s="129">
        <f t="shared" si="10"/>
        <v>0</v>
      </c>
      <c r="AS38" s="129">
        <f t="shared" si="11"/>
        <v>0</v>
      </c>
      <c r="AT38" s="129">
        <f t="shared" si="12"/>
        <v>0</v>
      </c>
      <c r="AU38" s="129">
        <f t="shared" si="13"/>
        <v>0</v>
      </c>
      <c r="AV38" s="129">
        <f t="shared" si="14"/>
        <v>0</v>
      </c>
      <c r="AW38" s="129">
        <f t="shared" si="15"/>
        <v>0</v>
      </c>
      <c r="AY38" s="162" t="str">
        <f>IF(ISBLANK(C38),"",NOT(ISERROR(MATCH(C38,Deltagarlista!$E$5:$E$64,0))))</f>
        <v/>
      </c>
      <c r="AZ38" s="162" t="str">
        <f>IF(ISBLANK(D38),"",NOT(ISERROR(MATCH(D38,Deltagarlista!$E$5:$E$64,0))))</f>
        <v/>
      </c>
      <c r="BA38" s="162" t="str">
        <f>IF(ISBLANK(E38),"",NOT(ISERROR(MATCH(E38,Deltagarlista!$E$5:$E$64,0))))</f>
        <v/>
      </c>
      <c r="BB38" s="162" t="str">
        <f>IF(ISBLANK(F38),"",NOT(ISERROR(MATCH(F38,Deltagarlista!$E$5:$E$64,0))))</f>
        <v/>
      </c>
      <c r="BC38" s="162" t="str">
        <f>IF(ISBLANK(G38),"",NOT(ISERROR(MATCH(G38,Deltagarlista!$E$5:$E$64,0))))</f>
        <v/>
      </c>
      <c r="BD38" s="162" t="str">
        <f>IF(ISBLANK(H38),"",NOT(ISERROR(MATCH(H38,Deltagarlista!$E$5:$E$64,0))))</f>
        <v/>
      </c>
      <c r="BE38" s="162" t="str">
        <f>IF(ISBLANK(I38),"",NOT(ISERROR(MATCH(I38,Deltagarlista!$E$5:$E$64,0))))</f>
        <v/>
      </c>
      <c r="BF38" s="162" t="str">
        <f>IF(ISBLANK(J38),"",NOT(ISERROR(MATCH(J38,Deltagarlista!$E$5:$E$64,0))))</f>
        <v/>
      </c>
      <c r="BG38" s="162" t="str">
        <f>IF(ISBLANK(K38),"",NOT(ISERROR(MATCH(K38,Deltagarlista!$E$5:$E$64,0))))</f>
        <v/>
      </c>
      <c r="BH38" s="162" t="str">
        <f>IF(ISBLANK(L38),"",NOT(ISERROR(MATCH(L38,Deltagarlista!$E$5:$E$64,0))))</f>
        <v/>
      </c>
      <c r="BI38" s="162" t="str">
        <f>IF(ISBLANK(M38),"",NOT(ISERROR(MATCH(M38,Deltagarlista!$E$5:$E$64,0))))</f>
        <v/>
      </c>
      <c r="BJ38" s="162" t="str">
        <f>IF(ISBLANK(N38),"",NOT(ISERROR(MATCH(N38,Deltagarlista!$E$5:$E$64,0))))</f>
        <v/>
      </c>
      <c r="BK38" s="162" t="str">
        <f>IF(ISBLANK(O38),"",NOT(ISERROR(MATCH(O38,Deltagarlista!$E$5:$E$64,0))))</f>
        <v/>
      </c>
      <c r="BL38" s="162" t="str">
        <f>IF(ISBLANK(P38),"",NOT(ISERROR(MATCH(P38,Deltagarlista!$E$5:$E$64,0))))</f>
        <v/>
      </c>
      <c r="BM38" s="162" t="str">
        <f>IF(ISBLANK(Q38),"",NOT(ISERROR(MATCH(Q38,Deltagarlista!$E$5:$E$64,0))))</f>
        <v/>
      </c>
      <c r="BN38" s="167"/>
      <c r="BO38" s="162">
        <f>SUM(COUNTIF($C$8:$Q$45,Deltagarlista!E35)+COUNTIF($C$53:$Q$90,Deltagarlista!E35)+COUNTIF($C$98:$Q$135,Deltagarlista!E35)+COUNTIF($C$143:$Q$180,Deltagarlista!E35))</f>
        <v>0</v>
      </c>
      <c r="BP38" s="162">
        <f t="shared" si="18"/>
        <v>1</v>
      </c>
      <c r="BQ38" s="162">
        <f t="shared" si="19"/>
        <v>1</v>
      </c>
      <c r="BR38" s="162">
        <f t="shared" si="20"/>
        <v>1</v>
      </c>
      <c r="BS38" s="162">
        <f t="shared" si="21"/>
        <v>1</v>
      </c>
      <c r="BT38" s="162">
        <f t="shared" si="22"/>
        <v>1</v>
      </c>
      <c r="BU38" s="162">
        <f t="shared" si="23"/>
        <v>1</v>
      </c>
      <c r="BV38" s="162">
        <f t="shared" si="24"/>
        <v>1</v>
      </c>
      <c r="BW38" s="162">
        <f t="shared" si="25"/>
        <v>1</v>
      </c>
      <c r="BX38" s="162">
        <f t="shared" si="26"/>
        <v>1</v>
      </c>
      <c r="BY38" s="162">
        <f t="shared" si="27"/>
        <v>1</v>
      </c>
      <c r="BZ38" s="162">
        <f t="shared" si="28"/>
        <v>1</v>
      </c>
      <c r="CA38" s="162">
        <f t="shared" si="29"/>
        <v>1</v>
      </c>
      <c r="CB38" s="162">
        <f t="shared" si="30"/>
        <v>1</v>
      </c>
      <c r="CC38" s="162">
        <f t="shared" si="31"/>
        <v>1</v>
      </c>
      <c r="CD38" s="162">
        <f t="shared" si="32"/>
        <v>1</v>
      </c>
      <c r="CE38" s="162">
        <f t="shared" si="33"/>
        <v>1</v>
      </c>
      <c r="CF38" s="162">
        <f t="shared" si="34"/>
        <v>1</v>
      </c>
      <c r="CG38" s="162">
        <f t="shared" si="35"/>
        <v>1</v>
      </c>
      <c r="CH38" s="162">
        <f t="shared" si="36"/>
        <v>1</v>
      </c>
      <c r="CI38" s="162">
        <f t="shared" si="37"/>
        <v>1</v>
      </c>
      <c r="CL38" s="184" t="str">
        <f>IF(Deltagarlista!E35="","",Deltagarlista!E35)</f>
        <v/>
      </c>
      <c r="CM38" s="162" t="str">
        <f>IF(Deltagarlista!I35="","",(IF(VLOOKUP(CL38,Deltagarlista!$E$5:$I$64,5,FALSE)="Grön","Gr",IF(VLOOKUP(CL38,Deltagarlista!$E$5:$I$64,5,FALSE)="Röd","R",IF(VLOOKUP(CL38,Deltagarlista!$E$5:$I$64,5,FALSE)="Blå","B","Gu")))))</f>
        <v/>
      </c>
      <c r="CO38" s="162" t="str">
        <f t="shared" si="16"/>
        <v/>
      </c>
      <c r="CP38" s="162" t="str">
        <f t="shared" si="17"/>
        <v/>
      </c>
      <c r="DK38" s="162" t="str">
        <f>IF(DM38="","",IF(ISBLANK(Deltagarlista!C34),"",Deltagarlista!C34))</f>
        <v/>
      </c>
      <c r="DL38" s="162" t="str">
        <f>IF(ISBLANK(Deltagarlista!I34),"",IF(Deltagarlista!I34="RÖD","R",IF(Deltagarlista!I34="GRÖN","G",IF(Deltagarlista!I34="BLÅ","B",IF(Deltagarlista!I34="GUL","G","")))))</f>
        <v/>
      </c>
      <c r="DM38" s="162">
        <f>IF(ISBLANK(Deltagarlista!H34),"",1)</f>
        <v>1</v>
      </c>
      <c r="DR38" s="162" t="str">
        <f t="shared" si="40"/>
        <v/>
      </c>
      <c r="DS38" s="162" t="str">
        <f t="shared" si="38"/>
        <v/>
      </c>
    </row>
    <row r="39" spans="2:123" ht="15.9" customHeight="1" x14ac:dyDescent="0.3">
      <c r="B39" s="189" t="s">
        <v>5</v>
      </c>
      <c r="C39" s="27"/>
      <c r="D39" s="28"/>
      <c r="E39" s="38"/>
      <c r="F39" s="27"/>
      <c r="G39" s="28"/>
      <c r="H39" s="29"/>
      <c r="I39" s="41"/>
      <c r="J39" s="28"/>
      <c r="K39" s="38"/>
      <c r="L39" s="27"/>
      <c r="M39" s="28"/>
      <c r="N39" s="29"/>
      <c r="O39" s="41"/>
      <c r="P39" s="28"/>
      <c r="Q39" s="29"/>
      <c r="R39" s="190" t="s">
        <v>5</v>
      </c>
      <c r="S39" s="188" t="s">
        <v>5</v>
      </c>
      <c r="T39" s="188" t="s">
        <v>5</v>
      </c>
      <c r="U39" s="188" t="s">
        <v>5</v>
      </c>
      <c r="V39" s="188" t="s">
        <v>5</v>
      </c>
      <c r="W39" s="188" t="s">
        <v>5</v>
      </c>
      <c r="X39" s="188" t="s">
        <v>5</v>
      </c>
      <c r="Y39" s="188" t="s">
        <v>5</v>
      </c>
      <c r="Z39" s="188" t="s">
        <v>5</v>
      </c>
      <c r="AA39" s="188" t="s">
        <v>5</v>
      </c>
      <c r="AB39" s="188" t="s">
        <v>5</v>
      </c>
      <c r="AC39" s="188" t="s">
        <v>5</v>
      </c>
      <c r="AD39" s="188" t="s">
        <v>5</v>
      </c>
      <c r="AE39" s="188" t="s">
        <v>5</v>
      </c>
      <c r="AF39" s="188" t="s">
        <v>5</v>
      </c>
      <c r="AG39" s="188" t="s">
        <v>5</v>
      </c>
      <c r="AH39" s="166"/>
      <c r="AI39" s="129">
        <f t="shared" si="1"/>
        <v>0</v>
      </c>
      <c r="AJ39" s="129">
        <f t="shared" si="2"/>
        <v>0</v>
      </c>
      <c r="AK39" s="129">
        <f t="shared" si="3"/>
        <v>0</v>
      </c>
      <c r="AL39" s="129">
        <f t="shared" si="4"/>
        <v>0</v>
      </c>
      <c r="AM39" s="129">
        <f t="shared" si="5"/>
        <v>0</v>
      </c>
      <c r="AN39" s="129">
        <f t="shared" si="6"/>
        <v>0</v>
      </c>
      <c r="AO39" s="129">
        <f t="shared" si="7"/>
        <v>0</v>
      </c>
      <c r="AP39" s="129">
        <f t="shared" si="8"/>
        <v>0</v>
      </c>
      <c r="AQ39" s="129">
        <f t="shared" si="9"/>
        <v>0</v>
      </c>
      <c r="AR39" s="129">
        <f t="shared" si="10"/>
        <v>0</v>
      </c>
      <c r="AS39" s="129">
        <f t="shared" si="11"/>
        <v>0</v>
      </c>
      <c r="AT39" s="129">
        <f t="shared" si="12"/>
        <v>0</v>
      </c>
      <c r="AU39" s="129">
        <f t="shared" si="13"/>
        <v>0</v>
      </c>
      <c r="AV39" s="129">
        <f t="shared" si="14"/>
        <v>0</v>
      </c>
      <c r="AW39" s="129">
        <f t="shared" si="15"/>
        <v>0</v>
      </c>
      <c r="AY39" s="162" t="str">
        <f>IF(ISBLANK(C39),"",NOT(ISERROR(MATCH(C39,Deltagarlista!$E$5:$E$64,0))))</f>
        <v/>
      </c>
      <c r="AZ39" s="162" t="str">
        <f>IF(ISBLANK(D39),"",NOT(ISERROR(MATCH(D39,Deltagarlista!$E$5:$E$64,0))))</f>
        <v/>
      </c>
      <c r="BA39" s="162" t="str">
        <f>IF(ISBLANK(E39),"",NOT(ISERROR(MATCH(E39,Deltagarlista!$E$5:$E$64,0))))</f>
        <v/>
      </c>
      <c r="BB39" s="162" t="str">
        <f>IF(ISBLANK(F39),"",NOT(ISERROR(MATCH(F39,Deltagarlista!$E$5:$E$64,0))))</f>
        <v/>
      </c>
      <c r="BC39" s="162" t="str">
        <f>IF(ISBLANK(G39),"",NOT(ISERROR(MATCH(G39,Deltagarlista!$E$5:$E$64,0))))</f>
        <v/>
      </c>
      <c r="BD39" s="162" t="str">
        <f>IF(ISBLANK(H39),"",NOT(ISERROR(MATCH(H39,Deltagarlista!$E$5:$E$64,0))))</f>
        <v/>
      </c>
      <c r="BE39" s="162" t="str">
        <f>IF(ISBLANK(I39),"",NOT(ISERROR(MATCH(I39,Deltagarlista!$E$5:$E$64,0))))</f>
        <v/>
      </c>
      <c r="BF39" s="162" t="str">
        <f>IF(ISBLANK(J39),"",NOT(ISERROR(MATCH(J39,Deltagarlista!$E$5:$E$64,0))))</f>
        <v/>
      </c>
      <c r="BG39" s="162" t="str">
        <f>IF(ISBLANK(K39),"",NOT(ISERROR(MATCH(K39,Deltagarlista!$E$5:$E$64,0))))</f>
        <v/>
      </c>
      <c r="BH39" s="162" t="str">
        <f>IF(ISBLANK(L39),"",NOT(ISERROR(MATCH(L39,Deltagarlista!$E$5:$E$64,0))))</f>
        <v/>
      </c>
      <c r="BI39" s="162" t="str">
        <f>IF(ISBLANK(M39),"",NOT(ISERROR(MATCH(M39,Deltagarlista!$E$5:$E$64,0))))</f>
        <v/>
      </c>
      <c r="BJ39" s="162" t="str">
        <f>IF(ISBLANK(N39),"",NOT(ISERROR(MATCH(N39,Deltagarlista!$E$5:$E$64,0))))</f>
        <v/>
      </c>
      <c r="BK39" s="162" t="str">
        <f>IF(ISBLANK(O39),"",NOT(ISERROR(MATCH(O39,Deltagarlista!$E$5:$E$64,0))))</f>
        <v/>
      </c>
      <c r="BL39" s="162" t="str">
        <f>IF(ISBLANK(P39),"",NOT(ISERROR(MATCH(P39,Deltagarlista!$E$5:$E$64,0))))</f>
        <v/>
      </c>
      <c r="BM39" s="162" t="str">
        <f>IF(ISBLANK(Q39),"",NOT(ISERROR(MATCH(Q39,Deltagarlista!$E$5:$E$64,0))))</f>
        <v/>
      </c>
      <c r="BN39" s="167"/>
      <c r="BO39" s="162">
        <f>SUM(COUNTIF($C$8:$Q$45,Deltagarlista!E36)+COUNTIF($C$53:$Q$90,Deltagarlista!E36)+COUNTIF($C$98:$Q$135,Deltagarlista!E36)+COUNTIF($C$143:$Q$180,Deltagarlista!E36))</f>
        <v>0</v>
      </c>
      <c r="BP39" s="162">
        <f t="shared" si="18"/>
        <v>1</v>
      </c>
      <c r="BQ39" s="162">
        <f t="shared" si="19"/>
        <v>1</v>
      </c>
      <c r="BR39" s="162">
        <f t="shared" si="20"/>
        <v>1</v>
      </c>
      <c r="BS39" s="162">
        <f t="shared" si="21"/>
        <v>1</v>
      </c>
      <c r="BT39" s="162">
        <f t="shared" si="22"/>
        <v>1</v>
      </c>
      <c r="BU39" s="162">
        <f t="shared" si="23"/>
        <v>1</v>
      </c>
      <c r="BV39" s="162">
        <f t="shared" si="24"/>
        <v>1</v>
      </c>
      <c r="BW39" s="162">
        <f t="shared" si="25"/>
        <v>1</v>
      </c>
      <c r="BX39" s="162">
        <f t="shared" si="26"/>
        <v>1</v>
      </c>
      <c r="BY39" s="162">
        <f t="shared" si="27"/>
        <v>1</v>
      </c>
      <c r="BZ39" s="162">
        <f t="shared" si="28"/>
        <v>1</v>
      </c>
      <c r="CA39" s="162">
        <f t="shared" si="29"/>
        <v>1</v>
      </c>
      <c r="CB39" s="162">
        <f t="shared" si="30"/>
        <v>1</v>
      </c>
      <c r="CC39" s="162">
        <f t="shared" si="31"/>
        <v>1</v>
      </c>
      <c r="CD39" s="162">
        <f t="shared" si="32"/>
        <v>1</v>
      </c>
      <c r="CE39" s="162">
        <f t="shared" si="33"/>
        <v>1</v>
      </c>
      <c r="CF39" s="162">
        <f t="shared" si="34"/>
        <v>1</v>
      </c>
      <c r="CG39" s="162">
        <f t="shared" si="35"/>
        <v>1</v>
      </c>
      <c r="CH39" s="162">
        <f t="shared" si="36"/>
        <v>1</v>
      </c>
      <c r="CI39" s="162">
        <f t="shared" si="37"/>
        <v>1</v>
      </c>
      <c r="CL39" s="184" t="str">
        <f>IF(Deltagarlista!E36="","",Deltagarlista!E36)</f>
        <v/>
      </c>
      <c r="CM39" s="162" t="str">
        <f>IF(Deltagarlista!I36="","",(IF(VLOOKUP(CL39,Deltagarlista!$E$5:$I$64,5,FALSE)="Grön","Gr",IF(VLOOKUP(CL39,Deltagarlista!$E$5:$I$64,5,FALSE)="Röd","R",IF(VLOOKUP(CL39,Deltagarlista!$E$5:$I$64,5,FALSE)="Blå","B","Gu")))))</f>
        <v/>
      </c>
      <c r="CO39" s="162" t="str">
        <f t="shared" si="16"/>
        <v/>
      </c>
      <c r="CP39" s="162" t="str">
        <f t="shared" si="17"/>
        <v/>
      </c>
      <c r="DK39" s="162" t="str">
        <f>IF(DM39="","",IF(ISBLANK(Deltagarlista!C35),"",Deltagarlista!C35))</f>
        <v/>
      </c>
      <c r="DL39" s="162" t="str">
        <f>IF(ISBLANK(Deltagarlista!I35),"",IF(Deltagarlista!I35="RÖD","R",IF(Deltagarlista!I35="GRÖN","G",IF(Deltagarlista!I35="BLÅ","B",IF(Deltagarlista!I35="GUL","G","")))))</f>
        <v/>
      </c>
      <c r="DM39" s="162">
        <f>IF(ISBLANK(Deltagarlista!H35),"",1)</f>
        <v>1</v>
      </c>
      <c r="DR39" s="162" t="str">
        <f t="shared" si="40"/>
        <v/>
      </c>
      <c r="DS39" s="162" t="str">
        <f t="shared" si="38"/>
        <v/>
      </c>
    </row>
    <row r="40" spans="2:123" ht="15.9" customHeight="1" x14ac:dyDescent="0.3">
      <c r="B40" s="189" t="s">
        <v>5</v>
      </c>
      <c r="C40" s="27"/>
      <c r="D40" s="28"/>
      <c r="E40" s="38"/>
      <c r="F40" s="27"/>
      <c r="G40" s="28"/>
      <c r="H40" s="29"/>
      <c r="I40" s="41"/>
      <c r="J40" s="28"/>
      <c r="K40" s="38"/>
      <c r="L40" s="27"/>
      <c r="M40" s="28"/>
      <c r="N40" s="29"/>
      <c r="O40" s="41"/>
      <c r="P40" s="28"/>
      <c r="Q40" s="29"/>
      <c r="R40" s="190" t="s">
        <v>5</v>
      </c>
      <c r="S40" s="188" t="s">
        <v>5</v>
      </c>
      <c r="T40" s="188" t="s">
        <v>5</v>
      </c>
      <c r="U40" s="188" t="s">
        <v>5</v>
      </c>
      <c r="V40" s="188" t="s">
        <v>5</v>
      </c>
      <c r="W40" s="188" t="s">
        <v>5</v>
      </c>
      <c r="X40" s="188" t="s">
        <v>5</v>
      </c>
      <c r="Y40" s="188" t="s">
        <v>5</v>
      </c>
      <c r="Z40" s="188" t="s">
        <v>5</v>
      </c>
      <c r="AA40" s="188" t="s">
        <v>5</v>
      </c>
      <c r="AB40" s="188" t="s">
        <v>5</v>
      </c>
      <c r="AC40" s="188" t="s">
        <v>5</v>
      </c>
      <c r="AD40" s="188" t="s">
        <v>5</v>
      </c>
      <c r="AE40" s="188" t="s">
        <v>5</v>
      </c>
      <c r="AF40" s="188" t="s">
        <v>5</v>
      </c>
      <c r="AG40" s="188" t="s">
        <v>5</v>
      </c>
      <c r="AH40" s="166"/>
      <c r="AI40" s="129">
        <f t="shared" si="1"/>
        <v>0</v>
      </c>
      <c r="AJ40" s="129">
        <f t="shared" si="2"/>
        <v>0</v>
      </c>
      <c r="AK40" s="129">
        <f t="shared" si="3"/>
        <v>0</v>
      </c>
      <c r="AL40" s="129">
        <f t="shared" si="4"/>
        <v>0</v>
      </c>
      <c r="AM40" s="129">
        <f t="shared" si="5"/>
        <v>0</v>
      </c>
      <c r="AN40" s="129">
        <f t="shared" si="6"/>
        <v>0</v>
      </c>
      <c r="AO40" s="129">
        <f t="shared" si="7"/>
        <v>0</v>
      </c>
      <c r="AP40" s="129">
        <f t="shared" si="8"/>
        <v>0</v>
      </c>
      <c r="AQ40" s="129">
        <f t="shared" si="9"/>
        <v>0</v>
      </c>
      <c r="AR40" s="129">
        <f t="shared" si="10"/>
        <v>0</v>
      </c>
      <c r="AS40" s="129">
        <f t="shared" si="11"/>
        <v>0</v>
      </c>
      <c r="AT40" s="129">
        <f t="shared" si="12"/>
        <v>0</v>
      </c>
      <c r="AU40" s="129">
        <f t="shared" si="13"/>
        <v>0</v>
      </c>
      <c r="AV40" s="129">
        <f t="shared" si="14"/>
        <v>0</v>
      </c>
      <c r="AW40" s="129">
        <f t="shared" si="15"/>
        <v>0</v>
      </c>
      <c r="AY40" s="162" t="str">
        <f>IF(ISBLANK(C40),"",NOT(ISERROR(MATCH(C40,Deltagarlista!$E$5:$E$64,0))))</f>
        <v/>
      </c>
      <c r="AZ40" s="162" t="str">
        <f>IF(ISBLANK(D40),"",NOT(ISERROR(MATCH(D40,Deltagarlista!$E$5:$E$64,0))))</f>
        <v/>
      </c>
      <c r="BA40" s="162" t="str">
        <f>IF(ISBLANK(E40),"",NOT(ISERROR(MATCH(E40,Deltagarlista!$E$5:$E$64,0))))</f>
        <v/>
      </c>
      <c r="BB40" s="162" t="str">
        <f>IF(ISBLANK(F40),"",NOT(ISERROR(MATCH(F40,Deltagarlista!$E$5:$E$64,0))))</f>
        <v/>
      </c>
      <c r="BC40" s="162" t="str">
        <f>IF(ISBLANK(G40),"",NOT(ISERROR(MATCH(G40,Deltagarlista!$E$5:$E$64,0))))</f>
        <v/>
      </c>
      <c r="BD40" s="162" t="str">
        <f>IF(ISBLANK(H40),"",NOT(ISERROR(MATCH(H40,Deltagarlista!$E$5:$E$64,0))))</f>
        <v/>
      </c>
      <c r="BE40" s="162" t="str">
        <f>IF(ISBLANK(I40),"",NOT(ISERROR(MATCH(I40,Deltagarlista!$E$5:$E$64,0))))</f>
        <v/>
      </c>
      <c r="BF40" s="162" t="str">
        <f>IF(ISBLANK(J40),"",NOT(ISERROR(MATCH(J40,Deltagarlista!$E$5:$E$64,0))))</f>
        <v/>
      </c>
      <c r="BG40" s="162" t="str">
        <f>IF(ISBLANK(K40),"",NOT(ISERROR(MATCH(K40,Deltagarlista!$E$5:$E$64,0))))</f>
        <v/>
      </c>
      <c r="BH40" s="162" t="str">
        <f>IF(ISBLANK(L40),"",NOT(ISERROR(MATCH(L40,Deltagarlista!$E$5:$E$64,0))))</f>
        <v/>
      </c>
      <c r="BI40" s="162" t="str">
        <f>IF(ISBLANK(M40),"",NOT(ISERROR(MATCH(M40,Deltagarlista!$E$5:$E$64,0))))</f>
        <v/>
      </c>
      <c r="BJ40" s="162" t="str">
        <f>IF(ISBLANK(N40),"",NOT(ISERROR(MATCH(N40,Deltagarlista!$E$5:$E$64,0))))</f>
        <v/>
      </c>
      <c r="BK40" s="162" t="str">
        <f>IF(ISBLANK(O40),"",NOT(ISERROR(MATCH(O40,Deltagarlista!$E$5:$E$64,0))))</f>
        <v/>
      </c>
      <c r="BL40" s="162" t="str">
        <f>IF(ISBLANK(P40),"",NOT(ISERROR(MATCH(P40,Deltagarlista!$E$5:$E$64,0))))</f>
        <v/>
      </c>
      <c r="BM40" s="162" t="str">
        <f>IF(ISBLANK(Q40),"",NOT(ISERROR(MATCH(Q40,Deltagarlista!$E$5:$E$64,0))))</f>
        <v/>
      </c>
      <c r="BN40" s="167"/>
      <c r="BO40" s="162">
        <f>SUM(COUNTIF($C$8:$Q$45,Deltagarlista!E37)+COUNTIF($C$53:$Q$90,Deltagarlista!E37)+COUNTIF($C$98:$Q$135,Deltagarlista!E37)+COUNTIF($C$143:$Q$180,Deltagarlista!E37))</f>
        <v>0</v>
      </c>
      <c r="BP40" s="162">
        <f t="shared" si="18"/>
        <v>1</v>
      </c>
      <c r="BQ40" s="162">
        <f t="shared" si="19"/>
        <v>1</v>
      </c>
      <c r="BR40" s="162">
        <f t="shared" si="20"/>
        <v>1</v>
      </c>
      <c r="BS40" s="162">
        <f t="shared" si="21"/>
        <v>1</v>
      </c>
      <c r="BT40" s="162">
        <f t="shared" si="22"/>
        <v>1</v>
      </c>
      <c r="BU40" s="162">
        <f t="shared" si="23"/>
        <v>1</v>
      </c>
      <c r="BV40" s="162">
        <f t="shared" si="24"/>
        <v>1</v>
      </c>
      <c r="BW40" s="162">
        <f t="shared" si="25"/>
        <v>1</v>
      </c>
      <c r="BX40" s="162">
        <f t="shared" si="26"/>
        <v>1</v>
      </c>
      <c r="BY40" s="162">
        <f t="shared" si="27"/>
        <v>1</v>
      </c>
      <c r="BZ40" s="162">
        <f t="shared" si="28"/>
        <v>1</v>
      </c>
      <c r="CA40" s="162">
        <f t="shared" si="29"/>
        <v>1</v>
      </c>
      <c r="CB40" s="162">
        <f t="shared" si="30"/>
        <v>1</v>
      </c>
      <c r="CC40" s="162">
        <f t="shared" si="31"/>
        <v>1</v>
      </c>
      <c r="CD40" s="162">
        <f t="shared" si="32"/>
        <v>1</v>
      </c>
      <c r="CE40" s="162">
        <f t="shared" si="33"/>
        <v>1</v>
      </c>
      <c r="CF40" s="162">
        <f t="shared" si="34"/>
        <v>1</v>
      </c>
      <c r="CG40" s="162">
        <f t="shared" si="35"/>
        <v>1</v>
      </c>
      <c r="CH40" s="162">
        <f t="shared" si="36"/>
        <v>1</v>
      </c>
      <c r="CI40" s="162">
        <f t="shared" si="37"/>
        <v>1</v>
      </c>
      <c r="CL40" s="184" t="str">
        <f>IF(Deltagarlista!E37="","",Deltagarlista!E37)</f>
        <v/>
      </c>
      <c r="CM40" s="162" t="str">
        <f>IF(Deltagarlista!I37="","",(IF(VLOOKUP(CL40,Deltagarlista!$E$5:$I$64,5,FALSE)="Grön","Gr",IF(VLOOKUP(CL40,Deltagarlista!$E$5:$I$64,5,FALSE)="Röd","R",IF(VLOOKUP(CL40,Deltagarlista!$E$5:$I$64,5,FALSE)="Blå","B","Gu")))))</f>
        <v/>
      </c>
      <c r="CO40" s="162" t="str">
        <f t="shared" si="16"/>
        <v/>
      </c>
      <c r="CP40" s="162" t="str">
        <f t="shared" si="17"/>
        <v/>
      </c>
      <c r="DK40" s="162" t="str">
        <f>IF(DM40="","",IF(ISBLANK(Deltagarlista!C36),"",Deltagarlista!C36))</f>
        <v/>
      </c>
      <c r="DL40" s="162" t="str">
        <f>IF(ISBLANK(Deltagarlista!I36),"",IF(Deltagarlista!I36="RÖD","R",IF(Deltagarlista!I36="GRÖN","G",IF(Deltagarlista!I36="BLÅ","B",IF(Deltagarlista!I36="GUL","G","")))))</f>
        <v/>
      </c>
      <c r="DM40" s="162">
        <f>IF(ISBLANK(Deltagarlista!H36),"",1)</f>
        <v>1</v>
      </c>
      <c r="DS40" s="162" t="str">
        <f t="shared" si="38"/>
        <v/>
      </c>
    </row>
    <row r="41" spans="2:123" ht="15.9" customHeight="1" x14ac:dyDescent="0.3">
      <c r="B41" s="189" t="s">
        <v>5</v>
      </c>
      <c r="C41" s="27"/>
      <c r="D41" s="28"/>
      <c r="E41" s="38"/>
      <c r="F41" s="27"/>
      <c r="G41" s="28"/>
      <c r="H41" s="29"/>
      <c r="I41" s="41"/>
      <c r="J41" s="28"/>
      <c r="K41" s="38"/>
      <c r="L41" s="27"/>
      <c r="M41" s="28"/>
      <c r="N41" s="29"/>
      <c r="O41" s="41"/>
      <c r="P41" s="28"/>
      <c r="Q41" s="29"/>
      <c r="R41" s="190" t="s">
        <v>5</v>
      </c>
      <c r="S41" s="188" t="s">
        <v>5</v>
      </c>
      <c r="T41" s="188" t="s">
        <v>5</v>
      </c>
      <c r="U41" s="188" t="s">
        <v>5</v>
      </c>
      <c r="V41" s="188" t="s">
        <v>5</v>
      </c>
      <c r="W41" s="188" t="s">
        <v>5</v>
      </c>
      <c r="X41" s="188" t="s">
        <v>5</v>
      </c>
      <c r="Y41" s="188" t="s">
        <v>5</v>
      </c>
      <c r="Z41" s="188" t="s">
        <v>5</v>
      </c>
      <c r="AA41" s="188" t="s">
        <v>5</v>
      </c>
      <c r="AB41" s="188" t="s">
        <v>5</v>
      </c>
      <c r="AC41" s="188" t="s">
        <v>5</v>
      </c>
      <c r="AD41" s="188" t="s">
        <v>5</v>
      </c>
      <c r="AE41" s="188" t="s">
        <v>5</v>
      </c>
      <c r="AF41" s="188" t="s">
        <v>5</v>
      </c>
      <c r="AG41" s="188" t="s">
        <v>5</v>
      </c>
      <c r="AH41" s="166"/>
      <c r="AI41" s="129">
        <f t="shared" si="1"/>
        <v>0</v>
      </c>
      <c r="AJ41" s="129">
        <f t="shared" si="2"/>
        <v>0</v>
      </c>
      <c r="AK41" s="129">
        <f t="shared" si="3"/>
        <v>0</v>
      </c>
      <c r="AL41" s="129">
        <f t="shared" si="4"/>
        <v>0</v>
      </c>
      <c r="AM41" s="129">
        <f t="shared" si="5"/>
        <v>0</v>
      </c>
      <c r="AN41" s="129">
        <f t="shared" si="6"/>
        <v>0</v>
      </c>
      <c r="AO41" s="129">
        <f t="shared" si="7"/>
        <v>0</v>
      </c>
      <c r="AP41" s="129">
        <f t="shared" si="8"/>
        <v>0</v>
      </c>
      <c r="AQ41" s="129">
        <f t="shared" si="9"/>
        <v>0</v>
      </c>
      <c r="AR41" s="129">
        <f t="shared" si="10"/>
        <v>0</v>
      </c>
      <c r="AS41" s="129">
        <f t="shared" si="11"/>
        <v>0</v>
      </c>
      <c r="AT41" s="129">
        <f t="shared" si="12"/>
        <v>0</v>
      </c>
      <c r="AU41" s="129">
        <f t="shared" si="13"/>
        <v>0</v>
      </c>
      <c r="AV41" s="129">
        <f t="shared" si="14"/>
        <v>0</v>
      </c>
      <c r="AW41" s="129">
        <f t="shared" si="15"/>
        <v>0</v>
      </c>
      <c r="AY41" s="162" t="str">
        <f>IF(ISBLANK(C41),"",NOT(ISERROR(MATCH(C41,Deltagarlista!$E$5:$E$64,0))))</f>
        <v/>
      </c>
      <c r="AZ41" s="162" t="str">
        <f>IF(ISBLANK(D41),"",NOT(ISERROR(MATCH(D41,Deltagarlista!$E$5:$E$64,0))))</f>
        <v/>
      </c>
      <c r="BA41" s="162" t="str">
        <f>IF(ISBLANK(E41),"",NOT(ISERROR(MATCH(E41,Deltagarlista!$E$5:$E$64,0))))</f>
        <v/>
      </c>
      <c r="BB41" s="162" t="str">
        <f>IF(ISBLANK(F41),"",NOT(ISERROR(MATCH(F41,Deltagarlista!$E$5:$E$64,0))))</f>
        <v/>
      </c>
      <c r="BC41" s="162" t="str">
        <f>IF(ISBLANK(G41),"",NOT(ISERROR(MATCH(G41,Deltagarlista!$E$5:$E$64,0))))</f>
        <v/>
      </c>
      <c r="BD41" s="162" t="str">
        <f>IF(ISBLANK(H41),"",NOT(ISERROR(MATCH(H41,Deltagarlista!$E$5:$E$64,0))))</f>
        <v/>
      </c>
      <c r="BE41" s="162" t="str">
        <f>IF(ISBLANK(I41),"",NOT(ISERROR(MATCH(I41,Deltagarlista!$E$5:$E$64,0))))</f>
        <v/>
      </c>
      <c r="BF41" s="162" t="str">
        <f>IF(ISBLANK(J41),"",NOT(ISERROR(MATCH(J41,Deltagarlista!$E$5:$E$64,0))))</f>
        <v/>
      </c>
      <c r="BG41" s="162" t="str">
        <f>IF(ISBLANK(K41),"",NOT(ISERROR(MATCH(K41,Deltagarlista!$E$5:$E$64,0))))</f>
        <v/>
      </c>
      <c r="BH41" s="162" t="str">
        <f>IF(ISBLANK(L41),"",NOT(ISERROR(MATCH(L41,Deltagarlista!$E$5:$E$64,0))))</f>
        <v/>
      </c>
      <c r="BI41" s="162" t="str">
        <f>IF(ISBLANK(M41),"",NOT(ISERROR(MATCH(M41,Deltagarlista!$E$5:$E$64,0))))</f>
        <v/>
      </c>
      <c r="BJ41" s="162" t="str">
        <f>IF(ISBLANK(N41),"",NOT(ISERROR(MATCH(N41,Deltagarlista!$E$5:$E$64,0))))</f>
        <v/>
      </c>
      <c r="BK41" s="162" t="str">
        <f>IF(ISBLANK(O41),"",NOT(ISERROR(MATCH(O41,Deltagarlista!$E$5:$E$64,0))))</f>
        <v/>
      </c>
      <c r="BL41" s="162" t="str">
        <f>IF(ISBLANK(P41),"",NOT(ISERROR(MATCH(P41,Deltagarlista!$E$5:$E$64,0))))</f>
        <v/>
      </c>
      <c r="BM41" s="162" t="str">
        <f>IF(ISBLANK(Q41),"",NOT(ISERROR(MATCH(Q41,Deltagarlista!$E$5:$E$64,0))))</f>
        <v/>
      </c>
      <c r="BN41" s="167"/>
      <c r="BO41" s="162">
        <f>SUM(COUNTIF($C$8:$Q$45,Deltagarlista!E38)+COUNTIF($C$53:$Q$90,Deltagarlista!E38)+COUNTIF($C$98:$Q$135,Deltagarlista!E38)+COUNTIF($C$143:$Q$180,Deltagarlista!E38))</f>
        <v>0</v>
      </c>
      <c r="BP41" s="162">
        <f t="shared" si="18"/>
        <v>1</v>
      </c>
      <c r="BQ41" s="162">
        <f t="shared" si="19"/>
        <v>1</v>
      </c>
      <c r="BR41" s="162">
        <f t="shared" si="20"/>
        <v>1</v>
      </c>
      <c r="BS41" s="162">
        <f t="shared" si="21"/>
        <v>1</v>
      </c>
      <c r="BT41" s="162">
        <f t="shared" si="22"/>
        <v>1</v>
      </c>
      <c r="BU41" s="162">
        <f t="shared" si="23"/>
        <v>1</v>
      </c>
      <c r="BV41" s="162">
        <f t="shared" si="24"/>
        <v>1</v>
      </c>
      <c r="BW41" s="162">
        <f t="shared" si="25"/>
        <v>1</v>
      </c>
      <c r="BX41" s="162">
        <f t="shared" si="26"/>
        <v>1</v>
      </c>
      <c r="BY41" s="162">
        <f t="shared" si="27"/>
        <v>1</v>
      </c>
      <c r="BZ41" s="162">
        <f t="shared" si="28"/>
        <v>1</v>
      </c>
      <c r="CA41" s="162">
        <f t="shared" si="29"/>
        <v>1</v>
      </c>
      <c r="CB41" s="162">
        <f t="shared" si="30"/>
        <v>1</v>
      </c>
      <c r="CC41" s="162">
        <f t="shared" si="31"/>
        <v>1</v>
      </c>
      <c r="CD41" s="162">
        <f t="shared" si="32"/>
        <v>1</v>
      </c>
      <c r="CE41" s="162">
        <f t="shared" si="33"/>
        <v>1</v>
      </c>
      <c r="CF41" s="162">
        <f t="shared" si="34"/>
        <v>1</v>
      </c>
      <c r="CG41" s="162">
        <f t="shared" si="35"/>
        <v>1</v>
      </c>
      <c r="CH41" s="162">
        <f t="shared" si="36"/>
        <v>1</v>
      </c>
      <c r="CI41" s="162">
        <f t="shared" si="37"/>
        <v>1</v>
      </c>
      <c r="CL41" s="184" t="str">
        <f>IF(Deltagarlista!E38="","",Deltagarlista!E38)</f>
        <v/>
      </c>
      <c r="CM41" s="162" t="str">
        <f>IF(Deltagarlista!I38="","",(IF(VLOOKUP(CL41,Deltagarlista!$E$5:$I$64,5,FALSE)="Grön","Gr",IF(VLOOKUP(CL41,Deltagarlista!$E$5:$I$64,5,FALSE)="Röd","R",IF(VLOOKUP(CL41,Deltagarlista!$E$5:$I$64,5,FALSE)="Blå","B","Gu")))))</f>
        <v/>
      </c>
      <c r="CO41" s="162" t="str">
        <f t="shared" si="16"/>
        <v/>
      </c>
      <c r="CP41" s="162" t="str">
        <f t="shared" si="17"/>
        <v/>
      </c>
      <c r="DK41" s="162" t="str">
        <f>IF(DM41="","",IF(ISBLANK(Deltagarlista!C37),"",Deltagarlista!C37))</f>
        <v/>
      </c>
      <c r="DL41" s="162" t="str">
        <f>IF(ISBLANK(Deltagarlista!I37),"",IF(Deltagarlista!I37="RÖD","R",IF(Deltagarlista!I37="GRÖN","G",IF(Deltagarlista!I37="BLÅ","B",IF(Deltagarlista!I37="GUL","G","")))))</f>
        <v/>
      </c>
      <c r="DM41" s="162">
        <f>IF(ISBLANK(Deltagarlista!H37),"",1)</f>
        <v>1</v>
      </c>
      <c r="DS41" s="162" t="str">
        <f t="shared" si="38"/>
        <v/>
      </c>
    </row>
    <row r="42" spans="2:123" ht="15.9" customHeight="1" x14ac:dyDescent="0.3">
      <c r="B42" s="189" t="s">
        <v>5</v>
      </c>
      <c r="C42" s="27"/>
      <c r="D42" s="28"/>
      <c r="E42" s="38"/>
      <c r="F42" s="27"/>
      <c r="G42" s="28"/>
      <c r="H42" s="29"/>
      <c r="I42" s="41"/>
      <c r="J42" s="28"/>
      <c r="K42" s="38"/>
      <c r="L42" s="27"/>
      <c r="M42" s="28"/>
      <c r="N42" s="29"/>
      <c r="O42" s="41"/>
      <c r="P42" s="28"/>
      <c r="Q42" s="29"/>
      <c r="R42" s="190" t="s">
        <v>5</v>
      </c>
      <c r="S42" s="188" t="s">
        <v>5</v>
      </c>
      <c r="T42" s="188" t="s">
        <v>5</v>
      </c>
      <c r="U42" s="188" t="s">
        <v>5</v>
      </c>
      <c r="V42" s="188" t="s">
        <v>5</v>
      </c>
      <c r="W42" s="188" t="s">
        <v>5</v>
      </c>
      <c r="X42" s="188" t="s">
        <v>5</v>
      </c>
      <c r="Y42" s="188" t="s">
        <v>5</v>
      </c>
      <c r="Z42" s="188" t="s">
        <v>5</v>
      </c>
      <c r="AA42" s="188" t="s">
        <v>5</v>
      </c>
      <c r="AB42" s="188" t="s">
        <v>5</v>
      </c>
      <c r="AC42" s="188" t="s">
        <v>5</v>
      </c>
      <c r="AD42" s="188" t="s">
        <v>5</v>
      </c>
      <c r="AE42" s="188" t="s">
        <v>5</v>
      </c>
      <c r="AF42" s="188" t="s">
        <v>5</v>
      </c>
      <c r="AG42" s="188" t="s">
        <v>5</v>
      </c>
      <c r="AH42" s="166"/>
      <c r="AI42" s="129">
        <f t="shared" si="1"/>
        <v>0</v>
      </c>
      <c r="AJ42" s="129">
        <f t="shared" si="2"/>
        <v>0</v>
      </c>
      <c r="AK42" s="129">
        <f t="shared" si="3"/>
        <v>0</v>
      </c>
      <c r="AL42" s="129">
        <f t="shared" si="4"/>
        <v>0</v>
      </c>
      <c r="AM42" s="129">
        <f t="shared" si="5"/>
        <v>0</v>
      </c>
      <c r="AN42" s="129">
        <f t="shared" si="6"/>
        <v>0</v>
      </c>
      <c r="AO42" s="129">
        <f t="shared" si="7"/>
        <v>0</v>
      </c>
      <c r="AP42" s="129">
        <f t="shared" si="8"/>
        <v>0</v>
      </c>
      <c r="AQ42" s="129">
        <f t="shared" si="9"/>
        <v>0</v>
      </c>
      <c r="AR42" s="129">
        <f t="shared" si="10"/>
        <v>0</v>
      </c>
      <c r="AS42" s="129">
        <f t="shared" si="11"/>
        <v>0</v>
      </c>
      <c r="AT42" s="129">
        <f t="shared" si="12"/>
        <v>0</v>
      </c>
      <c r="AU42" s="129">
        <f t="shared" si="13"/>
        <v>0</v>
      </c>
      <c r="AV42" s="129">
        <f t="shared" si="14"/>
        <v>0</v>
      </c>
      <c r="AW42" s="129">
        <f t="shared" si="15"/>
        <v>0</v>
      </c>
      <c r="AY42" s="162" t="str">
        <f>IF(ISBLANK(C42),"",NOT(ISERROR(MATCH(C42,Deltagarlista!$E$5:$E$64,0))))</f>
        <v/>
      </c>
      <c r="AZ42" s="162" t="str">
        <f>IF(ISBLANK(D42),"",NOT(ISERROR(MATCH(D42,Deltagarlista!$E$5:$E$64,0))))</f>
        <v/>
      </c>
      <c r="BA42" s="162" t="str">
        <f>IF(ISBLANK(E42),"",NOT(ISERROR(MATCH(E42,Deltagarlista!$E$5:$E$64,0))))</f>
        <v/>
      </c>
      <c r="BB42" s="162" t="str">
        <f>IF(ISBLANK(F42),"",NOT(ISERROR(MATCH(F42,Deltagarlista!$E$5:$E$64,0))))</f>
        <v/>
      </c>
      <c r="BC42" s="162" t="str">
        <f>IF(ISBLANK(G42),"",NOT(ISERROR(MATCH(G42,Deltagarlista!$E$5:$E$64,0))))</f>
        <v/>
      </c>
      <c r="BD42" s="162" t="str">
        <f>IF(ISBLANK(H42),"",NOT(ISERROR(MATCH(H42,Deltagarlista!$E$5:$E$64,0))))</f>
        <v/>
      </c>
      <c r="BE42" s="162" t="str">
        <f>IF(ISBLANK(I42),"",NOT(ISERROR(MATCH(I42,Deltagarlista!$E$5:$E$64,0))))</f>
        <v/>
      </c>
      <c r="BF42" s="162" t="str">
        <f>IF(ISBLANK(J42),"",NOT(ISERROR(MATCH(J42,Deltagarlista!$E$5:$E$64,0))))</f>
        <v/>
      </c>
      <c r="BG42" s="162" t="str">
        <f>IF(ISBLANK(K42),"",NOT(ISERROR(MATCH(K42,Deltagarlista!$E$5:$E$64,0))))</f>
        <v/>
      </c>
      <c r="BH42" s="162" t="str">
        <f>IF(ISBLANK(L42),"",NOT(ISERROR(MATCH(L42,Deltagarlista!$E$5:$E$64,0))))</f>
        <v/>
      </c>
      <c r="BI42" s="162" t="str">
        <f>IF(ISBLANK(M42),"",NOT(ISERROR(MATCH(M42,Deltagarlista!$E$5:$E$64,0))))</f>
        <v/>
      </c>
      <c r="BJ42" s="162" t="str">
        <f>IF(ISBLANK(N42),"",NOT(ISERROR(MATCH(N42,Deltagarlista!$E$5:$E$64,0))))</f>
        <v/>
      </c>
      <c r="BK42" s="162" t="str">
        <f>IF(ISBLANK(O42),"",NOT(ISERROR(MATCH(O42,Deltagarlista!$E$5:$E$64,0))))</f>
        <v/>
      </c>
      <c r="BL42" s="162" t="str">
        <f>IF(ISBLANK(P42),"",NOT(ISERROR(MATCH(P42,Deltagarlista!$E$5:$E$64,0))))</f>
        <v/>
      </c>
      <c r="BM42" s="162" t="str">
        <f>IF(ISBLANK(Q42),"",NOT(ISERROR(MATCH(Q42,Deltagarlista!$E$5:$E$64,0))))</f>
        <v/>
      </c>
      <c r="BN42" s="167"/>
      <c r="BO42" s="162">
        <f>SUM(COUNTIF($C$8:$Q$45,Deltagarlista!E39)+COUNTIF($C$53:$Q$90,Deltagarlista!E39)+COUNTIF($C$98:$Q$135,Deltagarlista!E39)+COUNTIF($C$143:$Q$180,Deltagarlista!E39))</f>
        <v>0</v>
      </c>
      <c r="BP42" s="162">
        <f t="shared" si="18"/>
        <v>1</v>
      </c>
      <c r="BQ42" s="162">
        <f t="shared" si="19"/>
        <v>1</v>
      </c>
      <c r="BR42" s="162">
        <f t="shared" si="20"/>
        <v>1</v>
      </c>
      <c r="BS42" s="162">
        <f t="shared" si="21"/>
        <v>1</v>
      </c>
      <c r="BT42" s="162">
        <f t="shared" si="22"/>
        <v>1</v>
      </c>
      <c r="BU42" s="162">
        <f t="shared" si="23"/>
        <v>1</v>
      </c>
      <c r="BV42" s="162">
        <f t="shared" si="24"/>
        <v>1</v>
      </c>
      <c r="BW42" s="162">
        <f t="shared" si="25"/>
        <v>1</v>
      </c>
      <c r="BX42" s="162">
        <f t="shared" si="26"/>
        <v>1</v>
      </c>
      <c r="BY42" s="162">
        <f t="shared" si="27"/>
        <v>1</v>
      </c>
      <c r="BZ42" s="162">
        <f t="shared" si="28"/>
        <v>1</v>
      </c>
      <c r="CA42" s="162">
        <f t="shared" si="29"/>
        <v>1</v>
      </c>
      <c r="CB42" s="162">
        <f t="shared" si="30"/>
        <v>1</v>
      </c>
      <c r="CC42" s="162">
        <f t="shared" si="31"/>
        <v>1</v>
      </c>
      <c r="CD42" s="162">
        <f t="shared" si="32"/>
        <v>1</v>
      </c>
      <c r="CE42" s="162">
        <f t="shared" si="33"/>
        <v>1</v>
      </c>
      <c r="CF42" s="162">
        <f t="shared" si="34"/>
        <v>1</v>
      </c>
      <c r="CG42" s="162">
        <f t="shared" si="35"/>
        <v>1</v>
      </c>
      <c r="CH42" s="162">
        <f t="shared" si="36"/>
        <v>1</v>
      </c>
      <c r="CI42" s="162">
        <f t="shared" si="37"/>
        <v>1</v>
      </c>
      <c r="CL42" s="184" t="str">
        <f>IF(Deltagarlista!E39="","",Deltagarlista!E39)</f>
        <v/>
      </c>
      <c r="CM42" s="162" t="str">
        <f>IF(Deltagarlista!I39="","",(IF(VLOOKUP(CL42,Deltagarlista!$E$5:$I$64,5,FALSE)="Grön","Gr",IF(VLOOKUP(CL42,Deltagarlista!$E$5:$I$64,5,FALSE)="Röd","R",IF(VLOOKUP(CL42,Deltagarlista!$E$5:$I$64,5,FALSE)="Blå","B","Gu")))))</f>
        <v/>
      </c>
      <c r="CO42" s="162" t="str">
        <f t="shared" si="16"/>
        <v/>
      </c>
      <c r="CP42" s="162" t="str">
        <f t="shared" si="17"/>
        <v/>
      </c>
      <c r="DK42" s="162" t="str">
        <f>IF(DM42="","",IF(ISBLANK(Deltagarlista!C38),"",Deltagarlista!C38))</f>
        <v/>
      </c>
      <c r="DL42" s="162" t="str">
        <f>IF(ISBLANK(Deltagarlista!I38),"",IF(Deltagarlista!I38="RÖD","R",IF(Deltagarlista!I38="GRÖN","G",IF(Deltagarlista!I38="BLÅ","B",IF(Deltagarlista!I38="GUL","G","")))))</f>
        <v/>
      </c>
      <c r="DM42" s="162">
        <f>IF(ISBLANK(Deltagarlista!H38),"",1)</f>
        <v>1</v>
      </c>
    </row>
    <row r="43" spans="2:123" ht="15.9" customHeight="1" x14ac:dyDescent="0.3">
      <c r="B43" s="189" t="s">
        <v>5</v>
      </c>
      <c r="C43" s="27"/>
      <c r="D43" s="28"/>
      <c r="E43" s="38"/>
      <c r="F43" s="27"/>
      <c r="G43" s="28"/>
      <c r="H43" s="29"/>
      <c r="I43" s="41"/>
      <c r="J43" s="28"/>
      <c r="K43" s="38"/>
      <c r="L43" s="27"/>
      <c r="M43" s="28"/>
      <c r="N43" s="29"/>
      <c r="O43" s="41"/>
      <c r="P43" s="28"/>
      <c r="Q43" s="29"/>
      <c r="R43" s="190" t="s">
        <v>5</v>
      </c>
      <c r="S43" s="188" t="s">
        <v>5</v>
      </c>
      <c r="T43" s="188" t="s">
        <v>5</v>
      </c>
      <c r="U43" s="188" t="s">
        <v>5</v>
      </c>
      <c r="V43" s="188" t="s">
        <v>5</v>
      </c>
      <c r="W43" s="188" t="s">
        <v>5</v>
      </c>
      <c r="X43" s="188" t="s">
        <v>5</v>
      </c>
      <c r="Y43" s="188" t="s">
        <v>5</v>
      </c>
      <c r="Z43" s="188" t="s">
        <v>5</v>
      </c>
      <c r="AA43" s="188" t="s">
        <v>5</v>
      </c>
      <c r="AB43" s="188" t="s">
        <v>5</v>
      </c>
      <c r="AC43" s="188" t="s">
        <v>5</v>
      </c>
      <c r="AD43" s="188" t="s">
        <v>5</v>
      </c>
      <c r="AE43" s="188" t="s">
        <v>5</v>
      </c>
      <c r="AF43" s="188" t="s">
        <v>5</v>
      </c>
      <c r="AG43" s="188" t="s">
        <v>5</v>
      </c>
      <c r="AH43" s="166"/>
      <c r="AI43" s="129">
        <f t="shared" si="1"/>
        <v>0</v>
      </c>
      <c r="AJ43" s="129">
        <f t="shared" si="2"/>
        <v>0</v>
      </c>
      <c r="AK43" s="129">
        <f t="shared" si="3"/>
        <v>0</v>
      </c>
      <c r="AL43" s="129">
        <f t="shared" si="4"/>
        <v>0</v>
      </c>
      <c r="AM43" s="129">
        <f t="shared" si="5"/>
        <v>0</v>
      </c>
      <c r="AN43" s="129">
        <f t="shared" si="6"/>
        <v>0</v>
      </c>
      <c r="AO43" s="129">
        <f t="shared" si="7"/>
        <v>0</v>
      </c>
      <c r="AP43" s="129">
        <f t="shared" si="8"/>
        <v>0</v>
      </c>
      <c r="AQ43" s="129">
        <f t="shared" si="9"/>
        <v>0</v>
      </c>
      <c r="AR43" s="129">
        <f t="shared" si="10"/>
        <v>0</v>
      </c>
      <c r="AS43" s="129">
        <f t="shared" si="11"/>
        <v>0</v>
      </c>
      <c r="AT43" s="129">
        <f t="shared" si="12"/>
        <v>0</v>
      </c>
      <c r="AU43" s="129">
        <f t="shared" si="13"/>
        <v>0</v>
      </c>
      <c r="AV43" s="129">
        <f t="shared" si="14"/>
        <v>0</v>
      </c>
      <c r="AW43" s="129">
        <f t="shared" si="15"/>
        <v>0</v>
      </c>
      <c r="AY43" s="162" t="str">
        <f>IF(ISBLANK(C43),"",NOT(ISERROR(MATCH(C43,Deltagarlista!$E$5:$E$64,0))))</f>
        <v/>
      </c>
      <c r="AZ43" s="162" t="str">
        <f>IF(ISBLANK(D43),"",NOT(ISERROR(MATCH(D43,Deltagarlista!$E$5:$E$64,0))))</f>
        <v/>
      </c>
      <c r="BA43" s="162" t="str">
        <f>IF(ISBLANK(E43),"",NOT(ISERROR(MATCH(E43,Deltagarlista!$E$5:$E$64,0))))</f>
        <v/>
      </c>
      <c r="BB43" s="162" t="str">
        <f>IF(ISBLANK(F43),"",NOT(ISERROR(MATCH(F43,Deltagarlista!$E$5:$E$64,0))))</f>
        <v/>
      </c>
      <c r="BC43" s="162" t="str">
        <f>IF(ISBLANK(G43),"",NOT(ISERROR(MATCH(G43,Deltagarlista!$E$5:$E$64,0))))</f>
        <v/>
      </c>
      <c r="BD43" s="162" t="str">
        <f>IF(ISBLANK(H43),"",NOT(ISERROR(MATCH(H43,Deltagarlista!$E$5:$E$64,0))))</f>
        <v/>
      </c>
      <c r="BE43" s="162" t="str">
        <f>IF(ISBLANK(I43),"",NOT(ISERROR(MATCH(I43,Deltagarlista!$E$5:$E$64,0))))</f>
        <v/>
      </c>
      <c r="BF43" s="162" t="str">
        <f>IF(ISBLANK(J43),"",NOT(ISERROR(MATCH(J43,Deltagarlista!$E$5:$E$64,0))))</f>
        <v/>
      </c>
      <c r="BG43" s="162" t="str">
        <f>IF(ISBLANK(K43),"",NOT(ISERROR(MATCH(K43,Deltagarlista!$E$5:$E$64,0))))</f>
        <v/>
      </c>
      <c r="BH43" s="162" t="str">
        <f>IF(ISBLANK(L43),"",NOT(ISERROR(MATCH(L43,Deltagarlista!$E$5:$E$64,0))))</f>
        <v/>
      </c>
      <c r="BI43" s="162" t="str">
        <f>IF(ISBLANK(M43),"",NOT(ISERROR(MATCH(M43,Deltagarlista!$E$5:$E$64,0))))</f>
        <v/>
      </c>
      <c r="BJ43" s="162" t="str">
        <f>IF(ISBLANK(N43),"",NOT(ISERROR(MATCH(N43,Deltagarlista!$E$5:$E$64,0))))</f>
        <v/>
      </c>
      <c r="BK43" s="162" t="str">
        <f>IF(ISBLANK(O43),"",NOT(ISERROR(MATCH(O43,Deltagarlista!$E$5:$E$64,0))))</f>
        <v/>
      </c>
      <c r="BL43" s="162" t="str">
        <f>IF(ISBLANK(P43),"",NOT(ISERROR(MATCH(P43,Deltagarlista!$E$5:$E$64,0))))</f>
        <v/>
      </c>
      <c r="BM43" s="162" t="str">
        <f>IF(ISBLANK(Q43),"",NOT(ISERROR(MATCH(Q43,Deltagarlista!$E$5:$E$64,0))))</f>
        <v/>
      </c>
      <c r="BN43" s="167"/>
      <c r="BO43" s="162">
        <f>SUM(COUNTIF($C$8:$Q$45,Deltagarlista!E40)+COUNTIF($C$53:$Q$90,Deltagarlista!E40)+COUNTIF($C$98:$Q$135,Deltagarlista!E40)+COUNTIF($C$143:$Q$180,Deltagarlista!E40))</f>
        <v>0</v>
      </c>
      <c r="BP43" s="162">
        <f t="shared" si="18"/>
        <v>1</v>
      </c>
      <c r="BQ43" s="162">
        <f t="shared" si="19"/>
        <v>1</v>
      </c>
      <c r="BR43" s="162">
        <f t="shared" si="20"/>
        <v>1</v>
      </c>
      <c r="BS43" s="162">
        <f t="shared" si="21"/>
        <v>1</v>
      </c>
      <c r="BT43" s="162">
        <f t="shared" si="22"/>
        <v>1</v>
      </c>
      <c r="BU43" s="162">
        <f t="shared" si="23"/>
        <v>1</v>
      </c>
      <c r="BV43" s="162">
        <f t="shared" si="24"/>
        <v>1</v>
      </c>
      <c r="BW43" s="162">
        <f t="shared" si="25"/>
        <v>1</v>
      </c>
      <c r="BX43" s="162">
        <f t="shared" si="26"/>
        <v>1</v>
      </c>
      <c r="BY43" s="162">
        <f t="shared" si="27"/>
        <v>1</v>
      </c>
      <c r="BZ43" s="162">
        <f t="shared" si="28"/>
        <v>1</v>
      </c>
      <c r="CA43" s="162">
        <f t="shared" si="29"/>
        <v>1</v>
      </c>
      <c r="CB43" s="162">
        <f t="shared" si="30"/>
        <v>1</v>
      </c>
      <c r="CC43" s="162">
        <f t="shared" si="31"/>
        <v>1</v>
      </c>
      <c r="CD43" s="162">
        <f t="shared" si="32"/>
        <v>1</v>
      </c>
      <c r="CE43" s="162">
        <f t="shared" si="33"/>
        <v>1</v>
      </c>
      <c r="CF43" s="162">
        <f t="shared" si="34"/>
        <v>1</v>
      </c>
      <c r="CG43" s="162">
        <f t="shared" si="35"/>
        <v>1</v>
      </c>
      <c r="CH43" s="162">
        <f t="shared" si="36"/>
        <v>1</v>
      </c>
      <c r="CI43" s="162">
        <f t="shared" si="37"/>
        <v>1</v>
      </c>
      <c r="CL43" s="184" t="str">
        <f>IF(Deltagarlista!E40="","",Deltagarlista!E40)</f>
        <v/>
      </c>
      <c r="CM43" s="162" t="str">
        <f>IF(Deltagarlista!I40="","",(IF(VLOOKUP(CL43,Deltagarlista!$E$5:$I$64,5,FALSE)="Grön","Gr",IF(VLOOKUP(CL43,Deltagarlista!$E$5:$I$64,5,FALSE)="Röd","R",IF(VLOOKUP(CL43,Deltagarlista!$E$5:$I$64,5,FALSE)="Blå","B","Gu")))))</f>
        <v/>
      </c>
      <c r="CO43" s="162" t="str">
        <f t="shared" si="16"/>
        <v/>
      </c>
      <c r="CP43" s="162" t="str">
        <f t="shared" si="17"/>
        <v/>
      </c>
      <c r="DK43" s="162" t="str">
        <f>IF(DM43="","",IF(ISBLANK(Deltagarlista!C39),"",Deltagarlista!C39))</f>
        <v/>
      </c>
      <c r="DL43" s="162" t="str">
        <f>IF(ISBLANK(Deltagarlista!I39),"",IF(Deltagarlista!I39="RÖD","R",IF(Deltagarlista!I39="GRÖN","G",IF(Deltagarlista!I39="BLÅ","B",IF(Deltagarlista!I39="GUL","G","")))))</f>
        <v/>
      </c>
      <c r="DM43" s="162">
        <f>IF(ISBLANK(Deltagarlista!H39),"",1)</f>
        <v>1</v>
      </c>
    </row>
    <row r="44" spans="2:123" ht="15.9" customHeight="1" x14ac:dyDescent="0.3">
      <c r="B44" s="189" t="s">
        <v>6</v>
      </c>
      <c r="C44" s="27"/>
      <c r="D44" s="28"/>
      <c r="E44" s="38"/>
      <c r="F44" s="27"/>
      <c r="G44" s="28"/>
      <c r="H44" s="29"/>
      <c r="I44" s="41"/>
      <c r="J44" s="28"/>
      <c r="K44" s="38"/>
      <c r="L44" s="27"/>
      <c r="M44" s="28"/>
      <c r="N44" s="29"/>
      <c r="O44" s="41"/>
      <c r="P44" s="28"/>
      <c r="Q44" s="29"/>
      <c r="R44" s="190" t="s">
        <v>6</v>
      </c>
      <c r="S44" s="188" t="s">
        <v>6</v>
      </c>
      <c r="T44" s="188" t="s">
        <v>6</v>
      </c>
      <c r="U44" s="188" t="s">
        <v>6</v>
      </c>
      <c r="V44" s="188" t="s">
        <v>6</v>
      </c>
      <c r="W44" s="188" t="s">
        <v>6</v>
      </c>
      <c r="X44" s="188" t="s">
        <v>6</v>
      </c>
      <c r="Y44" s="188" t="s">
        <v>6</v>
      </c>
      <c r="Z44" s="188" t="s">
        <v>6</v>
      </c>
      <c r="AA44" s="188" t="s">
        <v>6</v>
      </c>
      <c r="AB44" s="188" t="s">
        <v>6</v>
      </c>
      <c r="AC44" s="188" t="s">
        <v>6</v>
      </c>
      <c r="AD44" s="188" t="s">
        <v>6</v>
      </c>
      <c r="AE44" s="188" t="s">
        <v>6</v>
      </c>
      <c r="AF44" s="188" t="s">
        <v>6</v>
      </c>
      <c r="AG44" s="188" t="s">
        <v>6</v>
      </c>
      <c r="AH44" s="166"/>
      <c r="AI44" s="129">
        <f t="shared" si="1"/>
        <v>0</v>
      </c>
      <c r="AJ44" s="129">
        <f t="shared" si="2"/>
        <v>0</v>
      </c>
      <c r="AK44" s="129">
        <f t="shared" si="3"/>
        <v>0</v>
      </c>
      <c r="AL44" s="129">
        <f t="shared" si="4"/>
        <v>0</v>
      </c>
      <c r="AM44" s="129">
        <f t="shared" si="5"/>
        <v>0</v>
      </c>
      <c r="AN44" s="129">
        <f t="shared" si="6"/>
        <v>0</v>
      </c>
      <c r="AO44" s="129">
        <f t="shared" si="7"/>
        <v>0</v>
      </c>
      <c r="AP44" s="129">
        <f t="shared" si="8"/>
        <v>0</v>
      </c>
      <c r="AQ44" s="129">
        <f t="shared" si="9"/>
        <v>0</v>
      </c>
      <c r="AR44" s="129">
        <f t="shared" si="10"/>
        <v>0</v>
      </c>
      <c r="AS44" s="129">
        <f t="shared" si="11"/>
        <v>0</v>
      </c>
      <c r="AT44" s="129">
        <f t="shared" si="12"/>
        <v>0</v>
      </c>
      <c r="AU44" s="129">
        <f t="shared" si="13"/>
        <v>0</v>
      </c>
      <c r="AV44" s="129">
        <f t="shared" si="14"/>
        <v>0</v>
      </c>
      <c r="AW44" s="129">
        <f t="shared" si="15"/>
        <v>0</v>
      </c>
      <c r="AY44" s="162" t="str">
        <f>IF(ISBLANK(C44),"",NOT(ISERROR(MATCH(C44,Deltagarlista!$E$5:$E$64,0))))</f>
        <v/>
      </c>
      <c r="AZ44" s="162" t="str">
        <f>IF(ISBLANK(D44),"",NOT(ISERROR(MATCH(D44,Deltagarlista!$E$5:$E$64,0))))</f>
        <v/>
      </c>
      <c r="BA44" s="162" t="str">
        <f>IF(ISBLANK(E44),"",NOT(ISERROR(MATCH(E44,Deltagarlista!$E$5:$E$64,0))))</f>
        <v/>
      </c>
      <c r="BB44" s="162" t="str">
        <f>IF(ISBLANK(F44),"",NOT(ISERROR(MATCH(F44,Deltagarlista!$E$5:$E$64,0))))</f>
        <v/>
      </c>
      <c r="BC44" s="162" t="str">
        <f>IF(ISBLANK(G44),"",NOT(ISERROR(MATCH(G44,Deltagarlista!$E$5:$E$64,0))))</f>
        <v/>
      </c>
      <c r="BD44" s="162" t="str">
        <f>IF(ISBLANK(H44),"",NOT(ISERROR(MATCH(H44,Deltagarlista!$E$5:$E$64,0))))</f>
        <v/>
      </c>
      <c r="BE44" s="162" t="str">
        <f>IF(ISBLANK(I44),"",NOT(ISERROR(MATCH(I44,Deltagarlista!$E$5:$E$64,0))))</f>
        <v/>
      </c>
      <c r="BF44" s="162" t="str">
        <f>IF(ISBLANK(J44),"",NOT(ISERROR(MATCH(J44,Deltagarlista!$E$5:$E$64,0))))</f>
        <v/>
      </c>
      <c r="BG44" s="162" t="str">
        <f>IF(ISBLANK(K44),"",NOT(ISERROR(MATCH(K44,Deltagarlista!$E$5:$E$64,0))))</f>
        <v/>
      </c>
      <c r="BH44" s="162" t="str">
        <f>IF(ISBLANK(L44),"",NOT(ISERROR(MATCH(L44,Deltagarlista!$E$5:$E$64,0))))</f>
        <v/>
      </c>
      <c r="BI44" s="162" t="str">
        <f>IF(ISBLANK(M44),"",NOT(ISERROR(MATCH(M44,Deltagarlista!$E$5:$E$64,0))))</f>
        <v/>
      </c>
      <c r="BJ44" s="162" t="str">
        <f>IF(ISBLANK(N44),"",NOT(ISERROR(MATCH(N44,Deltagarlista!$E$5:$E$64,0))))</f>
        <v/>
      </c>
      <c r="BK44" s="162" t="str">
        <f>IF(ISBLANK(O44),"",NOT(ISERROR(MATCH(O44,Deltagarlista!$E$5:$E$64,0))))</f>
        <v/>
      </c>
      <c r="BL44" s="162" t="str">
        <f>IF(ISBLANK(P44),"",NOT(ISERROR(MATCH(P44,Deltagarlista!$E$5:$E$64,0))))</f>
        <v/>
      </c>
      <c r="BM44" s="162" t="str">
        <f>IF(ISBLANK(Q44),"",NOT(ISERROR(MATCH(Q44,Deltagarlista!$E$5:$E$64,0))))</f>
        <v/>
      </c>
      <c r="BN44" s="167"/>
      <c r="BO44" s="162">
        <f>SUM(COUNTIF($C$8:$Q$45,Deltagarlista!E41)+COUNTIF($C$53:$Q$90,Deltagarlista!E41)+COUNTIF($C$98:$Q$135,Deltagarlista!E41)+COUNTIF($C$143:$Q$180,Deltagarlista!E41))</f>
        <v>0</v>
      </c>
      <c r="BP44" s="162">
        <f t="shared" si="18"/>
        <v>1</v>
      </c>
      <c r="BQ44" s="162">
        <f t="shared" si="19"/>
        <v>1</v>
      </c>
      <c r="BR44" s="162">
        <f t="shared" si="20"/>
        <v>1</v>
      </c>
      <c r="BS44" s="162">
        <f t="shared" si="21"/>
        <v>1</v>
      </c>
      <c r="BT44" s="162">
        <f t="shared" si="22"/>
        <v>1</v>
      </c>
      <c r="BU44" s="162">
        <f t="shared" si="23"/>
        <v>1</v>
      </c>
      <c r="BV44" s="162">
        <f t="shared" si="24"/>
        <v>1</v>
      </c>
      <c r="BW44" s="162">
        <f t="shared" si="25"/>
        <v>1</v>
      </c>
      <c r="BX44" s="162">
        <f t="shared" si="26"/>
        <v>1</v>
      </c>
      <c r="BY44" s="162">
        <f t="shared" si="27"/>
        <v>1</v>
      </c>
      <c r="BZ44" s="162">
        <f t="shared" si="28"/>
        <v>1</v>
      </c>
      <c r="CA44" s="162">
        <f t="shared" si="29"/>
        <v>1</v>
      </c>
      <c r="CB44" s="162">
        <f t="shared" si="30"/>
        <v>1</v>
      </c>
      <c r="CC44" s="162">
        <f t="shared" si="31"/>
        <v>1</v>
      </c>
      <c r="CD44" s="162">
        <f t="shared" si="32"/>
        <v>1</v>
      </c>
      <c r="CE44" s="162">
        <f t="shared" si="33"/>
        <v>1</v>
      </c>
      <c r="CF44" s="162">
        <f t="shared" si="34"/>
        <v>1</v>
      </c>
      <c r="CG44" s="162">
        <f t="shared" si="35"/>
        <v>1</v>
      </c>
      <c r="CH44" s="162">
        <f t="shared" si="36"/>
        <v>1</v>
      </c>
      <c r="CI44" s="162">
        <f t="shared" si="37"/>
        <v>1</v>
      </c>
      <c r="CL44" s="184" t="str">
        <f>IF(Deltagarlista!E41="","",Deltagarlista!E41)</f>
        <v/>
      </c>
      <c r="CM44" s="162" t="str">
        <f>IF(Deltagarlista!I41="","",(IF(VLOOKUP(CL44,Deltagarlista!$E$5:$I$64,5,FALSE)="Grön","Gr",IF(VLOOKUP(CL44,Deltagarlista!$E$5:$I$64,5,FALSE)="Röd","R",IF(VLOOKUP(CL44,Deltagarlista!$E$5:$I$64,5,FALSE)="Blå","B","Gu")))))</f>
        <v/>
      </c>
      <c r="CO44" s="162" t="str">
        <f t="shared" si="16"/>
        <v/>
      </c>
      <c r="CP44" s="162" t="str">
        <f t="shared" si="17"/>
        <v/>
      </c>
      <c r="DK44" s="162" t="str">
        <f>IF(DM44="","",IF(ISBLANK(Deltagarlista!C40),"",Deltagarlista!C40))</f>
        <v/>
      </c>
      <c r="DL44" s="162" t="str">
        <f>IF(ISBLANK(Deltagarlista!I40),"",IF(Deltagarlista!I40="RÖD","R",IF(Deltagarlista!I40="GRÖN","G",IF(Deltagarlista!I40="BLÅ","B",IF(Deltagarlista!I40="GUL","G","")))))</f>
        <v/>
      </c>
      <c r="DM44" s="162">
        <f>IF(ISBLANK(Deltagarlista!H40),"",1)</f>
        <v>1</v>
      </c>
    </row>
    <row r="45" spans="2:123" ht="15.9" customHeight="1" thickBot="1" x14ac:dyDescent="0.35">
      <c r="B45" s="191" t="s">
        <v>6</v>
      </c>
      <c r="C45" s="30"/>
      <c r="D45" s="31"/>
      <c r="E45" s="39"/>
      <c r="F45" s="30"/>
      <c r="G45" s="31"/>
      <c r="H45" s="32"/>
      <c r="I45" s="42"/>
      <c r="J45" s="31"/>
      <c r="K45" s="39"/>
      <c r="L45" s="30"/>
      <c r="M45" s="31"/>
      <c r="N45" s="32"/>
      <c r="O45" s="42"/>
      <c r="P45" s="31"/>
      <c r="Q45" s="32"/>
      <c r="R45" s="192" t="s">
        <v>6</v>
      </c>
      <c r="S45" s="188" t="s">
        <v>6</v>
      </c>
      <c r="T45" s="188" t="s">
        <v>6</v>
      </c>
      <c r="U45" s="188" t="s">
        <v>6</v>
      </c>
      <c r="V45" s="188" t="s">
        <v>6</v>
      </c>
      <c r="W45" s="188" t="s">
        <v>6</v>
      </c>
      <c r="X45" s="188" t="s">
        <v>6</v>
      </c>
      <c r="Y45" s="188" t="s">
        <v>6</v>
      </c>
      <c r="Z45" s="188" t="s">
        <v>6</v>
      </c>
      <c r="AA45" s="188" t="s">
        <v>6</v>
      </c>
      <c r="AB45" s="188" t="s">
        <v>6</v>
      </c>
      <c r="AC45" s="188" t="s">
        <v>6</v>
      </c>
      <c r="AD45" s="188" t="s">
        <v>6</v>
      </c>
      <c r="AE45" s="188" t="s">
        <v>6</v>
      </c>
      <c r="AF45" s="188" t="s">
        <v>6</v>
      </c>
      <c r="AG45" s="188" t="s">
        <v>6</v>
      </c>
      <c r="AH45" s="166"/>
      <c r="AI45" s="129">
        <f t="shared" si="1"/>
        <v>0</v>
      </c>
      <c r="AJ45" s="129">
        <f t="shared" si="2"/>
        <v>0</v>
      </c>
      <c r="AK45" s="129">
        <f t="shared" si="3"/>
        <v>0</v>
      </c>
      <c r="AL45" s="129">
        <f t="shared" si="4"/>
        <v>0</v>
      </c>
      <c r="AM45" s="129">
        <f t="shared" si="5"/>
        <v>0</v>
      </c>
      <c r="AN45" s="129">
        <f t="shared" si="6"/>
        <v>0</v>
      </c>
      <c r="AO45" s="129">
        <f t="shared" si="7"/>
        <v>0</v>
      </c>
      <c r="AP45" s="129">
        <f t="shared" si="8"/>
        <v>0</v>
      </c>
      <c r="AQ45" s="129">
        <f t="shared" si="9"/>
        <v>0</v>
      </c>
      <c r="AR45" s="129">
        <f t="shared" si="10"/>
        <v>0</v>
      </c>
      <c r="AS45" s="129">
        <f t="shared" si="11"/>
        <v>0</v>
      </c>
      <c r="AT45" s="129">
        <f t="shared" si="12"/>
        <v>0</v>
      </c>
      <c r="AU45" s="129">
        <f t="shared" si="13"/>
        <v>0</v>
      </c>
      <c r="AV45" s="129">
        <f t="shared" si="14"/>
        <v>0</v>
      </c>
      <c r="AW45" s="129">
        <f t="shared" si="15"/>
        <v>0</v>
      </c>
      <c r="AY45" s="162" t="str">
        <f>IF(ISBLANK(C45),"",NOT(ISERROR(MATCH(C45,Deltagarlista!$E$5:$E$64,0))))</f>
        <v/>
      </c>
      <c r="AZ45" s="162" t="str">
        <f>IF(ISBLANK(D45),"",NOT(ISERROR(MATCH(D45,Deltagarlista!$E$5:$E$64,0))))</f>
        <v/>
      </c>
      <c r="BA45" s="162" t="str">
        <f>IF(ISBLANK(E45),"",NOT(ISERROR(MATCH(E45,Deltagarlista!$E$5:$E$64,0))))</f>
        <v/>
      </c>
      <c r="BB45" s="162" t="str">
        <f>IF(ISBLANK(F45),"",NOT(ISERROR(MATCH(F45,Deltagarlista!$E$5:$E$64,0))))</f>
        <v/>
      </c>
      <c r="BC45" s="162" t="str">
        <f>IF(ISBLANK(G45),"",NOT(ISERROR(MATCH(G45,Deltagarlista!$E$5:$E$64,0))))</f>
        <v/>
      </c>
      <c r="BD45" s="162" t="str">
        <f>IF(ISBLANK(H45),"",NOT(ISERROR(MATCH(H45,Deltagarlista!$E$5:$E$64,0))))</f>
        <v/>
      </c>
      <c r="BE45" s="162" t="str">
        <f>IF(ISBLANK(I45),"",NOT(ISERROR(MATCH(I45,Deltagarlista!$E$5:$E$64,0))))</f>
        <v/>
      </c>
      <c r="BF45" s="162" t="str">
        <f>IF(ISBLANK(J45),"",NOT(ISERROR(MATCH(J45,Deltagarlista!$E$5:$E$64,0))))</f>
        <v/>
      </c>
      <c r="BG45" s="162" t="str">
        <f>IF(ISBLANK(K45),"",NOT(ISERROR(MATCH(K45,Deltagarlista!$E$5:$E$64,0))))</f>
        <v/>
      </c>
      <c r="BH45" s="162" t="str">
        <f>IF(ISBLANK(L45),"",NOT(ISERROR(MATCH(L45,Deltagarlista!$E$5:$E$64,0))))</f>
        <v/>
      </c>
      <c r="BI45" s="162" t="str">
        <f>IF(ISBLANK(M45),"",NOT(ISERROR(MATCH(M45,Deltagarlista!$E$5:$E$64,0))))</f>
        <v/>
      </c>
      <c r="BJ45" s="162" t="str">
        <f>IF(ISBLANK(N45),"",NOT(ISERROR(MATCH(N45,Deltagarlista!$E$5:$E$64,0))))</f>
        <v/>
      </c>
      <c r="BK45" s="162" t="str">
        <f>IF(ISBLANK(O45),"",NOT(ISERROR(MATCH(O45,Deltagarlista!$E$5:$E$64,0))))</f>
        <v/>
      </c>
      <c r="BL45" s="162" t="str">
        <f>IF(ISBLANK(P45),"",NOT(ISERROR(MATCH(P45,Deltagarlista!$E$5:$E$64,0))))</f>
        <v/>
      </c>
      <c r="BM45" s="162" t="str">
        <f>IF(ISBLANK(Q45),"",NOT(ISERROR(MATCH(Q45,Deltagarlista!$E$5:$E$64,0))))</f>
        <v/>
      </c>
      <c r="BN45" s="167"/>
      <c r="BO45" s="162">
        <f>SUM(COUNTIF($C$8:$Q$45,Deltagarlista!E42)+COUNTIF($C$53:$Q$90,Deltagarlista!E42)+COUNTIF($C$98:$Q$135,Deltagarlista!E42)+COUNTIF($C$143:$Q$180,Deltagarlista!E42))</f>
        <v>0</v>
      </c>
      <c r="BP45" s="162">
        <f t="shared" si="18"/>
        <v>1</v>
      </c>
      <c r="BQ45" s="162">
        <f t="shared" si="19"/>
        <v>1</v>
      </c>
      <c r="BR45" s="162">
        <f t="shared" si="20"/>
        <v>1</v>
      </c>
      <c r="BS45" s="162">
        <f t="shared" si="21"/>
        <v>1</v>
      </c>
      <c r="BT45" s="162">
        <f t="shared" si="22"/>
        <v>1</v>
      </c>
      <c r="BU45" s="162">
        <f t="shared" si="23"/>
        <v>1</v>
      </c>
      <c r="BV45" s="162">
        <f t="shared" si="24"/>
        <v>1</v>
      </c>
      <c r="BW45" s="162">
        <f t="shared" si="25"/>
        <v>1</v>
      </c>
      <c r="BX45" s="162">
        <f t="shared" si="26"/>
        <v>1</v>
      </c>
      <c r="BY45" s="162">
        <f t="shared" si="27"/>
        <v>1</v>
      </c>
      <c r="BZ45" s="162">
        <f t="shared" si="28"/>
        <v>1</v>
      </c>
      <c r="CA45" s="162">
        <f t="shared" si="29"/>
        <v>1</v>
      </c>
      <c r="CB45" s="162">
        <f t="shared" si="30"/>
        <v>1</v>
      </c>
      <c r="CC45" s="162">
        <f t="shared" si="31"/>
        <v>1</v>
      </c>
      <c r="CD45" s="162">
        <f t="shared" si="32"/>
        <v>1</v>
      </c>
      <c r="CE45" s="162">
        <f t="shared" si="33"/>
        <v>1</v>
      </c>
      <c r="CF45" s="162">
        <f t="shared" si="34"/>
        <v>1</v>
      </c>
      <c r="CG45" s="162">
        <f t="shared" si="35"/>
        <v>1</v>
      </c>
      <c r="CH45" s="162">
        <f t="shared" si="36"/>
        <v>1</v>
      </c>
      <c r="CI45" s="162">
        <f t="shared" si="37"/>
        <v>1</v>
      </c>
      <c r="CL45" s="184" t="str">
        <f>IF(Deltagarlista!E42="","",Deltagarlista!E42)</f>
        <v/>
      </c>
      <c r="CM45" s="162" t="str">
        <f>IF(Deltagarlista!I42="","",(IF(VLOOKUP(CL45,Deltagarlista!$E$5:$I$64,5,FALSE)="Grön","Gr",IF(VLOOKUP(CL45,Deltagarlista!$E$5:$I$64,5,FALSE)="Röd","R",IF(VLOOKUP(CL45,Deltagarlista!$E$5:$I$64,5,FALSE)="Blå","B","Gu")))))</f>
        <v/>
      </c>
      <c r="CO45" s="162" t="str">
        <f t="shared" si="16"/>
        <v/>
      </c>
      <c r="CP45" s="162" t="str">
        <f t="shared" si="17"/>
        <v/>
      </c>
      <c r="DK45" s="162" t="str">
        <f>IF(DM45="","",IF(ISBLANK(Deltagarlista!C41),"",Deltagarlista!C41))</f>
        <v/>
      </c>
      <c r="DL45" s="162" t="str">
        <f>IF(ISBLANK(Deltagarlista!I41),"",IF(Deltagarlista!I41="RÖD","R",IF(Deltagarlista!I41="GRÖN","G",IF(Deltagarlista!I41="BLÅ","B",IF(Deltagarlista!I41="GUL","G","")))))</f>
        <v/>
      </c>
      <c r="DM45" s="162">
        <f>IF(ISBLANK(Deltagarlista!H41),"",1)</f>
        <v>1</v>
      </c>
    </row>
    <row r="46" spans="2:123" ht="41.25" customHeight="1" x14ac:dyDescent="0.3">
      <c r="B46" s="193"/>
      <c r="C46" s="194"/>
      <c r="D46" s="194"/>
      <c r="E46" s="194"/>
      <c r="F46" s="194"/>
      <c r="G46" s="194"/>
      <c r="H46" s="194"/>
      <c r="I46" s="194"/>
      <c r="J46" s="194"/>
      <c r="K46" s="194"/>
      <c r="L46" s="194"/>
      <c r="M46" s="194"/>
      <c r="N46" s="194"/>
      <c r="O46" s="194"/>
      <c r="P46" s="194"/>
      <c r="Q46" s="194"/>
      <c r="R46" s="195"/>
      <c r="S46" s="188"/>
      <c r="T46" s="188"/>
      <c r="U46" s="188"/>
      <c r="V46" s="188"/>
      <c r="W46" s="188"/>
      <c r="X46" s="188"/>
      <c r="Y46" s="188"/>
      <c r="Z46" s="188"/>
      <c r="AA46" s="188"/>
      <c r="AB46" s="188"/>
      <c r="AC46" s="188"/>
      <c r="AD46" s="188"/>
      <c r="AE46" s="188"/>
      <c r="AF46" s="188"/>
      <c r="AG46" s="188"/>
      <c r="AH46" s="166"/>
      <c r="AI46" s="129"/>
      <c r="AJ46" s="129"/>
      <c r="AK46" s="129"/>
      <c r="AL46" s="129"/>
      <c r="AM46" s="129"/>
      <c r="AN46" s="129"/>
      <c r="AO46" s="129"/>
      <c r="AP46" s="129"/>
      <c r="AQ46" s="129"/>
      <c r="AR46" s="129"/>
      <c r="AS46" s="129"/>
      <c r="AT46" s="129"/>
      <c r="AU46" s="129"/>
      <c r="AV46" s="129"/>
      <c r="AW46" s="129"/>
      <c r="BN46" s="167"/>
      <c r="CL46" s="184" t="str">
        <f>IF(Deltagarlista!E43="","",Deltagarlista!E43)</f>
        <v/>
      </c>
      <c r="CM46" s="162" t="str">
        <f>IF(Deltagarlista!I43="","",(IF(VLOOKUP(CL46,Deltagarlista!$E$5:$I$64,5,FALSE)="Grön","Gr",IF(VLOOKUP(CL46,Deltagarlista!$E$5:$I$64,5,FALSE)="Röd","R",IF(VLOOKUP(CL46,Deltagarlista!$E$5:$I$64,5,FALSE)="Blå","B","Gu")))))</f>
        <v/>
      </c>
      <c r="DK46" s="162" t="str">
        <f>IF(DM46="","",IF(ISBLANK(Deltagarlista!C42),"",Deltagarlista!C42))</f>
        <v/>
      </c>
      <c r="DL46" s="162" t="str">
        <f>IF(ISBLANK(Deltagarlista!I42),"",IF(Deltagarlista!I42="RÖD","R",IF(Deltagarlista!I42="GRÖN","G",IF(Deltagarlista!I42="BLÅ","B",IF(Deltagarlista!I42="GUL","G","")))))</f>
        <v/>
      </c>
      <c r="DM46" s="162">
        <f>IF(ISBLANK(Deltagarlista!H42),"",1)</f>
        <v>1</v>
      </c>
    </row>
    <row r="47" spans="2:123" ht="27.9" customHeight="1" x14ac:dyDescent="0.35">
      <c r="B47" s="196" t="str">
        <f>IF(OR(Deltagarlista!$K$3=2,Deltagarlista!$K$3=4),IF($CQ$5=0,"","VARNING, du har registrerat resultat för någon som inte borde segla i detta heat!"),"")</f>
        <v/>
      </c>
      <c r="C47" s="197"/>
      <c r="D47" s="197"/>
      <c r="E47" s="197"/>
      <c r="F47" s="197"/>
      <c r="G47" s="197"/>
      <c r="H47" s="197"/>
      <c r="I47" s="197"/>
      <c r="J47" s="197"/>
      <c r="K47" s="197"/>
      <c r="L47" s="197"/>
      <c r="M47" s="197"/>
      <c r="N47" s="197"/>
      <c r="O47" s="197"/>
      <c r="P47" s="197"/>
      <c r="Q47" s="197"/>
      <c r="R47" s="198"/>
      <c r="S47" s="188"/>
      <c r="T47" s="188"/>
      <c r="U47" s="188"/>
      <c r="V47" s="188"/>
      <c r="W47" s="188"/>
      <c r="X47" s="188"/>
      <c r="Y47" s="188"/>
      <c r="Z47" s="188"/>
      <c r="AA47" s="188"/>
      <c r="AB47" s="188"/>
      <c r="AC47" s="188"/>
      <c r="AD47" s="188"/>
      <c r="AE47" s="188"/>
      <c r="AF47" s="188"/>
      <c r="AG47" s="188"/>
      <c r="AH47" s="166"/>
      <c r="AI47" s="129"/>
      <c r="AJ47" s="129"/>
      <c r="AK47" s="129"/>
      <c r="AL47" s="129"/>
      <c r="AM47" s="129"/>
      <c r="AN47" s="129"/>
      <c r="AO47" s="129"/>
      <c r="AP47" s="129"/>
      <c r="AQ47" s="129"/>
      <c r="AR47" s="129"/>
      <c r="AS47" s="129"/>
      <c r="AT47" s="129"/>
      <c r="AU47" s="129"/>
      <c r="AV47" s="129"/>
      <c r="AW47" s="129"/>
      <c r="BN47" s="167"/>
      <c r="BO47" s="162">
        <f>SUM(COUNTIF($C$8:$Q$45,Deltagarlista!E43)+COUNTIF($C$53:$Q$90,Deltagarlista!E43)+COUNTIF($C$98:$Q$135,Deltagarlista!E43)+COUNTIF($C$143:$Q$180,Deltagarlista!E43))</f>
        <v>0</v>
      </c>
      <c r="CL47" s="184" t="str">
        <f>IF(Deltagarlista!E44="","",Deltagarlista!E44)</f>
        <v/>
      </c>
      <c r="CM47" s="162" t="str">
        <f>IF(Deltagarlista!I44="","",(IF(VLOOKUP(CL47,Deltagarlista!$E$5:$I$64,5,FALSE)="Grön","Gr",IF(VLOOKUP(CL47,Deltagarlista!$E$5:$I$64,5,FALSE)="Röd","R",IF(VLOOKUP(CL47,Deltagarlista!$E$5:$I$64,5,FALSE)="Blå","B","Gu")))))</f>
        <v/>
      </c>
      <c r="DK47" s="162" t="str">
        <f>IF(DM47="","",IF(ISBLANK(Deltagarlista!C43),"",Deltagarlista!C43))</f>
        <v/>
      </c>
      <c r="DL47" s="162" t="str">
        <f>IF(ISBLANK(Deltagarlista!I43),"",IF(Deltagarlista!I43="RÖD","R",IF(Deltagarlista!I43="GRÖN","G",IF(Deltagarlista!I43="BLÅ","B",IF(Deltagarlista!I43="GUL","G","")))))</f>
        <v/>
      </c>
      <c r="DM47" s="162">
        <f>IF(ISBLANK(Deltagarlista!H43),"",1)</f>
        <v>1</v>
      </c>
    </row>
    <row r="48" spans="2:123" ht="27.9" customHeight="1" thickBot="1" x14ac:dyDescent="0.4">
      <c r="B48" s="161" t="str">
        <f>IF($AY$4=60,"","VARNING, du har registrerat resultat för en seglare som inte finns i deltagarlistan!")</f>
        <v/>
      </c>
      <c r="C48" s="199"/>
      <c r="D48" s="48"/>
      <c r="E48" s="48"/>
      <c r="F48" s="48"/>
      <c r="G48" s="48"/>
      <c r="H48" s="48"/>
      <c r="I48" s="48"/>
      <c r="J48" s="48"/>
      <c r="K48" s="48"/>
      <c r="L48" s="48"/>
      <c r="M48" s="48"/>
      <c r="N48" s="48"/>
      <c r="O48" s="48"/>
      <c r="P48" s="48"/>
      <c r="Q48" s="48"/>
      <c r="R48" s="48"/>
      <c r="S48" s="200"/>
      <c r="T48" s="200"/>
      <c r="U48" s="200"/>
      <c r="V48" s="200"/>
      <c r="W48" s="200"/>
      <c r="X48" s="200"/>
      <c r="Y48" s="129"/>
      <c r="Z48" s="129"/>
      <c r="AA48" s="129"/>
      <c r="AB48" s="129"/>
      <c r="AC48" s="129"/>
      <c r="AD48" s="129"/>
      <c r="AE48" s="129"/>
      <c r="AF48" s="129"/>
      <c r="AG48" s="129"/>
      <c r="AH48" s="166"/>
      <c r="AI48" s="129"/>
      <c r="AJ48" s="129"/>
      <c r="AK48" s="129"/>
      <c r="AL48" s="129"/>
      <c r="AM48" s="129"/>
      <c r="AN48" s="129"/>
      <c r="AO48" s="129"/>
      <c r="AP48" s="129"/>
      <c r="AQ48" s="129"/>
      <c r="AR48" s="129"/>
      <c r="AS48" s="129"/>
      <c r="AT48" s="129"/>
      <c r="AU48" s="129"/>
      <c r="AV48" s="129"/>
      <c r="AW48" s="129"/>
      <c r="BN48" s="167"/>
      <c r="BO48" s="162">
        <f>SUM(COUNTIF($C$8:$Q$45,Deltagarlista!E44)+COUNTIF($C$53:$Q$90,Deltagarlista!E44)+COUNTIF($C$98:$Q$135,Deltagarlista!E44)+COUNTIF($C$143:$Q$180,Deltagarlista!E44))</f>
        <v>0</v>
      </c>
      <c r="BP48" s="162">
        <f t="shared" si="18"/>
        <v>1</v>
      </c>
      <c r="BQ48" s="162">
        <f t="shared" si="19"/>
        <v>1</v>
      </c>
      <c r="BR48" s="162">
        <f t="shared" si="20"/>
        <v>1</v>
      </c>
      <c r="BS48" s="162">
        <f t="shared" si="21"/>
        <v>1</v>
      </c>
      <c r="BT48" s="162">
        <f t="shared" si="22"/>
        <v>1</v>
      </c>
      <c r="BU48" s="162">
        <f t="shared" si="23"/>
        <v>1</v>
      </c>
      <c r="BV48" s="162">
        <f t="shared" si="24"/>
        <v>1</v>
      </c>
      <c r="BW48" s="162">
        <f t="shared" si="25"/>
        <v>1</v>
      </c>
      <c r="BX48" s="162">
        <f t="shared" si="26"/>
        <v>1</v>
      </c>
      <c r="BY48" s="162">
        <f t="shared" si="27"/>
        <v>1</v>
      </c>
      <c r="BZ48" s="162">
        <f t="shared" si="28"/>
        <v>1</v>
      </c>
      <c r="CA48" s="162">
        <f t="shared" si="29"/>
        <v>1</v>
      </c>
      <c r="CB48" s="162">
        <f t="shared" si="30"/>
        <v>1</v>
      </c>
      <c r="CC48" s="162">
        <f t="shared" ref="CC48:CC69" si="41">IF($U$5=42,IF($BO48&gt;10,0,1),1)</f>
        <v>1</v>
      </c>
      <c r="CD48" s="162">
        <f t="shared" ref="CD48:CD69" si="42">IF($U$5=45,IF($BO48&gt;28,0,1),1)</f>
        <v>1</v>
      </c>
      <c r="CE48" s="162">
        <f t="shared" ref="CE48:CE69" si="43">IF($U$5=48,IF($BO48&gt;30,0,1),1)</f>
        <v>1</v>
      </c>
      <c r="CF48" s="162">
        <f t="shared" ref="CF48:CF69" si="44">IF($U$5=51,IF($BO48&gt;32,0,1),1)</f>
        <v>1</v>
      </c>
      <c r="CG48" s="162">
        <f t="shared" ref="CG48:CG69" si="45">IF($U$5=54,IF($BO48&gt;34,0,1),1)</f>
        <v>1</v>
      </c>
      <c r="CH48" s="162">
        <f t="shared" ref="CH48:CH69" si="46">IF($U$5=57,IF($BO48&gt;36,0,1),1)</f>
        <v>1</v>
      </c>
      <c r="CI48" s="162">
        <f t="shared" ref="CI48:CI69" si="47">IF($U$5=60,IF($BO48&gt;38,0,1),1)</f>
        <v>1</v>
      </c>
      <c r="CL48" s="184" t="str">
        <f>IF(Deltagarlista!E45="","",Deltagarlista!E45)</f>
        <v/>
      </c>
      <c r="CM48" s="162" t="str">
        <f>IF(Deltagarlista!I45="","",(IF(VLOOKUP(CL48,Deltagarlista!$E$5:$I$64,5,FALSE)="Grön","Gr",IF(VLOOKUP(CL48,Deltagarlista!$E$5:$I$64,5,FALSE)="Röd","R",IF(VLOOKUP(CL48,Deltagarlista!$E$5:$I$64,5,FALSE)="Blå","B","Gu")))))</f>
        <v/>
      </c>
      <c r="DK48" s="162" t="str">
        <f>IF(DM48="","",IF(ISBLANK(Deltagarlista!C44),"",Deltagarlista!C44))</f>
        <v/>
      </c>
      <c r="DL48" s="162" t="str">
        <f>IF(ISBLANK(Deltagarlista!I44),"",IF(Deltagarlista!I44="RÖD","R",IF(Deltagarlista!I44="GRÖN","G",IF(Deltagarlista!I44="BLÅ","B",IF(Deltagarlista!I44="GUL","G","")))))</f>
        <v/>
      </c>
      <c r="DM48" s="162">
        <f>IF(ISBLANK(Deltagarlista!H44),"",1)</f>
        <v>1</v>
      </c>
    </row>
    <row r="49" spans="2:117" ht="24" thickBot="1" x14ac:dyDescent="0.5">
      <c r="B49" s="168" t="str">
        <f>B4</f>
        <v/>
      </c>
      <c r="C49" s="169"/>
      <c r="D49" s="169"/>
      <c r="E49" s="169"/>
      <c r="F49" s="169"/>
      <c r="G49" s="169"/>
      <c r="H49" s="169"/>
      <c r="I49" s="169"/>
      <c r="J49" s="169"/>
      <c r="K49" s="169"/>
      <c r="L49" s="169"/>
      <c r="M49" s="169"/>
      <c r="N49" s="169"/>
      <c r="O49" s="169"/>
      <c r="P49" s="169"/>
      <c r="Q49" s="169"/>
      <c r="R49" s="170" t="str">
        <f>R4</f>
        <v/>
      </c>
      <c r="S49" s="129"/>
      <c r="T49" s="129"/>
      <c r="U49" s="129"/>
      <c r="V49" s="129"/>
      <c r="W49" s="129"/>
      <c r="X49" s="129"/>
      <c r="Y49" s="129"/>
      <c r="Z49" s="129"/>
      <c r="AA49" s="129"/>
      <c r="AB49" s="129"/>
      <c r="AC49" s="129"/>
      <c r="AD49" s="129"/>
      <c r="AE49" s="129"/>
      <c r="AF49" s="129"/>
      <c r="AG49" s="129"/>
      <c r="AH49" s="166"/>
      <c r="AI49" s="129"/>
      <c r="AJ49" s="129"/>
      <c r="AK49" s="129"/>
      <c r="AL49" s="129"/>
      <c r="AM49" s="129"/>
      <c r="AN49" s="129"/>
      <c r="AO49" s="129"/>
      <c r="AP49" s="129"/>
      <c r="AQ49" s="129"/>
      <c r="AR49" s="129"/>
      <c r="AS49" s="129"/>
      <c r="AT49" s="129"/>
      <c r="AU49" s="129"/>
      <c r="AV49" s="129"/>
      <c r="AW49" s="129"/>
      <c r="BN49" s="167"/>
      <c r="BO49" s="162">
        <f>SUM(COUNTIF($C$8:$Q$45,Deltagarlista!E45)+COUNTIF($C$53:$Q$90,Deltagarlista!E45)+COUNTIF($C$98:$Q$135,Deltagarlista!E45)+COUNTIF($C$143:$Q$180,Deltagarlista!E45))</f>
        <v>0</v>
      </c>
      <c r="BP49" s="162">
        <f t="shared" si="18"/>
        <v>1</v>
      </c>
      <c r="BQ49" s="162">
        <f t="shared" si="19"/>
        <v>1</v>
      </c>
      <c r="BR49" s="162">
        <f t="shared" si="20"/>
        <v>1</v>
      </c>
      <c r="BS49" s="162">
        <f t="shared" si="21"/>
        <v>1</v>
      </c>
      <c r="BT49" s="162">
        <f t="shared" si="22"/>
        <v>1</v>
      </c>
      <c r="BU49" s="162">
        <f t="shared" si="23"/>
        <v>1</v>
      </c>
      <c r="BV49" s="162">
        <f t="shared" si="24"/>
        <v>1</v>
      </c>
      <c r="BW49" s="162">
        <f t="shared" si="25"/>
        <v>1</v>
      </c>
      <c r="BX49" s="162">
        <f t="shared" si="26"/>
        <v>1</v>
      </c>
      <c r="BY49" s="162">
        <f t="shared" si="27"/>
        <v>1</v>
      </c>
      <c r="BZ49" s="162">
        <f t="shared" si="28"/>
        <v>1</v>
      </c>
      <c r="CA49" s="162">
        <f t="shared" si="29"/>
        <v>1</v>
      </c>
      <c r="CB49" s="162">
        <f t="shared" si="30"/>
        <v>1</v>
      </c>
      <c r="CC49" s="162">
        <f t="shared" si="41"/>
        <v>1</v>
      </c>
      <c r="CD49" s="162">
        <f t="shared" si="42"/>
        <v>1</v>
      </c>
      <c r="CE49" s="162">
        <f t="shared" si="43"/>
        <v>1</v>
      </c>
      <c r="CF49" s="162">
        <f t="shared" si="44"/>
        <v>1</v>
      </c>
      <c r="CG49" s="162">
        <f t="shared" si="45"/>
        <v>1</v>
      </c>
      <c r="CH49" s="162">
        <f t="shared" si="46"/>
        <v>1</v>
      </c>
      <c r="CI49" s="162">
        <f t="shared" si="47"/>
        <v>1</v>
      </c>
      <c r="CL49" s="184" t="str">
        <f>IF(Deltagarlista!E46="","",Deltagarlista!E46)</f>
        <v/>
      </c>
      <c r="CM49" s="162" t="str">
        <f>IF(Deltagarlista!I46="","",(IF(VLOOKUP(CL49,Deltagarlista!$E$5:$I$64,5,FALSE)="Grön","Gr",IF(VLOOKUP(CL49,Deltagarlista!$E$5:$I$64,5,FALSE)="Röd","R",IF(VLOOKUP(CL49,Deltagarlista!$E$5:$I$64,5,FALSE)="Blå","B","Gu")))))</f>
        <v/>
      </c>
      <c r="DK49" s="162" t="str">
        <f>IF(DM49="","",IF(ISBLANK(Deltagarlista!C45),"",Deltagarlista!C45))</f>
        <v/>
      </c>
      <c r="DL49" s="162" t="str">
        <f>IF(ISBLANK(Deltagarlista!I45),"",IF(Deltagarlista!I45="RÖD","R",IF(Deltagarlista!I45="GRÖN","G",IF(Deltagarlista!I45="BLÅ","B",IF(Deltagarlista!I45="GUL","G","")))))</f>
        <v/>
      </c>
      <c r="DM49" s="162">
        <f>IF(ISBLANK(Deltagarlista!H45),"",1)</f>
        <v>1</v>
      </c>
    </row>
    <row r="50" spans="2:117" ht="25.8" customHeight="1" thickBot="1" x14ac:dyDescent="0.35">
      <c r="B50" s="257" t="str">
        <f>B5</f>
        <v/>
      </c>
      <c r="C50" s="248"/>
      <c r="D50" s="248"/>
      <c r="E50" s="248"/>
      <c r="F50" s="249"/>
      <c r="G50" s="249"/>
      <c r="H50" s="249"/>
      <c r="I50" s="250"/>
      <c r="J50" s="251" t="str">
        <f>J5</f>
        <v/>
      </c>
      <c r="K50" s="252"/>
      <c r="L50" s="252"/>
      <c r="M50" s="252"/>
      <c r="N50" s="252"/>
      <c r="O50" s="252"/>
      <c r="P50" s="252"/>
      <c r="Q50" s="252"/>
      <c r="R50" s="258"/>
      <c r="S50" s="129"/>
      <c r="T50" s="129"/>
      <c r="U50" s="129"/>
      <c r="V50" s="129"/>
      <c r="W50" s="129"/>
      <c r="X50" s="129"/>
      <c r="Y50" s="129"/>
      <c r="Z50" s="129"/>
      <c r="AA50" s="129"/>
      <c r="AB50" s="129"/>
      <c r="AC50" s="129"/>
      <c r="AD50" s="129"/>
      <c r="AE50" s="129"/>
      <c r="AF50" s="129"/>
      <c r="AG50" s="129"/>
      <c r="AH50" s="166"/>
      <c r="AI50" s="129"/>
      <c r="AJ50" s="129"/>
      <c r="AK50" s="129"/>
      <c r="AL50" s="129"/>
      <c r="AM50" s="129"/>
      <c r="AN50" s="129"/>
      <c r="AO50" s="129"/>
      <c r="AP50" s="129"/>
      <c r="AQ50" s="129"/>
      <c r="AR50" s="129"/>
      <c r="AS50" s="129"/>
      <c r="AT50" s="129"/>
      <c r="AU50" s="129"/>
      <c r="AV50" s="129"/>
      <c r="AW50" s="129"/>
      <c r="BN50" s="167"/>
      <c r="BO50" s="162">
        <f>SUM(COUNTIF($C$8:$Q$45,Deltagarlista!E46)+COUNTIF($C$53:$Q$90,Deltagarlista!E46)+COUNTIF($C$98:$Q$135,Deltagarlista!E46)+COUNTIF($C$143:$Q$180,Deltagarlista!E46))</f>
        <v>0</v>
      </c>
      <c r="BP50" s="162">
        <f t="shared" si="18"/>
        <v>1</v>
      </c>
      <c r="BQ50" s="162">
        <f t="shared" si="19"/>
        <v>1</v>
      </c>
      <c r="BR50" s="162">
        <f t="shared" si="20"/>
        <v>1</v>
      </c>
      <c r="BS50" s="162">
        <f t="shared" si="21"/>
        <v>1</v>
      </c>
      <c r="BT50" s="162">
        <f t="shared" si="22"/>
        <v>1</v>
      </c>
      <c r="BU50" s="162">
        <f t="shared" si="23"/>
        <v>1</v>
      </c>
      <c r="BV50" s="162">
        <f t="shared" si="24"/>
        <v>1</v>
      </c>
      <c r="BW50" s="162">
        <f t="shared" si="25"/>
        <v>1</v>
      </c>
      <c r="BX50" s="162">
        <f t="shared" si="26"/>
        <v>1</v>
      </c>
      <c r="BY50" s="162">
        <f t="shared" si="27"/>
        <v>1</v>
      </c>
      <c r="BZ50" s="162">
        <f t="shared" si="28"/>
        <v>1</v>
      </c>
      <c r="CA50" s="162">
        <f t="shared" si="29"/>
        <v>1</v>
      </c>
      <c r="CB50" s="162">
        <f t="shared" si="30"/>
        <v>1</v>
      </c>
      <c r="CC50" s="162">
        <f t="shared" si="41"/>
        <v>1</v>
      </c>
      <c r="CD50" s="162">
        <f t="shared" si="42"/>
        <v>1</v>
      </c>
      <c r="CE50" s="162">
        <f t="shared" si="43"/>
        <v>1</v>
      </c>
      <c r="CF50" s="162">
        <f t="shared" si="44"/>
        <v>1</v>
      </c>
      <c r="CG50" s="162">
        <f t="shared" si="45"/>
        <v>1</v>
      </c>
      <c r="CH50" s="162">
        <f t="shared" si="46"/>
        <v>1</v>
      </c>
      <c r="CI50" s="162">
        <f t="shared" si="47"/>
        <v>1</v>
      </c>
      <c r="CL50" s="184" t="str">
        <f>IF(Deltagarlista!E47="","",Deltagarlista!E47)</f>
        <v/>
      </c>
      <c r="CM50" s="162" t="str">
        <f>IF(Deltagarlista!I47="","",(IF(VLOOKUP(CL50,Deltagarlista!$E$5:$I$64,5,FALSE)="Grön","Gr",IF(VLOOKUP(CL50,Deltagarlista!$E$5:$I$64,5,FALSE)="Röd","R",IF(VLOOKUP(CL50,Deltagarlista!$E$5:$I$64,5,FALSE)="Blå","B","Gu")))))</f>
        <v/>
      </c>
      <c r="DK50" s="162" t="str">
        <f>IF(DM50="","",IF(ISBLANK(Deltagarlista!C46),"",Deltagarlista!C46))</f>
        <v/>
      </c>
      <c r="DL50" s="162" t="str">
        <f>IF(ISBLANK(Deltagarlista!I46),"",IF(Deltagarlista!I46="RÖD","R",IF(Deltagarlista!I46="GRÖN","G",IF(Deltagarlista!I46="BLÅ","B",IF(Deltagarlista!I46="GUL","G","")))))</f>
        <v/>
      </c>
      <c r="DM50" s="162">
        <f>IF(ISBLANK(Deltagarlista!H46),"",1)</f>
        <v>1</v>
      </c>
    </row>
    <row r="51" spans="2:117" ht="18.600000000000001" thickBot="1" x14ac:dyDescent="0.4">
      <c r="B51" s="201" t="s">
        <v>10</v>
      </c>
      <c r="C51" s="173" t="str">
        <f>IF(Deltagarlista!$K$3=2,"Gr/R",IF(Deltagarlista!$K$3=3,"Röd",IF(Deltagarlista!$K$3=4,"Gu/R","")))</f>
        <v/>
      </c>
      <c r="D51" s="174" t="str">
        <f>IF(Deltagarlista!$K$3=2,"B/Gr",IF(Deltagarlista!$K$3=3,"Grön",IF(Deltagarlista!$K$3=4,"R/B","")))</f>
        <v/>
      </c>
      <c r="E51" s="174" t="str">
        <f>IF(Deltagarlista!$K$3=2,"R/B",IF(Deltagarlista!$K$3=3,"Röd",IF(Deltagarlista!$K$3=4,"Gu/Gr","")))</f>
        <v/>
      </c>
      <c r="F51" s="174" t="str">
        <f>IF(Deltagarlista!$K$3=2,"Gr/R",IF(Deltagarlista!$K$3=3,"Grön",IF(Deltagarlista!$K$3=4,"Gr/R","")))</f>
        <v/>
      </c>
      <c r="G51" s="174" t="str">
        <f>IF(Deltagarlista!$K$3=2,"B/Gr",IF(Deltagarlista!$K$3=3,"Röd",IF(Deltagarlista!$K$3=4,"B/Gu","")))</f>
        <v/>
      </c>
      <c r="H51" s="174" t="str">
        <f>IF(Deltagarlista!$K$3=2,"R/B",IF(Deltagarlista!$K$3=3,"Grön",IF(Deltagarlista!$K$3=4,"Gr/B","")))</f>
        <v/>
      </c>
      <c r="I51" s="174" t="str">
        <f>IF(Deltagarlista!$K$3=2,"Gr/R",IF(Deltagarlista!$K$3=3,"Röd",IF(Deltagarlista!$K$3=4,"Gu/R","")))</f>
        <v/>
      </c>
      <c r="J51" s="174" t="str">
        <f>IF(Deltagarlista!$K$3=2,"B/Gr",IF(Deltagarlista!$K$3=3,"Grön",IF(Deltagarlista!$K$3=4,"R/B","")))</f>
        <v/>
      </c>
      <c r="K51" s="174" t="str">
        <f>IF(Deltagarlista!$K$3=2,"R/B",IF(Deltagarlista!$K$3=3,"Röd",IF(Deltagarlista!$K$3=4,"Gu/Gr","")))</f>
        <v/>
      </c>
      <c r="L51" s="174" t="str">
        <f>IF(Deltagarlista!$K$3=2,"Gr/R",IF(Deltagarlista!$K$3=3,"Grön",IF(Deltagarlista!$K$3=4,"Gr/R","")))</f>
        <v/>
      </c>
      <c r="M51" s="174" t="str">
        <f>IF(Deltagarlista!$K$3=2,"B/Gr",IF(Deltagarlista!$K$3=3,"Röd",IF(Deltagarlista!$K$3=4,"B/Gu","")))</f>
        <v/>
      </c>
      <c r="N51" s="174" t="str">
        <f>IF(Deltagarlista!$K$3=2,"R/B",IF(Deltagarlista!$K$3=3,"Grön",IF(Deltagarlista!$K$3=4,"Gr/B","")))</f>
        <v/>
      </c>
      <c r="O51" s="174" t="str">
        <f>IF(Deltagarlista!$K$3=2,"Gr/R",IF(Deltagarlista!$K$3=3,"Röd",IF(Deltagarlista!$K$3=4,"Gu/R","")))</f>
        <v/>
      </c>
      <c r="P51" s="174" t="str">
        <f>IF(Deltagarlista!$K$3=2,"B/Gr",IF(Deltagarlista!$K$3=3,"Grön",IF(Deltagarlista!$K$3=4,"R/B","")))</f>
        <v/>
      </c>
      <c r="Q51" s="175" t="str">
        <f>IF(Deltagarlista!$K$3=2,"R/B",IF(Deltagarlista!$K$3=3,"Röd",IF(Deltagarlista!$K$3=4,"Gu/Gr","")))</f>
        <v/>
      </c>
      <c r="R51" s="202" t="s">
        <v>10</v>
      </c>
      <c r="S51" s="129"/>
      <c r="T51" s="129"/>
      <c r="U51" s="129"/>
      <c r="V51" s="129"/>
      <c r="W51" s="129"/>
      <c r="X51" s="129"/>
      <c r="Y51" s="129"/>
      <c r="Z51" s="129"/>
      <c r="AA51" s="129"/>
      <c r="AB51" s="129"/>
      <c r="AC51" s="129"/>
      <c r="AD51" s="129"/>
      <c r="AE51" s="129"/>
      <c r="AF51" s="129"/>
      <c r="AG51" s="129"/>
      <c r="AH51" s="166"/>
      <c r="AI51" s="129"/>
      <c r="AJ51" s="129"/>
      <c r="AK51" s="129"/>
      <c r="AL51" s="129"/>
      <c r="AM51" s="129"/>
      <c r="AN51" s="129"/>
      <c r="AO51" s="129"/>
      <c r="AP51" s="129"/>
      <c r="AQ51" s="129"/>
      <c r="AR51" s="129"/>
      <c r="AS51" s="129"/>
      <c r="AT51" s="129"/>
      <c r="AU51" s="129"/>
      <c r="AV51" s="129"/>
      <c r="AW51" s="129"/>
      <c r="BN51" s="167"/>
      <c r="BO51" s="162">
        <f>SUM(COUNTIF($C$8:$Q$45,Deltagarlista!E47)+COUNTIF($C$53:$Q$90,Deltagarlista!E47)+COUNTIF($C$98:$Q$135,Deltagarlista!E47)+COUNTIF($C$143:$Q$180,Deltagarlista!E47))</f>
        <v>0</v>
      </c>
      <c r="BP51" s="162">
        <f t="shared" si="18"/>
        <v>1</v>
      </c>
      <c r="BQ51" s="162">
        <f t="shared" si="19"/>
        <v>1</v>
      </c>
      <c r="BR51" s="162">
        <f t="shared" si="20"/>
        <v>1</v>
      </c>
      <c r="BS51" s="162">
        <f t="shared" si="21"/>
        <v>1</v>
      </c>
      <c r="BT51" s="162">
        <f t="shared" si="22"/>
        <v>1</v>
      </c>
      <c r="BU51" s="162">
        <f t="shared" si="23"/>
        <v>1</v>
      </c>
      <c r="BV51" s="162">
        <f t="shared" si="24"/>
        <v>1</v>
      </c>
      <c r="BW51" s="162">
        <f t="shared" si="25"/>
        <v>1</v>
      </c>
      <c r="BX51" s="162">
        <f t="shared" si="26"/>
        <v>1</v>
      </c>
      <c r="BY51" s="162">
        <f t="shared" si="27"/>
        <v>1</v>
      </c>
      <c r="BZ51" s="162">
        <f t="shared" si="28"/>
        <v>1</v>
      </c>
      <c r="CA51" s="162">
        <f t="shared" si="29"/>
        <v>1</v>
      </c>
      <c r="CB51" s="162">
        <f t="shared" si="30"/>
        <v>1</v>
      </c>
      <c r="CC51" s="162">
        <f t="shared" si="41"/>
        <v>1</v>
      </c>
      <c r="CD51" s="162">
        <f t="shared" si="42"/>
        <v>1</v>
      </c>
      <c r="CE51" s="162">
        <f t="shared" si="43"/>
        <v>1</v>
      </c>
      <c r="CF51" s="162">
        <f t="shared" si="44"/>
        <v>1</v>
      </c>
      <c r="CG51" s="162">
        <f t="shared" si="45"/>
        <v>1</v>
      </c>
      <c r="CH51" s="162">
        <f t="shared" si="46"/>
        <v>1</v>
      </c>
      <c r="CI51" s="162">
        <f t="shared" si="47"/>
        <v>1</v>
      </c>
      <c r="CL51" s="184" t="str">
        <f>IF(Deltagarlista!E48="","",Deltagarlista!E48)</f>
        <v/>
      </c>
      <c r="CM51" s="162" t="str">
        <f>IF(Deltagarlista!I48="","",(IF(VLOOKUP(CL51,Deltagarlista!$E$5:$I$64,5,FALSE)="Grön","Gr",IF(VLOOKUP(CL51,Deltagarlista!$E$5:$I$64,5,FALSE)="Röd","R",IF(VLOOKUP(CL51,Deltagarlista!$E$5:$I$64,5,FALSE)="Blå","B","Gu")))))</f>
        <v/>
      </c>
      <c r="DK51" s="162" t="str">
        <f>IF(DM51="","",IF(ISBLANK(Deltagarlista!C47),"",Deltagarlista!C47))</f>
        <v/>
      </c>
      <c r="DL51" s="162" t="str">
        <f>IF(ISBLANK(Deltagarlista!I47),"",IF(Deltagarlista!I47="RÖD","R",IF(Deltagarlista!I47="GRÖN","G",IF(Deltagarlista!I47="BLÅ","B",IF(Deltagarlista!I47="GUL","G","")))))</f>
        <v/>
      </c>
      <c r="DM51" s="162">
        <f>IF(ISBLANK(Deltagarlista!H47),"",1)</f>
        <v>1</v>
      </c>
    </row>
    <row r="52" spans="2:117" ht="20.399999999999999" customHeight="1" thickBot="1" x14ac:dyDescent="0.35">
      <c r="B52" s="203" t="s">
        <v>0</v>
      </c>
      <c r="C52" s="180" t="str">
        <f>IF(OR(Deltagarlista!$K$3=4,Deltagarlista!$K$3=3),"","16")</f>
        <v>16</v>
      </c>
      <c r="D52" s="180" t="str">
        <f>IF(OR(Deltagarlista!$K$3=4,Deltagarlista!$K$3=3),"9","17")</f>
        <v>17</v>
      </c>
      <c r="E52" s="180" t="str">
        <f>IF(OR(Deltagarlista!$K$3=4,Deltagarlista!$K$3=3),"","18")</f>
        <v>18</v>
      </c>
      <c r="F52" s="180" t="str">
        <f>IF(OR(Deltagarlista!$K$3=4,Deltagarlista!$K$3=3),"10","19")</f>
        <v>19</v>
      </c>
      <c r="G52" s="180" t="str">
        <f>IF(OR(Deltagarlista!$K$3=4,Deltagarlista!$K$3=3),"","20")</f>
        <v>20</v>
      </c>
      <c r="H52" s="180" t="str">
        <f>IF(OR(Deltagarlista!$K$3=4,Deltagarlista!$K$3=3),"11","21")</f>
        <v>21</v>
      </c>
      <c r="I52" s="180" t="str">
        <f>IF(OR(Deltagarlista!$K$3=4,Deltagarlista!$K$3=3),"","22")</f>
        <v>22</v>
      </c>
      <c r="J52" s="180" t="str">
        <f>IF(OR(Deltagarlista!$K$3=4,Deltagarlista!$K$3=3),"12","23")</f>
        <v>23</v>
      </c>
      <c r="K52" s="180" t="str">
        <f>IF(OR(Deltagarlista!$K$3=4,Deltagarlista!$K$3=3),"","24")</f>
        <v>24</v>
      </c>
      <c r="L52" s="180" t="str">
        <f>IF(OR(Deltagarlista!$K$3=4,Deltagarlista!$K$3=3),"13","25")</f>
        <v>25</v>
      </c>
      <c r="M52" s="180" t="str">
        <f>IF(OR(Deltagarlista!$K$3=4,Deltagarlista!$K$3=3),"","26")</f>
        <v>26</v>
      </c>
      <c r="N52" s="180" t="str">
        <f>IF(OR(Deltagarlista!$K$3=4,Deltagarlista!$K$3=3),"14","27")</f>
        <v>27</v>
      </c>
      <c r="O52" s="180" t="str">
        <f>IF(OR(Deltagarlista!$K$3=4,Deltagarlista!$K$3=3),"","28")</f>
        <v>28</v>
      </c>
      <c r="P52" s="180" t="str">
        <f>IF(OR(Deltagarlista!$K$3=4,Deltagarlista!$K$3=3),"15","29")</f>
        <v>29</v>
      </c>
      <c r="Q52" s="180" t="str">
        <f>IF(OR(Deltagarlista!$K$3=4,Deltagarlista!$K$3=3),"","30")</f>
        <v>30</v>
      </c>
      <c r="R52" s="203" t="s">
        <v>0</v>
      </c>
      <c r="S52" s="129"/>
      <c r="T52" s="129"/>
      <c r="U52" s="129"/>
      <c r="V52" s="129"/>
      <c r="W52" s="129"/>
      <c r="X52" s="129"/>
      <c r="Y52" s="129"/>
      <c r="Z52" s="129"/>
      <c r="AA52" s="129"/>
      <c r="AB52" s="129"/>
      <c r="AC52" s="129"/>
      <c r="AD52" s="129"/>
      <c r="AE52" s="129"/>
      <c r="AF52" s="129"/>
      <c r="AG52" s="129"/>
      <c r="AH52" s="166"/>
      <c r="AI52" s="129"/>
      <c r="AJ52" s="129"/>
      <c r="AK52" s="129"/>
      <c r="AL52" s="129"/>
      <c r="AM52" s="129"/>
      <c r="AN52" s="129"/>
      <c r="AO52" s="129"/>
      <c r="AP52" s="129"/>
      <c r="AQ52" s="129"/>
      <c r="AR52" s="129"/>
      <c r="AS52" s="129"/>
      <c r="AT52" s="129"/>
      <c r="AU52" s="129"/>
      <c r="AV52" s="129"/>
      <c r="AW52" s="129"/>
      <c r="AY52" s="162">
        <f t="shared" ref="AY52:BM52" si="48">IF(SUM(AY53:AY90)&lt;&gt;COUNT(C53:C90),0,1)</f>
        <v>1</v>
      </c>
      <c r="AZ52" s="162">
        <f t="shared" si="48"/>
        <v>1</v>
      </c>
      <c r="BA52" s="162">
        <f t="shared" si="48"/>
        <v>1</v>
      </c>
      <c r="BB52" s="162">
        <f t="shared" si="48"/>
        <v>1</v>
      </c>
      <c r="BC52" s="162">
        <f t="shared" si="48"/>
        <v>1</v>
      </c>
      <c r="BD52" s="162">
        <f t="shared" si="48"/>
        <v>1</v>
      </c>
      <c r="BE52" s="162">
        <f t="shared" si="48"/>
        <v>1</v>
      </c>
      <c r="BF52" s="162">
        <f t="shared" si="48"/>
        <v>1</v>
      </c>
      <c r="BG52" s="162">
        <f t="shared" si="48"/>
        <v>1</v>
      </c>
      <c r="BH52" s="162">
        <f t="shared" si="48"/>
        <v>1</v>
      </c>
      <c r="BI52" s="162">
        <f t="shared" si="48"/>
        <v>1</v>
      </c>
      <c r="BJ52" s="162">
        <f t="shared" si="48"/>
        <v>1</v>
      </c>
      <c r="BK52" s="162">
        <f t="shared" si="48"/>
        <v>1</v>
      </c>
      <c r="BL52" s="162">
        <f t="shared" si="48"/>
        <v>1</v>
      </c>
      <c r="BM52" s="162">
        <f t="shared" si="48"/>
        <v>1</v>
      </c>
      <c r="BN52" s="167"/>
      <c r="BO52" s="162">
        <f>SUM(COUNTIF($C$8:$Q$45,Deltagarlista!E48)+COUNTIF($C$53:$Q$90,Deltagarlista!E48)+COUNTIF($C$98:$Q$135,Deltagarlista!E48)+COUNTIF($C$143:$Q$180,Deltagarlista!E48))</f>
        <v>0</v>
      </c>
      <c r="BP52" s="162">
        <f t="shared" si="18"/>
        <v>1</v>
      </c>
      <c r="BQ52" s="162">
        <f t="shared" si="19"/>
        <v>1</v>
      </c>
      <c r="BR52" s="162">
        <f t="shared" si="20"/>
        <v>1</v>
      </c>
      <c r="BS52" s="162">
        <f t="shared" si="21"/>
        <v>1</v>
      </c>
      <c r="BT52" s="162">
        <f t="shared" si="22"/>
        <v>1</v>
      </c>
      <c r="BU52" s="162">
        <f t="shared" si="23"/>
        <v>1</v>
      </c>
      <c r="BV52" s="162">
        <f t="shared" si="24"/>
        <v>1</v>
      </c>
      <c r="BW52" s="162">
        <f t="shared" si="25"/>
        <v>1</v>
      </c>
      <c r="BX52" s="162">
        <f t="shared" si="26"/>
        <v>1</v>
      </c>
      <c r="BY52" s="162">
        <f t="shared" si="27"/>
        <v>1</v>
      </c>
      <c r="BZ52" s="162">
        <f t="shared" si="28"/>
        <v>1</v>
      </c>
      <c r="CA52" s="162">
        <f t="shared" si="29"/>
        <v>1</v>
      </c>
      <c r="CB52" s="162">
        <f t="shared" si="30"/>
        <v>1</v>
      </c>
      <c r="CC52" s="162">
        <f t="shared" si="41"/>
        <v>1</v>
      </c>
      <c r="CD52" s="162">
        <f t="shared" si="42"/>
        <v>1</v>
      </c>
      <c r="CE52" s="162">
        <f t="shared" si="43"/>
        <v>1</v>
      </c>
      <c r="CF52" s="162">
        <f t="shared" si="44"/>
        <v>1</v>
      </c>
      <c r="CG52" s="162">
        <f t="shared" si="45"/>
        <v>1</v>
      </c>
      <c r="CH52" s="162">
        <f t="shared" si="46"/>
        <v>1</v>
      </c>
      <c r="CI52" s="162">
        <f t="shared" si="47"/>
        <v>1</v>
      </c>
      <c r="CL52" s="184" t="str">
        <f>IF(Deltagarlista!E49="","",Deltagarlista!E49)</f>
        <v/>
      </c>
      <c r="CM52" s="162" t="str">
        <f>IF(Deltagarlista!I49="","",(IF(VLOOKUP(CL52,Deltagarlista!$E$5:$I$64,5,FALSE)="Grön","Gr",IF(VLOOKUP(CL52,Deltagarlista!$E$5:$I$64,5,FALSE)="Röd","R",IF(VLOOKUP(CL52,Deltagarlista!$E$5:$I$64,5,FALSE)="Blå","B","Gu")))))</f>
        <v/>
      </c>
      <c r="DK52" s="162" t="str">
        <f>IF(DM52="","",IF(ISBLANK(Deltagarlista!C48),"",Deltagarlista!C48))</f>
        <v/>
      </c>
      <c r="DL52" s="162" t="str">
        <f>IF(ISBLANK(Deltagarlista!I48),"",IF(Deltagarlista!I48="RÖD","R",IF(Deltagarlista!I48="GRÖN","G",IF(Deltagarlista!I48="BLÅ","B",IF(Deltagarlista!I48="GUL","G","")))))</f>
        <v/>
      </c>
      <c r="DM52" s="162">
        <f>IF(ISBLANK(Deltagarlista!H48),"",1)</f>
        <v>1</v>
      </c>
    </row>
    <row r="53" spans="2:117" x14ac:dyDescent="0.3">
      <c r="B53" s="186">
        <v>1</v>
      </c>
      <c r="C53" s="24"/>
      <c r="D53" s="25"/>
      <c r="E53" s="37"/>
      <c r="F53" s="24"/>
      <c r="G53" s="25"/>
      <c r="H53" s="26"/>
      <c r="I53" s="40"/>
      <c r="J53" s="25"/>
      <c r="K53" s="37"/>
      <c r="L53" s="24"/>
      <c r="M53" s="25"/>
      <c r="N53" s="26"/>
      <c r="O53" s="40"/>
      <c r="P53" s="25"/>
      <c r="Q53" s="26"/>
      <c r="R53" s="187">
        <v>1</v>
      </c>
      <c r="S53" s="188">
        <v>1</v>
      </c>
      <c r="T53" s="188">
        <v>1</v>
      </c>
      <c r="U53" s="188">
        <v>1</v>
      </c>
      <c r="V53" s="188">
        <v>1</v>
      </c>
      <c r="W53" s="188">
        <v>1</v>
      </c>
      <c r="X53" s="188">
        <v>1</v>
      </c>
      <c r="Y53" s="188">
        <v>1</v>
      </c>
      <c r="Z53" s="188">
        <v>1</v>
      </c>
      <c r="AA53" s="188">
        <v>1</v>
      </c>
      <c r="AB53" s="188">
        <v>1</v>
      </c>
      <c r="AC53" s="188">
        <v>1</v>
      </c>
      <c r="AD53" s="188">
        <v>1</v>
      </c>
      <c r="AE53" s="188">
        <v>1</v>
      </c>
      <c r="AF53" s="188">
        <v>1</v>
      </c>
      <c r="AG53" s="188">
        <v>1</v>
      </c>
      <c r="AH53" s="166"/>
      <c r="AI53" s="129">
        <f t="shared" ref="AI53:AI54" si="49">C53</f>
        <v>0</v>
      </c>
      <c r="AJ53" s="129">
        <f t="shared" ref="AJ53:AJ54" si="50">D53</f>
        <v>0</v>
      </c>
      <c r="AK53" s="129">
        <f t="shared" ref="AK53:AK54" si="51">E53</f>
        <v>0</v>
      </c>
      <c r="AL53" s="129">
        <f t="shared" ref="AL53:AL54" si="52">F53</f>
        <v>0</v>
      </c>
      <c r="AM53" s="129">
        <f t="shared" ref="AM53:AM54" si="53">G53</f>
        <v>0</v>
      </c>
      <c r="AN53" s="129">
        <f t="shared" ref="AN53:AN54" si="54">H53</f>
        <v>0</v>
      </c>
      <c r="AO53" s="129">
        <f t="shared" ref="AO53:AO54" si="55">I53</f>
        <v>0</v>
      </c>
      <c r="AP53" s="129">
        <f t="shared" ref="AP53:AP54" si="56">J53</f>
        <v>0</v>
      </c>
      <c r="AQ53" s="129">
        <f t="shared" ref="AQ53:AQ54" si="57">K53</f>
        <v>0</v>
      </c>
      <c r="AR53" s="129">
        <f t="shared" ref="AR53:AR54" si="58">L53</f>
        <v>0</v>
      </c>
      <c r="AS53" s="129">
        <f t="shared" ref="AS53:AS54" si="59">M53</f>
        <v>0</v>
      </c>
      <c r="AT53" s="129">
        <f t="shared" ref="AT53:AT54" si="60">N53</f>
        <v>0</v>
      </c>
      <c r="AU53" s="129">
        <f t="shared" ref="AU53:AU54" si="61">O53</f>
        <v>0</v>
      </c>
      <c r="AV53" s="129">
        <f t="shared" ref="AV53:AV54" si="62">P53</f>
        <v>0</v>
      </c>
      <c r="AW53" s="129">
        <f t="shared" ref="AW53:AW54" si="63">Q53</f>
        <v>0</v>
      </c>
      <c r="AY53" s="162" t="str">
        <f>IF(ISBLANK(C53),"",NOT(ISERROR(MATCH(C53,Deltagarlista!$E$5:$E$64,0))))</f>
        <v/>
      </c>
      <c r="AZ53" s="162" t="str">
        <f>IF(ISBLANK(D53),"",NOT(ISERROR(MATCH(D53,Deltagarlista!$E$5:$E$64,0))))</f>
        <v/>
      </c>
      <c r="BA53" s="162" t="str">
        <f>IF(ISBLANK(E53),"",NOT(ISERROR(MATCH(E53,Deltagarlista!$E$5:$E$64,0))))</f>
        <v/>
      </c>
      <c r="BB53" s="162" t="str">
        <f>IF(ISBLANK(F53),"",NOT(ISERROR(MATCH(F53,Deltagarlista!$E$5:$E$64,0))))</f>
        <v/>
      </c>
      <c r="BC53" s="162" t="str">
        <f>IF(ISBLANK(G53),"",NOT(ISERROR(MATCH(G53,Deltagarlista!$E$5:$E$64,0))))</f>
        <v/>
      </c>
      <c r="BD53" s="162" t="str">
        <f>IF(ISBLANK(H53),"",NOT(ISERROR(MATCH(H53,Deltagarlista!$E$5:$E$64,0))))</f>
        <v/>
      </c>
      <c r="BE53" s="162" t="str">
        <f>IF(ISBLANK(I53),"",NOT(ISERROR(MATCH(I53,Deltagarlista!$E$5:$E$64,0))))</f>
        <v/>
      </c>
      <c r="BF53" s="162" t="str">
        <f>IF(ISBLANK(J53),"",NOT(ISERROR(MATCH(J53,Deltagarlista!$E$5:$E$64,0))))</f>
        <v/>
      </c>
      <c r="BG53" s="162" t="str">
        <f>IF(ISBLANK(K53),"",NOT(ISERROR(MATCH(K53,Deltagarlista!$E$5:$E$64,0))))</f>
        <v/>
      </c>
      <c r="BH53" s="162" t="str">
        <f>IF(ISBLANK(L53),"",NOT(ISERROR(MATCH(L53,Deltagarlista!$E$5:$E$64,0))))</f>
        <v/>
      </c>
      <c r="BI53" s="162" t="str">
        <f>IF(ISBLANK(M53),"",NOT(ISERROR(MATCH(M53,Deltagarlista!$E$5:$E$64,0))))</f>
        <v/>
      </c>
      <c r="BJ53" s="162" t="str">
        <f>IF(ISBLANK(N53),"",NOT(ISERROR(MATCH(N53,Deltagarlista!$E$5:$E$64,0))))</f>
        <v/>
      </c>
      <c r="BK53" s="162" t="str">
        <f>IF(ISBLANK(O53),"",NOT(ISERROR(MATCH(O53,Deltagarlista!$E$5:$E$64,0))))</f>
        <v/>
      </c>
      <c r="BL53" s="162" t="str">
        <f>IF(ISBLANK(P53),"",NOT(ISERROR(MATCH(P53,Deltagarlista!$E$5:$E$64,0))))</f>
        <v/>
      </c>
      <c r="BM53" s="162" t="str">
        <f>IF(ISBLANK(Q53),"",NOT(ISERROR(MATCH(Q53,Deltagarlista!$E$5:$E$64,0))))</f>
        <v/>
      </c>
      <c r="BN53" s="167"/>
      <c r="BO53" s="162">
        <f>SUM(COUNTIF($C$8:$Q$45,Deltagarlista!E49)+COUNTIF($C$53:$Q$90,Deltagarlista!E49)+COUNTIF($C$98:$Q$135,Deltagarlista!E49)+COUNTIF($C$143:$Q$180,Deltagarlista!E49))</f>
        <v>0</v>
      </c>
      <c r="BP53" s="162">
        <f t="shared" si="18"/>
        <v>1</v>
      </c>
      <c r="BQ53" s="162">
        <f t="shared" si="19"/>
        <v>1</v>
      </c>
      <c r="BR53" s="162">
        <f t="shared" si="20"/>
        <v>1</v>
      </c>
      <c r="BS53" s="162">
        <f t="shared" si="21"/>
        <v>1</v>
      </c>
      <c r="BT53" s="162">
        <f t="shared" si="22"/>
        <v>1</v>
      </c>
      <c r="BU53" s="162">
        <f t="shared" si="23"/>
        <v>1</v>
      </c>
      <c r="BV53" s="162">
        <f t="shared" si="24"/>
        <v>1</v>
      </c>
      <c r="BW53" s="162">
        <f t="shared" si="25"/>
        <v>1</v>
      </c>
      <c r="BX53" s="162">
        <f t="shared" si="26"/>
        <v>1</v>
      </c>
      <c r="BY53" s="162">
        <f t="shared" si="27"/>
        <v>1</v>
      </c>
      <c r="BZ53" s="162">
        <f t="shared" si="28"/>
        <v>1</v>
      </c>
      <c r="CA53" s="162">
        <f t="shared" si="29"/>
        <v>1</v>
      </c>
      <c r="CB53" s="162">
        <f t="shared" si="30"/>
        <v>1</v>
      </c>
      <c r="CC53" s="162">
        <f t="shared" si="41"/>
        <v>1</v>
      </c>
      <c r="CD53" s="162">
        <f t="shared" si="42"/>
        <v>1</v>
      </c>
      <c r="CE53" s="162">
        <f t="shared" si="43"/>
        <v>1</v>
      </c>
      <c r="CF53" s="162">
        <f t="shared" si="44"/>
        <v>1</v>
      </c>
      <c r="CG53" s="162">
        <f t="shared" si="45"/>
        <v>1</v>
      </c>
      <c r="CH53" s="162">
        <f t="shared" si="46"/>
        <v>1</v>
      </c>
      <c r="CI53" s="162">
        <f t="shared" si="47"/>
        <v>1</v>
      </c>
      <c r="CL53" s="184" t="str">
        <f>IF(Deltagarlista!E50="","",Deltagarlista!E50)</f>
        <v/>
      </c>
      <c r="CM53" s="162" t="str">
        <f>IF(Deltagarlista!I50="","",(IF(VLOOKUP(CL53,Deltagarlista!$E$5:$I$64,5,FALSE)="Grön","Gr",IF(VLOOKUP(CL53,Deltagarlista!$E$5:$I$64,5,FALSE)="Röd","R",IF(VLOOKUP(CL53,Deltagarlista!$E$5:$I$64,5,FALSE)="Blå","B","Gu")))))</f>
        <v/>
      </c>
      <c r="DK53" s="162" t="str">
        <f>IF(DM53="","",IF(ISBLANK(Deltagarlista!C49),"",Deltagarlista!C49))</f>
        <v/>
      </c>
      <c r="DL53" s="162" t="str">
        <f>IF(ISBLANK(Deltagarlista!I49),"",IF(Deltagarlista!I49="RÖD","R",IF(Deltagarlista!I49="GRÖN","G",IF(Deltagarlista!I49="BLÅ","B",IF(Deltagarlista!I49="GUL","G","")))))</f>
        <v/>
      </c>
      <c r="DM53" s="162">
        <f>IF(ISBLANK(Deltagarlista!H49),"",1)</f>
        <v>1</v>
      </c>
    </row>
    <row r="54" spans="2:117" x14ac:dyDescent="0.3">
      <c r="B54" s="186">
        <v>2</v>
      </c>
      <c r="C54" s="27"/>
      <c r="D54" s="28"/>
      <c r="E54" s="38"/>
      <c r="F54" s="27"/>
      <c r="G54" s="28"/>
      <c r="H54" s="29"/>
      <c r="I54" s="41"/>
      <c r="J54" s="28"/>
      <c r="K54" s="38"/>
      <c r="L54" s="27"/>
      <c r="M54" s="28"/>
      <c r="N54" s="29"/>
      <c r="O54" s="41"/>
      <c r="P54" s="28"/>
      <c r="Q54" s="29"/>
      <c r="R54" s="187">
        <v>2</v>
      </c>
      <c r="S54" s="188">
        <v>2</v>
      </c>
      <c r="T54" s="188">
        <v>2</v>
      </c>
      <c r="U54" s="188">
        <v>2</v>
      </c>
      <c r="V54" s="188">
        <v>2</v>
      </c>
      <c r="W54" s="188">
        <v>2</v>
      </c>
      <c r="X54" s="188">
        <v>2</v>
      </c>
      <c r="Y54" s="188">
        <v>2</v>
      </c>
      <c r="Z54" s="188">
        <v>2</v>
      </c>
      <c r="AA54" s="188">
        <v>2</v>
      </c>
      <c r="AB54" s="188">
        <v>2</v>
      </c>
      <c r="AC54" s="188">
        <v>2</v>
      </c>
      <c r="AD54" s="188">
        <v>2</v>
      </c>
      <c r="AE54" s="188">
        <v>2</v>
      </c>
      <c r="AF54" s="188">
        <v>2</v>
      </c>
      <c r="AG54" s="188">
        <v>2</v>
      </c>
      <c r="AH54" s="166"/>
      <c r="AI54" s="129">
        <f t="shared" si="49"/>
        <v>0</v>
      </c>
      <c r="AJ54" s="129">
        <f t="shared" si="50"/>
        <v>0</v>
      </c>
      <c r="AK54" s="129">
        <f t="shared" si="51"/>
        <v>0</v>
      </c>
      <c r="AL54" s="129">
        <f t="shared" si="52"/>
        <v>0</v>
      </c>
      <c r="AM54" s="129">
        <f t="shared" si="53"/>
        <v>0</v>
      </c>
      <c r="AN54" s="129">
        <f t="shared" si="54"/>
        <v>0</v>
      </c>
      <c r="AO54" s="129">
        <f t="shared" si="55"/>
        <v>0</v>
      </c>
      <c r="AP54" s="129">
        <f t="shared" si="56"/>
        <v>0</v>
      </c>
      <c r="AQ54" s="129">
        <f t="shared" si="57"/>
        <v>0</v>
      </c>
      <c r="AR54" s="129">
        <f t="shared" si="58"/>
        <v>0</v>
      </c>
      <c r="AS54" s="129">
        <f t="shared" si="59"/>
        <v>0</v>
      </c>
      <c r="AT54" s="129">
        <f t="shared" si="60"/>
        <v>0</v>
      </c>
      <c r="AU54" s="129">
        <f t="shared" si="61"/>
        <v>0</v>
      </c>
      <c r="AV54" s="129">
        <f t="shared" si="62"/>
        <v>0</v>
      </c>
      <c r="AW54" s="129">
        <f t="shared" si="63"/>
        <v>0</v>
      </c>
      <c r="AY54" s="162" t="str">
        <f>IF(ISBLANK(C54),"",NOT(ISERROR(MATCH(C54,Deltagarlista!$E$5:$E$64,0))))</f>
        <v/>
      </c>
      <c r="AZ54" s="162" t="str">
        <f>IF(ISBLANK(D54),"",NOT(ISERROR(MATCH(D54,Deltagarlista!$E$5:$E$64,0))))</f>
        <v/>
      </c>
      <c r="BA54" s="162" t="str">
        <f>IF(ISBLANK(E54),"",NOT(ISERROR(MATCH(E54,Deltagarlista!$E$5:$E$64,0))))</f>
        <v/>
      </c>
      <c r="BB54" s="162" t="str">
        <f>IF(ISBLANK(F54),"",NOT(ISERROR(MATCH(F54,Deltagarlista!$E$5:$E$64,0))))</f>
        <v/>
      </c>
      <c r="BC54" s="162" t="str">
        <f>IF(ISBLANK(G54),"",NOT(ISERROR(MATCH(G54,Deltagarlista!$E$5:$E$64,0))))</f>
        <v/>
      </c>
      <c r="BD54" s="162" t="str">
        <f>IF(ISBLANK(H54),"",NOT(ISERROR(MATCH(H54,Deltagarlista!$E$5:$E$64,0))))</f>
        <v/>
      </c>
      <c r="BE54" s="162" t="str">
        <f>IF(ISBLANK(I54),"",NOT(ISERROR(MATCH(I54,Deltagarlista!$E$5:$E$64,0))))</f>
        <v/>
      </c>
      <c r="BF54" s="162" t="str">
        <f>IF(ISBLANK(J54),"",NOT(ISERROR(MATCH(J54,Deltagarlista!$E$5:$E$64,0))))</f>
        <v/>
      </c>
      <c r="BG54" s="162" t="str">
        <f>IF(ISBLANK(K54),"",NOT(ISERROR(MATCH(K54,Deltagarlista!$E$5:$E$64,0))))</f>
        <v/>
      </c>
      <c r="BH54" s="162" t="str">
        <f>IF(ISBLANK(L54),"",NOT(ISERROR(MATCH(L54,Deltagarlista!$E$5:$E$64,0))))</f>
        <v/>
      </c>
      <c r="BI54" s="162" t="str">
        <f>IF(ISBLANK(M54),"",NOT(ISERROR(MATCH(M54,Deltagarlista!$E$5:$E$64,0))))</f>
        <v/>
      </c>
      <c r="BJ54" s="162" t="str">
        <f>IF(ISBLANK(N54),"",NOT(ISERROR(MATCH(N54,Deltagarlista!$E$5:$E$64,0))))</f>
        <v/>
      </c>
      <c r="BK54" s="162" t="str">
        <f>IF(ISBLANK(O54),"",NOT(ISERROR(MATCH(O54,Deltagarlista!$E$5:$E$64,0))))</f>
        <v/>
      </c>
      <c r="BL54" s="162" t="str">
        <f>IF(ISBLANK(P54),"",NOT(ISERROR(MATCH(P54,Deltagarlista!$E$5:$E$64,0))))</f>
        <v/>
      </c>
      <c r="BM54" s="162" t="str">
        <f>IF(ISBLANK(Q54),"",NOT(ISERROR(MATCH(Q54,Deltagarlista!$E$5:$E$64,0))))</f>
        <v/>
      </c>
      <c r="BN54" s="167"/>
      <c r="BO54" s="162">
        <f>SUM(COUNTIF($C$8:$Q$45,Deltagarlista!E50)+COUNTIF($C$53:$Q$90,Deltagarlista!E50)+COUNTIF($C$98:$Q$135,Deltagarlista!E50)+COUNTIF($C$143:$Q$180,Deltagarlista!E50))</f>
        <v>0</v>
      </c>
      <c r="BP54" s="162">
        <f t="shared" si="18"/>
        <v>1</v>
      </c>
      <c r="BQ54" s="162">
        <f t="shared" si="19"/>
        <v>1</v>
      </c>
      <c r="BR54" s="162">
        <f t="shared" si="20"/>
        <v>1</v>
      </c>
      <c r="BS54" s="162">
        <f t="shared" si="21"/>
        <v>1</v>
      </c>
      <c r="BT54" s="162">
        <f t="shared" si="22"/>
        <v>1</v>
      </c>
      <c r="BU54" s="162">
        <f t="shared" si="23"/>
        <v>1</v>
      </c>
      <c r="BV54" s="162">
        <f t="shared" si="24"/>
        <v>1</v>
      </c>
      <c r="BW54" s="162">
        <f t="shared" si="25"/>
        <v>1</v>
      </c>
      <c r="BX54" s="162">
        <f t="shared" si="26"/>
        <v>1</v>
      </c>
      <c r="BY54" s="162">
        <f t="shared" si="27"/>
        <v>1</v>
      </c>
      <c r="BZ54" s="162">
        <f t="shared" si="28"/>
        <v>1</v>
      </c>
      <c r="CA54" s="162">
        <f t="shared" si="29"/>
        <v>1</v>
      </c>
      <c r="CB54" s="162">
        <f t="shared" si="30"/>
        <v>1</v>
      </c>
      <c r="CC54" s="162">
        <f t="shared" si="41"/>
        <v>1</v>
      </c>
      <c r="CD54" s="162">
        <f t="shared" si="42"/>
        <v>1</v>
      </c>
      <c r="CE54" s="162">
        <f t="shared" si="43"/>
        <v>1</v>
      </c>
      <c r="CF54" s="162">
        <f t="shared" si="44"/>
        <v>1</v>
      </c>
      <c r="CG54" s="162">
        <f t="shared" si="45"/>
        <v>1</v>
      </c>
      <c r="CH54" s="162">
        <f t="shared" si="46"/>
        <v>1</v>
      </c>
      <c r="CI54" s="162">
        <f t="shared" si="47"/>
        <v>1</v>
      </c>
      <c r="CL54" s="184" t="str">
        <f>IF(Deltagarlista!E51="","",Deltagarlista!E51)</f>
        <v/>
      </c>
      <c r="CM54" s="162" t="str">
        <f>IF(Deltagarlista!I51="","",(IF(VLOOKUP(CL54,Deltagarlista!$E$5:$I$64,5,FALSE)="Grön","Gr",IF(VLOOKUP(CL54,Deltagarlista!$E$5:$I$64,5,FALSE)="Röd","R",IF(VLOOKUP(CL54,Deltagarlista!$E$5:$I$64,5,FALSE)="Blå","B","Gu")))))</f>
        <v/>
      </c>
      <c r="DK54" s="162" t="str">
        <f>IF(DM54="","",IF(ISBLANK(Deltagarlista!C50),"",Deltagarlista!C50))</f>
        <v/>
      </c>
      <c r="DL54" s="162" t="str">
        <f>IF(ISBLANK(Deltagarlista!I50),"",IF(Deltagarlista!I50="RÖD","R",IF(Deltagarlista!I50="GRÖN","G",IF(Deltagarlista!I50="BLÅ","B",IF(Deltagarlista!I50="GUL","G","")))))</f>
        <v/>
      </c>
      <c r="DM54" s="162">
        <f>IF(ISBLANK(Deltagarlista!H50),"",1)</f>
        <v>1</v>
      </c>
    </row>
    <row r="55" spans="2:117" x14ac:dyDescent="0.3">
      <c r="B55" s="186">
        <v>3</v>
      </c>
      <c r="C55" s="27"/>
      <c r="D55" s="28"/>
      <c r="E55" s="38"/>
      <c r="F55" s="27"/>
      <c r="G55" s="28"/>
      <c r="H55" s="29"/>
      <c r="I55" s="41"/>
      <c r="J55" s="28"/>
      <c r="K55" s="38"/>
      <c r="L55" s="27"/>
      <c r="M55" s="28"/>
      <c r="N55" s="29"/>
      <c r="O55" s="41"/>
      <c r="P55" s="28"/>
      <c r="Q55" s="29"/>
      <c r="R55" s="187">
        <v>3</v>
      </c>
      <c r="S55" s="188">
        <v>3</v>
      </c>
      <c r="T55" s="188">
        <v>3</v>
      </c>
      <c r="U55" s="188">
        <v>3</v>
      </c>
      <c r="V55" s="188">
        <v>3</v>
      </c>
      <c r="W55" s="188">
        <v>3</v>
      </c>
      <c r="X55" s="188">
        <v>3</v>
      </c>
      <c r="Y55" s="188">
        <v>3</v>
      </c>
      <c r="Z55" s="188">
        <v>3</v>
      </c>
      <c r="AA55" s="188">
        <v>3</v>
      </c>
      <c r="AB55" s="188">
        <v>3</v>
      </c>
      <c r="AC55" s="188">
        <v>3</v>
      </c>
      <c r="AD55" s="188">
        <v>3</v>
      </c>
      <c r="AE55" s="188">
        <v>3</v>
      </c>
      <c r="AF55" s="188">
        <v>3</v>
      </c>
      <c r="AG55" s="188">
        <v>3</v>
      </c>
      <c r="AH55" s="166"/>
      <c r="AI55" s="129">
        <f t="shared" ref="AI55:AI90" si="64">C55</f>
        <v>0</v>
      </c>
      <c r="AJ55" s="129">
        <f t="shared" ref="AJ55:AJ90" si="65">D55</f>
        <v>0</v>
      </c>
      <c r="AK55" s="129">
        <f t="shared" ref="AK55:AK90" si="66">E55</f>
        <v>0</v>
      </c>
      <c r="AL55" s="129">
        <f t="shared" ref="AL55:AL90" si="67">F55</f>
        <v>0</v>
      </c>
      <c r="AM55" s="129">
        <f t="shared" ref="AM55:AM90" si="68">G55</f>
        <v>0</v>
      </c>
      <c r="AN55" s="129">
        <f t="shared" ref="AN55:AN90" si="69">H55</f>
        <v>0</v>
      </c>
      <c r="AO55" s="129">
        <f t="shared" ref="AO55:AO90" si="70">I55</f>
        <v>0</v>
      </c>
      <c r="AP55" s="129">
        <f t="shared" ref="AP55:AP90" si="71">J55</f>
        <v>0</v>
      </c>
      <c r="AQ55" s="129">
        <f t="shared" ref="AQ55:AQ90" si="72">K55</f>
        <v>0</v>
      </c>
      <c r="AR55" s="129">
        <f t="shared" ref="AR55:AR90" si="73">L55</f>
        <v>0</v>
      </c>
      <c r="AS55" s="129">
        <f t="shared" ref="AS55:AS90" si="74">M55</f>
        <v>0</v>
      </c>
      <c r="AT55" s="129">
        <f t="shared" ref="AT55:AT90" si="75">N55</f>
        <v>0</v>
      </c>
      <c r="AU55" s="129">
        <f t="shared" ref="AU55:AU90" si="76">O55</f>
        <v>0</v>
      </c>
      <c r="AV55" s="129">
        <f t="shared" ref="AV55:AV90" si="77">P55</f>
        <v>0</v>
      </c>
      <c r="AW55" s="129">
        <f t="shared" ref="AW55:AW90" si="78">Q55</f>
        <v>0</v>
      </c>
      <c r="AY55" s="162" t="str">
        <f>IF(ISBLANK(C55),"",NOT(ISERROR(MATCH(C55,Deltagarlista!$E$5:$E$64,0))))</f>
        <v/>
      </c>
      <c r="AZ55" s="162" t="str">
        <f>IF(ISBLANK(D55),"",NOT(ISERROR(MATCH(D55,Deltagarlista!$E$5:$E$64,0))))</f>
        <v/>
      </c>
      <c r="BA55" s="162" t="str">
        <f>IF(ISBLANK(E55),"",NOT(ISERROR(MATCH(E55,Deltagarlista!$E$5:$E$64,0))))</f>
        <v/>
      </c>
      <c r="BB55" s="162" t="str">
        <f>IF(ISBLANK(F55),"",NOT(ISERROR(MATCH(F55,Deltagarlista!$E$5:$E$64,0))))</f>
        <v/>
      </c>
      <c r="BC55" s="162" t="str">
        <f>IF(ISBLANK(G55),"",NOT(ISERROR(MATCH(G55,Deltagarlista!$E$5:$E$64,0))))</f>
        <v/>
      </c>
      <c r="BD55" s="162" t="str">
        <f>IF(ISBLANK(H55),"",NOT(ISERROR(MATCH(H55,Deltagarlista!$E$5:$E$64,0))))</f>
        <v/>
      </c>
      <c r="BE55" s="162" t="str">
        <f>IF(ISBLANK(I55),"",NOT(ISERROR(MATCH(I55,Deltagarlista!$E$5:$E$64,0))))</f>
        <v/>
      </c>
      <c r="BF55" s="162" t="str">
        <f>IF(ISBLANK(J55),"",NOT(ISERROR(MATCH(J55,Deltagarlista!$E$5:$E$64,0))))</f>
        <v/>
      </c>
      <c r="BG55" s="162" t="str">
        <f>IF(ISBLANK(K55),"",NOT(ISERROR(MATCH(K55,Deltagarlista!$E$5:$E$64,0))))</f>
        <v/>
      </c>
      <c r="BH55" s="162" t="str">
        <f>IF(ISBLANK(L55),"",NOT(ISERROR(MATCH(L55,Deltagarlista!$E$5:$E$64,0))))</f>
        <v/>
      </c>
      <c r="BI55" s="162" t="str">
        <f>IF(ISBLANK(M55),"",NOT(ISERROR(MATCH(M55,Deltagarlista!$E$5:$E$64,0))))</f>
        <v/>
      </c>
      <c r="BJ55" s="162" t="str">
        <f>IF(ISBLANK(N55),"",NOT(ISERROR(MATCH(N55,Deltagarlista!$E$5:$E$64,0))))</f>
        <v/>
      </c>
      <c r="BK55" s="162" t="str">
        <f>IF(ISBLANK(O55),"",NOT(ISERROR(MATCH(O55,Deltagarlista!$E$5:$E$64,0))))</f>
        <v/>
      </c>
      <c r="BL55" s="162" t="str">
        <f>IF(ISBLANK(P55),"",NOT(ISERROR(MATCH(P55,Deltagarlista!$E$5:$E$64,0))))</f>
        <v/>
      </c>
      <c r="BM55" s="162" t="str">
        <f>IF(ISBLANK(Q55),"",NOT(ISERROR(MATCH(Q55,Deltagarlista!$E$5:$E$64,0))))</f>
        <v/>
      </c>
      <c r="BN55" s="167"/>
      <c r="BO55" s="162">
        <f>SUM(COUNTIF($C$8:$Q$45,Deltagarlista!E51)+COUNTIF($C$53:$Q$90,Deltagarlista!E51)+COUNTIF($C$98:$Q$135,Deltagarlista!E51)+COUNTIF($C$143:$Q$180,Deltagarlista!E51))</f>
        <v>0</v>
      </c>
      <c r="BP55" s="162">
        <f t="shared" si="18"/>
        <v>1</v>
      </c>
      <c r="BQ55" s="162">
        <f t="shared" si="19"/>
        <v>1</v>
      </c>
      <c r="BR55" s="162">
        <f t="shared" si="20"/>
        <v>1</v>
      </c>
      <c r="BS55" s="162">
        <f t="shared" si="21"/>
        <v>1</v>
      </c>
      <c r="BT55" s="162">
        <f t="shared" si="22"/>
        <v>1</v>
      </c>
      <c r="BU55" s="162">
        <f t="shared" si="23"/>
        <v>1</v>
      </c>
      <c r="BV55" s="162">
        <f t="shared" si="24"/>
        <v>1</v>
      </c>
      <c r="BW55" s="162">
        <f t="shared" si="25"/>
        <v>1</v>
      </c>
      <c r="BX55" s="162">
        <f t="shared" si="26"/>
        <v>1</v>
      </c>
      <c r="BY55" s="162">
        <f t="shared" si="27"/>
        <v>1</v>
      </c>
      <c r="BZ55" s="162">
        <f t="shared" si="28"/>
        <v>1</v>
      </c>
      <c r="CA55" s="162">
        <f t="shared" si="29"/>
        <v>1</v>
      </c>
      <c r="CB55" s="162">
        <f t="shared" si="30"/>
        <v>1</v>
      </c>
      <c r="CC55" s="162">
        <f t="shared" si="41"/>
        <v>1</v>
      </c>
      <c r="CD55" s="162">
        <f t="shared" si="42"/>
        <v>1</v>
      </c>
      <c r="CE55" s="162">
        <f t="shared" si="43"/>
        <v>1</v>
      </c>
      <c r="CF55" s="162">
        <f t="shared" si="44"/>
        <v>1</v>
      </c>
      <c r="CG55" s="162">
        <f t="shared" si="45"/>
        <v>1</v>
      </c>
      <c r="CH55" s="162">
        <f t="shared" si="46"/>
        <v>1</v>
      </c>
      <c r="CI55" s="162">
        <f t="shared" si="47"/>
        <v>1</v>
      </c>
      <c r="CL55" s="184" t="str">
        <f>IF(Deltagarlista!E52="","",Deltagarlista!E52)</f>
        <v/>
      </c>
      <c r="CM55" s="162" t="str">
        <f>IF(Deltagarlista!I52="","",(IF(VLOOKUP(CL55,Deltagarlista!$E$5:$I$64,5,FALSE)="Grön","Gr",IF(VLOOKUP(CL55,Deltagarlista!$E$5:$I$64,5,FALSE)="Röd","R",IF(VLOOKUP(CL55,Deltagarlista!$E$5:$I$64,5,FALSE)="Blå","B","Gu")))))</f>
        <v/>
      </c>
      <c r="DK55" s="162" t="str">
        <f>IF(DM55="","",IF(ISBLANK(Deltagarlista!C51),"",Deltagarlista!C51))</f>
        <v/>
      </c>
      <c r="DL55" s="162" t="str">
        <f>IF(ISBLANK(Deltagarlista!I51),"",IF(Deltagarlista!I51="RÖD","R",IF(Deltagarlista!I51="GRÖN","G",IF(Deltagarlista!I51="BLÅ","B",IF(Deltagarlista!I51="GUL","G","")))))</f>
        <v/>
      </c>
      <c r="DM55" s="162">
        <f>IF(ISBLANK(Deltagarlista!H51),"",1)</f>
        <v>1</v>
      </c>
    </row>
    <row r="56" spans="2:117" x14ac:dyDescent="0.3">
      <c r="B56" s="186">
        <v>4</v>
      </c>
      <c r="C56" s="27"/>
      <c r="D56" s="28"/>
      <c r="E56" s="38"/>
      <c r="F56" s="27"/>
      <c r="G56" s="28"/>
      <c r="H56" s="29"/>
      <c r="I56" s="41"/>
      <c r="J56" s="28"/>
      <c r="K56" s="38"/>
      <c r="L56" s="27"/>
      <c r="M56" s="28"/>
      <c r="N56" s="29"/>
      <c r="O56" s="41"/>
      <c r="P56" s="28"/>
      <c r="Q56" s="29"/>
      <c r="R56" s="187">
        <v>4</v>
      </c>
      <c r="S56" s="188">
        <v>4</v>
      </c>
      <c r="T56" s="188">
        <v>4</v>
      </c>
      <c r="U56" s="188">
        <v>4</v>
      </c>
      <c r="V56" s="188">
        <v>4</v>
      </c>
      <c r="W56" s="188">
        <v>4</v>
      </c>
      <c r="X56" s="188">
        <v>4</v>
      </c>
      <c r="Y56" s="188">
        <v>4</v>
      </c>
      <c r="Z56" s="188">
        <v>4</v>
      </c>
      <c r="AA56" s="188">
        <v>4</v>
      </c>
      <c r="AB56" s="188">
        <v>4</v>
      </c>
      <c r="AC56" s="188">
        <v>4</v>
      </c>
      <c r="AD56" s="188">
        <v>4</v>
      </c>
      <c r="AE56" s="188">
        <v>4</v>
      </c>
      <c r="AF56" s="188">
        <v>4</v>
      </c>
      <c r="AG56" s="188">
        <v>4</v>
      </c>
      <c r="AH56" s="166"/>
      <c r="AI56" s="129">
        <f t="shared" si="64"/>
        <v>0</v>
      </c>
      <c r="AJ56" s="129">
        <f t="shared" si="65"/>
        <v>0</v>
      </c>
      <c r="AK56" s="129">
        <f t="shared" si="66"/>
        <v>0</v>
      </c>
      <c r="AL56" s="129">
        <f t="shared" si="67"/>
        <v>0</v>
      </c>
      <c r="AM56" s="129">
        <f t="shared" si="68"/>
        <v>0</v>
      </c>
      <c r="AN56" s="129">
        <f t="shared" si="69"/>
        <v>0</v>
      </c>
      <c r="AO56" s="129">
        <f t="shared" si="70"/>
        <v>0</v>
      </c>
      <c r="AP56" s="129">
        <f t="shared" si="71"/>
        <v>0</v>
      </c>
      <c r="AQ56" s="129">
        <f t="shared" si="72"/>
        <v>0</v>
      </c>
      <c r="AR56" s="129">
        <f t="shared" si="73"/>
        <v>0</v>
      </c>
      <c r="AS56" s="129">
        <f t="shared" si="74"/>
        <v>0</v>
      </c>
      <c r="AT56" s="129">
        <f t="shared" si="75"/>
        <v>0</v>
      </c>
      <c r="AU56" s="129">
        <f t="shared" si="76"/>
        <v>0</v>
      </c>
      <c r="AV56" s="129">
        <f t="shared" si="77"/>
        <v>0</v>
      </c>
      <c r="AW56" s="129">
        <f t="shared" si="78"/>
        <v>0</v>
      </c>
      <c r="AY56" s="162" t="str">
        <f>IF(ISBLANK(C56),"",NOT(ISERROR(MATCH(C56,Deltagarlista!$E$5:$E$64,0))))</f>
        <v/>
      </c>
      <c r="AZ56" s="162" t="str">
        <f>IF(ISBLANK(D56),"",NOT(ISERROR(MATCH(D56,Deltagarlista!$E$5:$E$64,0))))</f>
        <v/>
      </c>
      <c r="BA56" s="162" t="str">
        <f>IF(ISBLANK(E56),"",NOT(ISERROR(MATCH(E56,Deltagarlista!$E$5:$E$64,0))))</f>
        <v/>
      </c>
      <c r="BB56" s="162" t="str">
        <f>IF(ISBLANK(F56),"",NOT(ISERROR(MATCH(F56,Deltagarlista!$E$5:$E$64,0))))</f>
        <v/>
      </c>
      <c r="BC56" s="162" t="str">
        <f>IF(ISBLANK(G56),"",NOT(ISERROR(MATCH(G56,Deltagarlista!$E$5:$E$64,0))))</f>
        <v/>
      </c>
      <c r="BD56" s="162" t="str">
        <f>IF(ISBLANK(H56),"",NOT(ISERROR(MATCH(H56,Deltagarlista!$E$5:$E$64,0))))</f>
        <v/>
      </c>
      <c r="BE56" s="162" t="str">
        <f>IF(ISBLANK(I56),"",NOT(ISERROR(MATCH(I56,Deltagarlista!$E$5:$E$64,0))))</f>
        <v/>
      </c>
      <c r="BF56" s="162" t="str">
        <f>IF(ISBLANK(J56),"",NOT(ISERROR(MATCH(J56,Deltagarlista!$E$5:$E$64,0))))</f>
        <v/>
      </c>
      <c r="BG56" s="162" t="str">
        <f>IF(ISBLANK(K56),"",NOT(ISERROR(MATCH(K56,Deltagarlista!$E$5:$E$64,0))))</f>
        <v/>
      </c>
      <c r="BH56" s="162" t="str">
        <f>IF(ISBLANK(L56),"",NOT(ISERROR(MATCH(L56,Deltagarlista!$E$5:$E$64,0))))</f>
        <v/>
      </c>
      <c r="BI56" s="162" t="str">
        <f>IF(ISBLANK(M56),"",NOT(ISERROR(MATCH(M56,Deltagarlista!$E$5:$E$64,0))))</f>
        <v/>
      </c>
      <c r="BJ56" s="162" t="str">
        <f>IF(ISBLANK(N56),"",NOT(ISERROR(MATCH(N56,Deltagarlista!$E$5:$E$64,0))))</f>
        <v/>
      </c>
      <c r="BK56" s="162" t="str">
        <f>IF(ISBLANK(O56),"",NOT(ISERROR(MATCH(O56,Deltagarlista!$E$5:$E$64,0))))</f>
        <v/>
      </c>
      <c r="BL56" s="162" t="str">
        <f>IF(ISBLANK(P56),"",NOT(ISERROR(MATCH(P56,Deltagarlista!$E$5:$E$64,0))))</f>
        <v/>
      </c>
      <c r="BM56" s="162" t="str">
        <f>IF(ISBLANK(Q56),"",NOT(ISERROR(MATCH(Q56,Deltagarlista!$E$5:$E$64,0))))</f>
        <v/>
      </c>
      <c r="BN56" s="167"/>
      <c r="BO56" s="162">
        <f>SUM(COUNTIF($C$8:$Q$45,Deltagarlista!E52)+COUNTIF($C$53:$Q$90,Deltagarlista!E52)+COUNTIF($C$98:$Q$135,Deltagarlista!E52)+COUNTIF($C$143:$Q$180,Deltagarlista!E52))</f>
        <v>0</v>
      </c>
      <c r="BP56" s="162">
        <f t="shared" si="18"/>
        <v>1</v>
      </c>
      <c r="BQ56" s="162">
        <f t="shared" si="19"/>
        <v>1</v>
      </c>
      <c r="BR56" s="162">
        <f t="shared" si="20"/>
        <v>1</v>
      </c>
      <c r="BS56" s="162">
        <f t="shared" si="21"/>
        <v>1</v>
      </c>
      <c r="BT56" s="162">
        <f t="shared" si="22"/>
        <v>1</v>
      </c>
      <c r="BU56" s="162">
        <f t="shared" si="23"/>
        <v>1</v>
      </c>
      <c r="BV56" s="162">
        <f t="shared" si="24"/>
        <v>1</v>
      </c>
      <c r="BW56" s="162">
        <f t="shared" si="25"/>
        <v>1</v>
      </c>
      <c r="BX56" s="162">
        <f t="shared" si="26"/>
        <v>1</v>
      </c>
      <c r="BY56" s="162">
        <f t="shared" si="27"/>
        <v>1</v>
      </c>
      <c r="BZ56" s="162">
        <f t="shared" si="28"/>
        <v>1</v>
      </c>
      <c r="CA56" s="162">
        <f t="shared" si="29"/>
        <v>1</v>
      </c>
      <c r="CB56" s="162">
        <f t="shared" si="30"/>
        <v>1</v>
      </c>
      <c r="CC56" s="162">
        <f t="shared" si="41"/>
        <v>1</v>
      </c>
      <c r="CD56" s="162">
        <f t="shared" si="42"/>
        <v>1</v>
      </c>
      <c r="CE56" s="162">
        <f t="shared" si="43"/>
        <v>1</v>
      </c>
      <c r="CF56" s="162">
        <f t="shared" si="44"/>
        <v>1</v>
      </c>
      <c r="CG56" s="162">
        <f t="shared" si="45"/>
        <v>1</v>
      </c>
      <c r="CH56" s="162">
        <f t="shared" si="46"/>
        <v>1</v>
      </c>
      <c r="CI56" s="162">
        <f t="shared" si="47"/>
        <v>1</v>
      </c>
      <c r="CL56" s="184" t="str">
        <f>IF(Deltagarlista!E53="","",Deltagarlista!E53)</f>
        <v/>
      </c>
      <c r="CM56" s="162" t="str">
        <f>IF(Deltagarlista!I53="","",(IF(VLOOKUP(CL56,Deltagarlista!$E$5:$I$64,5,FALSE)="Grön","Gr",IF(VLOOKUP(CL56,Deltagarlista!$E$5:$I$64,5,FALSE)="Röd","R",IF(VLOOKUP(CL56,Deltagarlista!$E$5:$I$64,5,FALSE)="Blå","B","Gu")))))</f>
        <v/>
      </c>
      <c r="DK56" s="162" t="str">
        <f>IF(DM56="","",IF(ISBLANK(Deltagarlista!C52),"",Deltagarlista!C52))</f>
        <v/>
      </c>
      <c r="DL56" s="162" t="str">
        <f>IF(ISBLANK(Deltagarlista!I52),"",IF(Deltagarlista!I52="RÖD","R",IF(Deltagarlista!I52="GRÖN","G",IF(Deltagarlista!I52="BLÅ","B",IF(Deltagarlista!I52="GUL","G","")))))</f>
        <v/>
      </c>
      <c r="DM56" s="162">
        <f>IF(ISBLANK(Deltagarlista!H52),"",1)</f>
        <v>1</v>
      </c>
    </row>
    <row r="57" spans="2:117" x14ac:dyDescent="0.3">
      <c r="B57" s="186">
        <v>5</v>
      </c>
      <c r="C57" s="27"/>
      <c r="D57" s="28"/>
      <c r="E57" s="38"/>
      <c r="F57" s="27"/>
      <c r="G57" s="28"/>
      <c r="H57" s="29"/>
      <c r="I57" s="41"/>
      <c r="J57" s="28"/>
      <c r="K57" s="38"/>
      <c r="L57" s="27"/>
      <c r="M57" s="28"/>
      <c r="N57" s="29"/>
      <c r="O57" s="41"/>
      <c r="P57" s="28"/>
      <c r="Q57" s="29"/>
      <c r="R57" s="187">
        <v>5</v>
      </c>
      <c r="S57" s="188">
        <v>5</v>
      </c>
      <c r="T57" s="188">
        <v>5</v>
      </c>
      <c r="U57" s="188">
        <v>5</v>
      </c>
      <c r="V57" s="188">
        <v>5</v>
      </c>
      <c r="W57" s="188">
        <v>5</v>
      </c>
      <c r="X57" s="188">
        <v>5</v>
      </c>
      <c r="Y57" s="188">
        <v>5</v>
      </c>
      <c r="Z57" s="188">
        <v>5</v>
      </c>
      <c r="AA57" s="188">
        <v>5</v>
      </c>
      <c r="AB57" s="188">
        <v>5</v>
      </c>
      <c r="AC57" s="188">
        <v>5</v>
      </c>
      <c r="AD57" s="188">
        <v>5</v>
      </c>
      <c r="AE57" s="188">
        <v>5</v>
      </c>
      <c r="AF57" s="188">
        <v>5</v>
      </c>
      <c r="AG57" s="188">
        <v>5</v>
      </c>
      <c r="AH57" s="166"/>
      <c r="AI57" s="129">
        <f t="shared" si="64"/>
        <v>0</v>
      </c>
      <c r="AJ57" s="129">
        <f t="shared" si="65"/>
        <v>0</v>
      </c>
      <c r="AK57" s="129">
        <f t="shared" si="66"/>
        <v>0</v>
      </c>
      <c r="AL57" s="129">
        <f t="shared" si="67"/>
        <v>0</v>
      </c>
      <c r="AM57" s="129">
        <f t="shared" si="68"/>
        <v>0</v>
      </c>
      <c r="AN57" s="129">
        <f t="shared" si="69"/>
        <v>0</v>
      </c>
      <c r="AO57" s="129">
        <f t="shared" si="70"/>
        <v>0</v>
      </c>
      <c r="AP57" s="129">
        <f t="shared" si="71"/>
        <v>0</v>
      </c>
      <c r="AQ57" s="129">
        <f t="shared" si="72"/>
        <v>0</v>
      </c>
      <c r="AR57" s="129">
        <f t="shared" si="73"/>
        <v>0</v>
      </c>
      <c r="AS57" s="129">
        <f t="shared" si="74"/>
        <v>0</v>
      </c>
      <c r="AT57" s="129">
        <f t="shared" si="75"/>
        <v>0</v>
      </c>
      <c r="AU57" s="129">
        <f t="shared" si="76"/>
        <v>0</v>
      </c>
      <c r="AV57" s="129">
        <f t="shared" si="77"/>
        <v>0</v>
      </c>
      <c r="AW57" s="129">
        <f t="shared" si="78"/>
        <v>0</v>
      </c>
      <c r="AY57" s="162" t="str">
        <f>IF(ISBLANK(C57),"",NOT(ISERROR(MATCH(C57,Deltagarlista!$E$5:$E$64,0))))</f>
        <v/>
      </c>
      <c r="AZ57" s="162" t="str">
        <f>IF(ISBLANK(D57),"",NOT(ISERROR(MATCH(D57,Deltagarlista!$E$5:$E$64,0))))</f>
        <v/>
      </c>
      <c r="BA57" s="162" t="str">
        <f>IF(ISBLANK(E57),"",NOT(ISERROR(MATCH(E57,Deltagarlista!$E$5:$E$64,0))))</f>
        <v/>
      </c>
      <c r="BB57" s="162" t="str">
        <f>IF(ISBLANK(F57),"",NOT(ISERROR(MATCH(F57,Deltagarlista!$E$5:$E$64,0))))</f>
        <v/>
      </c>
      <c r="BC57" s="162" t="str">
        <f>IF(ISBLANK(G57),"",NOT(ISERROR(MATCH(G57,Deltagarlista!$E$5:$E$64,0))))</f>
        <v/>
      </c>
      <c r="BD57" s="162" t="str">
        <f>IF(ISBLANK(H57),"",NOT(ISERROR(MATCH(H57,Deltagarlista!$E$5:$E$64,0))))</f>
        <v/>
      </c>
      <c r="BE57" s="162" t="str">
        <f>IF(ISBLANK(I57),"",NOT(ISERROR(MATCH(I57,Deltagarlista!$E$5:$E$64,0))))</f>
        <v/>
      </c>
      <c r="BF57" s="162" t="str">
        <f>IF(ISBLANK(J57),"",NOT(ISERROR(MATCH(J57,Deltagarlista!$E$5:$E$64,0))))</f>
        <v/>
      </c>
      <c r="BG57" s="162" t="str">
        <f>IF(ISBLANK(K57),"",NOT(ISERROR(MATCH(K57,Deltagarlista!$E$5:$E$64,0))))</f>
        <v/>
      </c>
      <c r="BH57" s="162" t="str">
        <f>IF(ISBLANK(L57),"",NOT(ISERROR(MATCH(L57,Deltagarlista!$E$5:$E$64,0))))</f>
        <v/>
      </c>
      <c r="BI57" s="162" t="str">
        <f>IF(ISBLANK(M57),"",NOT(ISERROR(MATCH(M57,Deltagarlista!$E$5:$E$64,0))))</f>
        <v/>
      </c>
      <c r="BJ57" s="162" t="str">
        <f>IF(ISBLANK(N57),"",NOT(ISERROR(MATCH(N57,Deltagarlista!$E$5:$E$64,0))))</f>
        <v/>
      </c>
      <c r="BK57" s="162" t="str">
        <f>IF(ISBLANK(O57),"",NOT(ISERROR(MATCH(O57,Deltagarlista!$E$5:$E$64,0))))</f>
        <v/>
      </c>
      <c r="BL57" s="162" t="str">
        <f>IF(ISBLANK(P57),"",NOT(ISERROR(MATCH(P57,Deltagarlista!$E$5:$E$64,0))))</f>
        <v/>
      </c>
      <c r="BM57" s="162" t="str">
        <f>IF(ISBLANK(Q57),"",NOT(ISERROR(MATCH(Q57,Deltagarlista!$E$5:$E$64,0))))</f>
        <v/>
      </c>
      <c r="BN57" s="167"/>
      <c r="BO57" s="162">
        <f>SUM(COUNTIF($C$8:$Q$45,Deltagarlista!E53)+COUNTIF($C$53:$Q$90,Deltagarlista!E53)+COUNTIF($C$98:$Q$135,Deltagarlista!E53)+COUNTIF($C$143:$Q$180,Deltagarlista!E53))</f>
        <v>0</v>
      </c>
      <c r="BP57" s="162">
        <f t="shared" si="18"/>
        <v>1</v>
      </c>
      <c r="BQ57" s="162">
        <f t="shared" si="19"/>
        <v>1</v>
      </c>
      <c r="BR57" s="162">
        <f t="shared" si="20"/>
        <v>1</v>
      </c>
      <c r="BS57" s="162">
        <f t="shared" si="21"/>
        <v>1</v>
      </c>
      <c r="BT57" s="162">
        <f t="shared" si="22"/>
        <v>1</v>
      </c>
      <c r="BU57" s="162">
        <f t="shared" si="23"/>
        <v>1</v>
      </c>
      <c r="BV57" s="162">
        <f t="shared" si="24"/>
        <v>1</v>
      </c>
      <c r="BW57" s="162">
        <f t="shared" si="25"/>
        <v>1</v>
      </c>
      <c r="BX57" s="162">
        <f t="shared" si="26"/>
        <v>1</v>
      </c>
      <c r="BY57" s="162">
        <f t="shared" si="27"/>
        <v>1</v>
      </c>
      <c r="BZ57" s="162">
        <f t="shared" si="28"/>
        <v>1</v>
      </c>
      <c r="CA57" s="162">
        <f t="shared" si="29"/>
        <v>1</v>
      </c>
      <c r="CB57" s="162">
        <f t="shared" si="30"/>
        <v>1</v>
      </c>
      <c r="CC57" s="162">
        <f t="shared" si="41"/>
        <v>1</v>
      </c>
      <c r="CD57" s="162">
        <f t="shared" si="42"/>
        <v>1</v>
      </c>
      <c r="CE57" s="162">
        <f t="shared" si="43"/>
        <v>1</v>
      </c>
      <c r="CF57" s="162">
        <f t="shared" si="44"/>
        <v>1</v>
      </c>
      <c r="CG57" s="162">
        <f t="shared" si="45"/>
        <v>1</v>
      </c>
      <c r="CH57" s="162">
        <f t="shared" si="46"/>
        <v>1</v>
      </c>
      <c r="CI57" s="162">
        <f t="shared" si="47"/>
        <v>1</v>
      </c>
      <c r="CL57" s="184" t="str">
        <f>IF(Deltagarlista!E54="","",Deltagarlista!E54)</f>
        <v/>
      </c>
      <c r="CM57" s="162" t="str">
        <f>IF(Deltagarlista!I54="","",(IF(VLOOKUP(CL57,Deltagarlista!$E$5:$I$64,5,FALSE)="Grön","Gr",IF(VLOOKUP(CL57,Deltagarlista!$E$5:$I$64,5,FALSE)="Röd","R",IF(VLOOKUP(CL57,Deltagarlista!$E$5:$I$64,5,FALSE)="Blå","B","Gu")))))</f>
        <v/>
      </c>
      <c r="DK57" s="162" t="str">
        <f>IF(DM57="","",IF(ISBLANK(Deltagarlista!C53),"",Deltagarlista!C53))</f>
        <v/>
      </c>
      <c r="DL57" s="162" t="str">
        <f>IF(ISBLANK(Deltagarlista!I53),"",IF(Deltagarlista!I53="RÖD","R",IF(Deltagarlista!I53="GRÖN","G",IF(Deltagarlista!I53="BLÅ","B",IF(Deltagarlista!I53="GUL","G","")))))</f>
        <v/>
      </c>
      <c r="DM57" s="162">
        <f>IF(ISBLANK(Deltagarlista!H53),"",1)</f>
        <v>1</v>
      </c>
    </row>
    <row r="58" spans="2:117" x14ac:dyDescent="0.3">
      <c r="B58" s="186">
        <v>6</v>
      </c>
      <c r="C58" s="27"/>
      <c r="D58" s="28"/>
      <c r="E58" s="38"/>
      <c r="F58" s="27"/>
      <c r="G58" s="28"/>
      <c r="H58" s="29"/>
      <c r="I58" s="41"/>
      <c r="J58" s="28"/>
      <c r="K58" s="38"/>
      <c r="L58" s="27"/>
      <c r="M58" s="28"/>
      <c r="N58" s="29"/>
      <c r="O58" s="41"/>
      <c r="P58" s="28"/>
      <c r="Q58" s="29"/>
      <c r="R58" s="187">
        <v>6</v>
      </c>
      <c r="S58" s="188">
        <v>6</v>
      </c>
      <c r="T58" s="188">
        <v>6</v>
      </c>
      <c r="U58" s="188">
        <v>6</v>
      </c>
      <c r="V58" s="188">
        <v>6</v>
      </c>
      <c r="W58" s="188">
        <v>6</v>
      </c>
      <c r="X58" s="188">
        <v>6</v>
      </c>
      <c r="Y58" s="188">
        <v>6</v>
      </c>
      <c r="Z58" s="188">
        <v>6</v>
      </c>
      <c r="AA58" s="188">
        <v>6</v>
      </c>
      <c r="AB58" s="188">
        <v>6</v>
      </c>
      <c r="AC58" s="188">
        <v>6</v>
      </c>
      <c r="AD58" s="188">
        <v>6</v>
      </c>
      <c r="AE58" s="188">
        <v>6</v>
      </c>
      <c r="AF58" s="188">
        <v>6</v>
      </c>
      <c r="AG58" s="188">
        <v>6</v>
      </c>
      <c r="AH58" s="166"/>
      <c r="AI58" s="129">
        <f t="shared" si="64"/>
        <v>0</v>
      </c>
      <c r="AJ58" s="129">
        <f t="shared" si="65"/>
        <v>0</v>
      </c>
      <c r="AK58" s="129">
        <f t="shared" si="66"/>
        <v>0</v>
      </c>
      <c r="AL58" s="129">
        <f t="shared" si="67"/>
        <v>0</v>
      </c>
      <c r="AM58" s="129">
        <f t="shared" si="68"/>
        <v>0</v>
      </c>
      <c r="AN58" s="129">
        <f t="shared" si="69"/>
        <v>0</v>
      </c>
      <c r="AO58" s="129">
        <f t="shared" si="70"/>
        <v>0</v>
      </c>
      <c r="AP58" s="129">
        <f t="shared" si="71"/>
        <v>0</v>
      </c>
      <c r="AQ58" s="129">
        <f t="shared" si="72"/>
        <v>0</v>
      </c>
      <c r="AR58" s="129">
        <f t="shared" si="73"/>
        <v>0</v>
      </c>
      <c r="AS58" s="129">
        <f t="shared" si="74"/>
        <v>0</v>
      </c>
      <c r="AT58" s="129">
        <f t="shared" si="75"/>
        <v>0</v>
      </c>
      <c r="AU58" s="129">
        <f t="shared" si="76"/>
        <v>0</v>
      </c>
      <c r="AV58" s="129">
        <f t="shared" si="77"/>
        <v>0</v>
      </c>
      <c r="AW58" s="129">
        <f t="shared" si="78"/>
        <v>0</v>
      </c>
      <c r="AY58" s="162" t="str">
        <f>IF(ISBLANK(C58),"",NOT(ISERROR(MATCH(C58,Deltagarlista!$E$5:$E$64,0))))</f>
        <v/>
      </c>
      <c r="AZ58" s="162" t="str">
        <f>IF(ISBLANK(D58),"",NOT(ISERROR(MATCH(D58,Deltagarlista!$E$5:$E$64,0))))</f>
        <v/>
      </c>
      <c r="BA58" s="162" t="str">
        <f>IF(ISBLANK(E58),"",NOT(ISERROR(MATCH(E58,Deltagarlista!$E$5:$E$64,0))))</f>
        <v/>
      </c>
      <c r="BB58" s="162" t="str">
        <f>IF(ISBLANK(F58),"",NOT(ISERROR(MATCH(F58,Deltagarlista!$E$5:$E$64,0))))</f>
        <v/>
      </c>
      <c r="BC58" s="162" t="str">
        <f>IF(ISBLANK(G58),"",NOT(ISERROR(MATCH(G58,Deltagarlista!$E$5:$E$64,0))))</f>
        <v/>
      </c>
      <c r="BD58" s="162" t="str">
        <f>IF(ISBLANK(H58),"",NOT(ISERROR(MATCH(H58,Deltagarlista!$E$5:$E$64,0))))</f>
        <v/>
      </c>
      <c r="BE58" s="162" t="str">
        <f>IF(ISBLANK(I58),"",NOT(ISERROR(MATCH(I58,Deltagarlista!$E$5:$E$64,0))))</f>
        <v/>
      </c>
      <c r="BF58" s="162" t="str">
        <f>IF(ISBLANK(J58),"",NOT(ISERROR(MATCH(J58,Deltagarlista!$E$5:$E$64,0))))</f>
        <v/>
      </c>
      <c r="BG58" s="162" t="str">
        <f>IF(ISBLANK(K58),"",NOT(ISERROR(MATCH(K58,Deltagarlista!$E$5:$E$64,0))))</f>
        <v/>
      </c>
      <c r="BH58" s="162" t="str">
        <f>IF(ISBLANK(L58),"",NOT(ISERROR(MATCH(L58,Deltagarlista!$E$5:$E$64,0))))</f>
        <v/>
      </c>
      <c r="BI58" s="162" t="str">
        <f>IF(ISBLANK(M58),"",NOT(ISERROR(MATCH(M58,Deltagarlista!$E$5:$E$64,0))))</f>
        <v/>
      </c>
      <c r="BJ58" s="162" t="str">
        <f>IF(ISBLANK(N58),"",NOT(ISERROR(MATCH(N58,Deltagarlista!$E$5:$E$64,0))))</f>
        <v/>
      </c>
      <c r="BK58" s="162" t="str">
        <f>IF(ISBLANK(O58),"",NOT(ISERROR(MATCH(O58,Deltagarlista!$E$5:$E$64,0))))</f>
        <v/>
      </c>
      <c r="BL58" s="162" t="str">
        <f>IF(ISBLANK(P58),"",NOT(ISERROR(MATCH(P58,Deltagarlista!$E$5:$E$64,0))))</f>
        <v/>
      </c>
      <c r="BM58" s="162" t="str">
        <f>IF(ISBLANK(Q58),"",NOT(ISERROR(MATCH(Q58,Deltagarlista!$E$5:$E$64,0))))</f>
        <v/>
      </c>
      <c r="BN58" s="167"/>
      <c r="BO58" s="162">
        <f>SUM(COUNTIF($C$8:$Q$45,Deltagarlista!E54)+COUNTIF($C$53:$Q$90,Deltagarlista!E54)+COUNTIF($C$98:$Q$135,Deltagarlista!E54)+COUNTIF($C$143:$Q$180,Deltagarlista!E54))</f>
        <v>0</v>
      </c>
      <c r="BP58" s="162">
        <f t="shared" si="18"/>
        <v>1</v>
      </c>
      <c r="BQ58" s="162">
        <f t="shared" si="19"/>
        <v>1</v>
      </c>
      <c r="BR58" s="162">
        <f t="shared" si="20"/>
        <v>1</v>
      </c>
      <c r="BS58" s="162">
        <f t="shared" si="21"/>
        <v>1</v>
      </c>
      <c r="BT58" s="162">
        <f t="shared" si="22"/>
        <v>1</v>
      </c>
      <c r="BU58" s="162">
        <f t="shared" si="23"/>
        <v>1</v>
      </c>
      <c r="BV58" s="162">
        <f t="shared" si="24"/>
        <v>1</v>
      </c>
      <c r="BW58" s="162">
        <f t="shared" si="25"/>
        <v>1</v>
      </c>
      <c r="BX58" s="162">
        <f t="shared" si="26"/>
        <v>1</v>
      </c>
      <c r="BY58" s="162">
        <f t="shared" si="27"/>
        <v>1</v>
      </c>
      <c r="BZ58" s="162">
        <f t="shared" si="28"/>
        <v>1</v>
      </c>
      <c r="CA58" s="162">
        <f t="shared" si="29"/>
        <v>1</v>
      </c>
      <c r="CB58" s="162">
        <f t="shared" si="30"/>
        <v>1</v>
      </c>
      <c r="CC58" s="162">
        <f t="shared" si="41"/>
        <v>1</v>
      </c>
      <c r="CD58" s="162">
        <f t="shared" si="42"/>
        <v>1</v>
      </c>
      <c r="CE58" s="162">
        <f t="shared" si="43"/>
        <v>1</v>
      </c>
      <c r="CF58" s="162">
        <f t="shared" si="44"/>
        <v>1</v>
      </c>
      <c r="CG58" s="162">
        <f t="shared" si="45"/>
        <v>1</v>
      </c>
      <c r="CH58" s="162">
        <f t="shared" si="46"/>
        <v>1</v>
      </c>
      <c r="CI58" s="162">
        <f t="shared" si="47"/>
        <v>1</v>
      </c>
      <c r="CL58" s="184" t="str">
        <f>IF(Deltagarlista!E55="","",Deltagarlista!E55)</f>
        <v/>
      </c>
      <c r="CM58" s="162" t="str">
        <f>IF(Deltagarlista!I55="","",(IF(VLOOKUP(CL58,Deltagarlista!$E$5:$I$64,5,FALSE)="Grön","Gr",IF(VLOOKUP(CL58,Deltagarlista!$E$5:$I$64,5,FALSE)="Röd","R",IF(VLOOKUP(CL58,Deltagarlista!$E$5:$I$64,5,FALSE)="Blå","B","Gu")))))</f>
        <v/>
      </c>
      <c r="DK58" s="162" t="str">
        <f>IF(DM58="","",IF(ISBLANK(Deltagarlista!C54),"",Deltagarlista!C54))</f>
        <v/>
      </c>
      <c r="DL58" s="162" t="str">
        <f>IF(ISBLANK(Deltagarlista!I54),"",IF(Deltagarlista!I54="RÖD","R",IF(Deltagarlista!I54="GRÖN","G",IF(Deltagarlista!I54="BLÅ","B",IF(Deltagarlista!I54="GUL","G","")))))</f>
        <v/>
      </c>
      <c r="DM58" s="162">
        <f>IF(ISBLANK(Deltagarlista!H54),"",1)</f>
        <v>1</v>
      </c>
    </row>
    <row r="59" spans="2:117" x14ac:dyDescent="0.3">
      <c r="B59" s="186">
        <v>7</v>
      </c>
      <c r="C59" s="27"/>
      <c r="D59" s="28"/>
      <c r="E59" s="38"/>
      <c r="F59" s="27"/>
      <c r="G59" s="28"/>
      <c r="H59" s="29"/>
      <c r="I59" s="41"/>
      <c r="J59" s="28"/>
      <c r="K59" s="38"/>
      <c r="L59" s="27"/>
      <c r="M59" s="28"/>
      <c r="N59" s="29"/>
      <c r="O59" s="41"/>
      <c r="P59" s="28"/>
      <c r="Q59" s="29"/>
      <c r="R59" s="187">
        <v>7</v>
      </c>
      <c r="S59" s="188">
        <v>7</v>
      </c>
      <c r="T59" s="188">
        <v>7</v>
      </c>
      <c r="U59" s="188">
        <v>7</v>
      </c>
      <c r="V59" s="188">
        <v>7</v>
      </c>
      <c r="W59" s="188">
        <v>7</v>
      </c>
      <c r="X59" s="188">
        <v>7</v>
      </c>
      <c r="Y59" s="188">
        <v>7</v>
      </c>
      <c r="Z59" s="188">
        <v>7</v>
      </c>
      <c r="AA59" s="188">
        <v>7</v>
      </c>
      <c r="AB59" s="188">
        <v>7</v>
      </c>
      <c r="AC59" s="188">
        <v>7</v>
      </c>
      <c r="AD59" s="188">
        <v>7</v>
      </c>
      <c r="AE59" s="188">
        <v>7</v>
      </c>
      <c r="AF59" s="188">
        <v>7</v>
      </c>
      <c r="AG59" s="188">
        <v>7</v>
      </c>
      <c r="AH59" s="166"/>
      <c r="AI59" s="129">
        <f t="shared" si="64"/>
        <v>0</v>
      </c>
      <c r="AJ59" s="129">
        <f t="shared" si="65"/>
        <v>0</v>
      </c>
      <c r="AK59" s="129">
        <f t="shared" si="66"/>
        <v>0</v>
      </c>
      <c r="AL59" s="129">
        <f t="shared" si="67"/>
        <v>0</v>
      </c>
      <c r="AM59" s="129">
        <f t="shared" si="68"/>
        <v>0</v>
      </c>
      <c r="AN59" s="129">
        <f t="shared" si="69"/>
        <v>0</v>
      </c>
      <c r="AO59" s="129">
        <f t="shared" si="70"/>
        <v>0</v>
      </c>
      <c r="AP59" s="129">
        <f t="shared" si="71"/>
        <v>0</v>
      </c>
      <c r="AQ59" s="129">
        <f t="shared" si="72"/>
        <v>0</v>
      </c>
      <c r="AR59" s="129">
        <f t="shared" si="73"/>
        <v>0</v>
      </c>
      <c r="AS59" s="129">
        <f t="shared" si="74"/>
        <v>0</v>
      </c>
      <c r="AT59" s="129">
        <f t="shared" si="75"/>
        <v>0</v>
      </c>
      <c r="AU59" s="129">
        <f t="shared" si="76"/>
        <v>0</v>
      </c>
      <c r="AV59" s="129">
        <f t="shared" si="77"/>
        <v>0</v>
      </c>
      <c r="AW59" s="129">
        <f t="shared" si="78"/>
        <v>0</v>
      </c>
      <c r="AY59" s="162" t="str">
        <f>IF(ISBLANK(C59),"",NOT(ISERROR(MATCH(C59,Deltagarlista!$E$5:$E$64,0))))</f>
        <v/>
      </c>
      <c r="AZ59" s="162" t="str">
        <f>IF(ISBLANK(D59),"",NOT(ISERROR(MATCH(D59,Deltagarlista!$E$5:$E$64,0))))</f>
        <v/>
      </c>
      <c r="BA59" s="162" t="str">
        <f>IF(ISBLANK(E59),"",NOT(ISERROR(MATCH(E59,Deltagarlista!$E$5:$E$64,0))))</f>
        <v/>
      </c>
      <c r="BB59" s="162" t="str">
        <f>IF(ISBLANK(F59),"",NOT(ISERROR(MATCH(F59,Deltagarlista!$E$5:$E$64,0))))</f>
        <v/>
      </c>
      <c r="BC59" s="162" t="str">
        <f>IF(ISBLANK(G59),"",NOT(ISERROR(MATCH(G59,Deltagarlista!$E$5:$E$64,0))))</f>
        <v/>
      </c>
      <c r="BD59" s="162" t="str">
        <f>IF(ISBLANK(H59),"",NOT(ISERROR(MATCH(H59,Deltagarlista!$E$5:$E$64,0))))</f>
        <v/>
      </c>
      <c r="BE59" s="162" t="str">
        <f>IF(ISBLANK(I59),"",NOT(ISERROR(MATCH(I59,Deltagarlista!$E$5:$E$64,0))))</f>
        <v/>
      </c>
      <c r="BF59" s="162" t="str">
        <f>IF(ISBLANK(J59),"",NOT(ISERROR(MATCH(J59,Deltagarlista!$E$5:$E$64,0))))</f>
        <v/>
      </c>
      <c r="BG59" s="162" t="str">
        <f>IF(ISBLANK(K59),"",NOT(ISERROR(MATCH(K59,Deltagarlista!$E$5:$E$64,0))))</f>
        <v/>
      </c>
      <c r="BH59" s="162" t="str">
        <f>IF(ISBLANK(L59),"",NOT(ISERROR(MATCH(L59,Deltagarlista!$E$5:$E$64,0))))</f>
        <v/>
      </c>
      <c r="BI59" s="162" t="str">
        <f>IF(ISBLANK(M59),"",NOT(ISERROR(MATCH(M59,Deltagarlista!$E$5:$E$64,0))))</f>
        <v/>
      </c>
      <c r="BJ59" s="162" t="str">
        <f>IF(ISBLANK(N59),"",NOT(ISERROR(MATCH(N59,Deltagarlista!$E$5:$E$64,0))))</f>
        <v/>
      </c>
      <c r="BK59" s="162" t="str">
        <f>IF(ISBLANK(O59),"",NOT(ISERROR(MATCH(O59,Deltagarlista!$E$5:$E$64,0))))</f>
        <v/>
      </c>
      <c r="BL59" s="162" t="str">
        <f>IF(ISBLANK(P59),"",NOT(ISERROR(MATCH(P59,Deltagarlista!$E$5:$E$64,0))))</f>
        <v/>
      </c>
      <c r="BM59" s="162" t="str">
        <f>IF(ISBLANK(Q59),"",NOT(ISERROR(MATCH(Q59,Deltagarlista!$E$5:$E$64,0))))</f>
        <v/>
      </c>
      <c r="BN59" s="167"/>
      <c r="BO59" s="162">
        <f>SUM(COUNTIF($C$8:$Q$45,Deltagarlista!E55)+COUNTIF($C$53:$Q$90,Deltagarlista!E55)+COUNTIF($C$98:$Q$135,Deltagarlista!E55)+COUNTIF($C$143:$Q$180,Deltagarlista!E55))</f>
        <v>0</v>
      </c>
      <c r="BP59" s="162">
        <f t="shared" si="18"/>
        <v>1</v>
      </c>
      <c r="BQ59" s="162">
        <f t="shared" si="19"/>
        <v>1</v>
      </c>
      <c r="BR59" s="162">
        <f t="shared" si="20"/>
        <v>1</v>
      </c>
      <c r="BS59" s="162">
        <f t="shared" si="21"/>
        <v>1</v>
      </c>
      <c r="BT59" s="162">
        <f t="shared" si="22"/>
        <v>1</v>
      </c>
      <c r="BU59" s="162">
        <f t="shared" si="23"/>
        <v>1</v>
      </c>
      <c r="BV59" s="162">
        <f t="shared" si="24"/>
        <v>1</v>
      </c>
      <c r="BW59" s="162">
        <f t="shared" si="25"/>
        <v>1</v>
      </c>
      <c r="BX59" s="162">
        <f t="shared" si="26"/>
        <v>1</v>
      </c>
      <c r="BY59" s="162">
        <f t="shared" si="27"/>
        <v>1</v>
      </c>
      <c r="BZ59" s="162">
        <f t="shared" si="28"/>
        <v>1</v>
      </c>
      <c r="CA59" s="162">
        <f t="shared" si="29"/>
        <v>1</v>
      </c>
      <c r="CB59" s="162">
        <f t="shared" si="30"/>
        <v>1</v>
      </c>
      <c r="CC59" s="162">
        <f t="shared" si="41"/>
        <v>1</v>
      </c>
      <c r="CD59" s="162">
        <f t="shared" si="42"/>
        <v>1</v>
      </c>
      <c r="CE59" s="162">
        <f t="shared" si="43"/>
        <v>1</v>
      </c>
      <c r="CF59" s="162">
        <f t="shared" si="44"/>
        <v>1</v>
      </c>
      <c r="CG59" s="162">
        <f t="shared" si="45"/>
        <v>1</v>
      </c>
      <c r="CH59" s="162">
        <f t="shared" si="46"/>
        <v>1</v>
      </c>
      <c r="CI59" s="162">
        <f t="shared" si="47"/>
        <v>1</v>
      </c>
      <c r="CL59" s="184" t="str">
        <f>IF(Deltagarlista!E56="","",Deltagarlista!E56)</f>
        <v/>
      </c>
      <c r="CM59" s="162" t="str">
        <f>IF(Deltagarlista!I56="","",(IF(VLOOKUP(CL59,Deltagarlista!$E$5:$I$64,5,FALSE)="Grön","Gr",IF(VLOOKUP(CL59,Deltagarlista!$E$5:$I$64,5,FALSE)="Röd","R",IF(VLOOKUP(CL59,Deltagarlista!$E$5:$I$64,5,FALSE)="Blå","B","Gu")))))</f>
        <v/>
      </c>
      <c r="DK59" s="162" t="str">
        <f>IF(DM59="","",IF(ISBLANK(Deltagarlista!C55),"",Deltagarlista!C55))</f>
        <v/>
      </c>
      <c r="DL59" s="162" t="str">
        <f>IF(ISBLANK(Deltagarlista!I55),"",IF(Deltagarlista!I55="RÖD","R",IF(Deltagarlista!I55="GRÖN","G",IF(Deltagarlista!I55="BLÅ","B",IF(Deltagarlista!I55="GUL","G","")))))</f>
        <v/>
      </c>
      <c r="DM59" s="162">
        <f>IF(ISBLANK(Deltagarlista!H55),"",1)</f>
        <v>1</v>
      </c>
    </row>
    <row r="60" spans="2:117" x14ac:dyDescent="0.3">
      <c r="B60" s="186">
        <v>8</v>
      </c>
      <c r="C60" s="27"/>
      <c r="D60" s="28"/>
      <c r="E60" s="38"/>
      <c r="F60" s="27"/>
      <c r="G60" s="28"/>
      <c r="H60" s="29"/>
      <c r="I60" s="41"/>
      <c r="J60" s="28"/>
      <c r="K60" s="38"/>
      <c r="L60" s="27"/>
      <c r="M60" s="28"/>
      <c r="N60" s="29"/>
      <c r="O60" s="41"/>
      <c r="P60" s="28"/>
      <c r="Q60" s="29"/>
      <c r="R60" s="187">
        <v>8</v>
      </c>
      <c r="S60" s="188">
        <v>8</v>
      </c>
      <c r="T60" s="188">
        <v>8</v>
      </c>
      <c r="U60" s="188">
        <v>8</v>
      </c>
      <c r="V60" s="188">
        <v>8</v>
      </c>
      <c r="W60" s="188">
        <v>8</v>
      </c>
      <c r="X60" s="188">
        <v>8</v>
      </c>
      <c r="Y60" s="188">
        <v>8</v>
      </c>
      <c r="Z60" s="188">
        <v>8</v>
      </c>
      <c r="AA60" s="188">
        <v>8</v>
      </c>
      <c r="AB60" s="188">
        <v>8</v>
      </c>
      <c r="AC60" s="188">
        <v>8</v>
      </c>
      <c r="AD60" s="188">
        <v>8</v>
      </c>
      <c r="AE60" s="188">
        <v>8</v>
      </c>
      <c r="AF60" s="188">
        <v>8</v>
      </c>
      <c r="AG60" s="188">
        <v>8</v>
      </c>
      <c r="AH60" s="166"/>
      <c r="AI60" s="129">
        <f t="shared" si="64"/>
        <v>0</v>
      </c>
      <c r="AJ60" s="129">
        <f t="shared" si="65"/>
        <v>0</v>
      </c>
      <c r="AK60" s="129">
        <f t="shared" si="66"/>
        <v>0</v>
      </c>
      <c r="AL60" s="129">
        <f t="shared" si="67"/>
        <v>0</v>
      </c>
      <c r="AM60" s="129">
        <f t="shared" si="68"/>
        <v>0</v>
      </c>
      <c r="AN60" s="129">
        <f t="shared" si="69"/>
        <v>0</v>
      </c>
      <c r="AO60" s="129">
        <f t="shared" si="70"/>
        <v>0</v>
      </c>
      <c r="AP60" s="129">
        <f t="shared" si="71"/>
        <v>0</v>
      </c>
      <c r="AQ60" s="129">
        <f t="shared" si="72"/>
        <v>0</v>
      </c>
      <c r="AR60" s="129">
        <f t="shared" si="73"/>
        <v>0</v>
      </c>
      <c r="AS60" s="129">
        <f t="shared" si="74"/>
        <v>0</v>
      </c>
      <c r="AT60" s="129">
        <f t="shared" si="75"/>
        <v>0</v>
      </c>
      <c r="AU60" s="129">
        <f t="shared" si="76"/>
        <v>0</v>
      </c>
      <c r="AV60" s="129">
        <f t="shared" si="77"/>
        <v>0</v>
      </c>
      <c r="AW60" s="129">
        <f t="shared" si="78"/>
        <v>0</v>
      </c>
      <c r="AY60" s="162" t="str">
        <f>IF(ISBLANK(C60),"",NOT(ISERROR(MATCH(C60,Deltagarlista!$E$5:$E$64,0))))</f>
        <v/>
      </c>
      <c r="AZ60" s="162" t="str">
        <f>IF(ISBLANK(D60),"",NOT(ISERROR(MATCH(D60,Deltagarlista!$E$5:$E$64,0))))</f>
        <v/>
      </c>
      <c r="BA60" s="162" t="str">
        <f>IF(ISBLANK(E60),"",NOT(ISERROR(MATCH(E60,Deltagarlista!$E$5:$E$64,0))))</f>
        <v/>
      </c>
      <c r="BB60" s="162" t="str">
        <f>IF(ISBLANK(F60),"",NOT(ISERROR(MATCH(F60,Deltagarlista!$E$5:$E$64,0))))</f>
        <v/>
      </c>
      <c r="BC60" s="162" t="str">
        <f>IF(ISBLANK(G60),"",NOT(ISERROR(MATCH(G60,Deltagarlista!$E$5:$E$64,0))))</f>
        <v/>
      </c>
      <c r="BD60" s="162" t="str">
        <f>IF(ISBLANK(H60),"",NOT(ISERROR(MATCH(H60,Deltagarlista!$E$5:$E$64,0))))</f>
        <v/>
      </c>
      <c r="BE60" s="162" t="str">
        <f>IF(ISBLANK(I60),"",NOT(ISERROR(MATCH(I60,Deltagarlista!$E$5:$E$64,0))))</f>
        <v/>
      </c>
      <c r="BF60" s="162" t="str">
        <f>IF(ISBLANK(J60),"",NOT(ISERROR(MATCH(J60,Deltagarlista!$E$5:$E$64,0))))</f>
        <v/>
      </c>
      <c r="BG60" s="162" t="str">
        <f>IF(ISBLANK(K60),"",NOT(ISERROR(MATCH(K60,Deltagarlista!$E$5:$E$64,0))))</f>
        <v/>
      </c>
      <c r="BH60" s="162" t="str">
        <f>IF(ISBLANK(L60),"",NOT(ISERROR(MATCH(L60,Deltagarlista!$E$5:$E$64,0))))</f>
        <v/>
      </c>
      <c r="BI60" s="162" t="str">
        <f>IF(ISBLANK(M60),"",NOT(ISERROR(MATCH(M60,Deltagarlista!$E$5:$E$64,0))))</f>
        <v/>
      </c>
      <c r="BJ60" s="162" t="str">
        <f>IF(ISBLANK(N60),"",NOT(ISERROR(MATCH(N60,Deltagarlista!$E$5:$E$64,0))))</f>
        <v/>
      </c>
      <c r="BK60" s="162" t="str">
        <f>IF(ISBLANK(O60),"",NOT(ISERROR(MATCH(O60,Deltagarlista!$E$5:$E$64,0))))</f>
        <v/>
      </c>
      <c r="BL60" s="162" t="str">
        <f>IF(ISBLANK(P60),"",NOT(ISERROR(MATCH(P60,Deltagarlista!$E$5:$E$64,0))))</f>
        <v/>
      </c>
      <c r="BM60" s="162" t="str">
        <f>IF(ISBLANK(Q60),"",NOT(ISERROR(MATCH(Q60,Deltagarlista!$E$5:$E$64,0))))</f>
        <v/>
      </c>
      <c r="BN60" s="167"/>
      <c r="BO60" s="162">
        <f>SUM(COUNTIF($C$8:$Q$45,Deltagarlista!E56)+COUNTIF($C$53:$Q$90,Deltagarlista!E56)+COUNTIF($C$98:$Q$135,Deltagarlista!E56)+COUNTIF($C$143:$Q$180,Deltagarlista!E56))</f>
        <v>0</v>
      </c>
      <c r="BP60" s="162">
        <f t="shared" si="18"/>
        <v>1</v>
      </c>
      <c r="BQ60" s="162">
        <f t="shared" si="19"/>
        <v>1</v>
      </c>
      <c r="BR60" s="162">
        <f t="shared" si="20"/>
        <v>1</v>
      </c>
      <c r="BS60" s="162">
        <f t="shared" si="21"/>
        <v>1</v>
      </c>
      <c r="BT60" s="162">
        <f t="shared" si="22"/>
        <v>1</v>
      </c>
      <c r="BU60" s="162">
        <f t="shared" si="23"/>
        <v>1</v>
      </c>
      <c r="BV60" s="162">
        <f t="shared" si="24"/>
        <v>1</v>
      </c>
      <c r="BW60" s="162">
        <f t="shared" si="25"/>
        <v>1</v>
      </c>
      <c r="BX60" s="162">
        <f t="shared" si="26"/>
        <v>1</v>
      </c>
      <c r="BY60" s="162">
        <f t="shared" si="27"/>
        <v>1</v>
      </c>
      <c r="BZ60" s="162">
        <f t="shared" si="28"/>
        <v>1</v>
      </c>
      <c r="CA60" s="162">
        <f t="shared" si="29"/>
        <v>1</v>
      </c>
      <c r="CB60" s="162">
        <f t="shared" si="30"/>
        <v>1</v>
      </c>
      <c r="CC60" s="162">
        <f t="shared" si="41"/>
        <v>1</v>
      </c>
      <c r="CD60" s="162">
        <f t="shared" si="42"/>
        <v>1</v>
      </c>
      <c r="CE60" s="162">
        <f t="shared" si="43"/>
        <v>1</v>
      </c>
      <c r="CF60" s="162">
        <f t="shared" si="44"/>
        <v>1</v>
      </c>
      <c r="CG60" s="162">
        <f t="shared" si="45"/>
        <v>1</v>
      </c>
      <c r="CH60" s="162">
        <f t="shared" si="46"/>
        <v>1</v>
      </c>
      <c r="CI60" s="162">
        <f t="shared" si="47"/>
        <v>1</v>
      </c>
      <c r="CL60" s="184" t="str">
        <f>IF(Deltagarlista!E57="","",Deltagarlista!E57)</f>
        <v/>
      </c>
      <c r="CM60" s="162" t="str">
        <f>IF(Deltagarlista!I57="","",(IF(VLOOKUP(CL60,Deltagarlista!$E$5:$I$64,5,FALSE)="Grön","Gr",IF(VLOOKUP(CL60,Deltagarlista!$E$5:$I$64,5,FALSE)="Röd","R",IF(VLOOKUP(CL60,Deltagarlista!$E$5:$I$64,5,FALSE)="Blå","B","Gu")))))</f>
        <v/>
      </c>
      <c r="DK60" s="162" t="str">
        <f>IF(DM60="","",IF(ISBLANK(Deltagarlista!C56),"",Deltagarlista!C56))</f>
        <v/>
      </c>
      <c r="DL60" s="162" t="str">
        <f>IF(ISBLANK(Deltagarlista!I56),"",IF(Deltagarlista!I56="RÖD","R",IF(Deltagarlista!I56="GRÖN","G",IF(Deltagarlista!I56="BLÅ","B",IF(Deltagarlista!I56="GUL","G","")))))</f>
        <v/>
      </c>
      <c r="DM60" s="162">
        <f>IF(ISBLANK(Deltagarlista!H56),"",1)</f>
        <v>1</v>
      </c>
    </row>
    <row r="61" spans="2:117" x14ac:dyDescent="0.3">
      <c r="B61" s="186">
        <v>9</v>
      </c>
      <c r="C61" s="27"/>
      <c r="D61" s="28"/>
      <c r="E61" s="38"/>
      <c r="F61" s="27"/>
      <c r="G61" s="28"/>
      <c r="H61" s="29"/>
      <c r="I61" s="41"/>
      <c r="J61" s="28"/>
      <c r="K61" s="38"/>
      <c r="L61" s="27"/>
      <c r="M61" s="28"/>
      <c r="N61" s="29"/>
      <c r="O61" s="41"/>
      <c r="P61" s="28"/>
      <c r="Q61" s="29"/>
      <c r="R61" s="187">
        <v>9</v>
      </c>
      <c r="S61" s="188">
        <v>9</v>
      </c>
      <c r="T61" s="188">
        <v>9</v>
      </c>
      <c r="U61" s="188">
        <v>9</v>
      </c>
      <c r="V61" s="188">
        <v>9</v>
      </c>
      <c r="W61" s="188">
        <v>9</v>
      </c>
      <c r="X61" s="188">
        <v>9</v>
      </c>
      <c r="Y61" s="188">
        <v>9</v>
      </c>
      <c r="Z61" s="188">
        <v>9</v>
      </c>
      <c r="AA61" s="188">
        <v>9</v>
      </c>
      <c r="AB61" s="188">
        <v>9</v>
      </c>
      <c r="AC61" s="188">
        <v>9</v>
      </c>
      <c r="AD61" s="188">
        <v>9</v>
      </c>
      <c r="AE61" s="188">
        <v>9</v>
      </c>
      <c r="AF61" s="188">
        <v>9</v>
      </c>
      <c r="AG61" s="188">
        <v>9</v>
      </c>
      <c r="AH61" s="166"/>
      <c r="AI61" s="129">
        <f t="shared" si="64"/>
        <v>0</v>
      </c>
      <c r="AJ61" s="129">
        <f t="shared" si="65"/>
        <v>0</v>
      </c>
      <c r="AK61" s="129">
        <f t="shared" si="66"/>
        <v>0</v>
      </c>
      <c r="AL61" s="129">
        <f t="shared" si="67"/>
        <v>0</v>
      </c>
      <c r="AM61" s="129">
        <f t="shared" si="68"/>
        <v>0</v>
      </c>
      <c r="AN61" s="129">
        <f t="shared" si="69"/>
        <v>0</v>
      </c>
      <c r="AO61" s="129">
        <f t="shared" si="70"/>
        <v>0</v>
      </c>
      <c r="AP61" s="129">
        <f t="shared" si="71"/>
        <v>0</v>
      </c>
      <c r="AQ61" s="129">
        <f t="shared" si="72"/>
        <v>0</v>
      </c>
      <c r="AR61" s="129">
        <f t="shared" si="73"/>
        <v>0</v>
      </c>
      <c r="AS61" s="129">
        <f t="shared" si="74"/>
        <v>0</v>
      </c>
      <c r="AT61" s="129">
        <f t="shared" si="75"/>
        <v>0</v>
      </c>
      <c r="AU61" s="129">
        <f t="shared" si="76"/>
        <v>0</v>
      </c>
      <c r="AV61" s="129">
        <f t="shared" si="77"/>
        <v>0</v>
      </c>
      <c r="AW61" s="129">
        <f t="shared" si="78"/>
        <v>0</v>
      </c>
      <c r="AY61" s="162" t="str">
        <f>IF(ISBLANK(C61),"",NOT(ISERROR(MATCH(C61,Deltagarlista!$E$5:$E$64,0))))</f>
        <v/>
      </c>
      <c r="AZ61" s="162" t="str">
        <f>IF(ISBLANK(D61),"",NOT(ISERROR(MATCH(D61,Deltagarlista!$E$5:$E$64,0))))</f>
        <v/>
      </c>
      <c r="BA61" s="162" t="str">
        <f>IF(ISBLANK(E61),"",NOT(ISERROR(MATCH(E61,Deltagarlista!$E$5:$E$64,0))))</f>
        <v/>
      </c>
      <c r="BB61" s="162" t="str">
        <f>IF(ISBLANK(F61),"",NOT(ISERROR(MATCH(F61,Deltagarlista!$E$5:$E$64,0))))</f>
        <v/>
      </c>
      <c r="BC61" s="162" t="str">
        <f>IF(ISBLANK(G61),"",NOT(ISERROR(MATCH(G61,Deltagarlista!$E$5:$E$64,0))))</f>
        <v/>
      </c>
      <c r="BD61" s="162" t="str">
        <f>IF(ISBLANK(H61),"",NOT(ISERROR(MATCH(H61,Deltagarlista!$E$5:$E$64,0))))</f>
        <v/>
      </c>
      <c r="BE61" s="162" t="str">
        <f>IF(ISBLANK(I61),"",NOT(ISERROR(MATCH(I61,Deltagarlista!$E$5:$E$64,0))))</f>
        <v/>
      </c>
      <c r="BF61" s="162" t="str">
        <f>IF(ISBLANK(J61),"",NOT(ISERROR(MATCH(J61,Deltagarlista!$E$5:$E$64,0))))</f>
        <v/>
      </c>
      <c r="BG61" s="162" t="str">
        <f>IF(ISBLANK(K61),"",NOT(ISERROR(MATCH(K61,Deltagarlista!$E$5:$E$64,0))))</f>
        <v/>
      </c>
      <c r="BH61" s="162" t="str">
        <f>IF(ISBLANK(L61),"",NOT(ISERROR(MATCH(L61,Deltagarlista!$E$5:$E$64,0))))</f>
        <v/>
      </c>
      <c r="BI61" s="162" t="str">
        <f>IF(ISBLANK(M61),"",NOT(ISERROR(MATCH(M61,Deltagarlista!$E$5:$E$64,0))))</f>
        <v/>
      </c>
      <c r="BJ61" s="162" t="str">
        <f>IF(ISBLANK(N61),"",NOT(ISERROR(MATCH(N61,Deltagarlista!$E$5:$E$64,0))))</f>
        <v/>
      </c>
      <c r="BK61" s="162" t="str">
        <f>IF(ISBLANK(O61),"",NOT(ISERROR(MATCH(O61,Deltagarlista!$E$5:$E$64,0))))</f>
        <v/>
      </c>
      <c r="BL61" s="162" t="str">
        <f>IF(ISBLANK(P61),"",NOT(ISERROR(MATCH(P61,Deltagarlista!$E$5:$E$64,0))))</f>
        <v/>
      </c>
      <c r="BM61" s="162" t="str">
        <f>IF(ISBLANK(Q61),"",NOT(ISERROR(MATCH(Q61,Deltagarlista!$E$5:$E$64,0))))</f>
        <v/>
      </c>
      <c r="BN61" s="167"/>
      <c r="BO61" s="162">
        <f>SUM(COUNTIF($C$8:$Q$45,Deltagarlista!E57)+COUNTIF($C$53:$Q$90,Deltagarlista!E57)+COUNTIF($C$98:$Q$135,Deltagarlista!E57)+COUNTIF($C$143:$Q$180,Deltagarlista!E57))</f>
        <v>0</v>
      </c>
      <c r="BP61" s="162">
        <f t="shared" si="18"/>
        <v>1</v>
      </c>
      <c r="BQ61" s="162">
        <f t="shared" si="19"/>
        <v>1</v>
      </c>
      <c r="BR61" s="162">
        <f t="shared" si="20"/>
        <v>1</v>
      </c>
      <c r="BS61" s="162">
        <f t="shared" si="21"/>
        <v>1</v>
      </c>
      <c r="BT61" s="162">
        <f t="shared" si="22"/>
        <v>1</v>
      </c>
      <c r="BU61" s="162">
        <f t="shared" si="23"/>
        <v>1</v>
      </c>
      <c r="BV61" s="162">
        <f t="shared" si="24"/>
        <v>1</v>
      </c>
      <c r="BW61" s="162">
        <f t="shared" si="25"/>
        <v>1</v>
      </c>
      <c r="BX61" s="162">
        <f t="shared" si="26"/>
        <v>1</v>
      </c>
      <c r="BY61" s="162">
        <f t="shared" si="27"/>
        <v>1</v>
      </c>
      <c r="BZ61" s="162">
        <f t="shared" si="28"/>
        <v>1</v>
      </c>
      <c r="CA61" s="162">
        <f t="shared" si="29"/>
        <v>1</v>
      </c>
      <c r="CB61" s="162">
        <f t="shared" si="30"/>
        <v>1</v>
      </c>
      <c r="CC61" s="162">
        <f t="shared" si="41"/>
        <v>1</v>
      </c>
      <c r="CD61" s="162">
        <f t="shared" si="42"/>
        <v>1</v>
      </c>
      <c r="CE61" s="162">
        <f t="shared" si="43"/>
        <v>1</v>
      </c>
      <c r="CF61" s="162">
        <f t="shared" si="44"/>
        <v>1</v>
      </c>
      <c r="CG61" s="162">
        <f t="shared" si="45"/>
        <v>1</v>
      </c>
      <c r="CH61" s="162">
        <f t="shared" si="46"/>
        <v>1</v>
      </c>
      <c r="CI61" s="162">
        <f t="shared" si="47"/>
        <v>1</v>
      </c>
      <c r="CL61" s="184" t="str">
        <f>IF(Deltagarlista!E58="","",Deltagarlista!E58)</f>
        <v/>
      </c>
      <c r="CM61" s="162" t="str">
        <f>IF(Deltagarlista!I58="","",(IF(VLOOKUP(CL61,Deltagarlista!$E$5:$I$64,5,FALSE)="Grön","Gr",IF(VLOOKUP(CL61,Deltagarlista!$E$5:$I$64,5,FALSE)="Röd","R",IF(VLOOKUP(CL61,Deltagarlista!$E$5:$I$64,5,FALSE)="Blå","B","Gu")))))</f>
        <v/>
      </c>
      <c r="DK61" s="162" t="str">
        <f>IF(DM61="","",IF(ISBLANK(Deltagarlista!C57),"",Deltagarlista!C57))</f>
        <v/>
      </c>
      <c r="DL61" s="162" t="str">
        <f>IF(ISBLANK(Deltagarlista!I57),"",IF(Deltagarlista!I57="RÖD","R",IF(Deltagarlista!I57="GRÖN","G",IF(Deltagarlista!I57="BLÅ","B",IF(Deltagarlista!I57="GUL","G","")))))</f>
        <v/>
      </c>
      <c r="DM61" s="162">
        <f>IF(ISBLANK(Deltagarlista!H57),"",1)</f>
        <v>1</v>
      </c>
    </row>
    <row r="62" spans="2:117" x14ac:dyDescent="0.3">
      <c r="B62" s="186">
        <v>10</v>
      </c>
      <c r="C62" s="27"/>
      <c r="D62" s="28"/>
      <c r="E62" s="38"/>
      <c r="F62" s="27"/>
      <c r="G62" s="28"/>
      <c r="H62" s="29"/>
      <c r="I62" s="41"/>
      <c r="J62" s="28"/>
      <c r="K62" s="38"/>
      <c r="L62" s="27"/>
      <c r="M62" s="28"/>
      <c r="N62" s="29"/>
      <c r="O62" s="41"/>
      <c r="P62" s="28"/>
      <c r="Q62" s="29"/>
      <c r="R62" s="187">
        <v>10</v>
      </c>
      <c r="S62" s="188">
        <v>10</v>
      </c>
      <c r="T62" s="188">
        <v>10</v>
      </c>
      <c r="U62" s="188">
        <v>10</v>
      </c>
      <c r="V62" s="188">
        <v>10</v>
      </c>
      <c r="W62" s="188">
        <v>10</v>
      </c>
      <c r="X62" s="188">
        <v>10</v>
      </c>
      <c r="Y62" s="188">
        <v>10</v>
      </c>
      <c r="Z62" s="188">
        <v>10</v>
      </c>
      <c r="AA62" s="188">
        <v>10</v>
      </c>
      <c r="AB62" s="188">
        <v>10</v>
      </c>
      <c r="AC62" s="188">
        <v>10</v>
      </c>
      <c r="AD62" s="188">
        <v>10</v>
      </c>
      <c r="AE62" s="188">
        <v>10</v>
      </c>
      <c r="AF62" s="188">
        <v>10</v>
      </c>
      <c r="AG62" s="188">
        <v>10</v>
      </c>
      <c r="AH62" s="166"/>
      <c r="AI62" s="129">
        <f t="shared" si="64"/>
        <v>0</v>
      </c>
      <c r="AJ62" s="129">
        <f t="shared" si="65"/>
        <v>0</v>
      </c>
      <c r="AK62" s="129">
        <f t="shared" si="66"/>
        <v>0</v>
      </c>
      <c r="AL62" s="129">
        <f t="shared" si="67"/>
        <v>0</v>
      </c>
      <c r="AM62" s="129">
        <f t="shared" si="68"/>
        <v>0</v>
      </c>
      <c r="AN62" s="129">
        <f t="shared" si="69"/>
        <v>0</v>
      </c>
      <c r="AO62" s="129">
        <f t="shared" si="70"/>
        <v>0</v>
      </c>
      <c r="AP62" s="129">
        <f t="shared" si="71"/>
        <v>0</v>
      </c>
      <c r="AQ62" s="129">
        <f t="shared" si="72"/>
        <v>0</v>
      </c>
      <c r="AR62" s="129">
        <f t="shared" si="73"/>
        <v>0</v>
      </c>
      <c r="AS62" s="129">
        <f t="shared" si="74"/>
        <v>0</v>
      </c>
      <c r="AT62" s="129">
        <f t="shared" si="75"/>
        <v>0</v>
      </c>
      <c r="AU62" s="129">
        <f t="shared" si="76"/>
        <v>0</v>
      </c>
      <c r="AV62" s="129">
        <f t="shared" si="77"/>
        <v>0</v>
      </c>
      <c r="AW62" s="129">
        <f t="shared" si="78"/>
        <v>0</v>
      </c>
      <c r="AY62" s="162" t="str">
        <f>IF(ISBLANK(C62),"",NOT(ISERROR(MATCH(C62,Deltagarlista!$E$5:$E$64,0))))</f>
        <v/>
      </c>
      <c r="AZ62" s="162" t="str">
        <f>IF(ISBLANK(D62),"",NOT(ISERROR(MATCH(D62,Deltagarlista!$E$5:$E$64,0))))</f>
        <v/>
      </c>
      <c r="BA62" s="162" t="str">
        <f>IF(ISBLANK(E62),"",NOT(ISERROR(MATCH(E62,Deltagarlista!$E$5:$E$64,0))))</f>
        <v/>
      </c>
      <c r="BB62" s="162" t="str">
        <f>IF(ISBLANK(F62),"",NOT(ISERROR(MATCH(F62,Deltagarlista!$E$5:$E$64,0))))</f>
        <v/>
      </c>
      <c r="BC62" s="162" t="str">
        <f>IF(ISBLANK(G62),"",NOT(ISERROR(MATCH(G62,Deltagarlista!$E$5:$E$64,0))))</f>
        <v/>
      </c>
      <c r="BD62" s="162" t="str">
        <f>IF(ISBLANK(H62),"",NOT(ISERROR(MATCH(H62,Deltagarlista!$E$5:$E$64,0))))</f>
        <v/>
      </c>
      <c r="BE62" s="162" t="str">
        <f>IF(ISBLANK(I62),"",NOT(ISERROR(MATCH(I62,Deltagarlista!$E$5:$E$64,0))))</f>
        <v/>
      </c>
      <c r="BF62" s="162" t="str">
        <f>IF(ISBLANK(J62),"",NOT(ISERROR(MATCH(J62,Deltagarlista!$E$5:$E$64,0))))</f>
        <v/>
      </c>
      <c r="BG62" s="162" t="str">
        <f>IF(ISBLANK(K62),"",NOT(ISERROR(MATCH(K62,Deltagarlista!$E$5:$E$64,0))))</f>
        <v/>
      </c>
      <c r="BH62" s="162" t="str">
        <f>IF(ISBLANK(L62),"",NOT(ISERROR(MATCH(L62,Deltagarlista!$E$5:$E$64,0))))</f>
        <v/>
      </c>
      <c r="BI62" s="162" t="str">
        <f>IF(ISBLANK(M62),"",NOT(ISERROR(MATCH(M62,Deltagarlista!$E$5:$E$64,0))))</f>
        <v/>
      </c>
      <c r="BJ62" s="162" t="str">
        <f>IF(ISBLANK(N62),"",NOT(ISERROR(MATCH(N62,Deltagarlista!$E$5:$E$64,0))))</f>
        <v/>
      </c>
      <c r="BK62" s="162" t="str">
        <f>IF(ISBLANK(O62),"",NOT(ISERROR(MATCH(O62,Deltagarlista!$E$5:$E$64,0))))</f>
        <v/>
      </c>
      <c r="BL62" s="162" t="str">
        <f>IF(ISBLANK(P62),"",NOT(ISERROR(MATCH(P62,Deltagarlista!$E$5:$E$64,0))))</f>
        <v/>
      </c>
      <c r="BM62" s="162" t="str">
        <f>IF(ISBLANK(Q62),"",NOT(ISERROR(MATCH(Q62,Deltagarlista!$E$5:$E$64,0))))</f>
        <v/>
      </c>
      <c r="BN62" s="167"/>
      <c r="BO62" s="162">
        <f>SUM(COUNTIF($C$8:$Q$45,Deltagarlista!E58)+COUNTIF($C$53:$Q$90,Deltagarlista!E58)+COUNTIF($C$98:$Q$135,Deltagarlista!E58)+COUNTIF($C$143:$Q$180,Deltagarlista!E58))</f>
        <v>0</v>
      </c>
      <c r="BP62" s="162">
        <f t="shared" si="18"/>
        <v>1</v>
      </c>
      <c r="BQ62" s="162">
        <f t="shared" si="19"/>
        <v>1</v>
      </c>
      <c r="BR62" s="162">
        <f t="shared" si="20"/>
        <v>1</v>
      </c>
      <c r="BS62" s="162">
        <f t="shared" si="21"/>
        <v>1</v>
      </c>
      <c r="BT62" s="162">
        <f t="shared" si="22"/>
        <v>1</v>
      </c>
      <c r="BU62" s="162">
        <f t="shared" si="23"/>
        <v>1</v>
      </c>
      <c r="BV62" s="162">
        <f t="shared" si="24"/>
        <v>1</v>
      </c>
      <c r="BW62" s="162">
        <f t="shared" si="25"/>
        <v>1</v>
      </c>
      <c r="BX62" s="162">
        <f t="shared" si="26"/>
        <v>1</v>
      </c>
      <c r="BY62" s="162">
        <f t="shared" si="27"/>
        <v>1</v>
      </c>
      <c r="BZ62" s="162">
        <f t="shared" si="28"/>
        <v>1</v>
      </c>
      <c r="CA62" s="162">
        <f t="shared" si="29"/>
        <v>1</v>
      </c>
      <c r="CB62" s="162">
        <f t="shared" si="30"/>
        <v>1</v>
      </c>
      <c r="CC62" s="162">
        <f t="shared" si="41"/>
        <v>1</v>
      </c>
      <c r="CD62" s="162">
        <f t="shared" si="42"/>
        <v>1</v>
      </c>
      <c r="CE62" s="162">
        <f t="shared" si="43"/>
        <v>1</v>
      </c>
      <c r="CF62" s="162">
        <f t="shared" si="44"/>
        <v>1</v>
      </c>
      <c r="CG62" s="162">
        <f t="shared" si="45"/>
        <v>1</v>
      </c>
      <c r="CH62" s="162">
        <f t="shared" si="46"/>
        <v>1</v>
      </c>
      <c r="CI62" s="162">
        <f t="shared" si="47"/>
        <v>1</v>
      </c>
      <c r="CL62" s="184" t="str">
        <f>IF(Deltagarlista!E59="","",Deltagarlista!E59)</f>
        <v/>
      </c>
      <c r="CM62" s="162" t="str">
        <f>IF(Deltagarlista!I59="","",(IF(VLOOKUP(CL62,Deltagarlista!$E$5:$I$64,5,FALSE)="Grön","Gr",IF(VLOOKUP(CL62,Deltagarlista!$E$5:$I$64,5,FALSE)="Röd","R",IF(VLOOKUP(CL62,Deltagarlista!$E$5:$I$64,5,FALSE)="Blå","B","Gu")))))</f>
        <v/>
      </c>
      <c r="DK62" s="162" t="str">
        <f>IF(DM62="","",IF(ISBLANK(Deltagarlista!C58),"",Deltagarlista!C58))</f>
        <v/>
      </c>
      <c r="DL62" s="162" t="str">
        <f>IF(ISBLANK(Deltagarlista!I58),"",IF(Deltagarlista!I58="RÖD","R",IF(Deltagarlista!I58="GRÖN","G",IF(Deltagarlista!I58="BLÅ","B",IF(Deltagarlista!I58="GUL","G","")))))</f>
        <v/>
      </c>
      <c r="DM62" s="162">
        <f>IF(ISBLANK(Deltagarlista!H58),"",1)</f>
        <v>1</v>
      </c>
    </row>
    <row r="63" spans="2:117" x14ac:dyDescent="0.3">
      <c r="B63" s="186">
        <v>11</v>
      </c>
      <c r="C63" s="27"/>
      <c r="D63" s="28"/>
      <c r="E63" s="38"/>
      <c r="F63" s="27"/>
      <c r="G63" s="28"/>
      <c r="H63" s="29"/>
      <c r="I63" s="41"/>
      <c r="J63" s="28"/>
      <c r="K63" s="38"/>
      <c r="L63" s="27"/>
      <c r="M63" s="28"/>
      <c r="N63" s="29"/>
      <c r="O63" s="41"/>
      <c r="P63" s="28"/>
      <c r="Q63" s="29"/>
      <c r="R63" s="187">
        <v>11</v>
      </c>
      <c r="S63" s="188">
        <v>11</v>
      </c>
      <c r="T63" s="188">
        <v>11</v>
      </c>
      <c r="U63" s="188">
        <v>11</v>
      </c>
      <c r="V63" s="188">
        <v>11</v>
      </c>
      <c r="W63" s="188">
        <v>11</v>
      </c>
      <c r="X63" s="188">
        <v>11</v>
      </c>
      <c r="Y63" s="188">
        <v>11</v>
      </c>
      <c r="Z63" s="188">
        <v>11</v>
      </c>
      <c r="AA63" s="188">
        <v>11</v>
      </c>
      <c r="AB63" s="188">
        <v>11</v>
      </c>
      <c r="AC63" s="188">
        <v>11</v>
      </c>
      <c r="AD63" s="188">
        <v>11</v>
      </c>
      <c r="AE63" s="188">
        <v>11</v>
      </c>
      <c r="AF63" s="188">
        <v>11</v>
      </c>
      <c r="AG63" s="188">
        <v>11</v>
      </c>
      <c r="AH63" s="166"/>
      <c r="AI63" s="129">
        <f t="shared" si="64"/>
        <v>0</v>
      </c>
      <c r="AJ63" s="129">
        <f t="shared" si="65"/>
        <v>0</v>
      </c>
      <c r="AK63" s="129">
        <f t="shared" si="66"/>
        <v>0</v>
      </c>
      <c r="AL63" s="129">
        <f t="shared" si="67"/>
        <v>0</v>
      </c>
      <c r="AM63" s="129">
        <f t="shared" si="68"/>
        <v>0</v>
      </c>
      <c r="AN63" s="129">
        <f t="shared" si="69"/>
        <v>0</v>
      </c>
      <c r="AO63" s="129">
        <f t="shared" si="70"/>
        <v>0</v>
      </c>
      <c r="AP63" s="129">
        <f t="shared" si="71"/>
        <v>0</v>
      </c>
      <c r="AQ63" s="129">
        <f t="shared" si="72"/>
        <v>0</v>
      </c>
      <c r="AR63" s="129">
        <f t="shared" si="73"/>
        <v>0</v>
      </c>
      <c r="AS63" s="129">
        <f t="shared" si="74"/>
        <v>0</v>
      </c>
      <c r="AT63" s="129">
        <f t="shared" si="75"/>
        <v>0</v>
      </c>
      <c r="AU63" s="129">
        <f t="shared" si="76"/>
        <v>0</v>
      </c>
      <c r="AV63" s="129">
        <f t="shared" si="77"/>
        <v>0</v>
      </c>
      <c r="AW63" s="129">
        <f t="shared" si="78"/>
        <v>0</v>
      </c>
      <c r="AY63" s="162" t="str">
        <f>IF(ISBLANK(C63),"",NOT(ISERROR(MATCH(C63,Deltagarlista!$E$5:$E$64,0))))</f>
        <v/>
      </c>
      <c r="AZ63" s="162" t="str">
        <f>IF(ISBLANK(D63),"",NOT(ISERROR(MATCH(D63,Deltagarlista!$E$5:$E$64,0))))</f>
        <v/>
      </c>
      <c r="BA63" s="162" t="str">
        <f>IF(ISBLANK(E63),"",NOT(ISERROR(MATCH(E63,Deltagarlista!$E$5:$E$64,0))))</f>
        <v/>
      </c>
      <c r="BB63" s="162" t="str">
        <f>IF(ISBLANK(F63),"",NOT(ISERROR(MATCH(F63,Deltagarlista!$E$5:$E$64,0))))</f>
        <v/>
      </c>
      <c r="BC63" s="162" t="str">
        <f>IF(ISBLANK(G63),"",NOT(ISERROR(MATCH(G63,Deltagarlista!$E$5:$E$64,0))))</f>
        <v/>
      </c>
      <c r="BD63" s="162" t="str">
        <f>IF(ISBLANK(H63),"",NOT(ISERROR(MATCH(H63,Deltagarlista!$E$5:$E$64,0))))</f>
        <v/>
      </c>
      <c r="BE63" s="162" t="str">
        <f>IF(ISBLANK(I63),"",NOT(ISERROR(MATCH(I63,Deltagarlista!$E$5:$E$64,0))))</f>
        <v/>
      </c>
      <c r="BF63" s="162" t="str">
        <f>IF(ISBLANK(J63),"",NOT(ISERROR(MATCH(J63,Deltagarlista!$E$5:$E$64,0))))</f>
        <v/>
      </c>
      <c r="BG63" s="162" t="str">
        <f>IF(ISBLANK(K63),"",NOT(ISERROR(MATCH(K63,Deltagarlista!$E$5:$E$64,0))))</f>
        <v/>
      </c>
      <c r="BH63" s="162" t="str">
        <f>IF(ISBLANK(L63),"",NOT(ISERROR(MATCH(L63,Deltagarlista!$E$5:$E$64,0))))</f>
        <v/>
      </c>
      <c r="BI63" s="162" t="str">
        <f>IF(ISBLANK(M63),"",NOT(ISERROR(MATCH(M63,Deltagarlista!$E$5:$E$64,0))))</f>
        <v/>
      </c>
      <c r="BJ63" s="162" t="str">
        <f>IF(ISBLANK(N63),"",NOT(ISERROR(MATCH(N63,Deltagarlista!$E$5:$E$64,0))))</f>
        <v/>
      </c>
      <c r="BK63" s="162" t="str">
        <f>IF(ISBLANK(O63),"",NOT(ISERROR(MATCH(O63,Deltagarlista!$E$5:$E$64,0))))</f>
        <v/>
      </c>
      <c r="BL63" s="162" t="str">
        <f>IF(ISBLANK(P63),"",NOT(ISERROR(MATCH(P63,Deltagarlista!$E$5:$E$64,0))))</f>
        <v/>
      </c>
      <c r="BM63" s="162" t="str">
        <f>IF(ISBLANK(Q63),"",NOT(ISERROR(MATCH(Q63,Deltagarlista!$E$5:$E$64,0))))</f>
        <v/>
      </c>
      <c r="BN63" s="167"/>
      <c r="BO63" s="162">
        <f>SUM(COUNTIF($C$8:$Q$45,Deltagarlista!E59)+COUNTIF($C$53:$Q$90,Deltagarlista!E59)+COUNTIF($C$98:$Q$135,Deltagarlista!E59)+COUNTIF($C$143:$Q$180,Deltagarlista!E59))</f>
        <v>0</v>
      </c>
      <c r="BP63" s="162">
        <f t="shared" si="18"/>
        <v>1</v>
      </c>
      <c r="BQ63" s="162">
        <f t="shared" si="19"/>
        <v>1</v>
      </c>
      <c r="BR63" s="162">
        <f t="shared" si="20"/>
        <v>1</v>
      </c>
      <c r="BS63" s="162">
        <f t="shared" si="21"/>
        <v>1</v>
      </c>
      <c r="BT63" s="162">
        <f t="shared" si="22"/>
        <v>1</v>
      </c>
      <c r="BU63" s="162">
        <f t="shared" si="23"/>
        <v>1</v>
      </c>
      <c r="BV63" s="162">
        <f t="shared" si="24"/>
        <v>1</v>
      </c>
      <c r="BW63" s="162">
        <f t="shared" si="25"/>
        <v>1</v>
      </c>
      <c r="BX63" s="162">
        <f t="shared" si="26"/>
        <v>1</v>
      </c>
      <c r="BY63" s="162">
        <f t="shared" si="27"/>
        <v>1</v>
      </c>
      <c r="BZ63" s="162">
        <f t="shared" si="28"/>
        <v>1</v>
      </c>
      <c r="CA63" s="162">
        <f t="shared" si="29"/>
        <v>1</v>
      </c>
      <c r="CB63" s="162">
        <f t="shared" si="30"/>
        <v>1</v>
      </c>
      <c r="CC63" s="162">
        <f t="shared" si="41"/>
        <v>1</v>
      </c>
      <c r="CD63" s="162">
        <f t="shared" si="42"/>
        <v>1</v>
      </c>
      <c r="CE63" s="162">
        <f t="shared" si="43"/>
        <v>1</v>
      </c>
      <c r="CF63" s="162">
        <f t="shared" si="44"/>
        <v>1</v>
      </c>
      <c r="CG63" s="162">
        <f t="shared" si="45"/>
        <v>1</v>
      </c>
      <c r="CH63" s="162">
        <f t="shared" si="46"/>
        <v>1</v>
      </c>
      <c r="CI63" s="162">
        <f t="shared" si="47"/>
        <v>1</v>
      </c>
      <c r="CL63" s="184" t="str">
        <f>IF(Deltagarlista!E60="","",Deltagarlista!E60)</f>
        <v/>
      </c>
      <c r="CM63" s="162" t="str">
        <f>IF(Deltagarlista!I60="","",(IF(VLOOKUP(CL63,Deltagarlista!$E$5:$I$64,5,FALSE)="Grön","Gr",IF(VLOOKUP(CL63,Deltagarlista!$E$5:$I$64,5,FALSE)="Röd","R",IF(VLOOKUP(CL63,Deltagarlista!$E$5:$I$64,5,FALSE)="Blå","B","Gu")))))</f>
        <v/>
      </c>
      <c r="DK63" s="162" t="str">
        <f>IF(DM63="","",IF(ISBLANK(Deltagarlista!C59),"",Deltagarlista!C59))</f>
        <v/>
      </c>
      <c r="DL63" s="162" t="str">
        <f>IF(ISBLANK(Deltagarlista!I59),"",IF(Deltagarlista!I59="RÖD","R",IF(Deltagarlista!I59="GRÖN","G",IF(Deltagarlista!I59="BLÅ","B",IF(Deltagarlista!I59="GUL","G","")))))</f>
        <v/>
      </c>
      <c r="DM63" s="162">
        <f>IF(ISBLANK(Deltagarlista!H59),"",1)</f>
        <v>1</v>
      </c>
    </row>
    <row r="64" spans="2:117" x14ac:dyDescent="0.3">
      <c r="B64" s="186">
        <v>12</v>
      </c>
      <c r="C64" s="27"/>
      <c r="D64" s="28"/>
      <c r="E64" s="38"/>
      <c r="F64" s="27"/>
      <c r="G64" s="28"/>
      <c r="H64" s="29"/>
      <c r="I64" s="41"/>
      <c r="J64" s="28"/>
      <c r="K64" s="38"/>
      <c r="L64" s="27"/>
      <c r="M64" s="28"/>
      <c r="N64" s="29"/>
      <c r="O64" s="41"/>
      <c r="P64" s="28"/>
      <c r="Q64" s="29"/>
      <c r="R64" s="187">
        <v>12</v>
      </c>
      <c r="S64" s="188">
        <v>12</v>
      </c>
      <c r="T64" s="188">
        <v>12</v>
      </c>
      <c r="U64" s="188">
        <v>12</v>
      </c>
      <c r="V64" s="188">
        <v>12</v>
      </c>
      <c r="W64" s="188">
        <v>12</v>
      </c>
      <c r="X64" s="188">
        <v>12</v>
      </c>
      <c r="Y64" s="188">
        <v>12</v>
      </c>
      <c r="Z64" s="188">
        <v>12</v>
      </c>
      <c r="AA64" s="188">
        <v>12</v>
      </c>
      <c r="AB64" s="188">
        <v>12</v>
      </c>
      <c r="AC64" s="188">
        <v>12</v>
      </c>
      <c r="AD64" s="188">
        <v>12</v>
      </c>
      <c r="AE64" s="188">
        <v>12</v>
      </c>
      <c r="AF64" s="188">
        <v>12</v>
      </c>
      <c r="AG64" s="188">
        <v>12</v>
      </c>
      <c r="AH64" s="166"/>
      <c r="AI64" s="129">
        <f t="shared" si="64"/>
        <v>0</v>
      </c>
      <c r="AJ64" s="129">
        <f t="shared" si="65"/>
        <v>0</v>
      </c>
      <c r="AK64" s="129">
        <f t="shared" si="66"/>
        <v>0</v>
      </c>
      <c r="AL64" s="129">
        <f t="shared" si="67"/>
        <v>0</v>
      </c>
      <c r="AM64" s="129">
        <f t="shared" si="68"/>
        <v>0</v>
      </c>
      <c r="AN64" s="129">
        <f t="shared" si="69"/>
        <v>0</v>
      </c>
      <c r="AO64" s="129">
        <f t="shared" si="70"/>
        <v>0</v>
      </c>
      <c r="AP64" s="129">
        <f t="shared" si="71"/>
        <v>0</v>
      </c>
      <c r="AQ64" s="129">
        <f t="shared" si="72"/>
        <v>0</v>
      </c>
      <c r="AR64" s="129">
        <f t="shared" si="73"/>
        <v>0</v>
      </c>
      <c r="AS64" s="129">
        <f t="shared" si="74"/>
        <v>0</v>
      </c>
      <c r="AT64" s="129">
        <f t="shared" si="75"/>
        <v>0</v>
      </c>
      <c r="AU64" s="129">
        <f t="shared" si="76"/>
        <v>0</v>
      </c>
      <c r="AV64" s="129">
        <f t="shared" si="77"/>
        <v>0</v>
      </c>
      <c r="AW64" s="129">
        <f t="shared" si="78"/>
        <v>0</v>
      </c>
      <c r="AY64" s="162" t="str">
        <f>IF(ISBLANK(C64),"",NOT(ISERROR(MATCH(C64,Deltagarlista!$E$5:$E$64,0))))</f>
        <v/>
      </c>
      <c r="AZ64" s="162" t="str">
        <f>IF(ISBLANK(D64),"",NOT(ISERROR(MATCH(D64,Deltagarlista!$E$5:$E$64,0))))</f>
        <v/>
      </c>
      <c r="BA64" s="162" t="str">
        <f>IF(ISBLANK(E64),"",NOT(ISERROR(MATCH(E64,Deltagarlista!$E$5:$E$64,0))))</f>
        <v/>
      </c>
      <c r="BB64" s="162" t="str">
        <f>IF(ISBLANK(F64),"",NOT(ISERROR(MATCH(F64,Deltagarlista!$E$5:$E$64,0))))</f>
        <v/>
      </c>
      <c r="BC64" s="162" t="str">
        <f>IF(ISBLANK(G64),"",NOT(ISERROR(MATCH(G64,Deltagarlista!$E$5:$E$64,0))))</f>
        <v/>
      </c>
      <c r="BD64" s="162" t="str">
        <f>IF(ISBLANK(H64),"",NOT(ISERROR(MATCH(H64,Deltagarlista!$E$5:$E$64,0))))</f>
        <v/>
      </c>
      <c r="BE64" s="162" t="str">
        <f>IF(ISBLANK(I64),"",NOT(ISERROR(MATCH(I64,Deltagarlista!$E$5:$E$64,0))))</f>
        <v/>
      </c>
      <c r="BF64" s="162" t="str">
        <f>IF(ISBLANK(J64),"",NOT(ISERROR(MATCH(J64,Deltagarlista!$E$5:$E$64,0))))</f>
        <v/>
      </c>
      <c r="BG64" s="162" t="str">
        <f>IF(ISBLANK(K64),"",NOT(ISERROR(MATCH(K64,Deltagarlista!$E$5:$E$64,0))))</f>
        <v/>
      </c>
      <c r="BH64" s="162" t="str">
        <f>IF(ISBLANK(L64),"",NOT(ISERROR(MATCH(L64,Deltagarlista!$E$5:$E$64,0))))</f>
        <v/>
      </c>
      <c r="BI64" s="162" t="str">
        <f>IF(ISBLANK(M64),"",NOT(ISERROR(MATCH(M64,Deltagarlista!$E$5:$E$64,0))))</f>
        <v/>
      </c>
      <c r="BJ64" s="162" t="str">
        <f>IF(ISBLANK(N64),"",NOT(ISERROR(MATCH(N64,Deltagarlista!$E$5:$E$64,0))))</f>
        <v/>
      </c>
      <c r="BK64" s="162" t="str">
        <f>IF(ISBLANK(O64),"",NOT(ISERROR(MATCH(O64,Deltagarlista!$E$5:$E$64,0))))</f>
        <v/>
      </c>
      <c r="BL64" s="162" t="str">
        <f>IF(ISBLANK(P64),"",NOT(ISERROR(MATCH(P64,Deltagarlista!$E$5:$E$64,0))))</f>
        <v/>
      </c>
      <c r="BM64" s="162" t="str">
        <f>IF(ISBLANK(Q64),"",NOT(ISERROR(MATCH(Q64,Deltagarlista!$E$5:$E$64,0))))</f>
        <v/>
      </c>
      <c r="BN64" s="167"/>
      <c r="BO64" s="162">
        <f>SUM(COUNTIF($C$8:$Q$45,Deltagarlista!E60)+COUNTIF($C$53:$Q$90,Deltagarlista!E60)+COUNTIF($C$98:$Q$135,Deltagarlista!E60)+COUNTIF($C$143:$Q$180,Deltagarlista!E60))</f>
        <v>0</v>
      </c>
      <c r="BP64" s="162">
        <f t="shared" si="18"/>
        <v>1</v>
      </c>
      <c r="BQ64" s="162">
        <f t="shared" si="19"/>
        <v>1</v>
      </c>
      <c r="BR64" s="162">
        <f t="shared" si="20"/>
        <v>1</v>
      </c>
      <c r="BS64" s="162">
        <f t="shared" si="21"/>
        <v>1</v>
      </c>
      <c r="BT64" s="162">
        <f t="shared" si="22"/>
        <v>1</v>
      </c>
      <c r="BU64" s="162">
        <f t="shared" si="23"/>
        <v>1</v>
      </c>
      <c r="BV64" s="162">
        <f t="shared" si="24"/>
        <v>1</v>
      </c>
      <c r="BW64" s="162">
        <f t="shared" si="25"/>
        <v>1</v>
      </c>
      <c r="BX64" s="162">
        <f t="shared" si="26"/>
        <v>1</v>
      </c>
      <c r="BY64" s="162">
        <f t="shared" si="27"/>
        <v>1</v>
      </c>
      <c r="BZ64" s="162">
        <f t="shared" si="28"/>
        <v>1</v>
      </c>
      <c r="CA64" s="162">
        <f t="shared" si="29"/>
        <v>1</v>
      </c>
      <c r="CB64" s="162">
        <f t="shared" si="30"/>
        <v>1</v>
      </c>
      <c r="CC64" s="162">
        <f t="shared" si="41"/>
        <v>1</v>
      </c>
      <c r="CD64" s="162">
        <f t="shared" si="42"/>
        <v>1</v>
      </c>
      <c r="CE64" s="162">
        <f t="shared" si="43"/>
        <v>1</v>
      </c>
      <c r="CF64" s="162">
        <f t="shared" si="44"/>
        <v>1</v>
      </c>
      <c r="CG64" s="162">
        <f t="shared" si="45"/>
        <v>1</v>
      </c>
      <c r="CH64" s="162">
        <f t="shared" si="46"/>
        <v>1</v>
      </c>
      <c r="CI64" s="162">
        <f t="shared" si="47"/>
        <v>1</v>
      </c>
      <c r="CL64" s="184" t="str">
        <f>IF(Deltagarlista!E61="","",Deltagarlista!E61)</f>
        <v/>
      </c>
      <c r="CM64" s="162" t="str">
        <f>IF(Deltagarlista!I61="","",(IF(VLOOKUP(CL64,Deltagarlista!$E$5:$I$64,5,FALSE)="Grön","Gr",IF(VLOOKUP(CL64,Deltagarlista!$E$5:$I$64,5,FALSE)="Röd","R",IF(VLOOKUP(CL64,Deltagarlista!$E$5:$I$64,5,FALSE)="Blå","B","Gu")))))</f>
        <v/>
      </c>
      <c r="DK64" s="162" t="str">
        <f>IF(DM64="","",IF(ISBLANK(Deltagarlista!C60),"",Deltagarlista!C60))</f>
        <v/>
      </c>
      <c r="DL64" s="162" t="str">
        <f>IF(ISBLANK(Deltagarlista!I60),"",IF(Deltagarlista!I60="RÖD","R",IF(Deltagarlista!I60="GRÖN","G",IF(Deltagarlista!I60="BLÅ","B",IF(Deltagarlista!I60="GUL","G","")))))</f>
        <v/>
      </c>
      <c r="DM64" s="162">
        <f>IF(ISBLANK(Deltagarlista!H60),"",1)</f>
        <v>1</v>
      </c>
    </row>
    <row r="65" spans="2:125" x14ac:dyDescent="0.3">
      <c r="B65" s="186">
        <v>13</v>
      </c>
      <c r="C65" s="27"/>
      <c r="D65" s="28"/>
      <c r="E65" s="38"/>
      <c r="F65" s="27"/>
      <c r="G65" s="28"/>
      <c r="H65" s="29"/>
      <c r="I65" s="41"/>
      <c r="J65" s="28"/>
      <c r="K65" s="38"/>
      <c r="L65" s="27"/>
      <c r="M65" s="28"/>
      <c r="N65" s="29"/>
      <c r="O65" s="41"/>
      <c r="P65" s="28"/>
      <c r="Q65" s="29"/>
      <c r="R65" s="187">
        <v>13</v>
      </c>
      <c r="S65" s="188">
        <v>13</v>
      </c>
      <c r="T65" s="188">
        <v>13</v>
      </c>
      <c r="U65" s="188">
        <v>13</v>
      </c>
      <c r="V65" s="188">
        <v>13</v>
      </c>
      <c r="W65" s="188">
        <v>13</v>
      </c>
      <c r="X65" s="188">
        <v>13</v>
      </c>
      <c r="Y65" s="188">
        <v>13</v>
      </c>
      <c r="Z65" s="188">
        <v>13</v>
      </c>
      <c r="AA65" s="188">
        <v>13</v>
      </c>
      <c r="AB65" s="188">
        <v>13</v>
      </c>
      <c r="AC65" s="188">
        <v>13</v>
      </c>
      <c r="AD65" s="188">
        <v>13</v>
      </c>
      <c r="AE65" s="188">
        <v>13</v>
      </c>
      <c r="AF65" s="188">
        <v>13</v>
      </c>
      <c r="AG65" s="188">
        <v>13</v>
      </c>
      <c r="AH65" s="166"/>
      <c r="AI65" s="129">
        <f t="shared" si="64"/>
        <v>0</v>
      </c>
      <c r="AJ65" s="129">
        <f t="shared" si="65"/>
        <v>0</v>
      </c>
      <c r="AK65" s="129">
        <f t="shared" si="66"/>
        <v>0</v>
      </c>
      <c r="AL65" s="129">
        <f t="shared" si="67"/>
        <v>0</v>
      </c>
      <c r="AM65" s="129">
        <f t="shared" si="68"/>
        <v>0</v>
      </c>
      <c r="AN65" s="129">
        <f t="shared" si="69"/>
        <v>0</v>
      </c>
      <c r="AO65" s="129">
        <f t="shared" si="70"/>
        <v>0</v>
      </c>
      <c r="AP65" s="129">
        <f t="shared" si="71"/>
        <v>0</v>
      </c>
      <c r="AQ65" s="129">
        <f t="shared" si="72"/>
        <v>0</v>
      </c>
      <c r="AR65" s="129">
        <f t="shared" si="73"/>
        <v>0</v>
      </c>
      <c r="AS65" s="129">
        <f t="shared" si="74"/>
        <v>0</v>
      </c>
      <c r="AT65" s="129">
        <f t="shared" si="75"/>
        <v>0</v>
      </c>
      <c r="AU65" s="129">
        <f t="shared" si="76"/>
        <v>0</v>
      </c>
      <c r="AV65" s="129">
        <f t="shared" si="77"/>
        <v>0</v>
      </c>
      <c r="AW65" s="129">
        <f t="shared" si="78"/>
        <v>0</v>
      </c>
      <c r="AY65" s="162" t="str">
        <f>IF(ISBLANK(C65),"",NOT(ISERROR(MATCH(C65,Deltagarlista!$E$5:$E$64,0))))</f>
        <v/>
      </c>
      <c r="AZ65" s="162" t="str">
        <f>IF(ISBLANK(D65),"",NOT(ISERROR(MATCH(D65,Deltagarlista!$E$5:$E$64,0))))</f>
        <v/>
      </c>
      <c r="BA65" s="162" t="str">
        <f>IF(ISBLANK(E65),"",NOT(ISERROR(MATCH(E65,Deltagarlista!$E$5:$E$64,0))))</f>
        <v/>
      </c>
      <c r="BB65" s="162" t="str">
        <f>IF(ISBLANK(F65),"",NOT(ISERROR(MATCH(F65,Deltagarlista!$E$5:$E$64,0))))</f>
        <v/>
      </c>
      <c r="BC65" s="162" t="str">
        <f>IF(ISBLANK(G65),"",NOT(ISERROR(MATCH(G65,Deltagarlista!$E$5:$E$64,0))))</f>
        <v/>
      </c>
      <c r="BD65" s="162" t="str">
        <f>IF(ISBLANK(H65),"",NOT(ISERROR(MATCH(H65,Deltagarlista!$E$5:$E$64,0))))</f>
        <v/>
      </c>
      <c r="BE65" s="162" t="str">
        <f>IF(ISBLANK(I65),"",NOT(ISERROR(MATCH(I65,Deltagarlista!$E$5:$E$64,0))))</f>
        <v/>
      </c>
      <c r="BF65" s="162" t="str">
        <f>IF(ISBLANK(J65),"",NOT(ISERROR(MATCH(J65,Deltagarlista!$E$5:$E$64,0))))</f>
        <v/>
      </c>
      <c r="BG65" s="162" t="str">
        <f>IF(ISBLANK(K65),"",NOT(ISERROR(MATCH(K65,Deltagarlista!$E$5:$E$64,0))))</f>
        <v/>
      </c>
      <c r="BH65" s="162" t="str">
        <f>IF(ISBLANK(L65),"",NOT(ISERROR(MATCH(L65,Deltagarlista!$E$5:$E$64,0))))</f>
        <v/>
      </c>
      <c r="BI65" s="162" t="str">
        <f>IF(ISBLANK(M65),"",NOT(ISERROR(MATCH(M65,Deltagarlista!$E$5:$E$64,0))))</f>
        <v/>
      </c>
      <c r="BJ65" s="162" t="str">
        <f>IF(ISBLANK(N65),"",NOT(ISERROR(MATCH(N65,Deltagarlista!$E$5:$E$64,0))))</f>
        <v/>
      </c>
      <c r="BK65" s="162" t="str">
        <f>IF(ISBLANK(O65),"",NOT(ISERROR(MATCH(O65,Deltagarlista!$E$5:$E$64,0))))</f>
        <v/>
      </c>
      <c r="BL65" s="162" t="str">
        <f>IF(ISBLANK(P65),"",NOT(ISERROR(MATCH(P65,Deltagarlista!$E$5:$E$64,0))))</f>
        <v/>
      </c>
      <c r="BM65" s="162" t="str">
        <f>IF(ISBLANK(Q65),"",NOT(ISERROR(MATCH(Q65,Deltagarlista!$E$5:$E$64,0))))</f>
        <v/>
      </c>
      <c r="BN65" s="167"/>
      <c r="BO65" s="162">
        <f>SUM(COUNTIF($C$8:$Q$45,Deltagarlista!E61)+COUNTIF($C$53:$Q$90,Deltagarlista!E61)+COUNTIF($C$98:$Q$135,Deltagarlista!E61)+COUNTIF($C$143:$Q$180,Deltagarlista!E61))</f>
        <v>0</v>
      </c>
      <c r="BP65" s="162">
        <f t="shared" si="18"/>
        <v>1</v>
      </c>
      <c r="BQ65" s="162">
        <f t="shared" si="19"/>
        <v>1</v>
      </c>
      <c r="BR65" s="162">
        <f t="shared" si="20"/>
        <v>1</v>
      </c>
      <c r="BS65" s="162">
        <f t="shared" si="21"/>
        <v>1</v>
      </c>
      <c r="BT65" s="162">
        <f t="shared" si="22"/>
        <v>1</v>
      </c>
      <c r="BU65" s="162">
        <f t="shared" si="23"/>
        <v>1</v>
      </c>
      <c r="BV65" s="162">
        <f t="shared" si="24"/>
        <v>1</v>
      </c>
      <c r="BW65" s="162">
        <f t="shared" si="25"/>
        <v>1</v>
      </c>
      <c r="BX65" s="162">
        <f t="shared" si="26"/>
        <v>1</v>
      </c>
      <c r="BY65" s="162">
        <f t="shared" si="27"/>
        <v>1</v>
      </c>
      <c r="BZ65" s="162">
        <f t="shared" si="28"/>
        <v>1</v>
      </c>
      <c r="CA65" s="162">
        <f t="shared" si="29"/>
        <v>1</v>
      </c>
      <c r="CB65" s="162">
        <f t="shared" si="30"/>
        <v>1</v>
      </c>
      <c r="CC65" s="162">
        <f t="shared" si="41"/>
        <v>1</v>
      </c>
      <c r="CD65" s="162">
        <f t="shared" si="42"/>
        <v>1</v>
      </c>
      <c r="CE65" s="162">
        <f t="shared" si="43"/>
        <v>1</v>
      </c>
      <c r="CF65" s="162">
        <f t="shared" si="44"/>
        <v>1</v>
      </c>
      <c r="CG65" s="162">
        <f t="shared" si="45"/>
        <v>1</v>
      </c>
      <c r="CH65" s="162">
        <f t="shared" si="46"/>
        <v>1</v>
      </c>
      <c r="CI65" s="162">
        <f t="shared" si="47"/>
        <v>1</v>
      </c>
      <c r="CL65" s="184" t="str">
        <f>IF(Deltagarlista!E62="","",Deltagarlista!E62)</f>
        <v/>
      </c>
      <c r="CM65" s="162" t="str">
        <f>IF(Deltagarlista!I62="","",(IF(VLOOKUP(CL65,Deltagarlista!$E$5:$I$64,5,FALSE)="Grön","Gr",IF(VLOOKUP(CL65,Deltagarlista!$E$5:$I$64,5,FALSE)="Röd","R",IF(VLOOKUP(CL65,Deltagarlista!$E$5:$I$64,5,FALSE)="Blå","B","Gu")))))</f>
        <v/>
      </c>
      <c r="DK65" s="162" t="str">
        <f>IF(DM65="","",IF(ISBLANK(Deltagarlista!C61),"",Deltagarlista!C61))</f>
        <v/>
      </c>
      <c r="DL65" s="162" t="str">
        <f>IF(ISBLANK(Deltagarlista!I61),"",IF(Deltagarlista!I61="RÖD","R",IF(Deltagarlista!I61="GRÖN","G",IF(Deltagarlista!I61="BLÅ","B",IF(Deltagarlista!I61="GUL","G","")))))</f>
        <v/>
      </c>
      <c r="DM65" s="162">
        <f>IF(ISBLANK(Deltagarlista!H61),"",1)</f>
        <v>1</v>
      </c>
    </row>
    <row r="66" spans="2:125" x14ac:dyDescent="0.3">
      <c r="B66" s="186">
        <v>14</v>
      </c>
      <c r="C66" s="27"/>
      <c r="D66" s="28"/>
      <c r="E66" s="38"/>
      <c r="F66" s="27"/>
      <c r="G66" s="28"/>
      <c r="H66" s="29"/>
      <c r="I66" s="41"/>
      <c r="J66" s="28"/>
      <c r="K66" s="38"/>
      <c r="L66" s="27"/>
      <c r="M66" s="28"/>
      <c r="N66" s="29"/>
      <c r="O66" s="41"/>
      <c r="P66" s="28"/>
      <c r="Q66" s="29"/>
      <c r="R66" s="187">
        <v>14</v>
      </c>
      <c r="S66" s="188">
        <v>14</v>
      </c>
      <c r="T66" s="188">
        <v>14</v>
      </c>
      <c r="U66" s="188">
        <v>14</v>
      </c>
      <c r="V66" s="188">
        <v>14</v>
      </c>
      <c r="W66" s="188">
        <v>14</v>
      </c>
      <c r="X66" s="188">
        <v>14</v>
      </c>
      <c r="Y66" s="188">
        <v>14</v>
      </c>
      <c r="Z66" s="188">
        <v>14</v>
      </c>
      <c r="AA66" s="188">
        <v>14</v>
      </c>
      <c r="AB66" s="188">
        <v>14</v>
      </c>
      <c r="AC66" s="188">
        <v>14</v>
      </c>
      <c r="AD66" s="188">
        <v>14</v>
      </c>
      <c r="AE66" s="188">
        <v>14</v>
      </c>
      <c r="AF66" s="188">
        <v>14</v>
      </c>
      <c r="AG66" s="188">
        <v>14</v>
      </c>
      <c r="AH66" s="166"/>
      <c r="AI66" s="129">
        <f t="shared" si="64"/>
        <v>0</v>
      </c>
      <c r="AJ66" s="129">
        <f t="shared" si="65"/>
        <v>0</v>
      </c>
      <c r="AK66" s="129">
        <f t="shared" si="66"/>
        <v>0</v>
      </c>
      <c r="AL66" s="129">
        <f t="shared" si="67"/>
        <v>0</v>
      </c>
      <c r="AM66" s="129">
        <f t="shared" si="68"/>
        <v>0</v>
      </c>
      <c r="AN66" s="129">
        <f t="shared" si="69"/>
        <v>0</v>
      </c>
      <c r="AO66" s="129">
        <f t="shared" si="70"/>
        <v>0</v>
      </c>
      <c r="AP66" s="129">
        <f t="shared" si="71"/>
        <v>0</v>
      </c>
      <c r="AQ66" s="129">
        <f t="shared" si="72"/>
        <v>0</v>
      </c>
      <c r="AR66" s="129">
        <f t="shared" si="73"/>
        <v>0</v>
      </c>
      <c r="AS66" s="129">
        <f t="shared" si="74"/>
        <v>0</v>
      </c>
      <c r="AT66" s="129">
        <f t="shared" si="75"/>
        <v>0</v>
      </c>
      <c r="AU66" s="129">
        <f t="shared" si="76"/>
        <v>0</v>
      </c>
      <c r="AV66" s="129">
        <f t="shared" si="77"/>
        <v>0</v>
      </c>
      <c r="AW66" s="129">
        <f t="shared" si="78"/>
        <v>0</v>
      </c>
      <c r="AY66" s="162" t="str">
        <f>IF(ISBLANK(C66),"",NOT(ISERROR(MATCH(C66,Deltagarlista!$E$5:$E$64,0))))</f>
        <v/>
      </c>
      <c r="AZ66" s="162" t="str">
        <f>IF(ISBLANK(D66),"",NOT(ISERROR(MATCH(D66,Deltagarlista!$E$5:$E$64,0))))</f>
        <v/>
      </c>
      <c r="BA66" s="162" t="str">
        <f>IF(ISBLANK(E66),"",NOT(ISERROR(MATCH(E66,Deltagarlista!$E$5:$E$64,0))))</f>
        <v/>
      </c>
      <c r="BB66" s="162" t="str">
        <f>IF(ISBLANK(F66),"",NOT(ISERROR(MATCH(F66,Deltagarlista!$E$5:$E$64,0))))</f>
        <v/>
      </c>
      <c r="BC66" s="162" t="str">
        <f>IF(ISBLANK(G66),"",NOT(ISERROR(MATCH(G66,Deltagarlista!$E$5:$E$64,0))))</f>
        <v/>
      </c>
      <c r="BD66" s="162" t="str">
        <f>IF(ISBLANK(H66),"",NOT(ISERROR(MATCH(H66,Deltagarlista!$E$5:$E$64,0))))</f>
        <v/>
      </c>
      <c r="BE66" s="162" t="str">
        <f>IF(ISBLANK(I66),"",NOT(ISERROR(MATCH(I66,Deltagarlista!$E$5:$E$64,0))))</f>
        <v/>
      </c>
      <c r="BF66" s="162" t="str">
        <f>IF(ISBLANK(J66),"",NOT(ISERROR(MATCH(J66,Deltagarlista!$E$5:$E$64,0))))</f>
        <v/>
      </c>
      <c r="BG66" s="162" t="str">
        <f>IF(ISBLANK(K66),"",NOT(ISERROR(MATCH(K66,Deltagarlista!$E$5:$E$64,0))))</f>
        <v/>
      </c>
      <c r="BH66" s="162" t="str">
        <f>IF(ISBLANK(L66),"",NOT(ISERROR(MATCH(L66,Deltagarlista!$E$5:$E$64,0))))</f>
        <v/>
      </c>
      <c r="BI66" s="162" t="str">
        <f>IF(ISBLANK(M66),"",NOT(ISERROR(MATCH(M66,Deltagarlista!$E$5:$E$64,0))))</f>
        <v/>
      </c>
      <c r="BJ66" s="162" t="str">
        <f>IF(ISBLANK(N66),"",NOT(ISERROR(MATCH(N66,Deltagarlista!$E$5:$E$64,0))))</f>
        <v/>
      </c>
      <c r="BK66" s="162" t="str">
        <f>IF(ISBLANK(O66),"",NOT(ISERROR(MATCH(O66,Deltagarlista!$E$5:$E$64,0))))</f>
        <v/>
      </c>
      <c r="BL66" s="162" t="str">
        <f>IF(ISBLANK(P66),"",NOT(ISERROR(MATCH(P66,Deltagarlista!$E$5:$E$64,0))))</f>
        <v/>
      </c>
      <c r="BM66" s="162" t="str">
        <f>IF(ISBLANK(Q66),"",NOT(ISERROR(MATCH(Q66,Deltagarlista!$E$5:$E$64,0))))</f>
        <v/>
      </c>
      <c r="BN66" s="167"/>
      <c r="BO66" s="162">
        <f>SUM(COUNTIF($C$8:$Q$45,Deltagarlista!E62)+COUNTIF($C$53:$Q$90,Deltagarlista!E62)+COUNTIF($C$98:$Q$135,Deltagarlista!E62)+COUNTIF($C$143:$Q$180,Deltagarlista!E62))</f>
        <v>0</v>
      </c>
      <c r="BP66" s="162">
        <f t="shared" si="18"/>
        <v>1</v>
      </c>
      <c r="BQ66" s="162">
        <f t="shared" si="19"/>
        <v>1</v>
      </c>
      <c r="BR66" s="162">
        <f t="shared" si="20"/>
        <v>1</v>
      </c>
      <c r="BS66" s="162">
        <f t="shared" si="21"/>
        <v>1</v>
      </c>
      <c r="BT66" s="162">
        <f t="shared" si="22"/>
        <v>1</v>
      </c>
      <c r="BU66" s="162">
        <f t="shared" si="23"/>
        <v>1</v>
      </c>
      <c r="BV66" s="162">
        <f t="shared" si="24"/>
        <v>1</v>
      </c>
      <c r="BW66" s="162">
        <f t="shared" si="25"/>
        <v>1</v>
      </c>
      <c r="BX66" s="162">
        <f t="shared" si="26"/>
        <v>1</v>
      </c>
      <c r="BY66" s="162">
        <f t="shared" si="27"/>
        <v>1</v>
      </c>
      <c r="BZ66" s="162">
        <f t="shared" si="28"/>
        <v>1</v>
      </c>
      <c r="CA66" s="162">
        <f t="shared" si="29"/>
        <v>1</v>
      </c>
      <c r="CB66" s="162">
        <f t="shared" si="30"/>
        <v>1</v>
      </c>
      <c r="CC66" s="162">
        <f t="shared" si="41"/>
        <v>1</v>
      </c>
      <c r="CD66" s="162">
        <f t="shared" si="42"/>
        <v>1</v>
      </c>
      <c r="CE66" s="162">
        <f t="shared" si="43"/>
        <v>1</v>
      </c>
      <c r="CF66" s="162">
        <f t="shared" si="44"/>
        <v>1</v>
      </c>
      <c r="CG66" s="162">
        <f t="shared" si="45"/>
        <v>1</v>
      </c>
      <c r="CH66" s="162">
        <f t="shared" si="46"/>
        <v>1</v>
      </c>
      <c r="CI66" s="162">
        <f t="shared" si="47"/>
        <v>1</v>
      </c>
      <c r="CL66" s="184" t="str">
        <f>IF(Deltagarlista!E63="","",Deltagarlista!E63)</f>
        <v/>
      </c>
      <c r="CM66" s="162" t="str">
        <f>IF(Deltagarlista!I63="","",(IF(VLOOKUP(CL66,Deltagarlista!$E$5:$I$64,5,FALSE)="Grön","Gr",IF(VLOOKUP(CL66,Deltagarlista!$E$5:$I$64,5,FALSE)="Röd","R",IF(VLOOKUP(CL66,Deltagarlista!$E$5:$I$64,5,FALSE)="Blå","B","Gu")))))</f>
        <v/>
      </c>
      <c r="DK66" s="162" t="str">
        <f>IF(DM66="","",IF(ISBLANK(Deltagarlista!C62),"",Deltagarlista!C62))</f>
        <v/>
      </c>
      <c r="DL66" s="162" t="str">
        <f>IF(ISBLANK(Deltagarlista!I62),"",IF(Deltagarlista!I62="RÖD","R",IF(Deltagarlista!I62="GRÖN","G",IF(Deltagarlista!I62="BLÅ","B",IF(Deltagarlista!I62="GUL","G","")))))</f>
        <v/>
      </c>
      <c r="DM66" s="162">
        <f>IF(ISBLANK(Deltagarlista!H62),"",1)</f>
        <v>1</v>
      </c>
    </row>
    <row r="67" spans="2:125" x14ac:dyDescent="0.3">
      <c r="B67" s="186">
        <v>15</v>
      </c>
      <c r="C67" s="27"/>
      <c r="D67" s="28"/>
      <c r="E67" s="38"/>
      <c r="F67" s="27"/>
      <c r="G67" s="28"/>
      <c r="H67" s="29"/>
      <c r="I67" s="41"/>
      <c r="J67" s="28"/>
      <c r="K67" s="38"/>
      <c r="L67" s="27"/>
      <c r="M67" s="28"/>
      <c r="N67" s="29"/>
      <c r="O67" s="41"/>
      <c r="P67" s="28"/>
      <c r="Q67" s="29"/>
      <c r="R67" s="187">
        <v>15</v>
      </c>
      <c r="S67" s="188">
        <v>15</v>
      </c>
      <c r="T67" s="188">
        <v>15</v>
      </c>
      <c r="U67" s="188">
        <v>15</v>
      </c>
      <c r="V67" s="188">
        <v>15</v>
      </c>
      <c r="W67" s="188">
        <v>15</v>
      </c>
      <c r="X67" s="188">
        <v>15</v>
      </c>
      <c r="Y67" s="188">
        <v>15</v>
      </c>
      <c r="Z67" s="188">
        <v>15</v>
      </c>
      <c r="AA67" s="188">
        <v>15</v>
      </c>
      <c r="AB67" s="188">
        <v>15</v>
      </c>
      <c r="AC67" s="188">
        <v>15</v>
      </c>
      <c r="AD67" s="188">
        <v>15</v>
      </c>
      <c r="AE67" s="188">
        <v>15</v>
      </c>
      <c r="AF67" s="188">
        <v>15</v>
      </c>
      <c r="AG67" s="188">
        <v>15</v>
      </c>
      <c r="AH67" s="166"/>
      <c r="AI67" s="129">
        <f t="shared" si="64"/>
        <v>0</v>
      </c>
      <c r="AJ67" s="129">
        <f t="shared" si="65"/>
        <v>0</v>
      </c>
      <c r="AK67" s="129">
        <f t="shared" si="66"/>
        <v>0</v>
      </c>
      <c r="AL67" s="129">
        <f t="shared" si="67"/>
        <v>0</v>
      </c>
      <c r="AM67" s="129">
        <f t="shared" si="68"/>
        <v>0</v>
      </c>
      <c r="AN67" s="129">
        <f t="shared" si="69"/>
        <v>0</v>
      </c>
      <c r="AO67" s="129">
        <f t="shared" si="70"/>
        <v>0</v>
      </c>
      <c r="AP67" s="129">
        <f t="shared" si="71"/>
        <v>0</v>
      </c>
      <c r="AQ67" s="129">
        <f t="shared" si="72"/>
        <v>0</v>
      </c>
      <c r="AR67" s="129">
        <f t="shared" si="73"/>
        <v>0</v>
      </c>
      <c r="AS67" s="129">
        <f t="shared" si="74"/>
        <v>0</v>
      </c>
      <c r="AT67" s="129">
        <f t="shared" si="75"/>
        <v>0</v>
      </c>
      <c r="AU67" s="129">
        <f t="shared" si="76"/>
        <v>0</v>
      </c>
      <c r="AV67" s="129">
        <f t="shared" si="77"/>
        <v>0</v>
      </c>
      <c r="AW67" s="129">
        <f t="shared" si="78"/>
        <v>0</v>
      </c>
      <c r="AY67" s="162" t="str">
        <f>IF(ISBLANK(C67),"",NOT(ISERROR(MATCH(C67,Deltagarlista!$E$5:$E$64,0))))</f>
        <v/>
      </c>
      <c r="AZ67" s="162" t="str">
        <f>IF(ISBLANK(D67),"",NOT(ISERROR(MATCH(D67,Deltagarlista!$E$5:$E$64,0))))</f>
        <v/>
      </c>
      <c r="BA67" s="162" t="str">
        <f>IF(ISBLANK(E67),"",NOT(ISERROR(MATCH(E67,Deltagarlista!$E$5:$E$64,0))))</f>
        <v/>
      </c>
      <c r="BB67" s="162" t="str">
        <f>IF(ISBLANK(F67),"",NOT(ISERROR(MATCH(F67,Deltagarlista!$E$5:$E$64,0))))</f>
        <v/>
      </c>
      <c r="BC67" s="162" t="str">
        <f>IF(ISBLANK(G67),"",NOT(ISERROR(MATCH(G67,Deltagarlista!$E$5:$E$64,0))))</f>
        <v/>
      </c>
      <c r="BD67" s="162" t="str">
        <f>IF(ISBLANK(H67),"",NOT(ISERROR(MATCH(H67,Deltagarlista!$E$5:$E$64,0))))</f>
        <v/>
      </c>
      <c r="BE67" s="162" t="str">
        <f>IF(ISBLANK(I67),"",NOT(ISERROR(MATCH(I67,Deltagarlista!$E$5:$E$64,0))))</f>
        <v/>
      </c>
      <c r="BF67" s="162" t="str">
        <f>IF(ISBLANK(J67),"",NOT(ISERROR(MATCH(J67,Deltagarlista!$E$5:$E$64,0))))</f>
        <v/>
      </c>
      <c r="BG67" s="162" t="str">
        <f>IF(ISBLANK(K67),"",NOT(ISERROR(MATCH(K67,Deltagarlista!$E$5:$E$64,0))))</f>
        <v/>
      </c>
      <c r="BH67" s="162" t="str">
        <f>IF(ISBLANK(L67),"",NOT(ISERROR(MATCH(L67,Deltagarlista!$E$5:$E$64,0))))</f>
        <v/>
      </c>
      <c r="BI67" s="162" t="str">
        <f>IF(ISBLANK(M67),"",NOT(ISERROR(MATCH(M67,Deltagarlista!$E$5:$E$64,0))))</f>
        <v/>
      </c>
      <c r="BJ67" s="162" t="str">
        <f>IF(ISBLANK(N67),"",NOT(ISERROR(MATCH(N67,Deltagarlista!$E$5:$E$64,0))))</f>
        <v/>
      </c>
      <c r="BK67" s="162" t="str">
        <f>IF(ISBLANK(O67),"",NOT(ISERROR(MATCH(O67,Deltagarlista!$E$5:$E$64,0))))</f>
        <v/>
      </c>
      <c r="BL67" s="162" t="str">
        <f>IF(ISBLANK(P67),"",NOT(ISERROR(MATCH(P67,Deltagarlista!$E$5:$E$64,0))))</f>
        <v/>
      </c>
      <c r="BM67" s="162" t="str">
        <f>IF(ISBLANK(Q67),"",NOT(ISERROR(MATCH(Q67,Deltagarlista!$E$5:$E$64,0))))</f>
        <v/>
      </c>
      <c r="BN67" s="167"/>
      <c r="BO67" s="162">
        <f>SUM(COUNTIF($C$8:$Q$45,Deltagarlista!E63)+COUNTIF($C$53:$Q$90,Deltagarlista!E63)+COUNTIF($C$98:$Q$135,Deltagarlista!E63)+COUNTIF($C$143:$Q$180,Deltagarlista!E63))</f>
        <v>0</v>
      </c>
      <c r="BP67" s="162">
        <f t="shared" si="18"/>
        <v>1</v>
      </c>
      <c r="BQ67" s="162">
        <f t="shared" si="19"/>
        <v>1</v>
      </c>
      <c r="BR67" s="162">
        <f t="shared" si="20"/>
        <v>1</v>
      </c>
      <c r="BS67" s="162">
        <f t="shared" si="21"/>
        <v>1</v>
      </c>
      <c r="BT67" s="162">
        <f t="shared" si="22"/>
        <v>1</v>
      </c>
      <c r="BU67" s="162">
        <f t="shared" si="23"/>
        <v>1</v>
      </c>
      <c r="BV67" s="162">
        <f t="shared" si="24"/>
        <v>1</v>
      </c>
      <c r="BW67" s="162">
        <f t="shared" si="25"/>
        <v>1</v>
      </c>
      <c r="BX67" s="162">
        <f t="shared" si="26"/>
        <v>1</v>
      </c>
      <c r="BY67" s="162">
        <f t="shared" si="27"/>
        <v>1</v>
      </c>
      <c r="BZ67" s="162">
        <f t="shared" si="28"/>
        <v>1</v>
      </c>
      <c r="CA67" s="162">
        <f t="shared" si="29"/>
        <v>1</v>
      </c>
      <c r="CB67" s="162">
        <f t="shared" si="30"/>
        <v>1</v>
      </c>
      <c r="CC67" s="162">
        <f t="shared" si="41"/>
        <v>1</v>
      </c>
      <c r="CD67" s="162">
        <f t="shared" si="42"/>
        <v>1</v>
      </c>
      <c r="CE67" s="162">
        <f t="shared" si="43"/>
        <v>1</v>
      </c>
      <c r="CF67" s="162">
        <f t="shared" si="44"/>
        <v>1</v>
      </c>
      <c r="CG67" s="162">
        <f t="shared" si="45"/>
        <v>1</v>
      </c>
      <c r="CH67" s="162">
        <f t="shared" si="46"/>
        <v>1</v>
      </c>
      <c r="CI67" s="162">
        <f t="shared" si="47"/>
        <v>1</v>
      </c>
      <c r="CL67" s="184" t="str">
        <f>IF(Deltagarlista!E64="","",Deltagarlista!E64)</f>
        <v/>
      </c>
      <c r="CM67" s="162" t="str">
        <f>IF(Deltagarlista!I64="","",(IF(VLOOKUP(CL67,Deltagarlista!$E$5:$I$64,5,FALSE)="Grön","Gr",IF(VLOOKUP(CL67,Deltagarlista!$E$5:$I$64,5,FALSE)="Röd","R",IF(VLOOKUP(CL67,Deltagarlista!$E$5:$I$64,5,FALSE)="Blå","B","Gu")))))</f>
        <v/>
      </c>
      <c r="DK67" s="162" t="str">
        <f>IF(DM67="","",IF(ISBLANK(Deltagarlista!C63),"",Deltagarlista!C63))</f>
        <v/>
      </c>
      <c r="DL67" s="162" t="str">
        <f>IF(ISBLANK(Deltagarlista!I63),"",IF(Deltagarlista!I63="RÖD","R",IF(Deltagarlista!I63="GRÖN","G",IF(Deltagarlista!I63="BLÅ","B",IF(Deltagarlista!I63="GUL","G","")))))</f>
        <v/>
      </c>
      <c r="DM67" s="162">
        <f>IF(ISBLANK(Deltagarlista!H63),"",1)</f>
        <v>1</v>
      </c>
    </row>
    <row r="68" spans="2:125" x14ac:dyDescent="0.3">
      <c r="B68" s="186">
        <v>16</v>
      </c>
      <c r="C68" s="27"/>
      <c r="D68" s="28"/>
      <c r="E68" s="38"/>
      <c r="F68" s="27"/>
      <c r="G68" s="28"/>
      <c r="H68" s="29"/>
      <c r="I68" s="41"/>
      <c r="J68" s="28"/>
      <c r="K68" s="38"/>
      <c r="L68" s="27"/>
      <c r="M68" s="28"/>
      <c r="N68" s="29"/>
      <c r="O68" s="41"/>
      <c r="P68" s="28"/>
      <c r="Q68" s="29"/>
      <c r="R68" s="187">
        <v>16</v>
      </c>
      <c r="S68" s="188">
        <v>16</v>
      </c>
      <c r="T68" s="188">
        <v>16</v>
      </c>
      <c r="U68" s="188">
        <v>16</v>
      </c>
      <c r="V68" s="188">
        <v>16</v>
      </c>
      <c r="W68" s="188">
        <v>16</v>
      </c>
      <c r="X68" s="188">
        <v>16</v>
      </c>
      <c r="Y68" s="188">
        <v>16</v>
      </c>
      <c r="Z68" s="188">
        <v>16</v>
      </c>
      <c r="AA68" s="188">
        <v>16</v>
      </c>
      <c r="AB68" s="188">
        <v>16</v>
      </c>
      <c r="AC68" s="188">
        <v>16</v>
      </c>
      <c r="AD68" s="188">
        <v>16</v>
      </c>
      <c r="AE68" s="188">
        <v>16</v>
      </c>
      <c r="AF68" s="188">
        <v>16</v>
      </c>
      <c r="AG68" s="188">
        <v>16</v>
      </c>
      <c r="AH68" s="166"/>
      <c r="AI68" s="129">
        <f t="shared" si="64"/>
        <v>0</v>
      </c>
      <c r="AJ68" s="129">
        <f t="shared" si="65"/>
        <v>0</v>
      </c>
      <c r="AK68" s="129">
        <f t="shared" si="66"/>
        <v>0</v>
      </c>
      <c r="AL68" s="129">
        <f t="shared" si="67"/>
        <v>0</v>
      </c>
      <c r="AM68" s="129">
        <f t="shared" si="68"/>
        <v>0</v>
      </c>
      <c r="AN68" s="129">
        <f t="shared" si="69"/>
        <v>0</v>
      </c>
      <c r="AO68" s="129">
        <f t="shared" si="70"/>
        <v>0</v>
      </c>
      <c r="AP68" s="129">
        <f t="shared" si="71"/>
        <v>0</v>
      </c>
      <c r="AQ68" s="129">
        <f t="shared" si="72"/>
        <v>0</v>
      </c>
      <c r="AR68" s="129">
        <f t="shared" si="73"/>
        <v>0</v>
      </c>
      <c r="AS68" s="129">
        <f t="shared" si="74"/>
        <v>0</v>
      </c>
      <c r="AT68" s="129">
        <f t="shared" si="75"/>
        <v>0</v>
      </c>
      <c r="AU68" s="129">
        <f t="shared" si="76"/>
        <v>0</v>
      </c>
      <c r="AV68" s="129">
        <f t="shared" si="77"/>
        <v>0</v>
      </c>
      <c r="AW68" s="129">
        <f t="shared" si="78"/>
        <v>0</v>
      </c>
      <c r="AY68" s="162" t="str">
        <f>IF(ISBLANK(C68),"",NOT(ISERROR(MATCH(C68,Deltagarlista!$E$5:$E$64,0))))</f>
        <v/>
      </c>
      <c r="AZ68" s="162" t="str">
        <f>IF(ISBLANK(D68),"",NOT(ISERROR(MATCH(D68,Deltagarlista!$E$5:$E$64,0))))</f>
        <v/>
      </c>
      <c r="BA68" s="162" t="str">
        <f>IF(ISBLANK(E68),"",NOT(ISERROR(MATCH(E68,Deltagarlista!$E$5:$E$64,0))))</f>
        <v/>
      </c>
      <c r="BB68" s="162" t="str">
        <f>IF(ISBLANK(F68),"",NOT(ISERROR(MATCH(F68,Deltagarlista!$E$5:$E$64,0))))</f>
        <v/>
      </c>
      <c r="BC68" s="162" t="str">
        <f>IF(ISBLANK(G68),"",NOT(ISERROR(MATCH(G68,Deltagarlista!$E$5:$E$64,0))))</f>
        <v/>
      </c>
      <c r="BD68" s="162" t="str">
        <f>IF(ISBLANK(H68),"",NOT(ISERROR(MATCH(H68,Deltagarlista!$E$5:$E$64,0))))</f>
        <v/>
      </c>
      <c r="BE68" s="162" t="str">
        <f>IF(ISBLANK(I68),"",NOT(ISERROR(MATCH(I68,Deltagarlista!$E$5:$E$64,0))))</f>
        <v/>
      </c>
      <c r="BF68" s="162" t="str">
        <f>IF(ISBLANK(J68),"",NOT(ISERROR(MATCH(J68,Deltagarlista!$E$5:$E$64,0))))</f>
        <v/>
      </c>
      <c r="BG68" s="162" t="str">
        <f>IF(ISBLANK(K68),"",NOT(ISERROR(MATCH(K68,Deltagarlista!$E$5:$E$64,0))))</f>
        <v/>
      </c>
      <c r="BH68" s="162" t="str">
        <f>IF(ISBLANK(L68),"",NOT(ISERROR(MATCH(L68,Deltagarlista!$E$5:$E$64,0))))</f>
        <v/>
      </c>
      <c r="BI68" s="162" t="str">
        <f>IF(ISBLANK(M68),"",NOT(ISERROR(MATCH(M68,Deltagarlista!$E$5:$E$64,0))))</f>
        <v/>
      </c>
      <c r="BJ68" s="162" t="str">
        <f>IF(ISBLANK(N68),"",NOT(ISERROR(MATCH(N68,Deltagarlista!$E$5:$E$64,0))))</f>
        <v/>
      </c>
      <c r="BK68" s="162" t="str">
        <f>IF(ISBLANK(O68),"",NOT(ISERROR(MATCH(O68,Deltagarlista!$E$5:$E$64,0))))</f>
        <v/>
      </c>
      <c r="BL68" s="162" t="str">
        <f>IF(ISBLANK(P68),"",NOT(ISERROR(MATCH(P68,Deltagarlista!$E$5:$E$64,0))))</f>
        <v/>
      </c>
      <c r="BM68" s="162" t="str">
        <f>IF(ISBLANK(Q68),"",NOT(ISERROR(MATCH(Q68,Deltagarlista!$E$5:$E$64,0))))</f>
        <v/>
      </c>
      <c r="BN68" s="167"/>
      <c r="BO68" s="162">
        <f>SUM(COUNTIF($C$8:$Q$45,Deltagarlista!E64)+COUNTIF($C$53:$Q$90,Deltagarlista!E64)+COUNTIF($C$98:$Q$135,Deltagarlista!E64)+COUNTIF($C$143:$Q$180,Deltagarlista!E64))</f>
        <v>0</v>
      </c>
      <c r="BP68" s="162">
        <f t="shared" si="18"/>
        <v>1</v>
      </c>
      <c r="BQ68" s="162">
        <f t="shared" si="19"/>
        <v>1</v>
      </c>
      <c r="BR68" s="162">
        <f t="shared" si="20"/>
        <v>1</v>
      </c>
      <c r="BS68" s="162">
        <f t="shared" si="21"/>
        <v>1</v>
      </c>
      <c r="BT68" s="162">
        <f t="shared" si="22"/>
        <v>1</v>
      </c>
      <c r="BU68" s="162">
        <f t="shared" si="23"/>
        <v>1</v>
      </c>
      <c r="BV68" s="162">
        <f t="shared" si="24"/>
        <v>1</v>
      </c>
      <c r="BW68" s="162">
        <f t="shared" si="25"/>
        <v>1</v>
      </c>
      <c r="BX68" s="162">
        <f t="shared" si="26"/>
        <v>1</v>
      </c>
      <c r="BY68" s="162">
        <f t="shared" si="27"/>
        <v>1</v>
      </c>
      <c r="BZ68" s="162">
        <f t="shared" si="28"/>
        <v>1</v>
      </c>
      <c r="CA68" s="162">
        <f t="shared" si="29"/>
        <v>1</v>
      </c>
      <c r="CB68" s="162">
        <f t="shared" si="30"/>
        <v>1</v>
      </c>
      <c r="CC68" s="162">
        <f t="shared" si="41"/>
        <v>1</v>
      </c>
      <c r="CD68" s="162">
        <f t="shared" si="42"/>
        <v>1</v>
      </c>
      <c r="CE68" s="162">
        <f t="shared" si="43"/>
        <v>1</v>
      </c>
      <c r="CF68" s="162">
        <f t="shared" si="44"/>
        <v>1</v>
      </c>
      <c r="CG68" s="162">
        <f t="shared" si="45"/>
        <v>1</v>
      </c>
      <c r="CH68" s="162">
        <f t="shared" si="46"/>
        <v>1</v>
      </c>
      <c r="CI68" s="162">
        <f t="shared" si="47"/>
        <v>1</v>
      </c>
      <c r="CL68" s="184" t="str">
        <f>IF(Deltagarlista!E65="","",Deltagarlista!E65)</f>
        <v/>
      </c>
      <c r="CM68" s="162" t="str">
        <f>IF(Deltagarlista!I65="","",(IF(VLOOKUP(CL68,Deltagarlista!$E$5:$I$64,5,FALSE)="Grön","Gr",IF(VLOOKUP(CL68,Deltagarlista!$E$5:$I$64,5,FALSE)="Röd","R",IF(VLOOKUP(CL68,Deltagarlista!$E$5:$I$64,5,FALSE)="Blå","B","Gu")))))</f>
        <v/>
      </c>
      <c r="DK68" s="162" t="str">
        <f>IF(DM68="","",IF(ISBLANK(Deltagarlista!C64),"",Deltagarlista!C64))</f>
        <v/>
      </c>
      <c r="DL68" s="162" t="str">
        <f>IF(ISBLANK(Deltagarlista!I64),"",IF(Deltagarlista!I64="RÖD","R",IF(Deltagarlista!I64="GRÖN","G",IF(Deltagarlista!I64="BLÅ","B",IF(Deltagarlista!I64="GUL","G","")))))</f>
        <v/>
      </c>
      <c r="DM68" s="162">
        <f>IF(ISBLANK(Deltagarlista!H64),"",1)</f>
        <v>1</v>
      </c>
    </row>
    <row r="69" spans="2:125" x14ac:dyDescent="0.3">
      <c r="B69" s="186">
        <v>17</v>
      </c>
      <c r="C69" s="27"/>
      <c r="D69" s="28"/>
      <c r="E69" s="38"/>
      <c r="F69" s="27"/>
      <c r="G69" s="28"/>
      <c r="H69" s="29"/>
      <c r="I69" s="41"/>
      <c r="J69" s="28"/>
      <c r="K69" s="38"/>
      <c r="L69" s="27"/>
      <c r="M69" s="28"/>
      <c r="N69" s="29"/>
      <c r="O69" s="41"/>
      <c r="P69" s="28"/>
      <c r="Q69" s="29"/>
      <c r="R69" s="187">
        <v>17</v>
      </c>
      <c r="S69" s="188">
        <v>17</v>
      </c>
      <c r="T69" s="188">
        <v>17</v>
      </c>
      <c r="U69" s="188">
        <v>17</v>
      </c>
      <c r="V69" s="188">
        <v>17</v>
      </c>
      <c r="W69" s="188">
        <v>17</v>
      </c>
      <c r="X69" s="188">
        <v>17</v>
      </c>
      <c r="Y69" s="188">
        <v>17</v>
      </c>
      <c r="Z69" s="188">
        <v>17</v>
      </c>
      <c r="AA69" s="188">
        <v>17</v>
      </c>
      <c r="AB69" s="188">
        <v>17</v>
      </c>
      <c r="AC69" s="188">
        <v>17</v>
      </c>
      <c r="AD69" s="188">
        <v>17</v>
      </c>
      <c r="AE69" s="188">
        <v>17</v>
      </c>
      <c r="AF69" s="188">
        <v>17</v>
      </c>
      <c r="AG69" s="188">
        <v>17</v>
      </c>
      <c r="AH69" s="166"/>
      <c r="AI69" s="129">
        <f t="shared" si="64"/>
        <v>0</v>
      </c>
      <c r="AJ69" s="129">
        <f t="shared" si="65"/>
        <v>0</v>
      </c>
      <c r="AK69" s="129">
        <f t="shared" si="66"/>
        <v>0</v>
      </c>
      <c r="AL69" s="129">
        <f t="shared" si="67"/>
        <v>0</v>
      </c>
      <c r="AM69" s="129">
        <f t="shared" si="68"/>
        <v>0</v>
      </c>
      <c r="AN69" s="129">
        <f t="shared" si="69"/>
        <v>0</v>
      </c>
      <c r="AO69" s="129">
        <f t="shared" si="70"/>
        <v>0</v>
      </c>
      <c r="AP69" s="129">
        <f t="shared" si="71"/>
        <v>0</v>
      </c>
      <c r="AQ69" s="129">
        <f t="shared" si="72"/>
        <v>0</v>
      </c>
      <c r="AR69" s="129">
        <f t="shared" si="73"/>
        <v>0</v>
      </c>
      <c r="AS69" s="129">
        <f t="shared" si="74"/>
        <v>0</v>
      </c>
      <c r="AT69" s="129">
        <f t="shared" si="75"/>
        <v>0</v>
      </c>
      <c r="AU69" s="129">
        <f t="shared" si="76"/>
        <v>0</v>
      </c>
      <c r="AV69" s="129">
        <f t="shared" si="77"/>
        <v>0</v>
      </c>
      <c r="AW69" s="129">
        <f t="shared" si="78"/>
        <v>0</v>
      </c>
      <c r="AY69" s="162" t="str">
        <f>IF(ISBLANK(C69),"",NOT(ISERROR(MATCH(C69,Deltagarlista!$E$5:$E$64,0))))</f>
        <v/>
      </c>
      <c r="AZ69" s="162" t="str">
        <f>IF(ISBLANK(D69),"",NOT(ISERROR(MATCH(D69,Deltagarlista!$E$5:$E$64,0))))</f>
        <v/>
      </c>
      <c r="BA69" s="162" t="str">
        <f>IF(ISBLANK(E69),"",NOT(ISERROR(MATCH(E69,Deltagarlista!$E$5:$E$64,0))))</f>
        <v/>
      </c>
      <c r="BB69" s="162" t="str">
        <f>IF(ISBLANK(F69),"",NOT(ISERROR(MATCH(F69,Deltagarlista!$E$5:$E$64,0))))</f>
        <v/>
      </c>
      <c r="BC69" s="162" t="str">
        <f>IF(ISBLANK(G69),"",NOT(ISERROR(MATCH(G69,Deltagarlista!$E$5:$E$64,0))))</f>
        <v/>
      </c>
      <c r="BD69" s="162" t="str">
        <f>IF(ISBLANK(H69),"",NOT(ISERROR(MATCH(H69,Deltagarlista!$E$5:$E$64,0))))</f>
        <v/>
      </c>
      <c r="BE69" s="162" t="str">
        <f>IF(ISBLANK(I69),"",NOT(ISERROR(MATCH(I69,Deltagarlista!$E$5:$E$64,0))))</f>
        <v/>
      </c>
      <c r="BF69" s="162" t="str">
        <f>IF(ISBLANK(J69),"",NOT(ISERROR(MATCH(J69,Deltagarlista!$E$5:$E$64,0))))</f>
        <v/>
      </c>
      <c r="BG69" s="162" t="str">
        <f>IF(ISBLANK(K69),"",NOT(ISERROR(MATCH(K69,Deltagarlista!$E$5:$E$64,0))))</f>
        <v/>
      </c>
      <c r="BH69" s="162" t="str">
        <f>IF(ISBLANK(L69),"",NOT(ISERROR(MATCH(L69,Deltagarlista!$E$5:$E$64,0))))</f>
        <v/>
      </c>
      <c r="BI69" s="162" t="str">
        <f>IF(ISBLANK(M69),"",NOT(ISERROR(MATCH(M69,Deltagarlista!$E$5:$E$64,0))))</f>
        <v/>
      </c>
      <c r="BJ69" s="162" t="str">
        <f>IF(ISBLANK(N69),"",NOT(ISERROR(MATCH(N69,Deltagarlista!$E$5:$E$64,0))))</f>
        <v/>
      </c>
      <c r="BK69" s="162" t="str">
        <f>IF(ISBLANK(O69),"",NOT(ISERROR(MATCH(O69,Deltagarlista!$E$5:$E$64,0))))</f>
        <v/>
      </c>
      <c r="BL69" s="162" t="str">
        <f>IF(ISBLANK(P69),"",NOT(ISERROR(MATCH(P69,Deltagarlista!$E$5:$E$64,0))))</f>
        <v/>
      </c>
      <c r="BM69" s="162" t="str">
        <f>IF(ISBLANK(Q69),"",NOT(ISERROR(MATCH(Q69,Deltagarlista!$E$5:$E$64,0))))</f>
        <v/>
      </c>
      <c r="BN69" s="167"/>
      <c r="BO69" s="162">
        <f>SUM(COUNTIF($C$8:$Q$45,Deltagarlista!E65)+COUNTIF($C$53:$Q$90,Deltagarlista!E65)+COUNTIF($C$98:$Q$135,Deltagarlista!E65)+COUNTIF($C$143:$Q$180,Deltagarlista!E65))</f>
        <v>0</v>
      </c>
      <c r="BP69" s="162">
        <f t="shared" si="18"/>
        <v>1</v>
      </c>
      <c r="BQ69" s="162">
        <f t="shared" si="19"/>
        <v>1</v>
      </c>
      <c r="BR69" s="162">
        <f t="shared" si="20"/>
        <v>1</v>
      </c>
      <c r="BS69" s="162">
        <f t="shared" si="21"/>
        <v>1</v>
      </c>
      <c r="BT69" s="162">
        <f t="shared" si="22"/>
        <v>1</v>
      </c>
      <c r="BU69" s="162">
        <f t="shared" si="23"/>
        <v>1</v>
      </c>
      <c r="BV69" s="162">
        <f t="shared" si="24"/>
        <v>1</v>
      </c>
      <c r="BW69" s="162">
        <f t="shared" si="25"/>
        <v>1</v>
      </c>
      <c r="BX69" s="162">
        <f t="shared" si="26"/>
        <v>1</v>
      </c>
      <c r="BY69" s="162">
        <f t="shared" si="27"/>
        <v>1</v>
      </c>
      <c r="BZ69" s="162">
        <f t="shared" si="28"/>
        <v>1</v>
      </c>
      <c r="CA69" s="162">
        <f t="shared" si="29"/>
        <v>1</v>
      </c>
      <c r="CB69" s="162">
        <f t="shared" si="30"/>
        <v>1</v>
      </c>
      <c r="CC69" s="162">
        <f t="shared" si="41"/>
        <v>1</v>
      </c>
      <c r="CD69" s="162">
        <f t="shared" si="42"/>
        <v>1</v>
      </c>
      <c r="CE69" s="162">
        <f t="shared" si="43"/>
        <v>1</v>
      </c>
      <c r="CF69" s="162">
        <f t="shared" si="44"/>
        <v>1</v>
      </c>
      <c r="CG69" s="162">
        <f t="shared" si="45"/>
        <v>1</v>
      </c>
      <c r="CH69" s="162">
        <f t="shared" si="46"/>
        <v>1</v>
      </c>
      <c r="CI69" s="162">
        <f t="shared" si="47"/>
        <v>1</v>
      </c>
      <c r="CL69" s="184" t="str">
        <f>IF(Deltagarlista!E66="","",Deltagarlista!E66)</f>
        <v/>
      </c>
      <c r="CM69" s="162" t="str">
        <f>IF(Deltagarlista!I66="","",(IF(VLOOKUP(CL69,Deltagarlista!$E$5:$I$64,5,FALSE)="Grön","Gr",IF(VLOOKUP(CL69,Deltagarlista!$E$5:$I$64,5,FALSE)="Röd","R",IF(VLOOKUP(CL69,Deltagarlista!$E$5:$I$64,5,FALSE)="Blå","B","Gu")))))</f>
        <v/>
      </c>
      <c r="DK69" s="204" t="s">
        <v>76</v>
      </c>
      <c r="DL69" s="204" t="s">
        <v>75</v>
      </c>
      <c r="DM69" s="162" t="s">
        <v>74</v>
      </c>
      <c r="DP69" s="162" t="s">
        <v>74</v>
      </c>
      <c r="DQ69" s="162" t="s">
        <v>74</v>
      </c>
      <c r="DR69" s="162" t="s">
        <v>74</v>
      </c>
      <c r="DT69" s="162" t="s">
        <v>74</v>
      </c>
      <c r="DU69" s="162" t="s">
        <v>74</v>
      </c>
    </row>
    <row r="70" spans="2:125" x14ac:dyDescent="0.3">
      <c r="B70" s="186">
        <v>18</v>
      </c>
      <c r="C70" s="27"/>
      <c r="D70" s="28"/>
      <c r="E70" s="38"/>
      <c r="F70" s="27"/>
      <c r="G70" s="28"/>
      <c r="H70" s="29"/>
      <c r="I70" s="41"/>
      <c r="J70" s="28"/>
      <c r="K70" s="38"/>
      <c r="L70" s="27"/>
      <c r="M70" s="28"/>
      <c r="N70" s="29"/>
      <c r="O70" s="41"/>
      <c r="P70" s="28"/>
      <c r="Q70" s="29"/>
      <c r="R70" s="187">
        <v>18</v>
      </c>
      <c r="S70" s="188">
        <v>18</v>
      </c>
      <c r="T70" s="188">
        <v>18</v>
      </c>
      <c r="U70" s="188">
        <v>18</v>
      </c>
      <c r="V70" s="188">
        <v>18</v>
      </c>
      <c r="W70" s="188">
        <v>18</v>
      </c>
      <c r="X70" s="188">
        <v>18</v>
      </c>
      <c r="Y70" s="188">
        <v>18</v>
      </c>
      <c r="Z70" s="188">
        <v>18</v>
      </c>
      <c r="AA70" s="188">
        <v>18</v>
      </c>
      <c r="AB70" s="188">
        <v>18</v>
      </c>
      <c r="AC70" s="188">
        <v>18</v>
      </c>
      <c r="AD70" s="188">
        <v>18</v>
      </c>
      <c r="AE70" s="188">
        <v>18</v>
      </c>
      <c r="AF70" s="188">
        <v>18</v>
      </c>
      <c r="AG70" s="188">
        <v>18</v>
      </c>
      <c r="AH70" s="166"/>
      <c r="AI70" s="129">
        <f t="shared" si="64"/>
        <v>0</v>
      </c>
      <c r="AJ70" s="129">
        <f t="shared" si="65"/>
        <v>0</v>
      </c>
      <c r="AK70" s="129">
        <f t="shared" si="66"/>
        <v>0</v>
      </c>
      <c r="AL70" s="129">
        <f t="shared" si="67"/>
        <v>0</v>
      </c>
      <c r="AM70" s="129">
        <f t="shared" si="68"/>
        <v>0</v>
      </c>
      <c r="AN70" s="129">
        <f t="shared" si="69"/>
        <v>0</v>
      </c>
      <c r="AO70" s="129">
        <f t="shared" si="70"/>
        <v>0</v>
      </c>
      <c r="AP70" s="129">
        <f t="shared" si="71"/>
        <v>0</v>
      </c>
      <c r="AQ70" s="129">
        <f t="shared" si="72"/>
        <v>0</v>
      </c>
      <c r="AR70" s="129">
        <f t="shared" si="73"/>
        <v>0</v>
      </c>
      <c r="AS70" s="129">
        <f t="shared" si="74"/>
        <v>0</v>
      </c>
      <c r="AT70" s="129">
        <f t="shared" si="75"/>
        <v>0</v>
      </c>
      <c r="AU70" s="129">
        <f t="shared" si="76"/>
        <v>0</v>
      </c>
      <c r="AV70" s="129">
        <f t="shared" si="77"/>
        <v>0</v>
      </c>
      <c r="AW70" s="129">
        <f t="shared" si="78"/>
        <v>0</v>
      </c>
      <c r="AY70" s="162" t="str">
        <f>IF(ISBLANK(C70),"",NOT(ISERROR(MATCH(C70,Deltagarlista!$E$5:$E$64,0))))</f>
        <v/>
      </c>
      <c r="AZ70" s="162" t="str">
        <f>IF(ISBLANK(D70),"",NOT(ISERROR(MATCH(D70,Deltagarlista!$E$5:$E$64,0))))</f>
        <v/>
      </c>
      <c r="BA70" s="162" t="str">
        <f>IF(ISBLANK(E70),"",NOT(ISERROR(MATCH(E70,Deltagarlista!$E$5:$E$64,0))))</f>
        <v/>
      </c>
      <c r="BB70" s="162" t="str">
        <f>IF(ISBLANK(F70),"",NOT(ISERROR(MATCH(F70,Deltagarlista!$E$5:$E$64,0))))</f>
        <v/>
      </c>
      <c r="BC70" s="162" t="str">
        <f>IF(ISBLANK(G70),"",NOT(ISERROR(MATCH(G70,Deltagarlista!$E$5:$E$64,0))))</f>
        <v/>
      </c>
      <c r="BD70" s="162" t="str">
        <f>IF(ISBLANK(H70),"",NOT(ISERROR(MATCH(H70,Deltagarlista!$E$5:$E$64,0))))</f>
        <v/>
      </c>
      <c r="BE70" s="162" t="str">
        <f>IF(ISBLANK(I70),"",NOT(ISERROR(MATCH(I70,Deltagarlista!$E$5:$E$64,0))))</f>
        <v/>
      </c>
      <c r="BF70" s="162" t="str">
        <f>IF(ISBLANK(J70),"",NOT(ISERROR(MATCH(J70,Deltagarlista!$E$5:$E$64,0))))</f>
        <v/>
      </c>
      <c r="BG70" s="162" t="str">
        <f>IF(ISBLANK(K70),"",NOT(ISERROR(MATCH(K70,Deltagarlista!$E$5:$E$64,0))))</f>
        <v/>
      </c>
      <c r="BH70" s="162" t="str">
        <f>IF(ISBLANK(L70),"",NOT(ISERROR(MATCH(L70,Deltagarlista!$E$5:$E$64,0))))</f>
        <v/>
      </c>
      <c r="BI70" s="162" t="str">
        <f>IF(ISBLANK(M70),"",NOT(ISERROR(MATCH(M70,Deltagarlista!$E$5:$E$64,0))))</f>
        <v/>
      </c>
      <c r="BJ70" s="162" t="str">
        <f>IF(ISBLANK(N70),"",NOT(ISERROR(MATCH(N70,Deltagarlista!$E$5:$E$64,0))))</f>
        <v/>
      </c>
      <c r="BK70" s="162" t="str">
        <f>IF(ISBLANK(O70),"",NOT(ISERROR(MATCH(O70,Deltagarlista!$E$5:$E$64,0))))</f>
        <v/>
      </c>
      <c r="BL70" s="162" t="str">
        <f>IF(ISBLANK(P70),"",NOT(ISERROR(MATCH(P70,Deltagarlista!$E$5:$E$64,0))))</f>
        <v/>
      </c>
      <c r="BM70" s="162" t="str">
        <f>IF(ISBLANK(Q70),"",NOT(ISERROR(MATCH(Q70,Deltagarlista!$E$5:$E$64,0))))</f>
        <v/>
      </c>
      <c r="BN70" s="167"/>
      <c r="CL70" s="184" t="str">
        <f>IF(Deltagarlista!E67="","",Deltagarlista!E67)</f>
        <v/>
      </c>
    </row>
    <row r="71" spans="2:125" x14ac:dyDescent="0.3">
      <c r="B71" s="186">
        <v>19</v>
      </c>
      <c r="C71" s="27"/>
      <c r="D71" s="28"/>
      <c r="E71" s="38"/>
      <c r="F71" s="27"/>
      <c r="G71" s="28"/>
      <c r="H71" s="29"/>
      <c r="I71" s="41"/>
      <c r="J71" s="28"/>
      <c r="K71" s="38"/>
      <c r="L71" s="27"/>
      <c r="M71" s="28"/>
      <c r="N71" s="29"/>
      <c r="O71" s="41"/>
      <c r="P71" s="28"/>
      <c r="Q71" s="29"/>
      <c r="R71" s="187">
        <v>19</v>
      </c>
      <c r="S71" s="188">
        <v>19</v>
      </c>
      <c r="T71" s="188">
        <v>19</v>
      </c>
      <c r="U71" s="188">
        <v>19</v>
      </c>
      <c r="V71" s="188">
        <v>19</v>
      </c>
      <c r="W71" s="188">
        <v>19</v>
      </c>
      <c r="X71" s="188">
        <v>19</v>
      </c>
      <c r="Y71" s="188">
        <v>19</v>
      </c>
      <c r="Z71" s="188">
        <v>19</v>
      </c>
      <c r="AA71" s="188">
        <v>19</v>
      </c>
      <c r="AB71" s="188">
        <v>19</v>
      </c>
      <c r="AC71" s="188">
        <v>19</v>
      </c>
      <c r="AD71" s="188">
        <v>19</v>
      </c>
      <c r="AE71" s="188">
        <v>19</v>
      </c>
      <c r="AF71" s="188">
        <v>19</v>
      </c>
      <c r="AG71" s="188">
        <v>19</v>
      </c>
      <c r="AH71" s="166"/>
      <c r="AI71" s="129">
        <f t="shared" si="64"/>
        <v>0</v>
      </c>
      <c r="AJ71" s="129">
        <f t="shared" si="65"/>
        <v>0</v>
      </c>
      <c r="AK71" s="129">
        <f t="shared" si="66"/>
        <v>0</v>
      </c>
      <c r="AL71" s="129">
        <f t="shared" si="67"/>
        <v>0</v>
      </c>
      <c r="AM71" s="129">
        <f t="shared" si="68"/>
        <v>0</v>
      </c>
      <c r="AN71" s="129">
        <f t="shared" si="69"/>
        <v>0</v>
      </c>
      <c r="AO71" s="129">
        <f t="shared" si="70"/>
        <v>0</v>
      </c>
      <c r="AP71" s="129">
        <f t="shared" si="71"/>
        <v>0</v>
      </c>
      <c r="AQ71" s="129">
        <f t="shared" si="72"/>
        <v>0</v>
      </c>
      <c r="AR71" s="129">
        <f t="shared" si="73"/>
        <v>0</v>
      </c>
      <c r="AS71" s="129">
        <f t="shared" si="74"/>
        <v>0</v>
      </c>
      <c r="AT71" s="129">
        <f t="shared" si="75"/>
        <v>0</v>
      </c>
      <c r="AU71" s="129">
        <f t="shared" si="76"/>
        <v>0</v>
      </c>
      <c r="AV71" s="129">
        <f t="shared" si="77"/>
        <v>0</v>
      </c>
      <c r="AW71" s="129">
        <f t="shared" si="78"/>
        <v>0</v>
      </c>
      <c r="AY71" s="162" t="str">
        <f>IF(ISBLANK(C71),"",NOT(ISERROR(MATCH(C71,Deltagarlista!$E$5:$E$64,0))))</f>
        <v/>
      </c>
      <c r="AZ71" s="162" t="str">
        <f>IF(ISBLANK(D71),"",NOT(ISERROR(MATCH(D71,Deltagarlista!$E$5:$E$64,0))))</f>
        <v/>
      </c>
      <c r="BA71" s="162" t="str">
        <f>IF(ISBLANK(E71),"",NOT(ISERROR(MATCH(E71,Deltagarlista!$E$5:$E$64,0))))</f>
        <v/>
      </c>
      <c r="BB71" s="162" t="str">
        <f>IF(ISBLANK(F71),"",NOT(ISERROR(MATCH(F71,Deltagarlista!$E$5:$E$64,0))))</f>
        <v/>
      </c>
      <c r="BC71" s="162" t="str">
        <f>IF(ISBLANK(G71),"",NOT(ISERROR(MATCH(G71,Deltagarlista!$E$5:$E$64,0))))</f>
        <v/>
      </c>
      <c r="BD71" s="162" t="str">
        <f>IF(ISBLANK(H71),"",NOT(ISERROR(MATCH(H71,Deltagarlista!$E$5:$E$64,0))))</f>
        <v/>
      </c>
      <c r="BE71" s="162" t="str">
        <f>IF(ISBLANK(I71),"",NOT(ISERROR(MATCH(I71,Deltagarlista!$E$5:$E$64,0))))</f>
        <v/>
      </c>
      <c r="BF71" s="162" t="str">
        <f>IF(ISBLANK(J71),"",NOT(ISERROR(MATCH(J71,Deltagarlista!$E$5:$E$64,0))))</f>
        <v/>
      </c>
      <c r="BG71" s="162" t="str">
        <f>IF(ISBLANK(K71),"",NOT(ISERROR(MATCH(K71,Deltagarlista!$E$5:$E$64,0))))</f>
        <v/>
      </c>
      <c r="BH71" s="162" t="str">
        <f>IF(ISBLANK(L71),"",NOT(ISERROR(MATCH(L71,Deltagarlista!$E$5:$E$64,0))))</f>
        <v/>
      </c>
      <c r="BI71" s="162" t="str">
        <f>IF(ISBLANK(M71),"",NOT(ISERROR(MATCH(M71,Deltagarlista!$E$5:$E$64,0))))</f>
        <v/>
      </c>
      <c r="BJ71" s="162" t="str">
        <f>IF(ISBLANK(N71),"",NOT(ISERROR(MATCH(N71,Deltagarlista!$E$5:$E$64,0))))</f>
        <v/>
      </c>
      <c r="BK71" s="162" t="str">
        <f>IF(ISBLANK(O71),"",NOT(ISERROR(MATCH(O71,Deltagarlista!$E$5:$E$64,0))))</f>
        <v/>
      </c>
      <c r="BL71" s="162" t="str">
        <f>IF(ISBLANK(P71),"",NOT(ISERROR(MATCH(P71,Deltagarlista!$E$5:$E$64,0))))</f>
        <v/>
      </c>
      <c r="BM71" s="162" t="str">
        <f>IF(ISBLANK(Q71),"",NOT(ISERROR(MATCH(Q71,Deltagarlista!$E$5:$E$64,0))))</f>
        <v/>
      </c>
      <c r="BN71" s="167"/>
      <c r="CL71" s="184" t="str">
        <f>IF(Deltagarlista!E68="","",Deltagarlista!E68)</f>
        <v/>
      </c>
    </row>
    <row r="72" spans="2:125" x14ac:dyDescent="0.3">
      <c r="B72" s="186">
        <v>20</v>
      </c>
      <c r="C72" s="27"/>
      <c r="D72" s="28"/>
      <c r="E72" s="38"/>
      <c r="F72" s="27"/>
      <c r="G72" s="28"/>
      <c r="H72" s="29"/>
      <c r="I72" s="41"/>
      <c r="J72" s="28"/>
      <c r="K72" s="38"/>
      <c r="L72" s="27"/>
      <c r="M72" s="28"/>
      <c r="N72" s="29"/>
      <c r="O72" s="41"/>
      <c r="P72" s="28"/>
      <c r="Q72" s="29"/>
      <c r="R72" s="187">
        <v>20</v>
      </c>
      <c r="S72" s="188">
        <v>20</v>
      </c>
      <c r="T72" s="188">
        <v>20</v>
      </c>
      <c r="U72" s="188">
        <v>20</v>
      </c>
      <c r="V72" s="188">
        <v>20</v>
      </c>
      <c r="W72" s="188">
        <v>20</v>
      </c>
      <c r="X72" s="188">
        <v>20</v>
      </c>
      <c r="Y72" s="188">
        <v>20</v>
      </c>
      <c r="Z72" s="188">
        <v>20</v>
      </c>
      <c r="AA72" s="188">
        <v>20</v>
      </c>
      <c r="AB72" s="188">
        <v>20</v>
      </c>
      <c r="AC72" s="188">
        <v>20</v>
      </c>
      <c r="AD72" s="188">
        <v>20</v>
      </c>
      <c r="AE72" s="188">
        <v>20</v>
      </c>
      <c r="AF72" s="188">
        <v>20</v>
      </c>
      <c r="AG72" s="188">
        <v>20</v>
      </c>
      <c r="AH72" s="166"/>
      <c r="AI72" s="129">
        <f t="shared" si="64"/>
        <v>0</v>
      </c>
      <c r="AJ72" s="129">
        <f t="shared" si="65"/>
        <v>0</v>
      </c>
      <c r="AK72" s="129">
        <f t="shared" si="66"/>
        <v>0</v>
      </c>
      <c r="AL72" s="129">
        <f t="shared" si="67"/>
        <v>0</v>
      </c>
      <c r="AM72" s="129">
        <f t="shared" si="68"/>
        <v>0</v>
      </c>
      <c r="AN72" s="129">
        <f t="shared" si="69"/>
        <v>0</v>
      </c>
      <c r="AO72" s="129">
        <f t="shared" si="70"/>
        <v>0</v>
      </c>
      <c r="AP72" s="129">
        <f t="shared" si="71"/>
        <v>0</v>
      </c>
      <c r="AQ72" s="129">
        <f t="shared" si="72"/>
        <v>0</v>
      </c>
      <c r="AR72" s="129">
        <f t="shared" si="73"/>
        <v>0</v>
      </c>
      <c r="AS72" s="129">
        <f t="shared" si="74"/>
        <v>0</v>
      </c>
      <c r="AT72" s="129">
        <f t="shared" si="75"/>
        <v>0</v>
      </c>
      <c r="AU72" s="129">
        <f t="shared" si="76"/>
        <v>0</v>
      </c>
      <c r="AV72" s="129">
        <f t="shared" si="77"/>
        <v>0</v>
      </c>
      <c r="AW72" s="129">
        <f t="shared" si="78"/>
        <v>0</v>
      </c>
      <c r="AY72" s="162" t="str">
        <f>IF(ISBLANK(C72),"",NOT(ISERROR(MATCH(C72,Deltagarlista!$E$5:$E$64,0))))</f>
        <v/>
      </c>
      <c r="AZ72" s="162" t="str">
        <f>IF(ISBLANK(D72),"",NOT(ISERROR(MATCH(D72,Deltagarlista!$E$5:$E$64,0))))</f>
        <v/>
      </c>
      <c r="BA72" s="162" t="str">
        <f>IF(ISBLANK(E72),"",NOT(ISERROR(MATCH(E72,Deltagarlista!$E$5:$E$64,0))))</f>
        <v/>
      </c>
      <c r="BB72" s="162" t="str">
        <f>IF(ISBLANK(F72),"",NOT(ISERROR(MATCH(F72,Deltagarlista!$E$5:$E$64,0))))</f>
        <v/>
      </c>
      <c r="BC72" s="162" t="str">
        <f>IF(ISBLANK(G72),"",NOT(ISERROR(MATCH(G72,Deltagarlista!$E$5:$E$64,0))))</f>
        <v/>
      </c>
      <c r="BD72" s="162" t="str">
        <f>IF(ISBLANK(H72),"",NOT(ISERROR(MATCH(H72,Deltagarlista!$E$5:$E$64,0))))</f>
        <v/>
      </c>
      <c r="BE72" s="162" t="str">
        <f>IF(ISBLANK(I72),"",NOT(ISERROR(MATCH(I72,Deltagarlista!$E$5:$E$64,0))))</f>
        <v/>
      </c>
      <c r="BF72" s="162" t="str">
        <f>IF(ISBLANK(J72),"",NOT(ISERROR(MATCH(J72,Deltagarlista!$E$5:$E$64,0))))</f>
        <v/>
      </c>
      <c r="BG72" s="162" t="str">
        <f>IF(ISBLANK(K72),"",NOT(ISERROR(MATCH(K72,Deltagarlista!$E$5:$E$64,0))))</f>
        <v/>
      </c>
      <c r="BH72" s="162" t="str">
        <f>IF(ISBLANK(L72),"",NOT(ISERROR(MATCH(L72,Deltagarlista!$E$5:$E$64,0))))</f>
        <v/>
      </c>
      <c r="BI72" s="162" t="str">
        <f>IF(ISBLANK(M72),"",NOT(ISERROR(MATCH(M72,Deltagarlista!$E$5:$E$64,0))))</f>
        <v/>
      </c>
      <c r="BJ72" s="162" t="str">
        <f>IF(ISBLANK(N72),"",NOT(ISERROR(MATCH(N72,Deltagarlista!$E$5:$E$64,0))))</f>
        <v/>
      </c>
      <c r="BK72" s="162" t="str">
        <f>IF(ISBLANK(O72),"",NOT(ISERROR(MATCH(O72,Deltagarlista!$E$5:$E$64,0))))</f>
        <v/>
      </c>
      <c r="BL72" s="162" t="str">
        <f>IF(ISBLANK(P72),"",NOT(ISERROR(MATCH(P72,Deltagarlista!$E$5:$E$64,0))))</f>
        <v/>
      </c>
      <c r="BM72" s="162" t="str">
        <f>IF(ISBLANK(Q72),"",NOT(ISERROR(MATCH(Q72,Deltagarlista!$E$5:$E$64,0))))</f>
        <v/>
      </c>
      <c r="BN72" s="167"/>
      <c r="CL72" s="184" t="str">
        <f>IF(Deltagarlista!E69="","",Deltagarlista!E69)</f>
        <v/>
      </c>
    </row>
    <row r="73" spans="2:125" x14ac:dyDescent="0.3">
      <c r="B73" s="186">
        <v>21</v>
      </c>
      <c r="C73" s="27"/>
      <c r="D73" s="28"/>
      <c r="E73" s="38"/>
      <c r="F73" s="27"/>
      <c r="G73" s="28"/>
      <c r="H73" s="29"/>
      <c r="I73" s="41"/>
      <c r="J73" s="28"/>
      <c r="K73" s="38"/>
      <c r="L73" s="27"/>
      <c r="M73" s="28"/>
      <c r="N73" s="29"/>
      <c r="O73" s="41"/>
      <c r="P73" s="28"/>
      <c r="Q73" s="29"/>
      <c r="R73" s="187">
        <v>21</v>
      </c>
      <c r="S73" s="188">
        <v>21</v>
      </c>
      <c r="T73" s="188">
        <v>21</v>
      </c>
      <c r="U73" s="188">
        <v>21</v>
      </c>
      <c r="V73" s="188">
        <v>21</v>
      </c>
      <c r="W73" s="188">
        <v>21</v>
      </c>
      <c r="X73" s="188">
        <v>21</v>
      </c>
      <c r="Y73" s="188">
        <v>21</v>
      </c>
      <c r="Z73" s="188">
        <v>21</v>
      </c>
      <c r="AA73" s="188">
        <v>21</v>
      </c>
      <c r="AB73" s="188">
        <v>21</v>
      </c>
      <c r="AC73" s="188">
        <v>21</v>
      </c>
      <c r="AD73" s="188">
        <v>21</v>
      </c>
      <c r="AE73" s="188">
        <v>21</v>
      </c>
      <c r="AF73" s="188">
        <v>21</v>
      </c>
      <c r="AG73" s="188">
        <v>21</v>
      </c>
      <c r="AH73" s="166"/>
      <c r="AI73" s="129">
        <f t="shared" si="64"/>
        <v>0</v>
      </c>
      <c r="AJ73" s="129">
        <f t="shared" si="65"/>
        <v>0</v>
      </c>
      <c r="AK73" s="129">
        <f t="shared" si="66"/>
        <v>0</v>
      </c>
      <c r="AL73" s="129">
        <f t="shared" si="67"/>
        <v>0</v>
      </c>
      <c r="AM73" s="129">
        <f t="shared" si="68"/>
        <v>0</v>
      </c>
      <c r="AN73" s="129">
        <f t="shared" si="69"/>
        <v>0</v>
      </c>
      <c r="AO73" s="129">
        <f t="shared" si="70"/>
        <v>0</v>
      </c>
      <c r="AP73" s="129">
        <f t="shared" si="71"/>
        <v>0</v>
      </c>
      <c r="AQ73" s="129">
        <f t="shared" si="72"/>
        <v>0</v>
      </c>
      <c r="AR73" s="129">
        <f t="shared" si="73"/>
        <v>0</v>
      </c>
      <c r="AS73" s="129">
        <f t="shared" si="74"/>
        <v>0</v>
      </c>
      <c r="AT73" s="129">
        <f t="shared" si="75"/>
        <v>0</v>
      </c>
      <c r="AU73" s="129">
        <f t="shared" si="76"/>
        <v>0</v>
      </c>
      <c r="AV73" s="129">
        <f t="shared" si="77"/>
        <v>0</v>
      </c>
      <c r="AW73" s="129">
        <f t="shared" si="78"/>
        <v>0</v>
      </c>
      <c r="AY73" s="162" t="str">
        <f>IF(ISBLANK(C73),"",NOT(ISERROR(MATCH(C73,Deltagarlista!$E$5:$E$64,0))))</f>
        <v/>
      </c>
      <c r="AZ73" s="162" t="str">
        <f>IF(ISBLANK(D73),"",NOT(ISERROR(MATCH(D73,Deltagarlista!$E$5:$E$64,0))))</f>
        <v/>
      </c>
      <c r="BA73" s="162" t="str">
        <f>IF(ISBLANK(E73),"",NOT(ISERROR(MATCH(E73,Deltagarlista!$E$5:$E$64,0))))</f>
        <v/>
      </c>
      <c r="BB73" s="162" t="str">
        <f>IF(ISBLANK(F73),"",NOT(ISERROR(MATCH(F73,Deltagarlista!$E$5:$E$64,0))))</f>
        <v/>
      </c>
      <c r="BC73" s="162" t="str">
        <f>IF(ISBLANK(G73),"",NOT(ISERROR(MATCH(G73,Deltagarlista!$E$5:$E$64,0))))</f>
        <v/>
      </c>
      <c r="BD73" s="162" t="str">
        <f>IF(ISBLANK(H73),"",NOT(ISERROR(MATCH(H73,Deltagarlista!$E$5:$E$64,0))))</f>
        <v/>
      </c>
      <c r="BE73" s="162" t="str">
        <f>IF(ISBLANK(I73),"",NOT(ISERROR(MATCH(I73,Deltagarlista!$E$5:$E$64,0))))</f>
        <v/>
      </c>
      <c r="BF73" s="162" t="str">
        <f>IF(ISBLANK(J73),"",NOT(ISERROR(MATCH(J73,Deltagarlista!$E$5:$E$64,0))))</f>
        <v/>
      </c>
      <c r="BG73" s="162" t="str">
        <f>IF(ISBLANK(K73),"",NOT(ISERROR(MATCH(K73,Deltagarlista!$E$5:$E$64,0))))</f>
        <v/>
      </c>
      <c r="BH73" s="162" t="str">
        <f>IF(ISBLANK(L73),"",NOT(ISERROR(MATCH(L73,Deltagarlista!$E$5:$E$64,0))))</f>
        <v/>
      </c>
      <c r="BI73" s="162" t="str">
        <f>IF(ISBLANK(M73),"",NOT(ISERROR(MATCH(M73,Deltagarlista!$E$5:$E$64,0))))</f>
        <v/>
      </c>
      <c r="BJ73" s="162" t="str">
        <f>IF(ISBLANK(N73),"",NOT(ISERROR(MATCH(N73,Deltagarlista!$E$5:$E$64,0))))</f>
        <v/>
      </c>
      <c r="BK73" s="162" t="str">
        <f>IF(ISBLANK(O73),"",NOT(ISERROR(MATCH(O73,Deltagarlista!$E$5:$E$64,0))))</f>
        <v/>
      </c>
      <c r="BL73" s="162" t="str">
        <f>IF(ISBLANK(P73),"",NOT(ISERROR(MATCH(P73,Deltagarlista!$E$5:$E$64,0))))</f>
        <v/>
      </c>
      <c r="BM73" s="162" t="str">
        <f>IF(ISBLANK(Q73),"",NOT(ISERROR(MATCH(Q73,Deltagarlista!$E$5:$E$64,0))))</f>
        <v/>
      </c>
      <c r="BN73" s="167"/>
      <c r="BP73" s="162">
        <f>SUM(BP8:BP50)</f>
        <v>41</v>
      </c>
      <c r="BQ73" s="162">
        <f>SUM(BQ8:BQ50)</f>
        <v>41</v>
      </c>
      <c r="BR73" s="162">
        <f>SUM(BR8:BR50)</f>
        <v>41</v>
      </c>
      <c r="BS73" s="162">
        <f>SUM(BS8:BS50)</f>
        <v>41</v>
      </c>
      <c r="BT73" s="162">
        <f>SUM(BT8:BT50)</f>
        <v>41</v>
      </c>
      <c r="BU73" s="162">
        <f t="shared" ref="BU73:CI73" si="79">SUM(BU8:BU50)</f>
        <v>41</v>
      </c>
      <c r="BV73" s="162">
        <f t="shared" si="79"/>
        <v>41</v>
      </c>
      <c r="BW73" s="162">
        <f t="shared" si="79"/>
        <v>41</v>
      </c>
      <c r="BX73" s="162">
        <f t="shared" si="79"/>
        <v>41</v>
      </c>
      <c r="BY73" s="162">
        <f t="shared" si="79"/>
        <v>41</v>
      </c>
      <c r="BZ73" s="162">
        <f t="shared" si="79"/>
        <v>41</v>
      </c>
      <c r="CA73" s="162">
        <f t="shared" si="79"/>
        <v>41</v>
      </c>
      <c r="CB73" s="162">
        <f t="shared" si="79"/>
        <v>41</v>
      </c>
      <c r="CC73" s="162">
        <f t="shared" si="79"/>
        <v>41</v>
      </c>
      <c r="CD73" s="162">
        <f t="shared" si="79"/>
        <v>41</v>
      </c>
      <c r="CE73" s="162">
        <f t="shared" si="79"/>
        <v>41</v>
      </c>
      <c r="CF73" s="162">
        <f t="shared" si="79"/>
        <v>41</v>
      </c>
      <c r="CG73" s="162">
        <f t="shared" si="79"/>
        <v>41</v>
      </c>
      <c r="CH73" s="162">
        <f t="shared" si="79"/>
        <v>41</v>
      </c>
      <c r="CI73" s="162">
        <f t="shared" si="79"/>
        <v>41</v>
      </c>
      <c r="CL73" s="184" t="str">
        <f>IF(Deltagarlista!E70="","",Deltagarlista!E70)</f>
        <v/>
      </c>
    </row>
    <row r="74" spans="2:125" x14ac:dyDescent="0.3">
      <c r="B74" s="186">
        <v>22</v>
      </c>
      <c r="C74" s="27"/>
      <c r="D74" s="28"/>
      <c r="E74" s="38"/>
      <c r="F74" s="27"/>
      <c r="G74" s="28"/>
      <c r="H74" s="29"/>
      <c r="I74" s="41"/>
      <c r="J74" s="28"/>
      <c r="K74" s="38"/>
      <c r="L74" s="27"/>
      <c r="M74" s="28"/>
      <c r="N74" s="29"/>
      <c r="O74" s="41"/>
      <c r="P74" s="28"/>
      <c r="Q74" s="29"/>
      <c r="R74" s="187">
        <v>22</v>
      </c>
      <c r="S74" s="188">
        <v>22</v>
      </c>
      <c r="T74" s="188">
        <v>22</v>
      </c>
      <c r="U74" s="188">
        <v>22</v>
      </c>
      <c r="V74" s="188">
        <v>22</v>
      </c>
      <c r="W74" s="188">
        <v>22</v>
      </c>
      <c r="X74" s="188">
        <v>22</v>
      </c>
      <c r="Y74" s="188">
        <v>22</v>
      </c>
      <c r="Z74" s="188">
        <v>22</v>
      </c>
      <c r="AA74" s="188">
        <v>22</v>
      </c>
      <c r="AB74" s="188">
        <v>22</v>
      </c>
      <c r="AC74" s="188">
        <v>22</v>
      </c>
      <c r="AD74" s="188">
        <v>22</v>
      </c>
      <c r="AE74" s="188">
        <v>22</v>
      </c>
      <c r="AF74" s="188">
        <v>22</v>
      </c>
      <c r="AG74" s="188">
        <v>22</v>
      </c>
      <c r="AH74" s="166"/>
      <c r="AI74" s="129">
        <f t="shared" si="64"/>
        <v>0</v>
      </c>
      <c r="AJ74" s="129">
        <f t="shared" si="65"/>
        <v>0</v>
      </c>
      <c r="AK74" s="129">
        <f t="shared" si="66"/>
        <v>0</v>
      </c>
      <c r="AL74" s="129">
        <f t="shared" si="67"/>
        <v>0</v>
      </c>
      <c r="AM74" s="129">
        <f t="shared" si="68"/>
        <v>0</v>
      </c>
      <c r="AN74" s="129">
        <f t="shared" si="69"/>
        <v>0</v>
      </c>
      <c r="AO74" s="129">
        <f t="shared" si="70"/>
        <v>0</v>
      </c>
      <c r="AP74" s="129">
        <f t="shared" si="71"/>
        <v>0</v>
      </c>
      <c r="AQ74" s="129">
        <f t="shared" si="72"/>
        <v>0</v>
      </c>
      <c r="AR74" s="129">
        <f t="shared" si="73"/>
        <v>0</v>
      </c>
      <c r="AS74" s="129">
        <f t="shared" si="74"/>
        <v>0</v>
      </c>
      <c r="AT74" s="129">
        <f t="shared" si="75"/>
        <v>0</v>
      </c>
      <c r="AU74" s="129">
        <f t="shared" si="76"/>
        <v>0</v>
      </c>
      <c r="AV74" s="129">
        <f t="shared" si="77"/>
        <v>0</v>
      </c>
      <c r="AW74" s="129">
        <f t="shared" si="78"/>
        <v>0</v>
      </c>
      <c r="AY74" s="162" t="str">
        <f>IF(ISBLANK(C74),"",NOT(ISERROR(MATCH(C74,Deltagarlista!$E$5:$E$64,0))))</f>
        <v/>
      </c>
      <c r="AZ74" s="162" t="str">
        <f>IF(ISBLANK(D74),"",NOT(ISERROR(MATCH(D74,Deltagarlista!$E$5:$E$64,0))))</f>
        <v/>
      </c>
      <c r="BA74" s="162" t="str">
        <f>IF(ISBLANK(E74),"",NOT(ISERROR(MATCH(E74,Deltagarlista!$E$5:$E$64,0))))</f>
        <v/>
      </c>
      <c r="BB74" s="162" t="str">
        <f>IF(ISBLANK(F74),"",NOT(ISERROR(MATCH(F74,Deltagarlista!$E$5:$E$64,0))))</f>
        <v/>
      </c>
      <c r="BC74" s="162" t="str">
        <f>IF(ISBLANK(G74),"",NOT(ISERROR(MATCH(G74,Deltagarlista!$E$5:$E$64,0))))</f>
        <v/>
      </c>
      <c r="BD74" s="162" t="str">
        <f>IF(ISBLANK(H74),"",NOT(ISERROR(MATCH(H74,Deltagarlista!$E$5:$E$64,0))))</f>
        <v/>
      </c>
      <c r="BE74" s="162" t="str">
        <f>IF(ISBLANK(I74),"",NOT(ISERROR(MATCH(I74,Deltagarlista!$E$5:$E$64,0))))</f>
        <v/>
      </c>
      <c r="BF74" s="162" t="str">
        <f>IF(ISBLANK(J74),"",NOT(ISERROR(MATCH(J74,Deltagarlista!$E$5:$E$64,0))))</f>
        <v/>
      </c>
      <c r="BG74" s="162" t="str">
        <f>IF(ISBLANK(K74),"",NOT(ISERROR(MATCH(K74,Deltagarlista!$E$5:$E$64,0))))</f>
        <v/>
      </c>
      <c r="BH74" s="162" t="str">
        <f>IF(ISBLANK(L74),"",NOT(ISERROR(MATCH(L74,Deltagarlista!$E$5:$E$64,0))))</f>
        <v/>
      </c>
      <c r="BI74" s="162" t="str">
        <f>IF(ISBLANK(M74),"",NOT(ISERROR(MATCH(M74,Deltagarlista!$E$5:$E$64,0))))</f>
        <v/>
      </c>
      <c r="BJ74" s="162" t="str">
        <f>IF(ISBLANK(N74),"",NOT(ISERROR(MATCH(N74,Deltagarlista!$E$5:$E$64,0))))</f>
        <v/>
      </c>
      <c r="BK74" s="162" t="str">
        <f>IF(ISBLANK(O74),"",NOT(ISERROR(MATCH(O74,Deltagarlista!$E$5:$E$64,0))))</f>
        <v/>
      </c>
      <c r="BL74" s="162" t="str">
        <f>IF(ISBLANK(P74),"",NOT(ISERROR(MATCH(P74,Deltagarlista!$E$5:$E$64,0))))</f>
        <v/>
      </c>
      <c r="BM74" s="162" t="str">
        <f>IF(ISBLANK(Q74),"",NOT(ISERROR(MATCH(Q74,Deltagarlista!$E$5:$E$64,0))))</f>
        <v/>
      </c>
      <c r="BN74" s="167"/>
      <c r="CL74" s="184" t="str">
        <f>IF(Deltagarlista!E71="","",Deltagarlista!E71)</f>
        <v/>
      </c>
    </row>
    <row r="75" spans="2:125" x14ac:dyDescent="0.3">
      <c r="B75" s="186">
        <v>23</v>
      </c>
      <c r="C75" s="27"/>
      <c r="D75" s="28"/>
      <c r="E75" s="38"/>
      <c r="F75" s="27"/>
      <c r="G75" s="28"/>
      <c r="H75" s="29"/>
      <c r="I75" s="41"/>
      <c r="J75" s="28"/>
      <c r="K75" s="38"/>
      <c r="L75" s="27"/>
      <c r="M75" s="28"/>
      <c r="N75" s="29"/>
      <c r="O75" s="41"/>
      <c r="P75" s="28"/>
      <c r="Q75" s="29"/>
      <c r="R75" s="187">
        <v>23</v>
      </c>
      <c r="S75" s="188">
        <v>23</v>
      </c>
      <c r="T75" s="188">
        <v>23</v>
      </c>
      <c r="U75" s="188">
        <v>23</v>
      </c>
      <c r="V75" s="188">
        <v>23</v>
      </c>
      <c r="W75" s="188">
        <v>23</v>
      </c>
      <c r="X75" s="188">
        <v>23</v>
      </c>
      <c r="Y75" s="188">
        <v>23</v>
      </c>
      <c r="Z75" s="188">
        <v>23</v>
      </c>
      <c r="AA75" s="188">
        <v>23</v>
      </c>
      <c r="AB75" s="188">
        <v>23</v>
      </c>
      <c r="AC75" s="188">
        <v>23</v>
      </c>
      <c r="AD75" s="188">
        <v>23</v>
      </c>
      <c r="AE75" s="188">
        <v>23</v>
      </c>
      <c r="AF75" s="188">
        <v>23</v>
      </c>
      <c r="AG75" s="188">
        <v>23</v>
      </c>
      <c r="AH75" s="166"/>
      <c r="AI75" s="129">
        <f t="shared" si="64"/>
        <v>0</v>
      </c>
      <c r="AJ75" s="129">
        <f t="shared" si="65"/>
        <v>0</v>
      </c>
      <c r="AK75" s="129">
        <f t="shared" si="66"/>
        <v>0</v>
      </c>
      <c r="AL75" s="129">
        <f t="shared" si="67"/>
        <v>0</v>
      </c>
      <c r="AM75" s="129">
        <f t="shared" si="68"/>
        <v>0</v>
      </c>
      <c r="AN75" s="129">
        <f t="shared" si="69"/>
        <v>0</v>
      </c>
      <c r="AO75" s="129">
        <f t="shared" si="70"/>
        <v>0</v>
      </c>
      <c r="AP75" s="129">
        <f t="shared" si="71"/>
        <v>0</v>
      </c>
      <c r="AQ75" s="129">
        <f t="shared" si="72"/>
        <v>0</v>
      </c>
      <c r="AR75" s="129">
        <f t="shared" si="73"/>
        <v>0</v>
      </c>
      <c r="AS75" s="129">
        <f t="shared" si="74"/>
        <v>0</v>
      </c>
      <c r="AT75" s="129">
        <f t="shared" si="75"/>
        <v>0</v>
      </c>
      <c r="AU75" s="129">
        <f t="shared" si="76"/>
        <v>0</v>
      </c>
      <c r="AV75" s="129">
        <f t="shared" si="77"/>
        <v>0</v>
      </c>
      <c r="AW75" s="129">
        <f t="shared" si="78"/>
        <v>0</v>
      </c>
      <c r="AY75" s="162" t="str">
        <f>IF(ISBLANK(C75),"",NOT(ISERROR(MATCH(C75,Deltagarlista!$E$5:$E$64,0))))</f>
        <v/>
      </c>
      <c r="AZ75" s="162" t="str">
        <f>IF(ISBLANK(D75),"",NOT(ISERROR(MATCH(D75,Deltagarlista!$E$5:$E$64,0))))</f>
        <v/>
      </c>
      <c r="BA75" s="162" t="str">
        <f>IF(ISBLANK(E75),"",NOT(ISERROR(MATCH(E75,Deltagarlista!$E$5:$E$64,0))))</f>
        <v/>
      </c>
      <c r="BB75" s="162" t="str">
        <f>IF(ISBLANK(F75),"",NOT(ISERROR(MATCH(F75,Deltagarlista!$E$5:$E$64,0))))</f>
        <v/>
      </c>
      <c r="BC75" s="162" t="str">
        <f>IF(ISBLANK(G75),"",NOT(ISERROR(MATCH(G75,Deltagarlista!$E$5:$E$64,0))))</f>
        <v/>
      </c>
      <c r="BD75" s="162" t="str">
        <f>IF(ISBLANK(H75),"",NOT(ISERROR(MATCH(H75,Deltagarlista!$E$5:$E$64,0))))</f>
        <v/>
      </c>
      <c r="BE75" s="162" t="str">
        <f>IF(ISBLANK(I75),"",NOT(ISERROR(MATCH(I75,Deltagarlista!$E$5:$E$64,0))))</f>
        <v/>
      </c>
      <c r="BF75" s="162" t="str">
        <f>IF(ISBLANK(J75),"",NOT(ISERROR(MATCH(J75,Deltagarlista!$E$5:$E$64,0))))</f>
        <v/>
      </c>
      <c r="BG75" s="162" t="str">
        <f>IF(ISBLANK(K75),"",NOT(ISERROR(MATCH(K75,Deltagarlista!$E$5:$E$64,0))))</f>
        <v/>
      </c>
      <c r="BH75" s="162" t="str">
        <f>IF(ISBLANK(L75),"",NOT(ISERROR(MATCH(L75,Deltagarlista!$E$5:$E$64,0))))</f>
        <v/>
      </c>
      <c r="BI75" s="162" t="str">
        <f>IF(ISBLANK(M75),"",NOT(ISERROR(MATCH(M75,Deltagarlista!$E$5:$E$64,0))))</f>
        <v/>
      </c>
      <c r="BJ75" s="162" t="str">
        <f>IF(ISBLANK(N75),"",NOT(ISERROR(MATCH(N75,Deltagarlista!$E$5:$E$64,0))))</f>
        <v/>
      </c>
      <c r="BK75" s="162" t="str">
        <f>IF(ISBLANK(O75),"",NOT(ISERROR(MATCH(O75,Deltagarlista!$E$5:$E$64,0))))</f>
        <v/>
      </c>
      <c r="BL75" s="162" t="str">
        <f>IF(ISBLANK(P75),"",NOT(ISERROR(MATCH(P75,Deltagarlista!$E$5:$E$64,0))))</f>
        <v/>
      </c>
      <c r="BM75" s="162" t="str">
        <f>IF(ISBLANK(Q75),"",NOT(ISERROR(MATCH(Q75,Deltagarlista!$E$5:$E$64,0))))</f>
        <v/>
      </c>
      <c r="BN75" s="167"/>
    </row>
    <row r="76" spans="2:125" x14ac:dyDescent="0.3">
      <c r="B76" s="186">
        <v>24</v>
      </c>
      <c r="C76" s="27"/>
      <c r="D76" s="28"/>
      <c r="E76" s="38"/>
      <c r="F76" s="27"/>
      <c r="G76" s="28"/>
      <c r="H76" s="29"/>
      <c r="I76" s="41"/>
      <c r="J76" s="28"/>
      <c r="K76" s="38"/>
      <c r="L76" s="27"/>
      <c r="M76" s="28"/>
      <c r="N76" s="29"/>
      <c r="O76" s="41"/>
      <c r="P76" s="28"/>
      <c r="Q76" s="29"/>
      <c r="R76" s="187">
        <v>24</v>
      </c>
      <c r="S76" s="188">
        <v>24</v>
      </c>
      <c r="T76" s="188">
        <v>24</v>
      </c>
      <c r="U76" s="188">
        <v>24</v>
      </c>
      <c r="V76" s="188">
        <v>24</v>
      </c>
      <c r="W76" s="188">
        <v>24</v>
      </c>
      <c r="X76" s="188">
        <v>24</v>
      </c>
      <c r="Y76" s="188">
        <v>24</v>
      </c>
      <c r="Z76" s="188">
        <v>24</v>
      </c>
      <c r="AA76" s="188">
        <v>24</v>
      </c>
      <c r="AB76" s="188">
        <v>24</v>
      </c>
      <c r="AC76" s="188">
        <v>24</v>
      </c>
      <c r="AD76" s="188">
        <v>24</v>
      </c>
      <c r="AE76" s="188">
        <v>24</v>
      </c>
      <c r="AF76" s="188">
        <v>24</v>
      </c>
      <c r="AG76" s="188">
        <v>24</v>
      </c>
      <c r="AH76" s="166"/>
      <c r="AI76" s="129">
        <f t="shared" si="64"/>
        <v>0</v>
      </c>
      <c r="AJ76" s="129">
        <f t="shared" si="65"/>
        <v>0</v>
      </c>
      <c r="AK76" s="129">
        <f t="shared" si="66"/>
        <v>0</v>
      </c>
      <c r="AL76" s="129">
        <f t="shared" si="67"/>
        <v>0</v>
      </c>
      <c r="AM76" s="129">
        <f t="shared" si="68"/>
        <v>0</v>
      </c>
      <c r="AN76" s="129">
        <f t="shared" si="69"/>
        <v>0</v>
      </c>
      <c r="AO76" s="129">
        <f t="shared" si="70"/>
        <v>0</v>
      </c>
      <c r="AP76" s="129">
        <f t="shared" si="71"/>
        <v>0</v>
      </c>
      <c r="AQ76" s="129">
        <f t="shared" si="72"/>
        <v>0</v>
      </c>
      <c r="AR76" s="129">
        <f t="shared" si="73"/>
        <v>0</v>
      </c>
      <c r="AS76" s="129">
        <f t="shared" si="74"/>
        <v>0</v>
      </c>
      <c r="AT76" s="129">
        <f t="shared" si="75"/>
        <v>0</v>
      </c>
      <c r="AU76" s="129">
        <f t="shared" si="76"/>
        <v>0</v>
      </c>
      <c r="AV76" s="129">
        <f t="shared" si="77"/>
        <v>0</v>
      </c>
      <c r="AW76" s="129">
        <f t="shared" si="78"/>
        <v>0</v>
      </c>
      <c r="AY76" s="162" t="str">
        <f>IF(ISBLANK(C76),"",NOT(ISERROR(MATCH(C76,Deltagarlista!$E$5:$E$64,0))))</f>
        <v/>
      </c>
      <c r="AZ76" s="162" t="str">
        <f>IF(ISBLANK(D76),"",NOT(ISERROR(MATCH(D76,Deltagarlista!$E$5:$E$64,0))))</f>
        <v/>
      </c>
      <c r="BA76" s="162" t="str">
        <f>IF(ISBLANK(E76),"",NOT(ISERROR(MATCH(E76,Deltagarlista!$E$5:$E$64,0))))</f>
        <v/>
      </c>
      <c r="BB76" s="162" t="str">
        <f>IF(ISBLANK(F76),"",NOT(ISERROR(MATCH(F76,Deltagarlista!$E$5:$E$64,0))))</f>
        <v/>
      </c>
      <c r="BC76" s="162" t="str">
        <f>IF(ISBLANK(G76),"",NOT(ISERROR(MATCH(G76,Deltagarlista!$E$5:$E$64,0))))</f>
        <v/>
      </c>
      <c r="BD76" s="162" t="str">
        <f>IF(ISBLANK(H76),"",NOT(ISERROR(MATCH(H76,Deltagarlista!$E$5:$E$64,0))))</f>
        <v/>
      </c>
      <c r="BE76" s="162" t="str">
        <f>IF(ISBLANK(I76),"",NOT(ISERROR(MATCH(I76,Deltagarlista!$E$5:$E$64,0))))</f>
        <v/>
      </c>
      <c r="BF76" s="162" t="str">
        <f>IF(ISBLANK(J76),"",NOT(ISERROR(MATCH(J76,Deltagarlista!$E$5:$E$64,0))))</f>
        <v/>
      </c>
      <c r="BG76" s="162" t="str">
        <f>IF(ISBLANK(K76),"",NOT(ISERROR(MATCH(K76,Deltagarlista!$E$5:$E$64,0))))</f>
        <v/>
      </c>
      <c r="BH76" s="162" t="str">
        <f>IF(ISBLANK(L76),"",NOT(ISERROR(MATCH(L76,Deltagarlista!$E$5:$E$64,0))))</f>
        <v/>
      </c>
      <c r="BI76" s="162" t="str">
        <f>IF(ISBLANK(M76),"",NOT(ISERROR(MATCH(M76,Deltagarlista!$E$5:$E$64,0))))</f>
        <v/>
      </c>
      <c r="BJ76" s="162" t="str">
        <f>IF(ISBLANK(N76),"",NOT(ISERROR(MATCH(N76,Deltagarlista!$E$5:$E$64,0))))</f>
        <v/>
      </c>
      <c r="BK76" s="162" t="str">
        <f>IF(ISBLANK(O76),"",NOT(ISERROR(MATCH(O76,Deltagarlista!$E$5:$E$64,0))))</f>
        <v/>
      </c>
      <c r="BL76" s="162" t="str">
        <f>IF(ISBLANK(P76),"",NOT(ISERROR(MATCH(P76,Deltagarlista!$E$5:$E$64,0))))</f>
        <v/>
      </c>
      <c r="BM76" s="162" t="str">
        <f>IF(ISBLANK(Q76),"",NOT(ISERROR(MATCH(Q76,Deltagarlista!$E$5:$E$64,0))))</f>
        <v/>
      </c>
      <c r="BN76" s="167"/>
    </row>
    <row r="77" spans="2:125" x14ac:dyDescent="0.3">
      <c r="B77" s="186">
        <v>25</v>
      </c>
      <c r="C77" s="27"/>
      <c r="D77" s="28"/>
      <c r="E77" s="38"/>
      <c r="F77" s="27"/>
      <c r="G77" s="28"/>
      <c r="H77" s="29"/>
      <c r="I77" s="41"/>
      <c r="J77" s="28"/>
      <c r="K77" s="38"/>
      <c r="L77" s="27"/>
      <c r="M77" s="28"/>
      <c r="N77" s="29"/>
      <c r="O77" s="41"/>
      <c r="P77" s="28"/>
      <c r="Q77" s="29"/>
      <c r="R77" s="187">
        <v>25</v>
      </c>
      <c r="S77" s="188">
        <v>25</v>
      </c>
      <c r="T77" s="188">
        <v>25</v>
      </c>
      <c r="U77" s="188">
        <v>25</v>
      </c>
      <c r="V77" s="188">
        <v>25</v>
      </c>
      <c r="W77" s="188">
        <v>25</v>
      </c>
      <c r="X77" s="188">
        <v>25</v>
      </c>
      <c r="Y77" s="188">
        <v>25</v>
      </c>
      <c r="Z77" s="188">
        <v>25</v>
      </c>
      <c r="AA77" s="188">
        <v>25</v>
      </c>
      <c r="AB77" s="188">
        <v>25</v>
      </c>
      <c r="AC77" s="188">
        <v>25</v>
      </c>
      <c r="AD77" s="188">
        <v>25</v>
      </c>
      <c r="AE77" s="188">
        <v>25</v>
      </c>
      <c r="AF77" s="188">
        <v>25</v>
      </c>
      <c r="AG77" s="188">
        <v>25</v>
      </c>
      <c r="AH77" s="166"/>
      <c r="AI77" s="129">
        <f t="shared" si="64"/>
        <v>0</v>
      </c>
      <c r="AJ77" s="129">
        <f t="shared" si="65"/>
        <v>0</v>
      </c>
      <c r="AK77" s="129">
        <f t="shared" si="66"/>
        <v>0</v>
      </c>
      <c r="AL77" s="129">
        <f t="shared" si="67"/>
        <v>0</v>
      </c>
      <c r="AM77" s="129">
        <f t="shared" si="68"/>
        <v>0</v>
      </c>
      <c r="AN77" s="129">
        <f t="shared" si="69"/>
        <v>0</v>
      </c>
      <c r="AO77" s="129">
        <f t="shared" si="70"/>
        <v>0</v>
      </c>
      <c r="AP77" s="129">
        <f t="shared" si="71"/>
        <v>0</v>
      </c>
      <c r="AQ77" s="129">
        <f t="shared" si="72"/>
        <v>0</v>
      </c>
      <c r="AR77" s="129">
        <f t="shared" si="73"/>
        <v>0</v>
      </c>
      <c r="AS77" s="129">
        <f t="shared" si="74"/>
        <v>0</v>
      </c>
      <c r="AT77" s="129">
        <f t="shared" si="75"/>
        <v>0</v>
      </c>
      <c r="AU77" s="129">
        <f t="shared" si="76"/>
        <v>0</v>
      </c>
      <c r="AV77" s="129">
        <f t="shared" si="77"/>
        <v>0</v>
      </c>
      <c r="AW77" s="129">
        <f t="shared" si="78"/>
        <v>0</v>
      </c>
      <c r="AY77" s="162" t="str">
        <f>IF(ISBLANK(C77),"",NOT(ISERROR(MATCH(C77,Deltagarlista!$E$5:$E$64,0))))</f>
        <v/>
      </c>
      <c r="AZ77" s="162" t="str">
        <f>IF(ISBLANK(D77),"",NOT(ISERROR(MATCH(D77,Deltagarlista!$E$5:$E$64,0))))</f>
        <v/>
      </c>
      <c r="BA77" s="162" t="str">
        <f>IF(ISBLANK(E77),"",NOT(ISERROR(MATCH(E77,Deltagarlista!$E$5:$E$64,0))))</f>
        <v/>
      </c>
      <c r="BB77" s="162" t="str">
        <f>IF(ISBLANK(F77),"",NOT(ISERROR(MATCH(F77,Deltagarlista!$E$5:$E$64,0))))</f>
        <v/>
      </c>
      <c r="BC77" s="162" t="str">
        <f>IF(ISBLANK(G77),"",NOT(ISERROR(MATCH(G77,Deltagarlista!$E$5:$E$64,0))))</f>
        <v/>
      </c>
      <c r="BD77" s="162" t="str">
        <f>IF(ISBLANK(H77),"",NOT(ISERROR(MATCH(H77,Deltagarlista!$E$5:$E$64,0))))</f>
        <v/>
      </c>
      <c r="BE77" s="162" t="str">
        <f>IF(ISBLANK(I77),"",NOT(ISERROR(MATCH(I77,Deltagarlista!$E$5:$E$64,0))))</f>
        <v/>
      </c>
      <c r="BF77" s="162" t="str">
        <f>IF(ISBLANK(J77),"",NOT(ISERROR(MATCH(J77,Deltagarlista!$E$5:$E$64,0))))</f>
        <v/>
      </c>
      <c r="BG77" s="162" t="str">
        <f>IF(ISBLANK(K77),"",NOT(ISERROR(MATCH(K77,Deltagarlista!$E$5:$E$64,0))))</f>
        <v/>
      </c>
      <c r="BH77" s="162" t="str">
        <f>IF(ISBLANK(L77),"",NOT(ISERROR(MATCH(L77,Deltagarlista!$E$5:$E$64,0))))</f>
        <v/>
      </c>
      <c r="BI77" s="162" t="str">
        <f>IF(ISBLANK(M77),"",NOT(ISERROR(MATCH(M77,Deltagarlista!$E$5:$E$64,0))))</f>
        <v/>
      </c>
      <c r="BJ77" s="162" t="str">
        <f>IF(ISBLANK(N77),"",NOT(ISERROR(MATCH(N77,Deltagarlista!$E$5:$E$64,0))))</f>
        <v/>
      </c>
      <c r="BK77" s="162" t="str">
        <f>IF(ISBLANK(O77),"",NOT(ISERROR(MATCH(O77,Deltagarlista!$E$5:$E$64,0))))</f>
        <v/>
      </c>
      <c r="BL77" s="162" t="str">
        <f>IF(ISBLANK(P77),"",NOT(ISERROR(MATCH(P77,Deltagarlista!$E$5:$E$64,0))))</f>
        <v/>
      </c>
      <c r="BM77" s="162" t="str">
        <f>IF(ISBLANK(Q77),"",NOT(ISERROR(MATCH(Q77,Deltagarlista!$E$5:$E$64,0))))</f>
        <v/>
      </c>
      <c r="BN77" s="167"/>
      <c r="BP77" s="162">
        <f>SUM(BP73:CI74)</f>
        <v>820</v>
      </c>
    </row>
    <row r="78" spans="2:125" x14ac:dyDescent="0.3">
      <c r="B78" s="186">
        <v>26</v>
      </c>
      <c r="C78" s="27"/>
      <c r="D78" s="28"/>
      <c r="E78" s="38"/>
      <c r="F78" s="27"/>
      <c r="G78" s="28"/>
      <c r="H78" s="29"/>
      <c r="I78" s="41"/>
      <c r="J78" s="28"/>
      <c r="K78" s="38"/>
      <c r="L78" s="27"/>
      <c r="M78" s="28"/>
      <c r="N78" s="29"/>
      <c r="O78" s="41"/>
      <c r="P78" s="28"/>
      <c r="Q78" s="29"/>
      <c r="R78" s="187">
        <v>26</v>
      </c>
      <c r="S78" s="188">
        <v>26</v>
      </c>
      <c r="T78" s="188">
        <v>26</v>
      </c>
      <c r="U78" s="188">
        <v>26</v>
      </c>
      <c r="V78" s="188">
        <v>26</v>
      </c>
      <c r="W78" s="188">
        <v>26</v>
      </c>
      <c r="X78" s="188">
        <v>26</v>
      </c>
      <c r="Y78" s="188">
        <v>26</v>
      </c>
      <c r="Z78" s="188">
        <v>26</v>
      </c>
      <c r="AA78" s="188">
        <v>26</v>
      </c>
      <c r="AB78" s="188">
        <v>26</v>
      </c>
      <c r="AC78" s="188">
        <v>26</v>
      </c>
      <c r="AD78" s="188">
        <v>26</v>
      </c>
      <c r="AE78" s="188">
        <v>26</v>
      </c>
      <c r="AF78" s="188">
        <v>26</v>
      </c>
      <c r="AG78" s="188">
        <v>26</v>
      </c>
      <c r="AH78" s="166"/>
      <c r="AI78" s="129">
        <f t="shared" si="64"/>
        <v>0</v>
      </c>
      <c r="AJ78" s="129">
        <f t="shared" si="65"/>
        <v>0</v>
      </c>
      <c r="AK78" s="129">
        <f t="shared" si="66"/>
        <v>0</v>
      </c>
      <c r="AL78" s="129">
        <f t="shared" si="67"/>
        <v>0</v>
      </c>
      <c r="AM78" s="129">
        <f t="shared" si="68"/>
        <v>0</v>
      </c>
      <c r="AN78" s="129">
        <f t="shared" si="69"/>
        <v>0</v>
      </c>
      <c r="AO78" s="129">
        <f t="shared" si="70"/>
        <v>0</v>
      </c>
      <c r="AP78" s="129">
        <f t="shared" si="71"/>
        <v>0</v>
      </c>
      <c r="AQ78" s="129">
        <f t="shared" si="72"/>
        <v>0</v>
      </c>
      <c r="AR78" s="129">
        <f t="shared" si="73"/>
        <v>0</v>
      </c>
      <c r="AS78" s="129">
        <f t="shared" si="74"/>
        <v>0</v>
      </c>
      <c r="AT78" s="129">
        <f t="shared" si="75"/>
        <v>0</v>
      </c>
      <c r="AU78" s="129">
        <f t="shared" si="76"/>
        <v>0</v>
      </c>
      <c r="AV78" s="129">
        <f t="shared" si="77"/>
        <v>0</v>
      </c>
      <c r="AW78" s="129">
        <f t="shared" si="78"/>
        <v>0</v>
      </c>
      <c r="AY78" s="162" t="str">
        <f>IF(ISBLANK(C78),"",NOT(ISERROR(MATCH(C78,Deltagarlista!$E$5:$E$64,0))))</f>
        <v/>
      </c>
      <c r="AZ78" s="162" t="str">
        <f>IF(ISBLANK(D78),"",NOT(ISERROR(MATCH(D78,Deltagarlista!$E$5:$E$64,0))))</f>
        <v/>
      </c>
      <c r="BA78" s="162" t="str">
        <f>IF(ISBLANK(E78),"",NOT(ISERROR(MATCH(E78,Deltagarlista!$E$5:$E$64,0))))</f>
        <v/>
      </c>
      <c r="BB78" s="162" t="str">
        <f>IF(ISBLANK(F78),"",NOT(ISERROR(MATCH(F78,Deltagarlista!$E$5:$E$64,0))))</f>
        <v/>
      </c>
      <c r="BC78" s="162" t="str">
        <f>IF(ISBLANK(G78),"",NOT(ISERROR(MATCH(G78,Deltagarlista!$E$5:$E$64,0))))</f>
        <v/>
      </c>
      <c r="BD78" s="162" t="str">
        <f>IF(ISBLANK(H78),"",NOT(ISERROR(MATCH(H78,Deltagarlista!$E$5:$E$64,0))))</f>
        <v/>
      </c>
      <c r="BE78" s="162" t="str">
        <f>IF(ISBLANK(I78),"",NOT(ISERROR(MATCH(I78,Deltagarlista!$E$5:$E$64,0))))</f>
        <v/>
      </c>
      <c r="BF78" s="162" t="str">
        <f>IF(ISBLANK(J78),"",NOT(ISERROR(MATCH(J78,Deltagarlista!$E$5:$E$64,0))))</f>
        <v/>
      </c>
      <c r="BG78" s="162" t="str">
        <f>IF(ISBLANK(K78),"",NOT(ISERROR(MATCH(K78,Deltagarlista!$E$5:$E$64,0))))</f>
        <v/>
      </c>
      <c r="BH78" s="162" t="str">
        <f>IF(ISBLANK(L78),"",NOT(ISERROR(MATCH(L78,Deltagarlista!$E$5:$E$64,0))))</f>
        <v/>
      </c>
      <c r="BI78" s="162" t="str">
        <f>IF(ISBLANK(M78),"",NOT(ISERROR(MATCH(M78,Deltagarlista!$E$5:$E$64,0))))</f>
        <v/>
      </c>
      <c r="BJ78" s="162" t="str">
        <f>IF(ISBLANK(N78),"",NOT(ISERROR(MATCH(N78,Deltagarlista!$E$5:$E$64,0))))</f>
        <v/>
      </c>
      <c r="BK78" s="162" t="str">
        <f>IF(ISBLANK(O78),"",NOT(ISERROR(MATCH(O78,Deltagarlista!$E$5:$E$64,0))))</f>
        <v/>
      </c>
      <c r="BL78" s="162" t="str">
        <f>IF(ISBLANK(P78),"",NOT(ISERROR(MATCH(P78,Deltagarlista!$E$5:$E$64,0))))</f>
        <v/>
      </c>
      <c r="BM78" s="162" t="str">
        <f>IF(ISBLANK(Q78),"",NOT(ISERROR(MATCH(Q78,Deltagarlista!$E$5:$E$64,0))))</f>
        <v/>
      </c>
      <c r="BN78" s="167"/>
    </row>
    <row r="79" spans="2:125" x14ac:dyDescent="0.3">
      <c r="B79" s="186">
        <v>27</v>
      </c>
      <c r="C79" s="27"/>
      <c r="D79" s="28"/>
      <c r="E79" s="38"/>
      <c r="F79" s="27"/>
      <c r="G79" s="28"/>
      <c r="H79" s="29"/>
      <c r="I79" s="41"/>
      <c r="J79" s="28"/>
      <c r="K79" s="38"/>
      <c r="L79" s="27"/>
      <c r="M79" s="28"/>
      <c r="N79" s="29"/>
      <c r="O79" s="41"/>
      <c r="P79" s="28"/>
      <c r="Q79" s="29"/>
      <c r="R79" s="187">
        <v>27</v>
      </c>
      <c r="S79" s="188">
        <v>27</v>
      </c>
      <c r="T79" s="188">
        <v>27</v>
      </c>
      <c r="U79" s="188">
        <v>27</v>
      </c>
      <c r="V79" s="188">
        <v>27</v>
      </c>
      <c r="W79" s="188">
        <v>27</v>
      </c>
      <c r="X79" s="188">
        <v>27</v>
      </c>
      <c r="Y79" s="188">
        <v>27</v>
      </c>
      <c r="Z79" s="188">
        <v>27</v>
      </c>
      <c r="AA79" s="188">
        <v>27</v>
      </c>
      <c r="AB79" s="188">
        <v>27</v>
      </c>
      <c r="AC79" s="188">
        <v>27</v>
      </c>
      <c r="AD79" s="188">
        <v>27</v>
      </c>
      <c r="AE79" s="188">
        <v>27</v>
      </c>
      <c r="AF79" s="188">
        <v>27</v>
      </c>
      <c r="AG79" s="188">
        <v>27</v>
      </c>
      <c r="AH79" s="166"/>
      <c r="AI79" s="129">
        <f t="shared" si="64"/>
        <v>0</v>
      </c>
      <c r="AJ79" s="129">
        <f t="shared" si="65"/>
        <v>0</v>
      </c>
      <c r="AK79" s="129">
        <f t="shared" si="66"/>
        <v>0</v>
      </c>
      <c r="AL79" s="129">
        <f t="shared" si="67"/>
        <v>0</v>
      </c>
      <c r="AM79" s="129">
        <f t="shared" si="68"/>
        <v>0</v>
      </c>
      <c r="AN79" s="129">
        <f t="shared" si="69"/>
        <v>0</v>
      </c>
      <c r="AO79" s="129">
        <f t="shared" si="70"/>
        <v>0</v>
      </c>
      <c r="AP79" s="129">
        <f t="shared" si="71"/>
        <v>0</v>
      </c>
      <c r="AQ79" s="129">
        <f t="shared" si="72"/>
        <v>0</v>
      </c>
      <c r="AR79" s="129">
        <f t="shared" si="73"/>
        <v>0</v>
      </c>
      <c r="AS79" s="129">
        <f t="shared" si="74"/>
        <v>0</v>
      </c>
      <c r="AT79" s="129">
        <f t="shared" si="75"/>
        <v>0</v>
      </c>
      <c r="AU79" s="129">
        <f t="shared" si="76"/>
        <v>0</v>
      </c>
      <c r="AV79" s="129">
        <f t="shared" si="77"/>
        <v>0</v>
      </c>
      <c r="AW79" s="129">
        <f t="shared" si="78"/>
        <v>0</v>
      </c>
      <c r="AY79" s="162" t="str">
        <f>IF(ISBLANK(C79),"",NOT(ISERROR(MATCH(C79,Deltagarlista!$E$5:$E$64,0))))</f>
        <v/>
      </c>
      <c r="AZ79" s="162" t="str">
        <f>IF(ISBLANK(D79),"",NOT(ISERROR(MATCH(D79,Deltagarlista!$E$5:$E$64,0))))</f>
        <v/>
      </c>
      <c r="BA79" s="162" t="str">
        <f>IF(ISBLANK(E79),"",NOT(ISERROR(MATCH(E79,Deltagarlista!$E$5:$E$64,0))))</f>
        <v/>
      </c>
      <c r="BB79" s="162" t="str">
        <f>IF(ISBLANK(F79),"",NOT(ISERROR(MATCH(F79,Deltagarlista!$E$5:$E$64,0))))</f>
        <v/>
      </c>
      <c r="BC79" s="162" t="str">
        <f>IF(ISBLANK(G79),"",NOT(ISERROR(MATCH(G79,Deltagarlista!$E$5:$E$64,0))))</f>
        <v/>
      </c>
      <c r="BD79" s="162" t="str">
        <f>IF(ISBLANK(H79),"",NOT(ISERROR(MATCH(H79,Deltagarlista!$E$5:$E$64,0))))</f>
        <v/>
      </c>
      <c r="BE79" s="162" t="str">
        <f>IF(ISBLANK(I79),"",NOT(ISERROR(MATCH(I79,Deltagarlista!$E$5:$E$64,0))))</f>
        <v/>
      </c>
      <c r="BF79" s="162" t="str">
        <f>IF(ISBLANK(J79),"",NOT(ISERROR(MATCH(J79,Deltagarlista!$E$5:$E$64,0))))</f>
        <v/>
      </c>
      <c r="BG79" s="162" t="str">
        <f>IF(ISBLANK(K79),"",NOT(ISERROR(MATCH(K79,Deltagarlista!$E$5:$E$64,0))))</f>
        <v/>
      </c>
      <c r="BH79" s="162" t="str">
        <f>IF(ISBLANK(L79),"",NOT(ISERROR(MATCH(L79,Deltagarlista!$E$5:$E$64,0))))</f>
        <v/>
      </c>
      <c r="BI79" s="162" t="str">
        <f>IF(ISBLANK(M79),"",NOT(ISERROR(MATCH(M79,Deltagarlista!$E$5:$E$64,0))))</f>
        <v/>
      </c>
      <c r="BJ79" s="162" t="str">
        <f>IF(ISBLANK(N79),"",NOT(ISERROR(MATCH(N79,Deltagarlista!$E$5:$E$64,0))))</f>
        <v/>
      </c>
      <c r="BK79" s="162" t="str">
        <f>IF(ISBLANK(O79),"",NOT(ISERROR(MATCH(O79,Deltagarlista!$E$5:$E$64,0))))</f>
        <v/>
      </c>
      <c r="BL79" s="162" t="str">
        <f>IF(ISBLANK(P79),"",NOT(ISERROR(MATCH(P79,Deltagarlista!$E$5:$E$64,0))))</f>
        <v/>
      </c>
      <c r="BM79" s="162" t="str">
        <f>IF(ISBLANK(Q79),"",NOT(ISERROR(MATCH(Q79,Deltagarlista!$E$5:$E$64,0))))</f>
        <v/>
      </c>
      <c r="BN79" s="167"/>
    </row>
    <row r="80" spans="2:125" x14ac:dyDescent="0.3">
      <c r="B80" s="186">
        <v>28</v>
      </c>
      <c r="C80" s="27"/>
      <c r="D80" s="28"/>
      <c r="E80" s="38"/>
      <c r="F80" s="27"/>
      <c r="G80" s="28"/>
      <c r="H80" s="29"/>
      <c r="I80" s="41"/>
      <c r="J80" s="28"/>
      <c r="K80" s="38"/>
      <c r="L80" s="27"/>
      <c r="M80" s="28"/>
      <c r="N80" s="29"/>
      <c r="O80" s="41"/>
      <c r="P80" s="28"/>
      <c r="Q80" s="29"/>
      <c r="R80" s="187">
        <v>28</v>
      </c>
      <c r="S80" s="188">
        <v>28</v>
      </c>
      <c r="T80" s="188">
        <v>28</v>
      </c>
      <c r="U80" s="188">
        <v>28</v>
      </c>
      <c r="V80" s="188">
        <v>28</v>
      </c>
      <c r="W80" s="188">
        <v>28</v>
      </c>
      <c r="X80" s="188">
        <v>28</v>
      </c>
      <c r="Y80" s="188">
        <v>28</v>
      </c>
      <c r="Z80" s="188">
        <v>28</v>
      </c>
      <c r="AA80" s="188">
        <v>28</v>
      </c>
      <c r="AB80" s="188">
        <v>28</v>
      </c>
      <c r="AC80" s="188">
        <v>28</v>
      </c>
      <c r="AD80" s="188">
        <v>28</v>
      </c>
      <c r="AE80" s="188">
        <v>28</v>
      </c>
      <c r="AF80" s="188">
        <v>28</v>
      </c>
      <c r="AG80" s="188">
        <v>28</v>
      </c>
      <c r="AH80" s="166"/>
      <c r="AI80" s="129">
        <f t="shared" si="64"/>
        <v>0</v>
      </c>
      <c r="AJ80" s="129">
        <f t="shared" si="65"/>
        <v>0</v>
      </c>
      <c r="AK80" s="129">
        <f t="shared" si="66"/>
        <v>0</v>
      </c>
      <c r="AL80" s="129">
        <f t="shared" si="67"/>
        <v>0</v>
      </c>
      <c r="AM80" s="129">
        <f t="shared" si="68"/>
        <v>0</v>
      </c>
      <c r="AN80" s="129">
        <f t="shared" si="69"/>
        <v>0</v>
      </c>
      <c r="AO80" s="129">
        <f t="shared" si="70"/>
        <v>0</v>
      </c>
      <c r="AP80" s="129">
        <f t="shared" si="71"/>
        <v>0</v>
      </c>
      <c r="AQ80" s="129">
        <f t="shared" si="72"/>
        <v>0</v>
      </c>
      <c r="AR80" s="129">
        <f t="shared" si="73"/>
        <v>0</v>
      </c>
      <c r="AS80" s="129">
        <f t="shared" si="74"/>
        <v>0</v>
      </c>
      <c r="AT80" s="129">
        <f t="shared" si="75"/>
        <v>0</v>
      </c>
      <c r="AU80" s="129">
        <f t="shared" si="76"/>
        <v>0</v>
      </c>
      <c r="AV80" s="129">
        <f t="shared" si="77"/>
        <v>0</v>
      </c>
      <c r="AW80" s="129">
        <f t="shared" si="78"/>
        <v>0</v>
      </c>
      <c r="AY80" s="162" t="str">
        <f>IF(ISBLANK(C80),"",NOT(ISERROR(MATCH(C80,Deltagarlista!$E$5:$E$64,0))))</f>
        <v/>
      </c>
      <c r="AZ80" s="162" t="str">
        <f>IF(ISBLANK(D80),"",NOT(ISERROR(MATCH(D80,Deltagarlista!$E$5:$E$64,0))))</f>
        <v/>
      </c>
      <c r="BA80" s="162" t="str">
        <f>IF(ISBLANK(E80),"",NOT(ISERROR(MATCH(E80,Deltagarlista!$E$5:$E$64,0))))</f>
        <v/>
      </c>
      <c r="BB80" s="162" t="str">
        <f>IF(ISBLANK(F80),"",NOT(ISERROR(MATCH(F80,Deltagarlista!$E$5:$E$64,0))))</f>
        <v/>
      </c>
      <c r="BC80" s="162" t="str">
        <f>IF(ISBLANK(G80),"",NOT(ISERROR(MATCH(G80,Deltagarlista!$E$5:$E$64,0))))</f>
        <v/>
      </c>
      <c r="BD80" s="162" t="str">
        <f>IF(ISBLANK(H80),"",NOT(ISERROR(MATCH(H80,Deltagarlista!$E$5:$E$64,0))))</f>
        <v/>
      </c>
      <c r="BE80" s="162" t="str">
        <f>IF(ISBLANK(I80),"",NOT(ISERROR(MATCH(I80,Deltagarlista!$E$5:$E$64,0))))</f>
        <v/>
      </c>
      <c r="BF80" s="162" t="str">
        <f>IF(ISBLANK(J80),"",NOT(ISERROR(MATCH(J80,Deltagarlista!$E$5:$E$64,0))))</f>
        <v/>
      </c>
      <c r="BG80" s="162" t="str">
        <f>IF(ISBLANK(K80),"",NOT(ISERROR(MATCH(K80,Deltagarlista!$E$5:$E$64,0))))</f>
        <v/>
      </c>
      <c r="BH80" s="162" t="str">
        <f>IF(ISBLANK(L80),"",NOT(ISERROR(MATCH(L80,Deltagarlista!$E$5:$E$64,0))))</f>
        <v/>
      </c>
      <c r="BI80" s="162" t="str">
        <f>IF(ISBLANK(M80),"",NOT(ISERROR(MATCH(M80,Deltagarlista!$E$5:$E$64,0))))</f>
        <v/>
      </c>
      <c r="BJ80" s="162" t="str">
        <f>IF(ISBLANK(N80),"",NOT(ISERROR(MATCH(N80,Deltagarlista!$E$5:$E$64,0))))</f>
        <v/>
      </c>
      <c r="BK80" s="162" t="str">
        <f>IF(ISBLANK(O80),"",NOT(ISERROR(MATCH(O80,Deltagarlista!$E$5:$E$64,0))))</f>
        <v/>
      </c>
      <c r="BL80" s="162" t="str">
        <f>IF(ISBLANK(P80),"",NOT(ISERROR(MATCH(P80,Deltagarlista!$E$5:$E$64,0))))</f>
        <v/>
      </c>
      <c r="BM80" s="162" t="str">
        <f>IF(ISBLANK(Q80),"",NOT(ISERROR(MATCH(Q80,Deltagarlista!$E$5:$E$64,0))))</f>
        <v/>
      </c>
      <c r="BN80" s="167"/>
    </row>
    <row r="81" spans="2:66" x14ac:dyDescent="0.3">
      <c r="B81" s="186">
        <v>29</v>
      </c>
      <c r="C81" s="27"/>
      <c r="D81" s="28"/>
      <c r="E81" s="38"/>
      <c r="F81" s="27"/>
      <c r="G81" s="28"/>
      <c r="H81" s="29"/>
      <c r="I81" s="41"/>
      <c r="J81" s="28"/>
      <c r="K81" s="38"/>
      <c r="L81" s="27"/>
      <c r="M81" s="28"/>
      <c r="N81" s="29"/>
      <c r="O81" s="41"/>
      <c r="P81" s="28"/>
      <c r="Q81" s="29"/>
      <c r="R81" s="187">
        <v>29</v>
      </c>
      <c r="S81" s="188">
        <v>29</v>
      </c>
      <c r="T81" s="188">
        <v>29</v>
      </c>
      <c r="U81" s="188">
        <v>29</v>
      </c>
      <c r="V81" s="188">
        <v>29</v>
      </c>
      <c r="W81" s="188">
        <v>29</v>
      </c>
      <c r="X81" s="188">
        <v>29</v>
      </c>
      <c r="Y81" s="188">
        <v>29</v>
      </c>
      <c r="Z81" s="188">
        <v>29</v>
      </c>
      <c r="AA81" s="188">
        <v>29</v>
      </c>
      <c r="AB81" s="188">
        <v>29</v>
      </c>
      <c r="AC81" s="188">
        <v>29</v>
      </c>
      <c r="AD81" s="188">
        <v>29</v>
      </c>
      <c r="AE81" s="188">
        <v>29</v>
      </c>
      <c r="AF81" s="188">
        <v>29</v>
      </c>
      <c r="AG81" s="188">
        <v>29</v>
      </c>
      <c r="AH81" s="166"/>
      <c r="AI81" s="129">
        <f t="shared" si="64"/>
        <v>0</v>
      </c>
      <c r="AJ81" s="129">
        <f t="shared" si="65"/>
        <v>0</v>
      </c>
      <c r="AK81" s="129">
        <f t="shared" si="66"/>
        <v>0</v>
      </c>
      <c r="AL81" s="129">
        <f t="shared" si="67"/>
        <v>0</v>
      </c>
      <c r="AM81" s="129">
        <f t="shared" si="68"/>
        <v>0</v>
      </c>
      <c r="AN81" s="129">
        <f t="shared" si="69"/>
        <v>0</v>
      </c>
      <c r="AO81" s="129">
        <f t="shared" si="70"/>
        <v>0</v>
      </c>
      <c r="AP81" s="129">
        <f t="shared" si="71"/>
        <v>0</v>
      </c>
      <c r="AQ81" s="129">
        <f t="shared" si="72"/>
        <v>0</v>
      </c>
      <c r="AR81" s="129">
        <f t="shared" si="73"/>
        <v>0</v>
      </c>
      <c r="AS81" s="129">
        <f t="shared" si="74"/>
        <v>0</v>
      </c>
      <c r="AT81" s="129">
        <f t="shared" si="75"/>
        <v>0</v>
      </c>
      <c r="AU81" s="129">
        <f t="shared" si="76"/>
        <v>0</v>
      </c>
      <c r="AV81" s="129">
        <f t="shared" si="77"/>
        <v>0</v>
      </c>
      <c r="AW81" s="129">
        <f t="shared" si="78"/>
        <v>0</v>
      </c>
      <c r="AY81" s="162" t="str">
        <f>IF(ISBLANK(C81),"",NOT(ISERROR(MATCH(C81,Deltagarlista!$E$5:$E$64,0))))</f>
        <v/>
      </c>
      <c r="AZ81" s="162" t="str">
        <f>IF(ISBLANK(D81),"",NOT(ISERROR(MATCH(D81,Deltagarlista!$E$5:$E$64,0))))</f>
        <v/>
      </c>
      <c r="BA81" s="162" t="str">
        <f>IF(ISBLANK(E81),"",NOT(ISERROR(MATCH(E81,Deltagarlista!$E$5:$E$64,0))))</f>
        <v/>
      </c>
      <c r="BB81" s="162" t="str">
        <f>IF(ISBLANK(F81),"",NOT(ISERROR(MATCH(F81,Deltagarlista!$E$5:$E$64,0))))</f>
        <v/>
      </c>
      <c r="BC81" s="162" t="str">
        <f>IF(ISBLANK(G81),"",NOT(ISERROR(MATCH(G81,Deltagarlista!$E$5:$E$64,0))))</f>
        <v/>
      </c>
      <c r="BD81" s="162" t="str">
        <f>IF(ISBLANK(H81),"",NOT(ISERROR(MATCH(H81,Deltagarlista!$E$5:$E$64,0))))</f>
        <v/>
      </c>
      <c r="BE81" s="162" t="str">
        <f>IF(ISBLANK(I81),"",NOT(ISERROR(MATCH(I81,Deltagarlista!$E$5:$E$64,0))))</f>
        <v/>
      </c>
      <c r="BF81" s="162" t="str">
        <f>IF(ISBLANK(J81),"",NOT(ISERROR(MATCH(J81,Deltagarlista!$E$5:$E$64,0))))</f>
        <v/>
      </c>
      <c r="BG81" s="162" t="str">
        <f>IF(ISBLANK(K81),"",NOT(ISERROR(MATCH(K81,Deltagarlista!$E$5:$E$64,0))))</f>
        <v/>
      </c>
      <c r="BH81" s="162" t="str">
        <f>IF(ISBLANK(L81),"",NOT(ISERROR(MATCH(L81,Deltagarlista!$E$5:$E$64,0))))</f>
        <v/>
      </c>
      <c r="BI81" s="162" t="str">
        <f>IF(ISBLANK(M81),"",NOT(ISERROR(MATCH(M81,Deltagarlista!$E$5:$E$64,0))))</f>
        <v/>
      </c>
      <c r="BJ81" s="162" t="str">
        <f>IF(ISBLANK(N81),"",NOT(ISERROR(MATCH(N81,Deltagarlista!$E$5:$E$64,0))))</f>
        <v/>
      </c>
      <c r="BK81" s="162" t="str">
        <f>IF(ISBLANK(O81),"",NOT(ISERROR(MATCH(O81,Deltagarlista!$E$5:$E$64,0))))</f>
        <v/>
      </c>
      <c r="BL81" s="162" t="str">
        <f>IF(ISBLANK(P81),"",NOT(ISERROR(MATCH(P81,Deltagarlista!$E$5:$E$64,0))))</f>
        <v/>
      </c>
      <c r="BM81" s="162" t="str">
        <f>IF(ISBLANK(Q81),"",NOT(ISERROR(MATCH(Q81,Deltagarlista!$E$5:$E$64,0))))</f>
        <v/>
      </c>
      <c r="BN81" s="167"/>
    </row>
    <row r="82" spans="2:66" x14ac:dyDescent="0.3">
      <c r="B82" s="186">
        <v>30</v>
      </c>
      <c r="C82" s="27"/>
      <c r="D82" s="28"/>
      <c r="E82" s="38"/>
      <c r="F82" s="27"/>
      <c r="G82" s="28"/>
      <c r="H82" s="29"/>
      <c r="I82" s="41"/>
      <c r="J82" s="28"/>
      <c r="K82" s="38"/>
      <c r="L82" s="27"/>
      <c r="M82" s="28"/>
      <c r="N82" s="29"/>
      <c r="O82" s="41"/>
      <c r="P82" s="28"/>
      <c r="Q82" s="29"/>
      <c r="R82" s="187">
        <v>30</v>
      </c>
      <c r="S82" s="188">
        <v>30</v>
      </c>
      <c r="T82" s="188">
        <v>30</v>
      </c>
      <c r="U82" s="188">
        <v>30</v>
      </c>
      <c r="V82" s="188">
        <v>30</v>
      </c>
      <c r="W82" s="188">
        <v>30</v>
      </c>
      <c r="X82" s="188">
        <v>30</v>
      </c>
      <c r="Y82" s="188">
        <v>30</v>
      </c>
      <c r="Z82" s="188">
        <v>30</v>
      </c>
      <c r="AA82" s="188">
        <v>30</v>
      </c>
      <c r="AB82" s="188">
        <v>30</v>
      </c>
      <c r="AC82" s="188">
        <v>30</v>
      </c>
      <c r="AD82" s="188">
        <v>30</v>
      </c>
      <c r="AE82" s="188">
        <v>30</v>
      </c>
      <c r="AF82" s="188">
        <v>30</v>
      </c>
      <c r="AG82" s="188">
        <v>30</v>
      </c>
      <c r="AH82" s="166"/>
      <c r="AI82" s="129">
        <f t="shared" si="64"/>
        <v>0</v>
      </c>
      <c r="AJ82" s="129">
        <f t="shared" si="65"/>
        <v>0</v>
      </c>
      <c r="AK82" s="129">
        <f t="shared" si="66"/>
        <v>0</v>
      </c>
      <c r="AL82" s="129">
        <f t="shared" si="67"/>
        <v>0</v>
      </c>
      <c r="AM82" s="129">
        <f t="shared" si="68"/>
        <v>0</v>
      </c>
      <c r="AN82" s="129">
        <f t="shared" si="69"/>
        <v>0</v>
      </c>
      <c r="AO82" s="129">
        <f t="shared" si="70"/>
        <v>0</v>
      </c>
      <c r="AP82" s="129">
        <f t="shared" si="71"/>
        <v>0</v>
      </c>
      <c r="AQ82" s="129">
        <f t="shared" si="72"/>
        <v>0</v>
      </c>
      <c r="AR82" s="129">
        <f t="shared" si="73"/>
        <v>0</v>
      </c>
      <c r="AS82" s="129">
        <f t="shared" si="74"/>
        <v>0</v>
      </c>
      <c r="AT82" s="129">
        <f t="shared" si="75"/>
        <v>0</v>
      </c>
      <c r="AU82" s="129">
        <f t="shared" si="76"/>
        <v>0</v>
      </c>
      <c r="AV82" s="129">
        <f t="shared" si="77"/>
        <v>0</v>
      </c>
      <c r="AW82" s="129">
        <f t="shared" si="78"/>
        <v>0</v>
      </c>
      <c r="AY82" s="162" t="str">
        <f>IF(ISBLANK(C82),"",NOT(ISERROR(MATCH(C82,Deltagarlista!$E$5:$E$64,0))))</f>
        <v/>
      </c>
      <c r="AZ82" s="162" t="str">
        <f>IF(ISBLANK(D82),"",NOT(ISERROR(MATCH(D82,Deltagarlista!$E$5:$E$64,0))))</f>
        <v/>
      </c>
      <c r="BA82" s="162" t="str">
        <f>IF(ISBLANK(E82),"",NOT(ISERROR(MATCH(E82,Deltagarlista!$E$5:$E$64,0))))</f>
        <v/>
      </c>
      <c r="BB82" s="162" t="str">
        <f>IF(ISBLANK(F82),"",NOT(ISERROR(MATCH(F82,Deltagarlista!$E$5:$E$64,0))))</f>
        <v/>
      </c>
      <c r="BC82" s="162" t="str">
        <f>IF(ISBLANK(G82),"",NOT(ISERROR(MATCH(G82,Deltagarlista!$E$5:$E$64,0))))</f>
        <v/>
      </c>
      <c r="BD82" s="162" t="str">
        <f>IF(ISBLANK(H82),"",NOT(ISERROR(MATCH(H82,Deltagarlista!$E$5:$E$64,0))))</f>
        <v/>
      </c>
      <c r="BE82" s="162" t="str">
        <f>IF(ISBLANK(I82),"",NOT(ISERROR(MATCH(I82,Deltagarlista!$E$5:$E$64,0))))</f>
        <v/>
      </c>
      <c r="BF82" s="162" t="str">
        <f>IF(ISBLANK(J82),"",NOT(ISERROR(MATCH(J82,Deltagarlista!$E$5:$E$64,0))))</f>
        <v/>
      </c>
      <c r="BG82" s="162" t="str">
        <f>IF(ISBLANK(K82),"",NOT(ISERROR(MATCH(K82,Deltagarlista!$E$5:$E$64,0))))</f>
        <v/>
      </c>
      <c r="BH82" s="162" t="str">
        <f>IF(ISBLANK(L82),"",NOT(ISERROR(MATCH(L82,Deltagarlista!$E$5:$E$64,0))))</f>
        <v/>
      </c>
      <c r="BI82" s="162" t="str">
        <f>IF(ISBLANK(M82),"",NOT(ISERROR(MATCH(M82,Deltagarlista!$E$5:$E$64,0))))</f>
        <v/>
      </c>
      <c r="BJ82" s="162" t="str">
        <f>IF(ISBLANK(N82),"",NOT(ISERROR(MATCH(N82,Deltagarlista!$E$5:$E$64,0))))</f>
        <v/>
      </c>
      <c r="BK82" s="162" t="str">
        <f>IF(ISBLANK(O82),"",NOT(ISERROR(MATCH(O82,Deltagarlista!$E$5:$E$64,0))))</f>
        <v/>
      </c>
      <c r="BL82" s="162" t="str">
        <f>IF(ISBLANK(P82),"",NOT(ISERROR(MATCH(P82,Deltagarlista!$E$5:$E$64,0))))</f>
        <v/>
      </c>
      <c r="BM82" s="162" t="str">
        <f>IF(ISBLANK(Q82),"",NOT(ISERROR(MATCH(Q82,Deltagarlista!$E$5:$E$64,0))))</f>
        <v/>
      </c>
      <c r="BN82" s="167"/>
    </row>
    <row r="83" spans="2:66" x14ac:dyDescent="0.3">
      <c r="B83" s="189" t="s">
        <v>5</v>
      </c>
      <c r="C83" s="27"/>
      <c r="D83" s="28"/>
      <c r="E83" s="38"/>
      <c r="F83" s="27"/>
      <c r="G83" s="28"/>
      <c r="H83" s="29"/>
      <c r="I83" s="41"/>
      <c r="J83" s="28"/>
      <c r="K83" s="38"/>
      <c r="L83" s="27"/>
      <c r="M83" s="28"/>
      <c r="N83" s="29"/>
      <c r="O83" s="41"/>
      <c r="P83" s="28"/>
      <c r="Q83" s="29"/>
      <c r="R83" s="190" t="s">
        <v>5</v>
      </c>
      <c r="S83" s="188" t="s">
        <v>5</v>
      </c>
      <c r="T83" s="188" t="s">
        <v>5</v>
      </c>
      <c r="U83" s="188" t="s">
        <v>5</v>
      </c>
      <c r="V83" s="188" t="s">
        <v>5</v>
      </c>
      <c r="W83" s="188" t="s">
        <v>5</v>
      </c>
      <c r="X83" s="188" t="s">
        <v>5</v>
      </c>
      <c r="Y83" s="188" t="s">
        <v>5</v>
      </c>
      <c r="Z83" s="188" t="s">
        <v>5</v>
      </c>
      <c r="AA83" s="188" t="s">
        <v>5</v>
      </c>
      <c r="AB83" s="188" t="s">
        <v>5</v>
      </c>
      <c r="AC83" s="188" t="s">
        <v>5</v>
      </c>
      <c r="AD83" s="188" t="s">
        <v>5</v>
      </c>
      <c r="AE83" s="188" t="s">
        <v>5</v>
      </c>
      <c r="AF83" s="188" t="s">
        <v>5</v>
      </c>
      <c r="AG83" s="188" t="s">
        <v>5</v>
      </c>
      <c r="AH83" s="166"/>
      <c r="AI83" s="129">
        <f t="shared" si="64"/>
        <v>0</v>
      </c>
      <c r="AJ83" s="129">
        <f t="shared" si="65"/>
        <v>0</v>
      </c>
      <c r="AK83" s="129">
        <f t="shared" si="66"/>
        <v>0</v>
      </c>
      <c r="AL83" s="129">
        <f t="shared" si="67"/>
        <v>0</v>
      </c>
      <c r="AM83" s="129">
        <f t="shared" si="68"/>
        <v>0</v>
      </c>
      <c r="AN83" s="129">
        <f t="shared" si="69"/>
        <v>0</v>
      </c>
      <c r="AO83" s="129">
        <f t="shared" si="70"/>
        <v>0</v>
      </c>
      <c r="AP83" s="129">
        <f t="shared" si="71"/>
        <v>0</v>
      </c>
      <c r="AQ83" s="129">
        <f t="shared" si="72"/>
        <v>0</v>
      </c>
      <c r="AR83" s="129">
        <f t="shared" si="73"/>
        <v>0</v>
      </c>
      <c r="AS83" s="129">
        <f t="shared" si="74"/>
        <v>0</v>
      </c>
      <c r="AT83" s="129">
        <f t="shared" si="75"/>
        <v>0</v>
      </c>
      <c r="AU83" s="129">
        <f t="shared" si="76"/>
        <v>0</v>
      </c>
      <c r="AV83" s="129">
        <f t="shared" si="77"/>
        <v>0</v>
      </c>
      <c r="AW83" s="129">
        <f t="shared" si="78"/>
        <v>0</v>
      </c>
      <c r="AY83" s="162" t="str">
        <f>IF(ISBLANK(C83),"",NOT(ISERROR(MATCH(C83,Deltagarlista!$E$5:$E$64,0))))</f>
        <v/>
      </c>
      <c r="AZ83" s="162" t="str">
        <f>IF(ISBLANK(D83),"",NOT(ISERROR(MATCH(D83,Deltagarlista!$E$5:$E$64,0))))</f>
        <v/>
      </c>
      <c r="BA83" s="162" t="str">
        <f>IF(ISBLANK(E83),"",NOT(ISERROR(MATCH(E83,Deltagarlista!$E$5:$E$64,0))))</f>
        <v/>
      </c>
      <c r="BB83" s="162" t="str">
        <f>IF(ISBLANK(F83),"",NOT(ISERROR(MATCH(F83,Deltagarlista!$E$5:$E$64,0))))</f>
        <v/>
      </c>
      <c r="BC83" s="162" t="str">
        <f>IF(ISBLANK(G83),"",NOT(ISERROR(MATCH(G83,Deltagarlista!$E$5:$E$64,0))))</f>
        <v/>
      </c>
      <c r="BD83" s="162" t="str">
        <f>IF(ISBLANK(H83),"",NOT(ISERROR(MATCH(H83,Deltagarlista!$E$5:$E$64,0))))</f>
        <v/>
      </c>
      <c r="BE83" s="162" t="str">
        <f>IF(ISBLANK(I83),"",NOT(ISERROR(MATCH(I83,Deltagarlista!$E$5:$E$64,0))))</f>
        <v/>
      </c>
      <c r="BF83" s="162" t="str">
        <f>IF(ISBLANK(J83),"",NOT(ISERROR(MATCH(J83,Deltagarlista!$E$5:$E$64,0))))</f>
        <v/>
      </c>
      <c r="BG83" s="162" t="str">
        <f>IF(ISBLANK(K83),"",NOT(ISERROR(MATCH(K83,Deltagarlista!$E$5:$E$64,0))))</f>
        <v/>
      </c>
      <c r="BH83" s="162" t="str">
        <f>IF(ISBLANK(L83),"",NOT(ISERROR(MATCH(L83,Deltagarlista!$E$5:$E$64,0))))</f>
        <v/>
      </c>
      <c r="BI83" s="162" t="str">
        <f>IF(ISBLANK(M83),"",NOT(ISERROR(MATCH(M83,Deltagarlista!$E$5:$E$64,0))))</f>
        <v/>
      </c>
      <c r="BJ83" s="162" t="str">
        <f>IF(ISBLANK(N83),"",NOT(ISERROR(MATCH(N83,Deltagarlista!$E$5:$E$64,0))))</f>
        <v/>
      </c>
      <c r="BK83" s="162" t="str">
        <f>IF(ISBLANK(O83),"",NOT(ISERROR(MATCH(O83,Deltagarlista!$E$5:$E$64,0))))</f>
        <v/>
      </c>
      <c r="BL83" s="162" t="str">
        <f>IF(ISBLANK(P83),"",NOT(ISERROR(MATCH(P83,Deltagarlista!$E$5:$E$64,0))))</f>
        <v/>
      </c>
      <c r="BM83" s="162" t="str">
        <f>IF(ISBLANK(Q83),"",NOT(ISERROR(MATCH(Q83,Deltagarlista!$E$5:$E$64,0))))</f>
        <v/>
      </c>
      <c r="BN83" s="167"/>
    </row>
    <row r="84" spans="2:66" x14ac:dyDescent="0.3">
      <c r="B84" s="189" t="s">
        <v>5</v>
      </c>
      <c r="C84" s="27"/>
      <c r="D84" s="28"/>
      <c r="E84" s="38"/>
      <c r="F84" s="27"/>
      <c r="G84" s="28"/>
      <c r="H84" s="29"/>
      <c r="I84" s="41"/>
      <c r="J84" s="28"/>
      <c r="K84" s="38"/>
      <c r="L84" s="27"/>
      <c r="M84" s="28"/>
      <c r="N84" s="29"/>
      <c r="O84" s="41"/>
      <c r="P84" s="28"/>
      <c r="Q84" s="29"/>
      <c r="R84" s="190" t="s">
        <v>5</v>
      </c>
      <c r="S84" s="188" t="s">
        <v>5</v>
      </c>
      <c r="T84" s="188" t="s">
        <v>5</v>
      </c>
      <c r="U84" s="188" t="s">
        <v>5</v>
      </c>
      <c r="V84" s="188" t="s">
        <v>5</v>
      </c>
      <c r="W84" s="188" t="s">
        <v>5</v>
      </c>
      <c r="X84" s="188" t="s">
        <v>5</v>
      </c>
      <c r="Y84" s="188" t="s">
        <v>5</v>
      </c>
      <c r="Z84" s="188" t="s">
        <v>5</v>
      </c>
      <c r="AA84" s="188" t="s">
        <v>5</v>
      </c>
      <c r="AB84" s="188" t="s">
        <v>5</v>
      </c>
      <c r="AC84" s="188" t="s">
        <v>5</v>
      </c>
      <c r="AD84" s="188" t="s">
        <v>5</v>
      </c>
      <c r="AE84" s="188" t="s">
        <v>5</v>
      </c>
      <c r="AF84" s="188" t="s">
        <v>5</v>
      </c>
      <c r="AG84" s="188" t="s">
        <v>5</v>
      </c>
      <c r="AH84" s="166"/>
      <c r="AI84" s="129">
        <f t="shared" si="64"/>
        <v>0</v>
      </c>
      <c r="AJ84" s="129">
        <f t="shared" si="65"/>
        <v>0</v>
      </c>
      <c r="AK84" s="129">
        <f t="shared" si="66"/>
        <v>0</v>
      </c>
      <c r="AL84" s="129">
        <f t="shared" si="67"/>
        <v>0</v>
      </c>
      <c r="AM84" s="129">
        <f t="shared" si="68"/>
        <v>0</v>
      </c>
      <c r="AN84" s="129">
        <f t="shared" si="69"/>
        <v>0</v>
      </c>
      <c r="AO84" s="129">
        <f t="shared" si="70"/>
        <v>0</v>
      </c>
      <c r="AP84" s="129">
        <f t="shared" si="71"/>
        <v>0</v>
      </c>
      <c r="AQ84" s="129">
        <f t="shared" si="72"/>
        <v>0</v>
      </c>
      <c r="AR84" s="129">
        <f t="shared" si="73"/>
        <v>0</v>
      </c>
      <c r="AS84" s="129">
        <f t="shared" si="74"/>
        <v>0</v>
      </c>
      <c r="AT84" s="129">
        <f t="shared" si="75"/>
        <v>0</v>
      </c>
      <c r="AU84" s="129">
        <f t="shared" si="76"/>
        <v>0</v>
      </c>
      <c r="AV84" s="129">
        <f t="shared" si="77"/>
        <v>0</v>
      </c>
      <c r="AW84" s="129">
        <f t="shared" si="78"/>
        <v>0</v>
      </c>
      <c r="AY84" s="162" t="str">
        <f>IF(ISBLANK(C84),"",NOT(ISERROR(MATCH(C84,Deltagarlista!$E$5:$E$64,0))))</f>
        <v/>
      </c>
      <c r="AZ84" s="162" t="str">
        <f>IF(ISBLANK(D84),"",NOT(ISERROR(MATCH(D84,Deltagarlista!$E$5:$E$64,0))))</f>
        <v/>
      </c>
      <c r="BA84" s="162" t="str">
        <f>IF(ISBLANK(E84),"",NOT(ISERROR(MATCH(E84,Deltagarlista!$E$5:$E$64,0))))</f>
        <v/>
      </c>
      <c r="BB84" s="162" t="str">
        <f>IF(ISBLANK(F84),"",NOT(ISERROR(MATCH(F84,Deltagarlista!$E$5:$E$64,0))))</f>
        <v/>
      </c>
      <c r="BC84" s="162" t="str">
        <f>IF(ISBLANK(G84),"",NOT(ISERROR(MATCH(G84,Deltagarlista!$E$5:$E$64,0))))</f>
        <v/>
      </c>
      <c r="BD84" s="162" t="str">
        <f>IF(ISBLANK(H84),"",NOT(ISERROR(MATCH(H84,Deltagarlista!$E$5:$E$64,0))))</f>
        <v/>
      </c>
      <c r="BE84" s="162" t="str">
        <f>IF(ISBLANK(I84),"",NOT(ISERROR(MATCH(I84,Deltagarlista!$E$5:$E$64,0))))</f>
        <v/>
      </c>
      <c r="BF84" s="162" t="str">
        <f>IF(ISBLANK(J84),"",NOT(ISERROR(MATCH(J84,Deltagarlista!$E$5:$E$64,0))))</f>
        <v/>
      </c>
      <c r="BG84" s="162" t="str">
        <f>IF(ISBLANK(K84),"",NOT(ISERROR(MATCH(K84,Deltagarlista!$E$5:$E$64,0))))</f>
        <v/>
      </c>
      <c r="BH84" s="162" t="str">
        <f>IF(ISBLANK(L84),"",NOT(ISERROR(MATCH(L84,Deltagarlista!$E$5:$E$64,0))))</f>
        <v/>
      </c>
      <c r="BI84" s="162" t="str">
        <f>IF(ISBLANK(M84),"",NOT(ISERROR(MATCH(M84,Deltagarlista!$E$5:$E$64,0))))</f>
        <v/>
      </c>
      <c r="BJ84" s="162" t="str">
        <f>IF(ISBLANK(N84),"",NOT(ISERROR(MATCH(N84,Deltagarlista!$E$5:$E$64,0))))</f>
        <v/>
      </c>
      <c r="BK84" s="162" t="str">
        <f>IF(ISBLANK(O84),"",NOT(ISERROR(MATCH(O84,Deltagarlista!$E$5:$E$64,0))))</f>
        <v/>
      </c>
      <c r="BL84" s="162" t="str">
        <f>IF(ISBLANK(P84),"",NOT(ISERROR(MATCH(P84,Deltagarlista!$E$5:$E$64,0))))</f>
        <v/>
      </c>
      <c r="BM84" s="162" t="str">
        <f>IF(ISBLANK(Q84),"",NOT(ISERROR(MATCH(Q84,Deltagarlista!$E$5:$E$64,0))))</f>
        <v/>
      </c>
      <c r="BN84" s="167"/>
    </row>
    <row r="85" spans="2:66" x14ac:dyDescent="0.3">
      <c r="B85" s="189" t="s">
        <v>5</v>
      </c>
      <c r="C85" s="27"/>
      <c r="D85" s="28"/>
      <c r="E85" s="38"/>
      <c r="F85" s="27"/>
      <c r="G85" s="28"/>
      <c r="H85" s="29"/>
      <c r="I85" s="41"/>
      <c r="J85" s="28"/>
      <c r="K85" s="38"/>
      <c r="L85" s="27"/>
      <c r="M85" s="28"/>
      <c r="N85" s="29"/>
      <c r="O85" s="41"/>
      <c r="P85" s="28"/>
      <c r="Q85" s="29"/>
      <c r="R85" s="190" t="s">
        <v>5</v>
      </c>
      <c r="S85" s="188" t="s">
        <v>5</v>
      </c>
      <c r="T85" s="188" t="s">
        <v>5</v>
      </c>
      <c r="U85" s="188" t="s">
        <v>5</v>
      </c>
      <c r="V85" s="188" t="s">
        <v>5</v>
      </c>
      <c r="W85" s="188" t="s">
        <v>5</v>
      </c>
      <c r="X85" s="188" t="s">
        <v>5</v>
      </c>
      <c r="Y85" s="188" t="s">
        <v>5</v>
      </c>
      <c r="Z85" s="188" t="s">
        <v>5</v>
      </c>
      <c r="AA85" s="188" t="s">
        <v>5</v>
      </c>
      <c r="AB85" s="188" t="s">
        <v>5</v>
      </c>
      <c r="AC85" s="188" t="s">
        <v>5</v>
      </c>
      <c r="AD85" s="188" t="s">
        <v>5</v>
      </c>
      <c r="AE85" s="188" t="s">
        <v>5</v>
      </c>
      <c r="AF85" s="188" t="s">
        <v>5</v>
      </c>
      <c r="AG85" s="188" t="s">
        <v>5</v>
      </c>
      <c r="AH85" s="166"/>
      <c r="AI85" s="129">
        <f t="shared" si="64"/>
        <v>0</v>
      </c>
      <c r="AJ85" s="129">
        <f t="shared" si="65"/>
        <v>0</v>
      </c>
      <c r="AK85" s="129">
        <f t="shared" si="66"/>
        <v>0</v>
      </c>
      <c r="AL85" s="129">
        <f t="shared" si="67"/>
        <v>0</v>
      </c>
      <c r="AM85" s="129">
        <f t="shared" si="68"/>
        <v>0</v>
      </c>
      <c r="AN85" s="129">
        <f t="shared" si="69"/>
        <v>0</v>
      </c>
      <c r="AO85" s="129">
        <f t="shared" si="70"/>
        <v>0</v>
      </c>
      <c r="AP85" s="129">
        <f t="shared" si="71"/>
        <v>0</v>
      </c>
      <c r="AQ85" s="129">
        <f t="shared" si="72"/>
        <v>0</v>
      </c>
      <c r="AR85" s="129">
        <f t="shared" si="73"/>
        <v>0</v>
      </c>
      <c r="AS85" s="129">
        <f t="shared" si="74"/>
        <v>0</v>
      </c>
      <c r="AT85" s="129">
        <f t="shared" si="75"/>
        <v>0</v>
      </c>
      <c r="AU85" s="129">
        <f t="shared" si="76"/>
        <v>0</v>
      </c>
      <c r="AV85" s="129">
        <f t="shared" si="77"/>
        <v>0</v>
      </c>
      <c r="AW85" s="129">
        <f t="shared" si="78"/>
        <v>0</v>
      </c>
      <c r="AY85" s="162" t="str">
        <f>IF(ISBLANK(C85),"",NOT(ISERROR(MATCH(C85,Deltagarlista!$E$5:$E$64,0))))</f>
        <v/>
      </c>
      <c r="AZ85" s="162" t="str">
        <f>IF(ISBLANK(D85),"",NOT(ISERROR(MATCH(D85,Deltagarlista!$E$5:$E$64,0))))</f>
        <v/>
      </c>
      <c r="BA85" s="162" t="str">
        <f>IF(ISBLANK(E85),"",NOT(ISERROR(MATCH(E85,Deltagarlista!$E$5:$E$64,0))))</f>
        <v/>
      </c>
      <c r="BB85" s="162" t="str">
        <f>IF(ISBLANK(F85),"",NOT(ISERROR(MATCH(F85,Deltagarlista!$E$5:$E$64,0))))</f>
        <v/>
      </c>
      <c r="BC85" s="162" t="str">
        <f>IF(ISBLANK(G85),"",NOT(ISERROR(MATCH(G85,Deltagarlista!$E$5:$E$64,0))))</f>
        <v/>
      </c>
      <c r="BD85" s="162" t="str">
        <f>IF(ISBLANK(H85),"",NOT(ISERROR(MATCH(H85,Deltagarlista!$E$5:$E$64,0))))</f>
        <v/>
      </c>
      <c r="BE85" s="162" t="str">
        <f>IF(ISBLANK(I85),"",NOT(ISERROR(MATCH(I85,Deltagarlista!$E$5:$E$64,0))))</f>
        <v/>
      </c>
      <c r="BF85" s="162" t="str">
        <f>IF(ISBLANK(J85),"",NOT(ISERROR(MATCH(J85,Deltagarlista!$E$5:$E$64,0))))</f>
        <v/>
      </c>
      <c r="BG85" s="162" t="str">
        <f>IF(ISBLANK(K85),"",NOT(ISERROR(MATCH(K85,Deltagarlista!$E$5:$E$64,0))))</f>
        <v/>
      </c>
      <c r="BH85" s="162" t="str">
        <f>IF(ISBLANK(L85),"",NOT(ISERROR(MATCH(L85,Deltagarlista!$E$5:$E$64,0))))</f>
        <v/>
      </c>
      <c r="BI85" s="162" t="str">
        <f>IF(ISBLANK(M85),"",NOT(ISERROR(MATCH(M85,Deltagarlista!$E$5:$E$64,0))))</f>
        <v/>
      </c>
      <c r="BJ85" s="162" t="str">
        <f>IF(ISBLANK(N85),"",NOT(ISERROR(MATCH(N85,Deltagarlista!$E$5:$E$64,0))))</f>
        <v/>
      </c>
      <c r="BK85" s="162" t="str">
        <f>IF(ISBLANK(O85),"",NOT(ISERROR(MATCH(O85,Deltagarlista!$E$5:$E$64,0))))</f>
        <v/>
      </c>
      <c r="BL85" s="162" t="str">
        <f>IF(ISBLANK(P85),"",NOT(ISERROR(MATCH(P85,Deltagarlista!$E$5:$E$64,0))))</f>
        <v/>
      </c>
      <c r="BM85" s="162" t="str">
        <f>IF(ISBLANK(Q85),"",NOT(ISERROR(MATCH(Q85,Deltagarlista!$E$5:$E$64,0))))</f>
        <v/>
      </c>
      <c r="BN85" s="167"/>
    </row>
    <row r="86" spans="2:66" x14ac:dyDescent="0.3">
      <c r="B86" s="189" t="s">
        <v>5</v>
      </c>
      <c r="C86" s="27"/>
      <c r="D86" s="28"/>
      <c r="E86" s="38"/>
      <c r="F86" s="27"/>
      <c r="G86" s="28"/>
      <c r="H86" s="29"/>
      <c r="I86" s="41"/>
      <c r="J86" s="28"/>
      <c r="K86" s="38"/>
      <c r="L86" s="27"/>
      <c r="M86" s="28"/>
      <c r="N86" s="29"/>
      <c r="O86" s="41"/>
      <c r="P86" s="28"/>
      <c r="Q86" s="29"/>
      <c r="R86" s="190" t="s">
        <v>5</v>
      </c>
      <c r="S86" s="188" t="s">
        <v>5</v>
      </c>
      <c r="T86" s="188" t="s">
        <v>5</v>
      </c>
      <c r="U86" s="188" t="s">
        <v>5</v>
      </c>
      <c r="V86" s="188" t="s">
        <v>5</v>
      </c>
      <c r="W86" s="188" t="s">
        <v>5</v>
      </c>
      <c r="X86" s="188" t="s">
        <v>5</v>
      </c>
      <c r="Y86" s="188" t="s">
        <v>5</v>
      </c>
      <c r="Z86" s="188" t="s">
        <v>5</v>
      </c>
      <c r="AA86" s="188" t="s">
        <v>5</v>
      </c>
      <c r="AB86" s="188" t="s">
        <v>5</v>
      </c>
      <c r="AC86" s="188" t="s">
        <v>5</v>
      </c>
      <c r="AD86" s="188" t="s">
        <v>5</v>
      </c>
      <c r="AE86" s="188" t="s">
        <v>5</v>
      </c>
      <c r="AF86" s="188" t="s">
        <v>5</v>
      </c>
      <c r="AG86" s="188" t="s">
        <v>5</v>
      </c>
      <c r="AH86" s="166"/>
      <c r="AI86" s="129">
        <f t="shared" si="64"/>
        <v>0</v>
      </c>
      <c r="AJ86" s="129">
        <f t="shared" si="65"/>
        <v>0</v>
      </c>
      <c r="AK86" s="129">
        <f t="shared" si="66"/>
        <v>0</v>
      </c>
      <c r="AL86" s="129">
        <f t="shared" si="67"/>
        <v>0</v>
      </c>
      <c r="AM86" s="129">
        <f t="shared" si="68"/>
        <v>0</v>
      </c>
      <c r="AN86" s="129">
        <f t="shared" si="69"/>
        <v>0</v>
      </c>
      <c r="AO86" s="129">
        <f t="shared" si="70"/>
        <v>0</v>
      </c>
      <c r="AP86" s="129">
        <f t="shared" si="71"/>
        <v>0</v>
      </c>
      <c r="AQ86" s="129">
        <f t="shared" si="72"/>
        <v>0</v>
      </c>
      <c r="AR86" s="129">
        <f t="shared" si="73"/>
        <v>0</v>
      </c>
      <c r="AS86" s="129">
        <f t="shared" si="74"/>
        <v>0</v>
      </c>
      <c r="AT86" s="129">
        <f t="shared" si="75"/>
        <v>0</v>
      </c>
      <c r="AU86" s="129">
        <f t="shared" si="76"/>
        <v>0</v>
      </c>
      <c r="AV86" s="129">
        <f t="shared" si="77"/>
        <v>0</v>
      </c>
      <c r="AW86" s="129">
        <f t="shared" si="78"/>
        <v>0</v>
      </c>
      <c r="AY86" s="162" t="str">
        <f>IF(ISBLANK(C86),"",NOT(ISERROR(MATCH(C86,Deltagarlista!$E$5:$E$64,0))))</f>
        <v/>
      </c>
      <c r="AZ86" s="162" t="str">
        <f>IF(ISBLANK(D86),"",NOT(ISERROR(MATCH(D86,Deltagarlista!$E$5:$E$64,0))))</f>
        <v/>
      </c>
      <c r="BA86" s="162" t="str">
        <f>IF(ISBLANK(E86),"",NOT(ISERROR(MATCH(E86,Deltagarlista!$E$5:$E$64,0))))</f>
        <v/>
      </c>
      <c r="BB86" s="162" t="str">
        <f>IF(ISBLANK(F86),"",NOT(ISERROR(MATCH(F86,Deltagarlista!$E$5:$E$64,0))))</f>
        <v/>
      </c>
      <c r="BC86" s="162" t="str">
        <f>IF(ISBLANK(G86),"",NOT(ISERROR(MATCH(G86,Deltagarlista!$E$5:$E$64,0))))</f>
        <v/>
      </c>
      <c r="BD86" s="162" t="str">
        <f>IF(ISBLANK(H86),"",NOT(ISERROR(MATCH(H86,Deltagarlista!$E$5:$E$64,0))))</f>
        <v/>
      </c>
      <c r="BE86" s="162" t="str">
        <f>IF(ISBLANK(I86),"",NOT(ISERROR(MATCH(I86,Deltagarlista!$E$5:$E$64,0))))</f>
        <v/>
      </c>
      <c r="BF86" s="162" t="str">
        <f>IF(ISBLANK(J86),"",NOT(ISERROR(MATCH(J86,Deltagarlista!$E$5:$E$64,0))))</f>
        <v/>
      </c>
      <c r="BG86" s="162" t="str">
        <f>IF(ISBLANK(K86),"",NOT(ISERROR(MATCH(K86,Deltagarlista!$E$5:$E$64,0))))</f>
        <v/>
      </c>
      <c r="BH86" s="162" t="str">
        <f>IF(ISBLANK(L86),"",NOT(ISERROR(MATCH(L86,Deltagarlista!$E$5:$E$64,0))))</f>
        <v/>
      </c>
      <c r="BI86" s="162" t="str">
        <f>IF(ISBLANK(M86),"",NOT(ISERROR(MATCH(M86,Deltagarlista!$E$5:$E$64,0))))</f>
        <v/>
      </c>
      <c r="BJ86" s="162" t="str">
        <f>IF(ISBLANK(N86),"",NOT(ISERROR(MATCH(N86,Deltagarlista!$E$5:$E$64,0))))</f>
        <v/>
      </c>
      <c r="BK86" s="162" t="str">
        <f>IF(ISBLANK(O86),"",NOT(ISERROR(MATCH(O86,Deltagarlista!$E$5:$E$64,0))))</f>
        <v/>
      </c>
      <c r="BL86" s="162" t="str">
        <f>IF(ISBLANK(P86),"",NOT(ISERROR(MATCH(P86,Deltagarlista!$E$5:$E$64,0))))</f>
        <v/>
      </c>
      <c r="BM86" s="162" t="str">
        <f>IF(ISBLANK(Q86),"",NOT(ISERROR(MATCH(Q86,Deltagarlista!$E$5:$E$64,0))))</f>
        <v/>
      </c>
      <c r="BN86" s="167"/>
    </row>
    <row r="87" spans="2:66" x14ac:dyDescent="0.3">
      <c r="B87" s="189" t="s">
        <v>5</v>
      </c>
      <c r="C87" s="27"/>
      <c r="D87" s="28"/>
      <c r="E87" s="38"/>
      <c r="F87" s="27"/>
      <c r="G87" s="28"/>
      <c r="H87" s="29"/>
      <c r="I87" s="41"/>
      <c r="J87" s="28"/>
      <c r="K87" s="38"/>
      <c r="L87" s="27"/>
      <c r="M87" s="28"/>
      <c r="N87" s="29"/>
      <c r="O87" s="41"/>
      <c r="P87" s="28"/>
      <c r="Q87" s="29"/>
      <c r="R87" s="190" t="s">
        <v>5</v>
      </c>
      <c r="S87" s="188" t="s">
        <v>5</v>
      </c>
      <c r="T87" s="188" t="s">
        <v>5</v>
      </c>
      <c r="U87" s="188" t="s">
        <v>5</v>
      </c>
      <c r="V87" s="188" t="s">
        <v>5</v>
      </c>
      <c r="W87" s="188" t="s">
        <v>5</v>
      </c>
      <c r="X87" s="188" t="s">
        <v>5</v>
      </c>
      <c r="Y87" s="188" t="s">
        <v>5</v>
      </c>
      <c r="Z87" s="188" t="s">
        <v>5</v>
      </c>
      <c r="AA87" s="188" t="s">
        <v>5</v>
      </c>
      <c r="AB87" s="188" t="s">
        <v>5</v>
      </c>
      <c r="AC87" s="188" t="s">
        <v>5</v>
      </c>
      <c r="AD87" s="188" t="s">
        <v>5</v>
      </c>
      <c r="AE87" s="188" t="s">
        <v>5</v>
      </c>
      <c r="AF87" s="188" t="s">
        <v>5</v>
      </c>
      <c r="AG87" s="188" t="s">
        <v>5</v>
      </c>
      <c r="AH87" s="166"/>
      <c r="AI87" s="129">
        <f t="shared" si="64"/>
        <v>0</v>
      </c>
      <c r="AJ87" s="129">
        <f t="shared" si="65"/>
        <v>0</v>
      </c>
      <c r="AK87" s="129">
        <f t="shared" si="66"/>
        <v>0</v>
      </c>
      <c r="AL87" s="129">
        <f t="shared" si="67"/>
        <v>0</v>
      </c>
      <c r="AM87" s="129">
        <f t="shared" si="68"/>
        <v>0</v>
      </c>
      <c r="AN87" s="129">
        <f t="shared" si="69"/>
        <v>0</v>
      </c>
      <c r="AO87" s="129">
        <f t="shared" si="70"/>
        <v>0</v>
      </c>
      <c r="AP87" s="129">
        <f t="shared" si="71"/>
        <v>0</v>
      </c>
      <c r="AQ87" s="129">
        <f t="shared" si="72"/>
        <v>0</v>
      </c>
      <c r="AR87" s="129">
        <f t="shared" si="73"/>
        <v>0</v>
      </c>
      <c r="AS87" s="129">
        <f t="shared" si="74"/>
        <v>0</v>
      </c>
      <c r="AT87" s="129">
        <f t="shared" si="75"/>
        <v>0</v>
      </c>
      <c r="AU87" s="129">
        <f t="shared" si="76"/>
        <v>0</v>
      </c>
      <c r="AV87" s="129">
        <f t="shared" si="77"/>
        <v>0</v>
      </c>
      <c r="AW87" s="129">
        <f t="shared" si="78"/>
        <v>0</v>
      </c>
      <c r="AY87" s="162" t="str">
        <f>IF(ISBLANK(C87),"",NOT(ISERROR(MATCH(C87,Deltagarlista!$E$5:$E$64,0))))</f>
        <v/>
      </c>
      <c r="AZ87" s="162" t="str">
        <f>IF(ISBLANK(D87),"",NOT(ISERROR(MATCH(D87,Deltagarlista!$E$5:$E$64,0))))</f>
        <v/>
      </c>
      <c r="BA87" s="162" t="str">
        <f>IF(ISBLANK(E87),"",NOT(ISERROR(MATCH(E87,Deltagarlista!$E$5:$E$64,0))))</f>
        <v/>
      </c>
      <c r="BB87" s="162" t="str">
        <f>IF(ISBLANK(F87),"",NOT(ISERROR(MATCH(F87,Deltagarlista!$E$5:$E$64,0))))</f>
        <v/>
      </c>
      <c r="BC87" s="162" t="str">
        <f>IF(ISBLANK(G87),"",NOT(ISERROR(MATCH(G87,Deltagarlista!$E$5:$E$64,0))))</f>
        <v/>
      </c>
      <c r="BD87" s="162" t="str">
        <f>IF(ISBLANK(H87),"",NOT(ISERROR(MATCH(H87,Deltagarlista!$E$5:$E$64,0))))</f>
        <v/>
      </c>
      <c r="BE87" s="162" t="str">
        <f>IF(ISBLANK(I87),"",NOT(ISERROR(MATCH(I87,Deltagarlista!$E$5:$E$64,0))))</f>
        <v/>
      </c>
      <c r="BF87" s="162" t="str">
        <f>IF(ISBLANK(J87),"",NOT(ISERROR(MATCH(J87,Deltagarlista!$E$5:$E$64,0))))</f>
        <v/>
      </c>
      <c r="BG87" s="162" t="str">
        <f>IF(ISBLANK(K87),"",NOT(ISERROR(MATCH(K87,Deltagarlista!$E$5:$E$64,0))))</f>
        <v/>
      </c>
      <c r="BH87" s="162" t="str">
        <f>IF(ISBLANK(L87),"",NOT(ISERROR(MATCH(L87,Deltagarlista!$E$5:$E$64,0))))</f>
        <v/>
      </c>
      <c r="BI87" s="162" t="str">
        <f>IF(ISBLANK(M87),"",NOT(ISERROR(MATCH(M87,Deltagarlista!$E$5:$E$64,0))))</f>
        <v/>
      </c>
      <c r="BJ87" s="162" t="str">
        <f>IF(ISBLANK(N87),"",NOT(ISERROR(MATCH(N87,Deltagarlista!$E$5:$E$64,0))))</f>
        <v/>
      </c>
      <c r="BK87" s="162" t="str">
        <f>IF(ISBLANK(O87),"",NOT(ISERROR(MATCH(O87,Deltagarlista!$E$5:$E$64,0))))</f>
        <v/>
      </c>
      <c r="BL87" s="162" t="str">
        <f>IF(ISBLANK(P87),"",NOT(ISERROR(MATCH(P87,Deltagarlista!$E$5:$E$64,0))))</f>
        <v/>
      </c>
      <c r="BM87" s="162" t="str">
        <f>IF(ISBLANK(Q87),"",NOT(ISERROR(MATCH(Q87,Deltagarlista!$E$5:$E$64,0))))</f>
        <v/>
      </c>
      <c r="BN87" s="167"/>
    </row>
    <row r="88" spans="2:66" x14ac:dyDescent="0.3">
      <c r="B88" s="189" t="s">
        <v>5</v>
      </c>
      <c r="C88" s="27"/>
      <c r="D88" s="28"/>
      <c r="E88" s="38"/>
      <c r="F88" s="27"/>
      <c r="G88" s="28"/>
      <c r="H88" s="29"/>
      <c r="I88" s="41"/>
      <c r="J88" s="28"/>
      <c r="K88" s="38"/>
      <c r="L88" s="27"/>
      <c r="M88" s="28"/>
      <c r="N88" s="29"/>
      <c r="O88" s="41"/>
      <c r="P88" s="28"/>
      <c r="Q88" s="29"/>
      <c r="R88" s="190" t="s">
        <v>5</v>
      </c>
      <c r="S88" s="188" t="s">
        <v>5</v>
      </c>
      <c r="T88" s="188" t="s">
        <v>5</v>
      </c>
      <c r="U88" s="188" t="s">
        <v>5</v>
      </c>
      <c r="V88" s="188" t="s">
        <v>5</v>
      </c>
      <c r="W88" s="188" t="s">
        <v>5</v>
      </c>
      <c r="X88" s="188" t="s">
        <v>5</v>
      </c>
      <c r="Y88" s="188" t="s">
        <v>5</v>
      </c>
      <c r="Z88" s="188" t="s">
        <v>5</v>
      </c>
      <c r="AA88" s="188" t="s">
        <v>5</v>
      </c>
      <c r="AB88" s="188" t="s">
        <v>5</v>
      </c>
      <c r="AC88" s="188" t="s">
        <v>5</v>
      </c>
      <c r="AD88" s="188" t="s">
        <v>5</v>
      </c>
      <c r="AE88" s="188" t="s">
        <v>5</v>
      </c>
      <c r="AF88" s="188" t="s">
        <v>5</v>
      </c>
      <c r="AG88" s="188" t="s">
        <v>5</v>
      </c>
      <c r="AH88" s="166"/>
      <c r="AI88" s="129">
        <f t="shared" si="64"/>
        <v>0</v>
      </c>
      <c r="AJ88" s="129">
        <f t="shared" si="65"/>
        <v>0</v>
      </c>
      <c r="AK88" s="129">
        <f t="shared" si="66"/>
        <v>0</v>
      </c>
      <c r="AL88" s="129">
        <f t="shared" si="67"/>
        <v>0</v>
      </c>
      <c r="AM88" s="129">
        <f t="shared" si="68"/>
        <v>0</v>
      </c>
      <c r="AN88" s="129">
        <f t="shared" si="69"/>
        <v>0</v>
      </c>
      <c r="AO88" s="129">
        <f t="shared" si="70"/>
        <v>0</v>
      </c>
      <c r="AP88" s="129">
        <f t="shared" si="71"/>
        <v>0</v>
      </c>
      <c r="AQ88" s="129">
        <f t="shared" si="72"/>
        <v>0</v>
      </c>
      <c r="AR88" s="129">
        <f t="shared" si="73"/>
        <v>0</v>
      </c>
      <c r="AS88" s="129">
        <f t="shared" si="74"/>
        <v>0</v>
      </c>
      <c r="AT88" s="129">
        <f t="shared" si="75"/>
        <v>0</v>
      </c>
      <c r="AU88" s="129">
        <f t="shared" si="76"/>
        <v>0</v>
      </c>
      <c r="AV88" s="129">
        <f t="shared" si="77"/>
        <v>0</v>
      </c>
      <c r="AW88" s="129">
        <f t="shared" si="78"/>
        <v>0</v>
      </c>
      <c r="AY88" s="162" t="str">
        <f>IF(ISBLANK(C88),"",NOT(ISERROR(MATCH(C88,Deltagarlista!$E$5:$E$64,0))))</f>
        <v/>
      </c>
      <c r="AZ88" s="162" t="str">
        <f>IF(ISBLANK(D88),"",NOT(ISERROR(MATCH(D88,Deltagarlista!$E$5:$E$64,0))))</f>
        <v/>
      </c>
      <c r="BA88" s="162" t="str">
        <f>IF(ISBLANK(E88),"",NOT(ISERROR(MATCH(E88,Deltagarlista!$E$5:$E$64,0))))</f>
        <v/>
      </c>
      <c r="BB88" s="162" t="str">
        <f>IF(ISBLANK(F88),"",NOT(ISERROR(MATCH(F88,Deltagarlista!$E$5:$E$64,0))))</f>
        <v/>
      </c>
      <c r="BC88" s="162" t="str">
        <f>IF(ISBLANK(G88),"",NOT(ISERROR(MATCH(G88,Deltagarlista!$E$5:$E$64,0))))</f>
        <v/>
      </c>
      <c r="BD88" s="162" t="str">
        <f>IF(ISBLANK(H88),"",NOT(ISERROR(MATCH(H88,Deltagarlista!$E$5:$E$64,0))))</f>
        <v/>
      </c>
      <c r="BE88" s="162" t="str">
        <f>IF(ISBLANK(I88),"",NOT(ISERROR(MATCH(I88,Deltagarlista!$E$5:$E$64,0))))</f>
        <v/>
      </c>
      <c r="BF88" s="162" t="str">
        <f>IF(ISBLANK(J88),"",NOT(ISERROR(MATCH(J88,Deltagarlista!$E$5:$E$64,0))))</f>
        <v/>
      </c>
      <c r="BG88" s="162" t="str">
        <f>IF(ISBLANK(K88),"",NOT(ISERROR(MATCH(K88,Deltagarlista!$E$5:$E$64,0))))</f>
        <v/>
      </c>
      <c r="BH88" s="162" t="str">
        <f>IF(ISBLANK(L88),"",NOT(ISERROR(MATCH(L88,Deltagarlista!$E$5:$E$64,0))))</f>
        <v/>
      </c>
      <c r="BI88" s="162" t="str">
        <f>IF(ISBLANK(M88),"",NOT(ISERROR(MATCH(M88,Deltagarlista!$E$5:$E$64,0))))</f>
        <v/>
      </c>
      <c r="BJ88" s="162" t="str">
        <f>IF(ISBLANK(N88),"",NOT(ISERROR(MATCH(N88,Deltagarlista!$E$5:$E$64,0))))</f>
        <v/>
      </c>
      <c r="BK88" s="162" t="str">
        <f>IF(ISBLANK(O88),"",NOT(ISERROR(MATCH(O88,Deltagarlista!$E$5:$E$64,0))))</f>
        <v/>
      </c>
      <c r="BL88" s="162" t="str">
        <f>IF(ISBLANK(P88),"",NOT(ISERROR(MATCH(P88,Deltagarlista!$E$5:$E$64,0))))</f>
        <v/>
      </c>
      <c r="BM88" s="162" t="str">
        <f>IF(ISBLANK(Q88),"",NOT(ISERROR(MATCH(Q88,Deltagarlista!$E$5:$E$64,0))))</f>
        <v/>
      </c>
      <c r="BN88" s="167"/>
    </row>
    <row r="89" spans="2:66" x14ac:dyDescent="0.3">
      <c r="B89" s="189" t="s">
        <v>6</v>
      </c>
      <c r="C89" s="27"/>
      <c r="D89" s="28"/>
      <c r="E89" s="38"/>
      <c r="F89" s="27"/>
      <c r="G89" s="28"/>
      <c r="H89" s="29"/>
      <c r="I89" s="41"/>
      <c r="J89" s="28"/>
      <c r="K89" s="38"/>
      <c r="L89" s="27"/>
      <c r="M89" s="28"/>
      <c r="N89" s="29"/>
      <c r="O89" s="41"/>
      <c r="P89" s="28"/>
      <c r="Q89" s="29"/>
      <c r="R89" s="190" t="s">
        <v>6</v>
      </c>
      <c r="S89" s="188" t="s">
        <v>6</v>
      </c>
      <c r="T89" s="188" t="s">
        <v>6</v>
      </c>
      <c r="U89" s="188" t="s">
        <v>6</v>
      </c>
      <c r="V89" s="188" t="s">
        <v>6</v>
      </c>
      <c r="W89" s="188" t="s">
        <v>6</v>
      </c>
      <c r="X89" s="188" t="s">
        <v>6</v>
      </c>
      <c r="Y89" s="188" t="s">
        <v>6</v>
      </c>
      <c r="Z89" s="188" t="s">
        <v>6</v>
      </c>
      <c r="AA89" s="188" t="s">
        <v>6</v>
      </c>
      <c r="AB89" s="188" t="s">
        <v>6</v>
      </c>
      <c r="AC89" s="188" t="s">
        <v>6</v>
      </c>
      <c r="AD89" s="188" t="s">
        <v>6</v>
      </c>
      <c r="AE89" s="188" t="s">
        <v>6</v>
      </c>
      <c r="AF89" s="188" t="s">
        <v>6</v>
      </c>
      <c r="AG89" s="188" t="s">
        <v>6</v>
      </c>
      <c r="AH89" s="166"/>
      <c r="AI89" s="129">
        <f t="shared" si="64"/>
        <v>0</v>
      </c>
      <c r="AJ89" s="129">
        <f t="shared" si="65"/>
        <v>0</v>
      </c>
      <c r="AK89" s="129">
        <f t="shared" si="66"/>
        <v>0</v>
      </c>
      <c r="AL89" s="129">
        <f t="shared" si="67"/>
        <v>0</v>
      </c>
      <c r="AM89" s="129">
        <f t="shared" si="68"/>
        <v>0</v>
      </c>
      <c r="AN89" s="129">
        <f t="shared" si="69"/>
        <v>0</v>
      </c>
      <c r="AO89" s="129">
        <f t="shared" si="70"/>
        <v>0</v>
      </c>
      <c r="AP89" s="129">
        <f t="shared" si="71"/>
        <v>0</v>
      </c>
      <c r="AQ89" s="129">
        <f t="shared" si="72"/>
        <v>0</v>
      </c>
      <c r="AR89" s="129">
        <f t="shared" si="73"/>
        <v>0</v>
      </c>
      <c r="AS89" s="129">
        <f t="shared" si="74"/>
        <v>0</v>
      </c>
      <c r="AT89" s="129">
        <f t="shared" si="75"/>
        <v>0</v>
      </c>
      <c r="AU89" s="129">
        <f t="shared" si="76"/>
        <v>0</v>
      </c>
      <c r="AV89" s="129">
        <f t="shared" si="77"/>
        <v>0</v>
      </c>
      <c r="AW89" s="129">
        <f t="shared" si="78"/>
        <v>0</v>
      </c>
      <c r="AY89" s="162" t="str">
        <f>IF(ISBLANK(C89),"",NOT(ISERROR(MATCH(C89,Deltagarlista!$E$5:$E$64,0))))</f>
        <v/>
      </c>
      <c r="AZ89" s="162" t="str">
        <f>IF(ISBLANK(D89),"",NOT(ISERROR(MATCH(D89,Deltagarlista!$E$5:$E$64,0))))</f>
        <v/>
      </c>
      <c r="BA89" s="162" t="str">
        <f>IF(ISBLANK(E89),"",NOT(ISERROR(MATCH(E89,Deltagarlista!$E$5:$E$64,0))))</f>
        <v/>
      </c>
      <c r="BB89" s="162" t="str">
        <f>IF(ISBLANK(F89),"",NOT(ISERROR(MATCH(F89,Deltagarlista!$E$5:$E$64,0))))</f>
        <v/>
      </c>
      <c r="BC89" s="162" t="str">
        <f>IF(ISBLANK(G89),"",NOT(ISERROR(MATCH(G89,Deltagarlista!$E$5:$E$64,0))))</f>
        <v/>
      </c>
      <c r="BD89" s="162" t="str">
        <f>IF(ISBLANK(H89),"",NOT(ISERROR(MATCH(H89,Deltagarlista!$E$5:$E$64,0))))</f>
        <v/>
      </c>
      <c r="BE89" s="162" t="str">
        <f>IF(ISBLANK(I89),"",NOT(ISERROR(MATCH(I89,Deltagarlista!$E$5:$E$64,0))))</f>
        <v/>
      </c>
      <c r="BF89" s="162" t="str">
        <f>IF(ISBLANK(J89),"",NOT(ISERROR(MATCH(J89,Deltagarlista!$E$5:$E$64,0))))</f>
        <v/>
      </c>
      <c r="BG89" s="162" t="str">
        <f>IF(ISBLANK(K89),"",NOT(ISERROR(MATCH(K89,Deltagarlista!$E$5:$E$64,0))))</f>
        <v/>
      </c>
      <c r="BH89" s="162" t="str">
        <f>IF(ISBLANK(L89),"",NOT(ISERROR(MATCH(L89,Deltagarlista!$E$5:$E$64,0))))</f>
        <v/>
      </c>
      <c r="BI89" s="162" t="str">
        <f>IF(ISBLANK(M89),"",NOT(ISERROR(MATCH(M89,Deltagarlista!$E$5:$E$64,0))))</f>
        <v/>
      </c>
      <c r="BJ89" s="162" t="str">
        <f>IF(ISBLANK(N89),"",NOT(ISERROR(MATCH(N89,Deltagarlista!$E$5:$E$64,0))))</f>
        <v/>
      </c>
      <c r="BK89" s="162" t="str">
        <f>IF(ISBLANK(O89),"",NOT(ISERROR(MATCH(O89,Deltagarlista!$E$5:$E$64,0))))</f>
        <v/>
      </c>
      <c r="BL89" s="162" t="str">
        <f>IF(ISBLANK(P89),"",NOT(ISERROR(MATCH(P89,Deltagarlista!$E$5:$E$64,0))))</f>
        <v/>
      </c>
      <c r="BM89" s="162" t="str">
        <f>IF(ISBLANK(Q89),"",NOT(ISERROR(MATCH(Q89,Deltagarlista!$E$5:$E$64,0))))</f>
        <v/>
      </c>
      <c r="BN89" s="167"/>
    </row>
    <row r="90" spans="2:66" ht="16.2" thickBot="1" x14ac:dyDescent="0.35">
      <c r="B90" s="191" t="s">
        <v>6</v>
      </c>
      <c r="C90" s="30"/>
      <c r="D90" s="31"/>
      <c r="E90" s="39"/>
      <c r="F90" s="30"/>
      <c r="G90" s="31"/>
      <c r="H90" s="32"/>
      <c r="I90" s="42"/>
      <c r="J90" s="31"/>
      <c r="K90" s="39"/>
      <c r="L90" s="30"/>
      <c r="M90" s="31"/>
      <c r="N90" s="32"/>
      <c r="O90" s="42"/>
      <c r="P90" s="31"/>
      <c r="Q90" s="32"/>
      <c r="R90" s="192" t="s">
        <v>6</v>
      </c>
      <c r="S90" s="188" t="s">
        <v>6</v>
      </c>
      <c r="T90" s="188" t="s">
        <v>6</v>
      </c>
      <c r="U90" s="188" t="s">
        <v>6</v>
      </c>
      <c r="V90" s="188" t="s">
        <v>6</v>
      </c>
      <c r="W90" s="188" t="s">
        <v>6</v>
      </c>
      <c r="X90" s="188" t="s">
        <v>6</v>
      </c>
      <c r="Y90" s="188" t="s">
        <v>6</v>
      </c>
      <c r="Z90" s="188" t="s">
        <v>6</v>
      </c>
      <c r="AA90" s="188" t="s">
        <v>6</v>
      </c>
      <c r="AB90" s="188" t="s">
        <v>6</v>
      </c>
      <c r="AC90" s="188" t="s">
        <v>6</v>
      </c>
      <c r="AD90" s="188" t="s">
        <v>6</v>
      </c>
      <c r="AE90" s="188" t="s">
        <v>6</v>
      </c>
      <c r="AF90" s="188" t="s">
        <v>6</v>
      </c>
      <c r="AG90" s="188" t="s">
        <v>6</v>
      </c>
      <c r="AH90" s="166"/>
      <c r="AI90" s="129">
        <f t="shared" si="64"/>
        <v>0</v>
      </c>
      <c r="AJ90" s="129">
        <f t="shared" si="65"/>
        <v>0</v>
      </c>
      <c r="AK90" s="129">
        <f t="shared" si="66"/>
        <v>0</v>
      </c>
      <c r="AL90" s="129">
        <f t="shared" si="67"/>
        <v>0</v>
      </c>
      <c r="AM90" s="129">
        <f t="shared" si="68"/>
        <v>0</v>
      </c>
      <c r="AN90" s="129">
        <f t="shared" si="69"/>
        <v>0</v>
      </c>
      <c r="AO90" s="129">
        <f t="shared" si="70"/>
        <v>0</v>
      </c>
      <c r="AP90" s="129">
        <f t="shared" si="71"/>
        <v>0</v>
      </c>
      <c r="AQ90" s="129">
        <f t="shared" si="72"/>
        <v>0</v>
      </c>
      <c r="AR90" s="129">
        <f t="shared" si="73"/>
        <v>0</v>
      </c>
      <c r="AS90" s="129">
        <f t="shared" si="74"/>
        <v>0</v>
      </c>
      <c r="AT90" s="129">
        <f t="shared" si="75"/>
        <v>0</v>
      </c>
      <c r="AU90" s="129">
        <f t="shared" si="76"/>
        <v>0</v>
      </c>
      <c r="AV90" s="129">
        <f t="shared" si="77"/>
        <v>0</v>
      </c>
      <c r="AW90" s="129">
        <f t="shared" si="78"/>
        <v>0</v>
      </c>
      <c r="AY90" s="162" t="str">
        <f>IF(ISBLANK(C90),"",NOT(ISERROR(MATCH(C90,Deltagarlista!$E$5:$E$64,0))))</f>
        <v/>
      </c>
      <c r="AZ90" s="162" t="str">
        <f>IF(ISBLANK(D90),"",NOT(ISERROR(MATCH(D90,Deltagarlista!$E$5:$E$64,0))))</f>
        <v/>
      </c>
      <c r="BA90" s="162" t="str">
        <f>IF(ISBLANK(E90),"",NOT(ISERROR(MATCH(E90,Deltagarlista!$E$5:$E$64,0))))</f>
        <v/>
      </c>
      <c r="BB90" s="162" t="str">
        <f>IF(ISBLANK(F90),"",NOT(ISERROR(MATCH(F90,Deltagarlista!$E$5:$E$64,0))))</f>
        <v/>
      </c>
      <c r="BC90" s="162" t="str">
        <f>IF(ISBLANK(G90),"",NOT(ISERROR(MATCH(G90,Deltagarlista!$E$5:$E$64,0))))</f>
        <v/>
      </c>
      <c r="BD90" s="162" t="str">
        <f>IF(ISBLANK(H90),"",NOT(ISERROR(MATCH(H90,Deltagarlista!$E$5:$E$64,0))))</f>
        <v/>
      </c>
      <c r="BE90" s="162" t="str">
        <f>IF(ISBLANK(I90),"",NOT(ISERROR(MATCH(I90,Deltagarlista!$E$5:$E$64,0))))</f>
        <v/>
      </c>
      <c r="BF90" s="162" t="str">
        <f>IF(ISBLANK(J90),"",NOT(ISERROR(MATCH(J90,Deltagarlista!$E$5:$E$64,0))))</f>
        <v/>
      </c>
      <c r="BG90" s="162" t="str">
        <f>IF(ISBLANK(K90),"",NOT(ISERROR(MATCH(K90,Deltagarlista!$E$5:$E$64,0))))</f>
        <v/>
      </c>
      <c r="BH90" s="162" t="str">
        <f>IF(ISBLANK(L90),"",NOT(ISERROR(MATCH(L90,Deltagarlista!$E$5:$E$64,0))))</f>
        <v/>
      </c>
      <c r="BI90" s="162" t="str">
        <f>IF(ISBLANK(M90),"",NOT(ISERROR(MATCH(M90,Deltagarlista!$E$5:$E$64,0))))</f>
        <v/>
      </c>
      <c r="BJ90" s="162" t="str">
        <f>IF(ISBLANK(N90),"",NOT(ISERROR(MATCH(N90,Deltagarlista!$E$5:$E$64,0))))</f>
        <v/>
      </c>
      <c r="BK90" s="162" t="str">
        <f>IF(ISBLANK(O90),"",NOT(ISERROR(MATCH(O90,Deltagarlista!$E$5:$E$64,0))))</f>
        <v/>
      </c>
      <c r="BL90" s="162" t="str">
        <f>IF(ISBLANK(P90),"",NOT(ISERROR(MATCH(P90,Deltagarlista!$E$5:$E$64,0))))</f>
        <v/>
      </c>
      <c r="BM90" s="162" t="str">
        <f>IF(ISBLANK(Q90),"",NOT(ISERROR(MATCH(Q90,Deltagarlista!$E$5:$E$64,0))))</f>
        <v/>
      </c>
      <c r="BN90" s="167"/>
    </row>
    <row r="91" spans="2:66" x14ac:dyDescent="0.3">
      <c r="B91" s="195"/>
      <c r="C91" s="197"/>
      <c r="D91" s="197"/>
      <c r="E91" s="197"/>
      <c r="F91" s="197"/>
      <c r="G91" s="197"/>
      <c r="H91" s="197"/>
      <c r="I91" s="197"/>
      <c r="J91" s="197"/>
      <c r="K91" s="197"/>
      <c r="L91" s="197"/>
      <c r="M91" s="197"/>
      <c r="N91" s="197"/>
      <c r="O91" s="197"/>
      <c r="P91" s="197"/>
      <c r="Q91" s="197"/>
      <c r="R91" s="195"/>
      <c r="S91" s="188"/>
      <c r="T91" s="188"/>
      <c r="U91" s="188"/>
      <c r="V91" s="188"/>
      <c r="W91" s="188"/>
      <c r="X91" s="188"/>
      <c r="Y91" s="188"/>
      <c r="Z91" s="188"/>
      <c r="AA91" s="188"/>
      <c r="AB91" s="188"/>
      <c r="AC91" s="188"/>
      <c r="AD91" s="188"/>
      <c r="AE91" s="188"/>
      <c r="AF91" s="188"/>
      <c r="AG91" s="188"/>
      <c r="AH91" s="166"/>
      <c r="AI91" s="129"/>
      <c r="AJ91" s="129"/>
      <c r="AK91" s="129"/>
      <c r="AL91" s="129"/>
      <c r="AM91" s="129"/>
      <c r="AN91" s="129"/>
      <c r="AO91" s="129"/>
      <c r="AP91" s="129"/>
      <c r="AQ91" s="129"/>
      <c r="AR91" s="129"/>
      <c r="AS91" s="129"/>
      <c r="AT91" s="129"/>
      <c r="AU91" s="129"/>
      <c r="AV91" s="129"/>
      <c r="AW91" s="129"/>
      <c r="BN91" s="167"/>
    </row>
    <row r="92" spans="2:66" ht="27.9" customHeight="1" x14ac:dyDescent="0.35">
      <c r="B92" s="196" t="str">
        <f>IF(OR(Deltagarlista!$K$3=2,Deltagarlista!$K$3=4),IF($CQ$5=0,"","VARNING, du har registrerat resultat för någon som inte borde segla i detta heat!"),"")</f>
        <v/>
      </c>
      <c r="C92" s="197"/>
      <c r="D92" s="197"/>
      <c r="E92" s="197"/>
      <c r="F92" s="197"/>
      <c r="G92" s="197"/>
      <c r="H92" s="197"/>
      <c r="I92" s="197"/>
      <c r="J92" s="197"/>
      <c r="K92" s="197"/>
      <c r="L92" s="197"/>
      <c r="M92" s="197"/>
      <c r="N92" s="197"/>
      <c r="O92" s="197"/>
      <c r="P92" s="197"/>
      <c r="Q92" s="197"/>
      <c r="R92" s="198"/>
      <c r="S92" s="188"/>
      <c r="T92" s="188"/>
      <c r="U92" s="188"/>
      <c r="V92" s="188"/>
      <c r="W92" s="188"/>
      <c r="X92" s="188"/>
      <c r="Y92" s="188"/>
      <c r="Z92" s="188"/>
      <c r="AA92" s="188"/>
      <c r="AB92" s="188"/>
      <c r="AC92" s="188"/>
      <c r="AD92" s="188"/>
      <c r="AE92" s="188"/>
      <c r="AF92" s="188"/>
      <c r="AG92" s="188"/>
      <c r="AH92" s="166"/>
      <c r="AI92" s="129"/>
      <c r="AJ92" s="129"/>
      <c r="AK92" s="129"/>
      <c r="AL92" s="129"/>
      <c r="AM92" s="129"/>
      <c r="AN92" s="129"/>
      <c r="AO92" s="129"/>
      <c r="AP92" s="129"/>
      <c r="AQ92" s="129"/>
      <c r="AR92" s="129"/>
      <c r="AS92" s="129"/>
      <c r="AT92" s="129"/>
      <c r="AU92" s="129"/>
      <c r="AV92" s="129"/>
      <c r="AW92" s="129"/>
      <c r="BN92" s="167"/>
    </row>
    <row r="93" spans="2:66" ht="27.9" customHeight="1" thickBot="1" x14ac:dyDescent="0.4">
      <c r="B93" s="161" t="str">
        <f>IF($AY$4=60,"","VARNING, du har registrerat resultat för en seglare som inte finns i deltagarlistan!")</f>
        <v/>
      </c>
      <c r="C93" s="199"/>
      <c r="D93" s="48"/>
      <c r="E93" s="48"/>
      <c r="F93" s="48"/>
      <c r="G93" s="48"/>
      <c r="H93" s="48"/>
      <c r="I93" s="48"/>
      <c r="J93" s="48"/>
      <c r="K93" s="48"/>
      <c r="L93" s="48"/>
      <c r="M93" s="48"/>
      <c r="N93" s="48"/>
      <c r="O93" s="48"/>
      <c r="P93" s="48"/>
      <c r="Q93" s="48"/>
      <c r="R93" s="48"/>
      <c r="S93" s="200"/>
      <c r="T93" s="200"/>
      <c r="U93" s="200"/>
      <c r="V93" s="200"/>
      <c r="W93" s="200"/>
      <c r="X93" s="200"/>
      <c r="Y93" s="129"/>
      <c r="Z93" s="129"/>
      <c r="AA93" s="129"/>
      <c r="AB93" s="129"/>
      <c r="AC93" s="129"/>
      <c r="AD93" s="129"/>
      <c r="AE93" s="129"/>
      <c r="AF93" s="129"/>
      <c r="AG93" s="129"/>
      <c r="AH93" s="166"/>
      <c r="AI93" s="129"/>
      <c r="AJ93" s="129"/>
      <c r="AK93" s="129"/>
      <c r="AL93" s="129"/>
      <c r="AM93" s="129"/>
      <c r="AN93" s="129"/>
      <c r="AO93" s="129"/>
      <c r="AP93" s="129"/>
      <c r="AQ93" s="129"/>
      <c r="AR93" s="129"/>
      <c r="AS93" s="129"/>
      <c r="AT93" s="129"/>
      <c r="AU93" s="129"/>
      <c r="AV93" s="129"/>
      <c r="AW93" s="129"/>
      <c r="BN93" s="167"/>
    </row>
    <row r="94" spans="2:66" ht="24" thickBot="1" x14ac:dyDescent="0.5">
      <c r="B94" s="168" t="str">
        <f>B49</f>
        <v/>
      </c>
      <c r="C94" s="169"/>
      <c r="D94" s="169"/>
      <c r="E94" s="169"/>
      <c r="F94" s="169"/>
      <c r="G94" s="169"/>
      <c r="H94" s="169"/>
      <c r="I94" s="169"/>
      <c r="J94" s="169"/>
      <c r="K94" s="169"/>
      <c r="L94" s="169"/>
      <c r="M94" s="169"/>
      <c r="N94" s="169"/>
      <c r="O94" s="169"/>
      <c r="P94" s="169"/>
      <c r="Q94" s="169"/>
      <c r="R94" s="170" t="str">
        <f>R49</f>
        <v/>
      </c>
      <c r="S94" s="129"/>
      <c r="T94" s="129"/>
      <c r="U94" s="129"/>
      <c r="V94" s="129"/>
      <c r="W94" s="129"/>
      <c r="X94" s="129"/>
      <c r="Y94" s="129"/>
      <c r="Z94" s="129"/>
      <c r="AA94" s="129"/>
      <c r="AB94" s="129"/>
      <c r="AC94" s="129"/>
      <c r="AD94" s="129"/>
      <c r="AE94" s="129"/>
      <c r="AF94" s="129"/>
      <c r="AG94" s="129"/>
      <c r="AH94" s="166"/>
      <c r="AI94" s="129"/>
      <c r="AJ94" s="129"/>
      <c r="AK94" s="129"/>
      <c r="AL94" s="129"/>
      <c r="AM94" s="129"/>
      <c r="AN94" s="129"/>
      <c r="AO94" s="129"/>
      <c r="AP94" s="129"/>
      <c r="AQ94" s="129"/>
      <c r="AR94" s="129"/>
      <c r="AS94" s="129"/>
      <c r="AT94" s="129"/>
      <c r="AU94" s="129"/>
      <c r="AV94" s="129"/>
      <c r="AW94" s="129"/>
      <c r="BN94" s="167"/>
    </row>
    <row r="95" spans="2:66" ht="22.8" customHeight="1" thickBot="1" x14ac:dyDescent="0.35">
      <c r="B95" s="247" t="str">
        <f>B50</f>
        <v/>
      </c>
      <c r="C95" s="248"/>
      <c r="D95" s="248"/>
      <c r="E95" s="248"/>
      <c r="F95" s="249"/>
      <c r="G95" s="249"/>
      <c r="H95" s="249"/>
      <c r="I95" s="250"/>
      <c r="J95" s="251" t="str">
        <f>J50</f>
        <v/>
      </c>
      <c r="K95" s="252"/>
      <c r="L95" s="252"/>
      <c r="M95" s="252"/>
      <c r="N95" s="252"/>
      <c r="O95" s="252"/>
      <c r="P95" s="252"/>
      <c r="Q95" s="252"/>
      <c r="R95" s="253"/>
      <c r="S95" s="129"/>
      <c r="T95" s="129"/>
      <c r="U95" s="129"/>
      <c r="V95" s="129"/>
      <c r="W95" s="129"/>
      <c r="X95" s="129"/>
      <c r="Y95" s="129"/>
      <c r="Z95" s="129"/>
      <c r="AA95" s="129"/>
      <c r="AB95" s="129"/>
      <c r="AC95" s="129"/>
      <c r="AD95" s="129"/>
      <c r="AE95" s="129"/>
      <c r="AF95" s="129"/>
      <c r="AG95" s="129"/>
      <c r="AH95" s="166"/>
      <c r="AI95" s="129"/>
      <c r="AJ95" s="129"/>
      <c r="AK95" s="129"/>
      <c r="AL95" s="129"/>
      <c r="AM95" s="129"/>
      <c r="AN95" s="129"/>
      <c r="AO95" s="129"/>
      <c r="AP95" s="129"/>
      <c r="AQ95" s="129"/>
      <c r="AR95" s="129"/>
      <c r="AS95" s="129"/>
      <c r="AT95" s="129"/>
      <c r="AU95" s="129"/>
      <c r="AV95" s="129"/>
      <c r="AW95" s="129"/>
      <c r="BN95" s="167"/>
    </row>
    <row r="96" spans="2:66" ht="18.600000000000001" thickBot="1" x14ac:dyDescent="0.4">
      <c r="B96" s="172" t="s">
        <v>45</v>
      </c>
      <c r="C96" s="173" t="str">
        <f>IF(Deltagarlista!$K$3=2,"Gr/R",IF(Deltagarlista!$K$3=3,"Grön",IF(Deltagarlista!$K$3=4,"Gr/R","")))</f>
        <v/>
      </c>
      <c r="D96" s="174" t="str">
        <f>IF(Deltagarlista!$K$3=2,"B/Gr",IF(Deltagarlista!$K$3=3,"Röd",IF(Deltagarlista!$K$3=4,"B/Gu","")))</f>
        <v/>
      </c>
      <c r="E96" s="174" t="str">
        <f>IF(Deltagarlista!$K$3=2,"R/B",IF(Deltagarlista!$K$3=3,"Grön",IF(Deltagarlista!$K$3=4,"Gr/B","")))</f>
        <v/>
      </c>
      <c r="F96" s="174" t="str">
        <f>IF(Deltagarlista!$K$3=2,"Gr/R",IF(Deltagarlista!$K$3=3,"Röd",IF(Deltagarlista!$K$3=4,"Gu/R","")))</f>
        <v/>
      </c>
      <c r="G96" s="174" t="str">
        <f>IF(Deltagarlista!$K$3=2,"B/Gr",IF(Deltagarlista!$K$3=3,"Grön",IF(Deltagarlista!$K$3=4,"R/B","")))</f>
        <v/>
      </c>
      <c r="H96" s="174" t="str">
        <f>IF(Deltagarlista!$K$3=2,"R/B",IF(Deltagarlista!$K$3=3,"Röd",IF(Deltagarlista!$K$3=4,"Gu/Gr","")))</f>
        <v/>
      </c>
      <c r="I96" s="174" t="str">
        <f>IF(Deltagarlista!$K$3=2,"Gr/R",IF(Deltagarlista!$K$3=3,"Grön",IF(Deltagarlista!$K$3=4,"Gr/R","")))</f>
        <v/>
      </c>
      <c r="J96" s="174" t="str">
        <f>IF(Deltagarlista!$K$3=2,"B/Gr",IF(Deltagarlista!$K$3=3,"Röd",IF(Deltagarlista!$K$3=4,"B/Gu","")))</f>
        <v/>
      </c>
      <c r="K96" s="174" t="str">
        <f>IF(Deltagarlista!$K$3=2,"R/B",IF(Deltagarlista!$K$3=3,"Grön",IF(Deltagarlista!$K$3=4,"Gr/B","")))</f>
        <v/>
      </c>
      <c r="L96" s="174" t="str">
        <f>IF(Deltagarlista!$K$3=2,"Gr/R",IF(Deltagarlista!$K$3=3,"Röd",IF(Deltagarlista!$K$3=4,"Gu/R","")))</f>
        <v/>
      </c>
      <c r="M96" s="174" t="str">
        <f>IF(Deltagarlista!$K$3=2,"B/Gr",IF(Deltagarlista!$K$3=3,"Grön",IF(Deltagarlista!$K$3=4,"R/B","")))</f>
        <v/>
      </c>
      <c r="N96" s="174" t="str">
        <f>IF(Deltagarlista!$K$3=2,"R/B",IF(Deltagarlista!$K$3=3,"Röd",IF(Deltagarlista!$K$3=4,"Gu/Gr","")))</f>
        <v/>
      </c>
      <c r="O96" s="174" t="str">
        <f>IF(Deltagarlista!$K$3=2,"Gr/R",IF(Deltagarlista!$K$3=3,"Grön",IF(Deltagarlista!$K$3=4,"Gr/R","")))</f>
        <v/>
      </c>
      <c r="P96" s="174" t="str">
        <f>IF(Deltagarlista!$K$3=2,"B/Gr",IF(Deltagarlista!$K$3=3,"Röd",IF(Deltagarlista!$K$3=4,"B/Gu","")))</f>
        <v/>
      </c>
      <c r="Q96" s="175" t="str">
        <f>IF(Deltagarlista!$K$3=2,"R/B",IF(Deltagarlista!$K$3=3,"Grön",IF(Deltagarlista!$K$3=4,"Gr/B","")))</f>
        <v/>
      </c>
      <c r="R96" s="176" t="s">
        <v>45</v>
      </c>
      <c r="S96" s="129"/>
      <c r="T96" s="129"/>
      <c r="U96" s="129"/>
      <c r="V96" s="129"/>
      <c r="W96" s="129"/>
      <c r="X96" s="129"/>
      <c r="Y96" s="129"/>
      <c r="Z96" s="129"/>
      <c r="AA96" s="129"/>
      <c r="AB96" s="129"/>
      <c r="AC96" s="129"/>
      <c r="AD96" s="129"/>
      <c r="AE96" s="129"/>
      <c r="AF96" s="129"/>
      <c r="AG96" s="129"/>
      <c r="AH96" s="166"/>
      <c r="AI96" s="129"/>
      <c r="AJ96" s="129"/>
      <c r="AK96" s="129"/>
      <c r="AL96" s="129"/>
      <c r="AM96" s="129"/>
      <c r="AN96" s="129"/>
      <c r="AO96" s="129"/>
      <c r="AP96" s="129"/>
      <c r="AQ96" s="129"/>
      <c r="AR96" s="129"/>
      <c r="AS96" s="129"/>
      <c r="AT96" s="129"/>
      <c r="AU96" s="129"/>
      <c r="AV96" s="129"/>
      <c r="AW96" s="129"/>
      <c r="BN96" s="167"/>
    </row>
    <row r="97" spans="2:66" ht="23.4" customHeight="1" thickBot="1" x14ac:dyDescent="0.35">
      <c r="B97" s="178" t="s">
        <v>0</v>
      </c>
      <c r="C97" s="179" t="str">
        <f>IF(OR(Deltagarlista!$K$3=4,Deltagarlista!$K$3=3),"16","31")</f>
        <v>31</v>
      </c>
      <c r="D97" s="179" t="str">
        <f>IF(OR(Deltagarlista!$K$3=4,Deltagarlista!$K$3=3),"","32")</f>
        <v>32</v>
      </c>
      <c r="E97" s="179" t="str">
        <f>IF(OR(Deltagarlista!$K$3=4,Deltagarlista!$K$3=3),"17","33")</f>
        <v>33</v>
      </c>
      <c r="F97" s="179" t="str">
        <f>IF(OR(Deltagarlista!$K$3=4,Deltagarlista!$K$3=3),"","34")</f>
        <v>34</v>
      </c>
      <c r="G97" s="179" t="str">
        <f>IF(OR(Deltagarlista!$K$3=4,Deltagarlista!$K$3=3),"18","35")</f>
        <v>35</v>
      </c>
      <c r="H97" s="179" t="str">
        <f>IF(OR(Deltagarlista!$K$3=4,Deltagarlista!$K$3=3),"","36")</f>
        <v>36</v>
      </c>
      <c r="I97" s="179" t="str">
        <f>IF(OR(Deltagarlista!$K$3=4,Deltagarlista!$K$3=3),"19","37")</f>
        <v>37</v>
      </c>
      <c r="J97" s="179" t="str">
        <f>IF(OR(Deltagarlista!$K$3=4,Deltagarlista!$K$3=3),"","38")</f>
        <v>38</v>
      </c>
      <c r="K97" s="179" t="str">
        <f>IF(OR(Deltagarlista!$K$3=4,Deltagarlista!$K$3=3),"20","39")</f>
        <v>39</v>
      </c>
      <c r="L97" s="179" t="str">
        <f>IF(OR(Deltagarlista!$K$3=4,Deltagarlista!$K$3=3),"","40")</f>
        <v>40</v>
      </c>
      <c r="M97" s="179" t="str">
        <f>IF(OR(Deltagarlista!$K$3=4,Deltagarlista!$K$3=3),"21","41")</f>
        <v>41</v>
      </c>
      <c r="N97" s="179" t="str">
        <f>IF(OR(Deltagarlista!$K$3=4,Deltagarlista!$K$3=3),"","42")</f>
        <v>42</v>
      </c>
      <c r="O97" s="179" t="str">
        <f>IF(OR(Deltagarlista!$K$3=4,Deltagarlista!$K$3=3),"22","43")</f>
        <v>43</v>
      </c>
      <c r="P97" s="179" t="str">
        <f>IF(OR(Deltagarlista!$K$3=4,Deltagarlista!$K$3=3),"","44")</f>
        <v>44</v>
      </c>
      <c r="Q97" s="179" t="str">
        <f>IF(OR(Deltagarlista!$K$3=4,Deltagarlista!$K$3=3),"23","45")</f>
        <v>45</v>
      </c>
      <c r="R97" s="178" t="s">
        <v>0</v>
      </c>
      <c r="S97" s="129"/>
      <c r="T97" s="129"/>
      <c r="U97" s="129"/>
      <c r="V97" s="129"/>
      <c r="W97" s="129"/>
      <c r="X97" s="129"/>
      <c r="Y97" s="129"/>
      <c r="Z97" s="129"/>
      <c r="AA97" s="129"/>
      <c r="AB97" s="129"/>
      <c r="AC97" s="129"/>
      <c r="AD97" s="129"/>
      <c r="AE97" s="129"/>
      <c r="AF97" s="129"/>
      <c r="AG97" s="129"/>
      <c r="AH97" s="166"/>
      <c r="AI97" s="129"/>
      <c r="AJ97" s="129"/>
      <c r="AK97" s="129"/>
      <c r="AL97" s="129"/>
      <c r="AM97" s="129"/>
      <c r="AN97" s="129"/>
      <c r="AO97" s="129"/>
      <c r="AP97" s="129"/>
      <c r="AQ97" s="129"/>
      <c r="AR97" s="129"/>
      <c r="AS97" s="129"/>
      <c r="AT97" s="129"/>
      <c r="AU97" s="129"/>
      <c r="AV97" s="129"/>
      <c r="AW97" s="129"/>
      <c r="AY97" s="162">
        <f t="shared" ref="AY97" si="80">IF(SUM(AY98:AY135)&lt;&gt;COUNT(C98:C135),0,1)</f>
        <v>1</v>
      </c>
      <c r="AZ97" s="162">
        <f t="shared" ref="AZ97" si="81">IF(SUM(AZ98:AZ135)&lt;&gt;COUNT(D98:D135),0,1)</f>
        <v>1</v>
      </c>
      <c r="BA97" s="162">
        <f t="shared" ref="BA97" si="82">IF(SUM(BA98:BA135)&lt;&gt;COUNT(E98:E135),0,1)</f>
        <v>1</v>
      </c>
      <c r="BB97" s="162">
        <f t="shared" ref="BB97" si="83">IF(SUM(BB98:BB135)&lt;&gt;COUNT(F98:F135),0,1)</f>
        <v>1</v>
      </c>
      <c r="BC97" s="162">
        <f t="shared" ref="BC97" si="84">IF(SUM(BC98:BC135)&lt;&gt;COUNT(G98:G135),0,1)</f>
        <v>1</v>
      </c>
      <c r="BD97" s="162">
        <f t="shared" ref="BD97" si="85">IF(SUM(BD98:BD135)&lt;&gt;COUNT(H98:H135),0,1)</f>
        <v>1</v>
      </c>
      <c r="BE97" s="162">
        <f t="shared" ref="BE97" si="86">IF(SUM(BE98:BE135)&lt;&gt;COUNT(I98:I135),0,1)</f>
        <v>1</v>
      </c>
      <c r="BF97" s="162">
        <f t="shared" ref="BF97" si="87">IF(SUM(BF98:BF135)&lt;&gt;COUNT(J98:J135),0,1)</f>
        <v>1</v>
      </c>
      <c r="BG97" s="162">
        <f t="shared" ref="BG97" si="88">IF(SUM(BG98:BG135)&lt;&gt;COUNT(K98:K135),0,1)</f>
        <v>1</v>
      </c>
      <c r="BH97" s="162">
        <f t="shared" ref="BH97" si="89">IF(SUM(BH98:BH135)&lt;&gt;COUNT(L98:L135),0,1)</f>
        <v>1</v>
      </c>
      <c r="BI97" s="162">
        <f t="shared" ref="BI97" si="90">IF(SUM(BI98:BI135)&lt;&gt;COUNT(M98:M135),0,1)</f>
        <v>1</v>
      </c>
      <c r="BJ97" s="162">
        <f t="shared" ref="BJ97" si="91">IF(SUM(BJ98:BJ135)&lt;&gt;COUNT(N98:N135),0,1)</f>
        <v>1</v>
      </c>
      <c r="BK97" s="162">
        <f t="shared" ref="BK97" si="92">IF(SUM(BK98:BK135)&lt;&gt;COUNT(O98:O135),0,1)</f>
        <v>1</v>
      </c>
      <c r="BL97" s="162">
        <f t="shared" ref="BL97" si="93">IF(SUM(BL98:BL135)&lt;&gt;COUNT(P98:P135),0,1)</f>
        <v>1</v>
      </c>
      <c r="BM97" s="162">
        <f t="shared" ref="BM97" si="94">IF(SUM(BM98:BM135)&lt;&gt;COUNT(Q98:Q135),0,1)</f>
        <v>1</v>
      </c>
      <c r="BN97" s="167"/>
    </row>
    <row r="98" spans="2:66" x14ac:dyDescent="0.3">
      <c r="B98" s="186">
        <v>1</v>
      </c>
      <c r="C98" s="24"/>
      <c r="D98" s="25"/>
      <c r="E98" s="37"/>
      <c r="F98" s="24"/>
      <c r="G98" s="25"/>
      <c r="H98" s="26"/>
      <c r="I98" s="40"/>
      <c r="J98" s="25"/>
      <c r="K98" s="37"/>
      <c r="L98" s="24"/>
      <c r="M98" s="25"/>
      <c r="N98" s="26"/>
      <c r="O98" s="40"/>
      <c r="P98" s="25"/>
      <c r="Q98" s="26"/>
      <c r="R98" s="187">
        <v>1</v>
      </c>
      <c r="S98" s="188">
        <v>1</v>
      </c>
      <c r="T98" s="188">
        <v>1</v>
      </c>
      <c r="U98" s="188">
        <v>1</v>
      </c>
      <c r="V98" s="188">
        <v>1</v>
      </c>
      <c r="W98" s="188">
        <v>1</v>
      </c>
      <c r="X98" s="188">
        <v>1</v>
      </c>
      <c r="Y98" s="188">
        <v>1</v>
      </c>
      <c r="Z98" s="188">
        <v>1</v>
      </c>
      <c r="AA98" s="188">
        <v>1</v>
      </c>
      <c r="AB98" s="188">
        <v>1</v>
      </c>
      <c r="AC98" s="188">
        <v>1</v>
      </c>
      <c r="AD98" s="188">
        <v>1</v>
      </c>
      <c r="AE98" s="188">
        <v>1</v>
      </c>
      <c r="AF98" s="188">
        <v>1</v>
      </c>
      <c r="AG98" s="188">
        <v>1</v>
      </c>
      <c r="AH98" s="166"/>
      <c r="AI98" s="129">
        <f t="shared" ref="AI98:AI135" si="95">C98</f>
        <v>0</v>
      </c>
      <c r="AJ98" s="129">
        <f t="shared" ref="AJ98:AJ135" si="96">D98</f>
        <v>0</v>
      </c>
      <c r="AK98" s="129">
        <f t="shared" ref="AK98:AK135" si="97">E98</f>
        <v>0</v>
      </c>
      <c r="AL98" s="129">
        <f t="shared" ref="AL98:AL135" si="98">F98</f>
        <v>0</v>
      </c>
      <c r="AM98" s="129">
        <f t="shared" ref="AM98:AM135" si="99">G98</f>
        <v>0</v>
      </c>
      <c r="AN98" s="129">
        <f t="shared" ref="AN98:AN135" si="100">H98</f>
        <v>0</v>
      </c>
      <c r="AO98" s="129">
        <f t="shared" ref="AO98:AO135" si="101">I98</f>
        <v>0</v>
      </c>
      <c r="AP98" s="129">
        <f t="shared" ref="AP98:AP135" si="102">J98</f>
        <v>0</v>
      </c>
      <c r="AQ98" s="129">
        <f t="shared" ref="AQ98:AQ135" si="103">K98</f>
        <v>0</v>
      </c>
      <c r="AR98" s="129">
        <f t="shared" ref="AR98:AR135" si="104">L98</f>
        <v>0</v>
      </c>
      <c r="AS98" s="129">
        <f t="shared" ref="AS98:AS135" si="105">M98</f>
        <v>0</v>
      </c>
      <c r="AT98" s="129">
        <f t="shared" ref="AT98:AT135" si="106">N98</f>
        <v>0</v>
      </c>
      <c r="AU98" s="129">
        <f t="shared" ref="AU98:AU135" si="107">O98</f>
        <v>0</v>
      </c>
      <c r="AV98" s="129">
        <f t="shared" ref="AV98:AV135" si="108">P98</f>
        <v>0</v>
      </c>
      <c r="AW98" s="129">
        <f t="shared" ref="AW98:AW135" si="109">Q98</f>
        <v>0</v>
      </c>
      <c r="AY98" s="162" t="str">
        <f>IF(ISBLANK(C98),"",NOT(ISERROR(MATCH(C98,Deltagarlista!$E$5:$E$64,0))))</f>
        <v/>
      </c>
      <c r="AZ98" s="162" t="str">
        <f>IF(ISBLANK(D98),"",NOT(ISERROR(MATCH(D98,Deltagarlista!$E$5:$E$64,0))))</f>
        <v/>
      </c>
      <c r="BA98" s="162" t="str">
        <f>IF(ISBLANK(E98),"",NOT(ISERROR(MATCH(E98,Deltagarlista!$E$5:$E$64,0))))</f>
        <v/>
      </c>
      <c r="BB98" s="162" t="str">
        <f>IF(ISBLANK(F98),"",NOT(ISERROR(MATCH(F98,Deltagarlista!$E$5:$E$64,0))))</f>
        <v/>
      </c>
      <c r="BC98" s="162" t="str">
        <f>IF(ISBLANK(G98),"",NOT(ISERROR(MATCH(G98,Deltagarlista!$E$5:$E$64,0))))</f>
        <v/>
      </c>
      <c r="BD98" s="162" t="str">
        <f>IF(ISBLANK(H98),"",NOT(ISERROR(MATCH(H98,Deltagarlista!$E$5:$E$64,0))))</f>
        <v/>
      </c>
      <c r="BE98" s="162" t="str">
        <f>IF(ISBLANK(I98),"",NOT(ISERROR(MATCH(I98,Deltagarlista!$E$5:$E$64,0))))</f>
        <v/>
      </c>
      <c r="BF98" s="162" t="str">
        <f>IF(ISBLANK(J98),"",NOT(ISERROR(MATCH(J98,Deltagarlista!$E$5:$E$64,0))))</f>
        <v/>
      </c>
      <c r="BG98" s="162" t="str">
        <f>IF(ISBLANK(K98),"",NOT(ISERROR(MATCH(K98,Deltagarlista!$E$5:$E$64,0))))</f>
        <v/>
      </c>
      <c r="BH98" s="162" t="str">
        <f>IF(ISBLANK(L98),"",NOT(ISERROR(MATCH(L98,Deltagarlista!$E$5:$E$64,0))))</f>
        <v/>
      </c>
      <c r="BI98" s="162" t="str">
        <f>IF(ISBLANK(M98),"",NOT(ISERROR(MATCH(M98,Deltagarlista!$E$5:$E$64,0))))</f>
        <v/>
      </c>
      <c r="BJ98" s="162" t="str">
        <f>IF(ISBLANK(N98),"",NOT(ISERROR(MATCH(N98,Deltagarlista!$E$5:$E$64,0))))</f>
        <v/>
      </c>
      <c r="BK98" s="162" t="str">
        <f>IF(ISBLANK(O98),"",NOT(ISERROR(MATCH(O98,Deltagarlista!$E$5:$E$64,0))))</f>
        <v/>
      </c>
      <c r="BL98" s="162" t="str">
        <f>IF(ISBLANK(P98),"",NOT(ISERROR(MATCH(P98,Deltagarlista!$E$5:$E$64,0))))</f>
        <v/>
      </c>
      <c r="BM98" s="162" t="str">
        <f>IF(ISBLANK(Q98),"",NOT(ISERROR(MATCH(Q98,Deltagarlista!$E$5:$E$64,0))))</f>
        <v/>
      </c>
      <c r="BN98" s="167"/>
    </row>
    <row r="99" spans="2:66" x14ac:dyDescent="0.3">
      <c r="B99" s="186">
        <v>2</v>
      </c>
      <c r="C99" s="27"/>
      <c r="D99" s="28"/>
      <c r="E99" s="38"/>
      <c r="F99" s="27"/>
      <c r="G99" s="28"/>
      <c r="H99" s="29"/>
      <c r="I99" s="41"/>
      <c r="J99" s="28"/>
      <c r="K99" s="38"/>
      <c r="L99" s="27"/>
      <c r="M99" s="28"/>
      <c r="N99" s="29"/>
      <c r="O99" s="41"/>
      <c r="P99" s="28"/>
      <c r="Q99" s="29"/>
      <c r="R99" s="187">
        <v>2</v>
      </c>
      <c r="S99" s="188">
        <v>2</v>
      </c>
      <c r="T99" s="188">
        <v>2</v>
      </c>
      <c r="U99" s="188">
        <v>2</v>
      </c>
      <c r="V99" s="188">
        <v>2</v>
      </c>
      <c r="W99" s="188">
        <v>2</v>
      </c>
      <c r="X99" s="188">
        <v>2</v>
      </c>
      <c r="Y99" s="188">
        <v>2</v>
      </c>
      <c r="Z99" s="188">
        <v>2</v>
      </c>
      <c r="AA99" s="188">
        <v>2</v>
      </c>
      <c r="AB99" s="188">
        <v>2</v>
      </c>
      <c r="AC99" s="188">
        <v>2</v>
      </c>
      <c r="AD99" s="188">
        <v>2</v>
      </c>
      <c r="AE99" s="188">
        <v>2</v>
      </c>
      <c r="AF99" s="188">
        <v>2</v>
      </c>
      <c r="AG99" s="188">
        <v>2</v>
      </c>
      <c r="AH99" s="166"/>
      <c r="AI99" s="129">
        <f t="shared" si="95"/>
        <v>0</v>
      </c>
      <c r="AJ99" s="129">
        <f t="shared" si="96"/>
        <v>0</v>
      </c>
      <c r="AK99" s="129">
        <f t="shared" si="97"/>
        <v>0</v>
      </c>
      <c r="AL99" s="129">
        <f t="shared" si="98"/>
        <v>0</v>
      </c>
      <c r="AM99" s="129">
        <f t="shared" si="99"/>
        <v>0</v>
      </c>
      <c r="AN99" s="129">
        <f t="shared" si="100"/>
        <v>0</v>
      </c>
      <c r="AO99" s="129">
        <f t="shared" si="101"/>
        <v>0</v>
      </c>
      <c r="AP99" s="129">
        <f t="shared" si="102"/>
        <v>0</v>
      </c>
      <c r="AQ99" s="129">
        <f t="shared" si="103"/>
        <v>0</v>
      </c>
      <c r="AR99" s="129">
        <f t="shared" si="104"/>
        <v>0</v>
      </c>
      <c r="AS99" s="129">
        <f t="shared" si="105"/>
        <v>0</v>
      </c>
      <c r="AT99" s="129">
        <f t="shared" si="106"/>
        <v>0</v>
      </c>
      <c r="AU99" s="129">
        <f t="shared" si="107"/>
        <v>0</v>
      </c>
      <c r="AV99" s="129">
        <f t="shared" si="108"/>
        <v>0</v>
      </c>
      <c r="AW99" s="129">
        <f t="shared" si="109"/>
        <v>0</v>
      </c>
      <c r="AY99" s="162" t="str">
        <f>IF(ISBLANK(C99),"",NOT(ISERROR(MATCH(C99,Deltagarlista!$E$5:$E$64,0))))</f>
        <v/>
      </c>
      <c r="AZ99" s="162" t="str">
        <f>IF(ISBLANK(D99),"",NOT(ISERROR(MATCH(D99,Deltagarlista!$E$5:$E$64,0))))</f>
        <v/>
      </c>
      <c r="BA99" s="162" t="str">
        <f>IF(ISBLANK(E99),"",NOT(ISERROR(MATCH(E99,Deltagarlista!$E$5:$E$64,0))))</f>
        <v/>
      </c>
      <c r="BB99" s="162" t="str">
        <f>IF(ISBLANK(F99),"",NOT(ISERROR(MATCH(F99,Deltagarlista!$E$5:$E$64,0))))</f>
        <v/>
      </c>
      <c r="BC99" s="162" t="str">
        <f>IF(ISBLANK(G99),"",NOT(ISERROR(MATCH(G99,Deltagarlista!$E$5:$E$64,0))))</f>
        <v/>
      </c>
      <c r="BD99" s="162" t="str">
        <f>IF(ISBLANK(H99),"",NOT(ISERROR(MATCH(H99,Deltagarlista!$E$5:$E$64,0))))</f>
        <v/>
      </c>
      <c r="BE99" s="162" t="str">
        <f>IF(ISBLANK(I99),"",NOT(ISERROR(MATCH(I99,Deltagarlista!$E$5:$E$64,0))))</f>
        <v/>
      </c>
      <c r="BF99" s="162" t="str">
        <f>IF(ISBLANK(J99),"",NOT(ISERROR(MATCH(J99,Deltagarlista!$E$5:$E$64,0))))</f>
        <v/>
      </c>
      <c r="BG99" s="162" t="str">
        <f>IF(ISBLANK(K99),"",NOT(ISERROR(MATCH(K99,Deltagarlista!$E$5:$E$64,0))))</f>
        <v/>
      </c>
      <c r="BH99" s="162" t="str">
        <f>IF(ISBLANK(L99),"",NOT(ISERROR(MATCH(L99,Deltagarlista!$E$5:$E$64,0))))</f>
        <v/>
      </c>
      <c r="BI99" s="162" t="str">
        <f>IF(ISBLANK(M99),"",NOT(ISERROR(MATCH(M99,Deltagarlista!$E$5:$E$64,0))))</f>
        <v/>
      </c>
      <c r="BJ99" s="162" t="str">
        <f>IF(ISBLANK(N99),"",NOT(ISERROR(MATCH(N99,Deltagarlista!$E$5:$E$64,0))))</f>
        <v/>
      </c>
      <c r="BK99" s="162" t="str">
        <f>IF(ISBLANK(O99),"",NOT(ISERROR(MATCH(O99,Deltagarlista!$E$5:$E$64,0))))</f>
        <v/>
      </c>
      <c r="BL99" s="162" t="str">
        <f>IF(ISBLANK(P99),"",NOT(ISERROR(MATCH(P99,Deltagarlista!$E$5:$E$64,0))))</f>
        <v/>
      </c>
      <c r="BM99" s="162" t="str">
        <f>IF(ISBLANK(Q99),"",NOT(ISERROR(MATCH(Q99,Deltagarlista!$E$5:$E$64,0))))</f>
        <v/>
      </c>
      <c r="BN99" s="167"/>
    </row>
    <row r="100" spans="2:66" x14ac:dyDescent="0.3">
      <c r="B100" s="186">
        <v>3</v>
      </c>
      <c r="C100" s="27"/>
      <c r="D100" s="28"/>
      <c r="E100" s="38"/>
      <c r="F100" s="27"/>
      <c r="G100" s="28"/>
      <c r="H100" s="29"/>
      <c r="I100" s="41"/>
      <c r="J100" s="28"/>
      <c r="K100" s="38"/>
      <c r="L100" s="27"/>
      <c r="M100" s="28"/>
      <c r="N100" s="29"/>
      <c r="O100" s="41"/>
      <c r="P100" s="28"/>
      <c r="Q100" s="29"/>
      <c r="R100" s="187">
        <v>3</v>
      </c>
      <c r="S100" s="188">
        <v>3</v>
      </c>
      <c r="T100" s="188">
        <v>3</v>
      </c>
      <c r="U100" s="188">
        <v>3</v>
      </c>
      <c r="V100" s="188">
        <v>3</v>
      </c>
      <c r="W100" s="188">
        <v>3</v>
      </c>
      <c r="X100" s="188">
        <v>3</v>
      </c>
      <c r="Y100" s="188">
        <v>3</v>
      </c>
      <c r="Z100" s="188">
        <v>3</v>
      </c>
      <c r="AA100" s="188">
        <v>3</v>
      </c>
      <c r="AB100" s="188">
        <v>3</v>
      </c>
      <c r="AC100" s="188">
        <v>3</v>
      </c>
      <c r="AD100" s="188">
        <v>3</v>
      </c>
      <c r="AE100" s="188">
        <v>3</v>
      </c>
      <c r="AF100" s="188">
        <v>3</v>
      </c>
      <c r="AG100" s="188">
        <v>3</v>
      </c>
      <c r="AH100" s="166"/>
      <c r="AI100" s="129">
        <f t="shared" si="95"/>
        <v>0</v>
      </c>
      <c r="AJ100" s="129">
        <f t="shared" si="96"/>
        <v>0</v>
      </c>
      <c r="AK100" s="129">
        <f t="shared" si="97"/>
        <v>0</v>
      </c>
      <c r="AL100" s="129">
        <f t="shared" si="98"/>
        <v>0</v>
      </c>
      <c r="AM100" s="129">
        <f t="shared" si="99"/>
        <v>0</v>
      </c>
      <c r="AN100" s="129">
        <f t="shared" si="100"/>
        <v>0</v>
      </c>
      <c r="AO100" s="129">
        <f t="shared" si="101"/>
        <v>0</v>
      </c>
      <c r="AP100" s="129">
        <f t="shared" si="102"/>
        <v>0</v>
      </c>
      <c r="AQ100" s="129">
        <f t="shared" si="103"/>
        <v>0</v>
      </c>
      <c r="AR100" s="129">
        <f t="shared" si="104"/>
        <v>0</v>
      </c>
      <c r="AS100" s="129">
        <f t="shared" si="105"/>
        <v>0</v>
      </c>
      <c r="AT100" s="129">
        <f t="shared" si="106"/>
        <v>0</v>
      </c>
      <c r="AU100" s="129">
        <f t="shared" si="107"/>
        <v>0</v>
      </c>
      <c r="AV100" s="129">
        <f t="shared" si="108"/>
        <v>0</v>
      </c>
      <c r="AW100" s="129">
        <f t="shared" si="109"/>
        <v>0</v>
      </c>
      <c r="AY100" s="162" t="str">
        <f>IF(ISBLANK(C100),"",NOT(ISERROR(MATCH(C100,Deltagarlista!$E$5:$E$64,0))))</f>
        <v/>
      </c>
      <c r="AZ100" s="162" t="str">
        <f>IF(ISBLANK(D100),"",NOT(ISERROR(MATCH(D100,Deltagarlista!$E$5:$E$64,0))))</f>
        <v/>
      </c>
      <c r="BA100" s="162" t="str">
        <f>IF(ISBLANK(E100),"",NOT(ISERROR(MATCH(E100,Deltagarlista!$E$5:$E$64,0))))</f>
        <v/>
      </c>
      <c r="BB100" s="162" t="str">
        <f>IF(ISBLANK(F100),"",NOT(ISERROR(MATCH(F100,Deltagarlista!$E$5:$E$64,0))))</f>
        <v/>
      </c>
      <c r="BC100" s="162" t="str">
        <f>IF(ISBLANK(G100),"",NOT(ISERROR(MATCH(G100,Deltagarlista!$E$5:$E$64,0))))</f>
        <v/>
      </c>
      <c r="BD100" s="162" t="str">
        <f>IF(ISBLANK(H100),"",NOT(ISERROR(MATCH(H100,Deltagarlista!$E$5:$E$64,0))))</f>
        <v/>
      </c>
      <c r="BE100" s="162" t="str">
        <f>IF(ISBLANK(I100),"",NOT(ISERROR(MATCH(I100,Deltagarlista!$E$5:$E$64,0))))</f>
        <v/>
      </c>
      <c r="BF100" s="162" t="str">
        <f>IF(ISBLANK(J100),"",NOT(ISERROR(MATCH(J100,Deltagarlista!$E$5:$E$64,0))))</f>
        <v/>
      </c>
      <c r="BG100" s="162" t="str">
        <f>IF(ISBLANK(K100),"",NOT(ISERROR(MATCH(K100,Deltagarlista!$E$5:$E$64,0))))</f>
        <v/>
      </c>
      <c r="BH100" s="162" t="str">
        <f>IF(ISBLANK(L100),"",NOT(ISERROR(MATCH(L100,Deltagarlista!$E$5:$E$64,0))))</f>
        <v/>
      </c>
      <c r="BI100" s="162" t="str">
        <f>IF(ISBLANK(M100),"",NOT(ISERROR(MATCH(M100,Deltagarlista!$E$5:$E$64,0))))</f>
        <v/>
      </c>
      <c r="BJ100" s="162" t="str">
        <f>IF(ISBLANK(N100),"",NOT(ISERROR(MATCH(N100,Deltagarlista!$E$5:$E$64,0))))</f>
        <v/>
      </c>
      <c r="BK100" s="162" t="str">
        <f>IF(ISBLANK(O100),"",NOT(ISERROR(MATCH(O100,Deltagarlista!$E$5:$E$64,0))))</f>
        <v/>
      </c>
      <c r="BL100" s="162" t="str">
        <f>IF(ISBLANK(P100),"",NOT(ISERROR(MATCH(P100,Deltagarlista!$E$5:$E$64,0))))</f>
        <v/>
      </c>
      <c r="BM100" s="162" t="str">
        <f>IF(ISBLANK(Q100),"",NOT(ISERROR(MATCH(Q100,Deltagarlista!$E$5:$E$64,0))))</f>
        <v/>
      </c>
      <c r="BN100" s="167"/>
    </row>
    <row r="101" spans="2:66" x14ac:dyDescent="0.3">
      <c r="B101" s="186">
        <v>4</v>
      </c>
      <c r="C101" s="27"/>
      <c r="D101" s="28"/>
      <c r="E101" s="38"/>
      <c r="F101" s="27"/>
      <c r="G101" s="28"/>
      <c r="H101" s="29"/>
      <c r="I101" s="41"/>
      <c r="J101" s="28"/>
      <c r="K101" s="38"/>
      <c r="L101" s="27"/>
      <c r="M101" s="28"/>
      <c r="N101" s="29"/>
      <c r="O101" s="41"/>
      <c r="P101" s="28"/>
      <c r="Q101" s="29"/>
      <c r="R101" s="187">
        <v>4</v>
      </c>
      <c r="S101" s="188">
        <v>4</v>
      </c>
      <c r="T101" s="188">
        <v>4</v>
      </c>
      <c r="U101" s="188">
        <v>4</v>
      </c>
      <c r="V101" s="188">
        <v>4</v>
      </c>
      <c r="W101" s="188">
        <v>4</v>
      </c>
      <c r="X101" s="188">
        <v>4</v>
      </c>
      <c r="Y101" s="188">
        <v>4</v>
      </c>
      <c r="Z101" s="188">
        <v>4</v>
      </c>
      <c r="AA101" s="188">
        <v>4</v>
      </c>
      <c r="AB101" s="188">
        <v>4</v>
      </c>
      <c r="AC101" s="188">
        <v>4</v>
      </c>
      <c r="AD101" s="188">
        <v>4</v>
      </c>
      <c r="AE101" s="188">
        <v>4</v>
      </c>
      <c r="AF101" s="188">
        <v>4</v>
      </c>
      <c r="AG101" s="188">
        <v>4</v>
      </c>
      <c r="AH101" s="166"/>
      <c r="AI101" s="129">
        <f t="shared" si="95"/>
        <v>0</v>
      </c>
      <c r="AJ101" s="129">
        <f t="shared" si="96"/>
        <v>0</v>
      </c>
      <c r="AK101" s="129">
        <f t="shared" si="97"/>
        <v>0</v>
      </c>
      <c r="AL101" s="129">
        <f t="shared" si="98"/>
        <v>0</v>
      </c>
      <c r="AM101" s="129">
        <f t="shared" si="99"/>
        <v>0</v>
      </c>
      <c r="AN101" s="129">
        <f t="shared" si="100"/>
        <v>0</v>
      </c>
      <c r="AO101" s="129">
        <f t="shared" si="101"/>
        <v>0</v>
      </c>
      <c r="AP101" s="129">
        <f t="shared" si="102"/>
        <v>0</v>
      </c>
      <c r="AQ101" s="129">
        <f t="shared" si="103"/>
        <v>0</v>
      </c>
      <c r="AR101" s="129">
        <f t="shared" si="104"/>
        <v>0</v>
      </c>
      <c r="AS101" s="129">
        <f t="shared" si="105"/>
        <v>0</v>
      </c>
      <c r="AT101" s="129">
        <f t="shared" si="106"/>
        <v>0</v>
      </c>
      <c r="AU101" s="129">
        <f t="shared" si="107"/>
        <v>0</v>
      </c>
      <c r="AV101" s="129">
        <f t="shared" si="108"/>
        <v>0</v>
      </c>
      <c r="AW101" s="129">
        <f t="shared" si="109"/>
        <v>0</v>
      </c>
      <c r="AY101" s="162" t="str">
        <f>IF(ISBLANK(C101),"",NOT(ISERROR(MATCH(C101,Deltagarlista!$E$5:$E$64,0))))</f>
        <v/>
      </c>
      <c r="AZ101" s="162" t="str">
        <f>IF(ISBLANK(D101),"",NOT(ISERROR(MATCH(D101,Deltagarlista!$E$5:$E$64,0))))</f>
        <v/>
      </c>
      <c r="BA101" s="162" t="str">
        <f>IF(ISBLANK(E101),"",NOT(ISERROR(MATCH(E101,Deltagarlista!$E$5:$E$64,0))))</f>
        <v/>
      </c>
      <c r="BB101" s="162" t="str">
        <f>IF(ISBLANK(F101),"",NOT(ISERROR(MATCH(F101,Deltagarlista!$E$5:$E$64,0))))</f>
        <v/>
      </c>
      <c r="BC101" s="162" t="str">
        <f>IF(ISBLANK(G101),"",NOT(ISERROR(MATCH(G101,Deltagarlista!$E$5:$E$64,0))))</f>
        <v/>
      </c>
      <c r="BD101" s="162" t="str">
        <f>IF(ISBLANK(H101),"",NOT(ISERROR(MATCH(H101,Deltagarlista!$E$5:$E$64,0))))</f>
        <v/>
      </c>
      <c r="BE101" s="162" t="str">
        <f>IF(ISBLANK(I101),"",NOT(ISERROR(MATCH(I101,Deltagarlista!$E$5:$E$64,0))))</f>
        <v/>
      </c>
      <c r="BF101" s="162" t="str">
        <f>IF(ISBLANK(J101),"",NOT(ISERROR(MATCH(J101,Deltagarlista!$E$5:$E$64,0))))</f>
        <v/>
      </c>
      <c r="BG101" s="162" t="str">
        <f>IF(ISBLANK(K101),"",NOT(ISERROR(MATCH(K101,Deltagarlista!$E$5:$E$64,0))))</f>
        <v/>
      </c>
      <c r="BH101" s="162" t="str">
        <f>IF(ISBLANK(L101),"",NOT(ISERROR(MATCH(L101,Deltagarlista!$E$5:$E$64,0))))</f>
        <v/>
      </c>
      <c r="BI101" s="162" t="str">
        <f>IF(ISBLANK(M101),"",NOT(ISERROR(MATCH(M101,Deltagarlista!$E$5:$E$64,0))))</f>
        <v/>
      </c>
      <c r="BJ101" s="162" t="str">
        <f>IF(ISBLANK(N101),"",NOT(ISERROR(MATCH(N101,Deltagarlista!$E$5:$E$64,0))))</f>
        <v/>
      </c>
      <c r="BK101" s="162" t="str">
        <f>IF(ISBLANK(O101),"",NOT(ISERROR(MATCH(O101,Deltagarlista!$E$5:$E$64,0))))</f>
        <v/>
      </c>
      <c r="BL101" s="162" t="str">
        <f>IF(ISBLANK(P101),"",NOT(ISERROR(MATCH(P101,Deltagarlista!$E$5:$E$64,0))))</f>
        <v/>
      </c>
      <c r="BM101" s="162" t="str">
        <f>IF(ISBLANK(Q101),"",NOT(ISERROR(MATCH(Q101,Deltagarlista!$E$5:$E$64,0))))</f>
        <v/>
      </c>
      <c r="BN101" s="167"/>
    </row>
    <row r="102" spans="2:66" x14ac:dyDescent="0.3">
      <c r="B102" s="186">
        <v>5</v>
      </c>
      <c r="C102" s="27"/>
      <c r="D102" s="28"/>
      <c r="E102" s="38"/>
      <c r="F102" s="27"/>
      <c r="G102" s="28"/>
      <c r="H102" s="29"/>
      <c r="I102" s="41"/>
      <c r="J102" s="28"/>
      <c r="K102" s="38"/>
      <c r="L102" s="27"/>
      <c r="M102" s="28"/>
      <c r="N102" s="29"/>
      <c r="O102" s="41"/>
      <c r="P102" s="28"/>
      <c r="Q102" s="29"/>
      <c r="R102" s="187">
        <v>5</v>
      </c>
      <c r="S102" s="188">
        <v>5</v>
      </c>
      <c r="T102" s="188">
        <v>5</v>
      </c>
      <c r="U102" s="188">
        <v>5</v>
      </c>
      <c r="V102" s="188">
        <v>5</v>
      </c>
      <c r="W102" s="188">
        <v>5</v>
      </c>
      <c r="X102" s="188">
        <v>5</v>
      </c>
      <c r="Y102" s="188">
        <v>5</v>
      </c>
      <c r="Z102" s="188">
        <v>5</v>
      </c>
      <c r="AA102" s="188">
        <v>5</v>
      </c>
      <c r="AB102" s="188">
        <v>5</v>
      </c>
      <c r="AC102" s="188">
        <v>5</v>
      </c>
      <c r="AD102" s="188">
        <v>5</v>
      </c>
      <c r="AE102" s="188">
        <v>5</v>
      </c>
      <c r="AF102" s="188">
        <v>5</v>
      </c>
      <c r="AG102" s="188">
        <v>5</v>
      </c>
      <c r="AH102" s="166"/>
      <c r="AI102" s="129">
        <f t="shared" si="95"/>
        <v>0</v>
      </c>
      <c r="AJ102" s="129">
        <f t="shared" si="96"/>
        <v>0</v>
      </c>
      <c r="AK102" s="129">
        <f t="shared" si="97"/>
        <v>0</v>
      </c>
      <c r="AL102" s="129">
        <f t="shared" si="98"/>
        <v>0</v>
      </c>
      <c r="AM102" s="129">
        <f t="shared" si="99"/>
        <v>0</v>
      </c>
      <c r="AN102" s="129">
        <f t="shared" si="100"/>
        <v>0</v>
      </c>
      <c r="AO102" s="129">
        <f t="shared" si="101"/>
        <v>0</v>
      </c>
      <c r="AP102" s="129">
        <f t="shared" si="102"/>
        <v>0</v>
      </c>
      <c r="AQ102" s="129">
        <f t="shared" si="103"/>
        <v>0</v>
      </c>
      <c r="AR102" s="129">
        <f t="shared" si="104"/>
        <v>0</v>
      </c>
      <c r="AS102" s="129">
        <f t="shared" si="105"/>
        <v>0</v>
      </c>
      <c r="AT102" s="129">
        <f t="shared" si="106"/>
        <v>0</v>
      </c>
      <c r="AU102" s="129">
        <f t="shared" si="107"/>
        <v>0</v>
      </c>
      <c r="AV102" s="129">
        <f t="shared" si="108"/>
        <v>0</v>
      </c>
      <c r="AW102" s="129">
        <f t="shared" si="109"/>
        <v>0</v>
      </c>
      <c r="AY102" s="162" t="str">
        <f>IF(ISBLANK(C102),"",NOT(ISERROR(MATCH(C102,Deltagarlista!$E$5:$E$64,0))))</f>
        <v/>
      </c>
      <c r="AZ102" s="162" t="str">
        <f>IF(ISBLANK(D102),"",NOT(ISERROR(MATCH(D102,Deltagarlista!$E$5:$E$64,0))))</f>
        <v/>
      </c>
      <c r="BA102" s="162" t="str">
        <f>IF(ISBLANK(E102),"",NOT(ISERROR(MATCH(E102,Deltagarlista!$E$5:$E$64,0))))</f>
        <v/>
      </c>
      <c r="BB102" s="162" t="str">
        <f>IF(ISBLANK(F102),"",NOT(ISERROR(MATCH(F102,Deltagarlista!$E$5:$E$64,0))))</f>
        <v/>
      </c>
      <c r="BC102" s="162" t="str">
        <f>IF(ISBLANK(G102),"",NOT(ISERROR(MATCH(G102,Deltagarlista!$E$5:$E$64,0))))</f>
        <v/>
      </c>
      <c r="BD102" s="162" t="str">
        <f>IF(ISBLANK(H102),"",NOT(ISERROR(MATCH(H102,Deltagarlista!$E$5:$E$64,0))))</f>
        <v/>
      </c>
      <c r="BE102" s="162" t="str">
        <f>IF(ISBLANK(I102),"",NOT(ISERROR(MATCH(I102,Deltagarlista!$E$5:$E$64,0))))</f>
        <v/>
      </c>
      <c r="BF102" s="162" t="str">
        <f>IF(ISBLANK(J102),"",NOT(ISERROR(MATCH(J102,Deltagarlista!$E$5:$E$64,0))))</f>
        <v/>
      </c>
      <c r="BG102" s="162" t="str">
        <f>IF(ISBLANK(K102),"",NOT(ISERROR(MATCH(K102,Deltagarlista!$E$5:$E$64,0))))</f>
        <v/>
      </c>
      <c r="BH102" s="162" t="str">
        <f>IF(ISBLANK(L102),"",NOT(ISERROR(MATCH(L102,Deltagarlista!$E$5:$E$64,0))))</f>
        <v/>
      </c>
      <c r="BI102" s="162" t="str">
        <f>IF(ISBLANK(M102),"",NOT(ISERROR(MATCH(M102,Deltagarlista!$E$5:$E$64,0))))</f>
        <v/>
      </c>
      <c r="BJ102" s="162" t="str">
        <f>IF(ISBLANK(N102),"",NOT(ISERROR(MATCH(N102,Deltagarlista!$E$5:$E$64,0))))</f>
        <v/>
      </c>
      <c r="BK102" s="162" t="str">
        <f>IF(ISBLANK(O102),"",NOT(ISERROR(MATCH(O102,Deltagarlista!$E$5:$E$64,0))))</f>
        <v/>
      </c>
      <c r="BL102" s="162" t="str">
        <f>IF(ISBLANK(P102),"",NOT(ISERROR(MATCH(P102,Deltagarlista!$E$5:$E$64,0))))</f>
        <v/>
      </c>
      <c r="BM102" s="162" t="str">
        <f>IF(ISBLANK(Q102),"",NOT(ISERROR(MATCH(Q102,Deltagarlista!$E$5:$E$64,0))))</f>
        <v/>
      </c>
      <c r="BN102" s="167"/>
    </row>
    <row r="103" spans="2:66" x14ac:dyDescent="0.3">
      <c r="B103" s="186">
        <v>6</v>
      </c>
      <c r="C103" s="27"/>
      <c r="D103" s="28"/>
      <c r="E103" s="38"/>
      <c r="F103" s="27"/>
      <c r="G103" s="28"/>
      <c r="H103" s="29"/>
      <c r="I103" s="41"/>
      <c r="J103" s="28"/>
      <c r="K103" s="38"/>
      <c r="L103" s="27"/>
      <c r="M103" s="28"/>
      <c r="N103" s="29"/>
      <c r="O103" s="41"/>
      <c r="P103" s="28"/>
      <c r="Q103" s="29"/>
      <c r="R103" s="187">
        <v>6</v>
      </c>
      <c r="S103" s="188">
        <v>6</v>
      </c>
      <c r="T103" s="188">
        <v>6</v>
      </c>
      <c r="U103" s="188">
        <v>6</v>
      </c>
      <c r="V103" s="188">
        <v>6</v>
      </c>
      <c r="W103" s="188">
        <v>6</v>
      </c>
      <c r="X103" s="188">
        <v>6</v>
      </c>
      <c r="Y103" s="188">
        <v>6</v>
      </c>
      <c r="Z103" s="188">
        <v>6</v>
      </c>
      <c r="AA103" s="188">
        <v>6</v>
      </c>
      <c r="AB103" s="188">
        <v>6</v>
      </c>
      <c r="AC103" s="188">
        <v>6</v>
      </c>
      <c r="AD103" s="188">
        <v>6</v>
      </c>
      <c r="AE103" s="188">
        <v>6</v>
      </c>
      <c r="AF103" s="188">
        <v>6</v>
      </c>
      <c r="AG103" s="188">
        <v>6</v>
      </c>
      <c r="AH103" s="166"/>
      <c r="AI103" s="129">
        <f t="shared" si="95"/>
        <v>0</v>
      </c>
      <c r="AJ103" s="129">
        <f t="shared" si="96"/>
        <v>0</v>
      </c>
      <c r="AK103" s="129">
        <f t="shared" si="97"/>
        <v>0</v>
      </c>
      <c r="AL103" s="129">
        <f t="shared" si="98"/>
        <v>0</v>
      </c>
      <c r="AM103" s="129">
        <f t="shared" si="99"/>
        <v>0</v>
      </c>
      <c r="AN103" s="129">
        <f t="shared" si="100"/>
        <v>0</v>
      </c>
      <c r="AO103" s="129">
        <f t="shared" si="101"/>
        <v>0</v>
      </c>
      <c r="AP103" s="129">
        <f t="shared" si="102"/>
        <v>0</v>
      </c>
      <c r="AQ103" s="129">
        <f t="shared" si="103"/>
        <v>0</v>
      </c>
      <c r="AR103" s="129">
        <f t="shared" si="104"/>
        <v>0</v>
      </c>
      <c r="AS103" s="129">
        <f t="shared" si="105"/>
        <v>0</v>
      </c>
      <c r="AT103" s="129">
        <f t="shared" si="106"/>
        <v>0</v>
      </c>
      <c r="AU103" s="129">
        <f t="shared" si="107"/>
        <v>0</v>
      </c>
      <c r="AV103" s="129">
        <f t="shared" si="108"/>
        <v>0</v>
      </c>
      <c r="AW103" s="129">
        <f t="shared" si="109"/>
        <v>0</v>
      </c>
      <c r="AY103" s="162" t="str">
        <f>IF(ISBLANK(C103),"",NOT(ISERROR(MATCH(C103,Deltagarlista!$E$5:$E$64,0))))</f>
        <v/>
      </c>
      <c r="AZ103" s="162" t="str">
        <f>IF(ISBLANK(D103),"",NOT(ISERROR(MATCH(D103,Deltagarlista!$E$5:$E$64,0))))</f>
        <v/>
      </c>
      <c r="BA103" s="162" t="str">
        <f>IF(ISBLANK(E103),"",NOT(ISERROR(MATCH(E103,Deltagarlista!$E$5:$E$64,0))))</f>
        <v/>
      </c>
      <c r="BB103" s="162" t="str">
        <f>IF(ISBLANK(F103),"",NOT(ISERROR(MATCH(F103,Deltagarlista!$E$5:$E$64,0))))</f>
        <v/>
      </c>
      <c r="BC103" s="162" t="str">
        <f>IF(ISBLANK(G103),"",NOT(ISERROR(MATCH(G103,Deltagarlista!$E$5:$E$64,0))))</f>
        <v/>
      </c>
      <c r="BD103" s="162" t="str">
        <f>IF(ISBLANK(H103),"",NOT(ISERROR(MATCH(H103,Deltagarlista!$E$5:$E$64,0))))</f>
        <v/>
      </c>
      <c r="BE103" s="162" t="str">
        <f>IF(ISBLANK(I103),"",NOT(ISERROR(MATCH(I103,Deltagarlista!$E$5:$E$64,0))))</f>
        <v/>
      </c>
      <c r="BF103" s="162" t="str">
        <f>IF(ISBLANK(J103),"",NOT(ISERROR(MATCH(J103,Deltagarlista!$E$5:$E$64,0))))</f>
        <v/>
      </c>
      <c r="BG103" s="162" t="str">
        <f>IF(ISBLANK(K103),"",NOT(ISERROR(MATCH(K103,Deltagarlista!$E$5:$E$64,0))))</f>
        <v/>
      </c>
      <c r="BH103" s="162" t="str">
        <f>IF(ISBLANK(L103),"",NOT(ISERROR(MATCH(L103,Deltagarlista!$E$5:$E$64,0))))</f>
        <v/>
      </c>
      <c r="BI103" s="162" t="str">
        <f>IF(ISBLANK(M103),"",NOT(ISERROR(MATCH(M103,Deltagarlista!$E$5:$E$64,0))))</f>
        <v/>
      </c>
      <c r="BJ103" s="162" t="str">
        <f>IF(ISBLANK(N103),"",NOT(ISERROR(MATCH(N103,Deltagarlista!$E$5:$E$64,0))))</f>
        <v/>
      </c>
      <c r="BK103" s="162" t="str">
        <f>IF(ISBLANK(O103),"",NOT(ISERROR(MATCH(O103,Deltagarlista!$E$5:$E$64,0))))</f>
        <v/>
      </c>
      <c r="BL103" s="162" t="str">
        <f>IF(ISBLANK(P103),"",NOT(ISERROR(MATCH(P103,Deltagarlista!$E$5:$E$64,0))))</f>
        <v/>
      </c>
      <c r="BM103" s="162" t="str">
        <f>IF(ISBLANK(Q103),"",NOT(ISERROR(MATCH(Q103,Deltagarlista!$E$5:$E$64,0))))</f>
        <v/>
      </c>
      <c r="BN103" s="167"/>
    </row>
    <row r="104" spans="2:66" x14ac:dyDescent="0.3">
      <c r="B104" s="186">
        <v>7</v>
      </c>
      <c r="C104" s="27"/>
      <c r="D104" s="28"/>
      <c r="E104" s="38"/>
      <c r="F104" s="27"/>
      <c r="G104" s="28"/>
      <c r="H104" s="29"/>
      <c r="I104" s="41"/>
      <c r="J104" s="28"/>
      <c r="K104" s="38"/>
      <c r="L104" s="27"/>
      <c r="M104" s="28"/>
      <c r="N104" s="29"/>
      <c r="O104" s="41"/>
      <c r="P104" s="28"/>
      <c r="Q104" s="29"/>
      <c r="R104" s="187">
        <v>7</v>
      </c>
      <c r="S104" s="188">
        <v>7</v>
      </c>
      <c r="T104" s="188">
        <v>7</v>
      </c>
      <c r="U104" s="188">
        <v>7</v>
      </c>
      <c r="V104" s="188">
        <v>7</v>
      </c>
      <c r="W104" s="188">
        <v>7</v>
      </c>
      <c r="X104" s="188">
        <v>7</v>
      </c>
      <c r="Y104" s="188">
        <v>7</v>
      </c>
      <c r="Z104" s="188">
        <v>7</v>
      </c>
      <c r="AA104" s="188">
        <v>7</v>
      </c>
      <c r="AB104" s="188">
        <v>7</v>
      </c>
      <c r="AC104" s="188">
        <v>7</v>
      </c>
      <c r="AD104" s="188">
        <v>7</v>
      </c>
      <c r="AE104" s="188">
        <v>7</v>
      </c>
      <c r="AF104" s="188">
        <v>7</v>
      </c>
      <c r="AG104" s="188">
        <v>7</v>
      </c>
      <c r="AH104" s="166"/>
      <c r="AI104" s="129">
        <f t="shared" si="95"/>
        <v>0</v>
      </c>
      <c r="AJ104" s="129">
        <f t="shared" si="96"/>
        <v>0</v>
      </c>
      <c r="AK104" s="129">
        <f t="shared" si="97"/>
        <v>0</v>
      </c>
      <c r="AL104" s="129">
        <f t="shared" si="98"/>
        <v>0</v>
      </c>
      <c r="AM104" s="129">
        <f t="shared" si="99"/>
        <v>0</v>
      </c>
      <c r="AN104" s="129">
        <f t="shared" si="100"/>
        <v>0</v>
      </c>
      <c r="AO104" s="129">
        <f t="shared" si="101"/>
        <v>0</v>
      </c>
      <c r="AP104" s="129">
        <f t="shared" si="102"/>
        <v>0</v>
      </c>
      <c r="AQ104" s="129">
        <f t="shared" si="103"/>
        <v>0</v>
      </c>
      <c r="AR104" s="129">
        <f t="shared" si="104"/>
        <v>0</v>
      </c>
      <c r="AS104" s="129">
        <f t="shared" si="105"/>
        <v>0</v>
      </c>
      <c r="AT104" s="129">
        <f t="shared" si="106"/>
        <v>0</v>
      </c>
      <c r="AU104" s="129">
        <f t="shared" si="107"/>
        <v>0</v>
      </c>
      <c r="AV104" s="129">
        <f t="shared" si="108"/>
        <v>0</v>
      </c>
      <c r="AW104" s="129">
        <f t="shared" si="109"/>
        <v>0</v>
      </c>
      <c r="AY104" s="162" t="str">
        <f>IF(ISBLANK(C104),"",NOT(ISERROR(MATCH(C104,Deltagarlista!$E$5:$E$64,0))))</f>
        <v/>
      </c>
      <c r="AZ104" s="162" t="str">
        <f>IF(ISBLANK(D104),"",NOT(ISERROR(MATCH(D104,Deltagarlista!$E$5:$E$64,0))))</f>
        <v/>
      </c>
      <c r="BA104" s="162" t="str">
        <f>IF(ISBLANK(E104),"",NOT(ISERROR(MATCH(E104,Deltagarlista!$E$5:$E$64,0))))</f>
        <v/>
      </c>
      <c r="BB104" s="162" t="str">
        <f>IF(ISBLANK(F104),"",NOT(ISERROR(MATCH(F104,Deltagarlista!$E$5:$E$64,0))))</f>
        <v/>
      </c>
      <c r="BC104" s="162" t="str">
        <f>IF(ISBLANK(G104),"",NOT(ISERROR(MATCH(G104,Deltagarlista!$E$5:$E$64,0))))</f>
        <v/>
      </c>
      <c r="BD104" s="162" t="str">
        <f>IF(ISBLANK(H104),"",NOT(ISERROR(MATCH(H104,Deltagarlista!$E$5:$E$64,0))))</f>
        <v/>
      </c>
      <c r="BE104" s="162" t="str">
        <f>IF(ISBLANK(I104),"",NOT(ISERROR(MATCH(I104,Deltagarlista!$E$5:$E$64,0))))</f>
        <v/>
      </c>
      <c r="BF104" s="162" t="str">
        <f>IF(ISBLANK(J104),"",NOT(ISERROR(MATCH(J104,Deltagarlista!$E$5:$E$64,0))))</f>
        <v/>
      </c>
      <c r="BG104" s="162" t="str">
        <f>IF(ISBLANK(K104),"",NOT(ISERROR(MATCH(K104,Deltagarlista!$E$5:$E$64,0))))</f>
        <v/>
      </c>
      <c r="BH104" s="162" t="str">
        <f>IF(ISBLANK(L104),"",NOT(ISERROR(MATCH(L104,Deltagarlista!$E$5:$E$64,0))))</f>
        <v/>
      </c>
      <c r="BI104" s="162" t="str">
        <f>IF(ISBLANK(M104),"",NOT(ISERROR(MATCH(M104,Deltagarlista!$E$5:$E$64,0))))</f>
        <v/>
      </c>
      <c r="BJ104" s="162" t="str">
        <f>IF(ISBLANK(N104),"",NOT(ISERROR(MATCH(N104,Deltagarlista!$E$5:$E$64,0))))</f>
        <v/>
      </c>
      <c r="BK104" s="162" t="str">
        <f>IF(ISBLANK(O104),"",NOT(ISERROR(MATCH(O104,Deltagarlista!$E$5:$E$64,0))))</f>
        <v/>
      </c>
      <c r="BL104" s="162" t="str">
        <f>IF(ISBLANK(P104),"",NOT(ISERROR(MATCH(P104,Deltagarlista!$E$5:$E$64,0))))</f>
        <v/>
      </c>
      <c r="BM104" s="162" t="str">
        <f>IF(ISBLANK(Q104),"",NOT(ISERROR(MATCH(Q104,Deltagarlista!$E$5:$E$64,0))))</f>
        <v/>
      </c>
      <c r="BN104" s="167"/>
    </row>
    <row r="105" spans="2:66" x14ac:dyDescent="0.3">
      <c r="B105" s="186">
        <v>8</v>
      </c>
      <c r="C105" s="27"/>
      <c r="D105" s="28"/>
      <c r="E105" s="38"/>
      <c r="F105" s="27"/>
      <c r="G105" s="28"/>
      <c r="H105" s="29"/>
      <c r="I105" s="41"/>
      <c r="J105" s="28"/>
      <c r="K105" s="38"/>
      <c r="L105" s="27"/>
      <c r="M105" s="28"/>
      <c r="N105" s="29"/>
      <c r="O105" s="41"/>
      <c r="P105" s="28"/>
      <c r="Q105" s="29"/>
      <c r="R105" s="187">
        <v>8</v>
      </c>
      <c r="S105" s="188">
        <v>8</v>
      </c>
      <c r="T105" s="188">
        <v>8</v>
      </c>
      <c r="U105" s="188">
        <v>8</v>
      </c>
      <c r="V105" s="188">
        <v>8</v>
      </c>
      <c r="W105" s="188">
        <v>8</v>
      </c>
      <c r="X105" s="188">
        <v>8</v>
      </c>
      <c r="Y105" s="188">
        <v>8</v>
      </c>
      <c r="Z105" s="188">
        <v>8</v>
      </c>
      <c r="AA105" s="188">
        <v>8</v>
      </c>
      <c r="AB105" s="188">
        <v>8</v>
      </c>
      <c r="AC105" s="188">
        <v>8</v>
      </c>
      <c r="AD105" s="188">
        <v>8</v>
      </c>
      <c r="AE105" s="188">
        <v>8</v>
      </c>
      <c r="AF105" s="188">
        <v>8</v>
      </c>
      <c r="AG105" s="188">
        <v>8</v>
      </c>
      <c r="AH105" s="166"/>
      <c r="AI105" s="129">
        <f t="shared" si="95"/>
        <v>0</v>
      </c>
      <c r="AJ105" s="129">
        <f t="shared" si="96"/>
        <v>0</v>
      </c>
      <c r="AK105" s="129">
        <f t="shared" si="97"/>
        <v>0</v>
      </c>
      <c r="AL105" s="129">
        <f t="shared" si="98"/>
        <v>0</v>
      </c>
      <c r="AM105" s="129">
        <f t="shared" si="99"/>
        <v>0</v>
      </c>
      <c r="AN105" s="129">
        <f t="shared" si="100"/>
        <v>0</v>
      </c>
      <c r="AO105" s="129">
        <f t="shared" si="101"/>
        <v>0</v>
      </c>
      <c r="AP105" s="129">
        <f t="shared" si="102"/>
        <v>0</v>
      </c>
      <c r="AQ105" s="129">
        <f t="shared" si="103"/>
        <v>0</v>
      </c>
      <c r="AR105" s="129">
        <f t="shared" si="104"/>
        <v>0</v>
      </c>
      <c r="AS105" s="129">
        <f t="shared" si="105"/>
        <v>0</v>
      </c>
      <c r="AT105" s="129">
        <f t="shared" si="106"/>
        <v>0</v>
      </c>
      <c r="AU105" s="129">
        <f t="shared" si="107"/>
        <v>0</v>
      </c>
      <c r="AV105" s="129">
        <f t="shared" si="108"/>
        <v>0</v>
      </c>
      <c r="AW105" s="129">
        <f t="shared" si="109"/>
        <v>0</v>
      </c>
      <c r="AY105" s="162" t="str">
        <f>IF(ISBLANK(C105),"",NOT(ISERROR(MATCH(C105,Deltagarlista!$E$5:$E$64,0))))</f>
        <v/>
      </c>
      <c r="AZ105" s="162" t="str">
        <f>IF(ISBLANK(D105),"",NOT(ISERROR(MATCH(D105,Deltagarlista!$E$5:$E$64,0))))</f>
        <v/>
      </c>
      <c r="BA105" s="162" t="str">
        <f>IF(ISBLANK(E105),"",NOT(ISERROR(MATCH(E105,Deltagarlista!$E$5:$E$64,0))))</f>
        <v/>
      </c>
      <c r="BB105" s="162" t="str">
        <f>IF(ISBLANK(F105),"",NOT(ISERROR(MATCH(F105,Deltagarlista!$E$5:$E$64,0))))</f>
        <v/>
      </c>
      <c r="BC105" s="162" t="str">
        <f>IF(ISBLANK(G105),"",NOT(ISERROR(MATCH(G105,Deltagarlista!$E$5:$E$64,0))))</f>
        <v/>
      </c>
      <c r="BD105" s="162" t="str">
        <f>IF(ISBLANK(H105),"",NOT(ISERROR(MATCH(H105,Deltagarlista!$E$5:$E$64,0))))</f>
        <v/>
      </c>
      <c r="BE105" s="162" t="str">
        <f>IF(ISBLANK(I105),"",NOT(ISERROR(MATCH(I105,Deltagarlista!$E$5:$E$64,0))))</f>
        <v/>
      </c>
      <c r="BF105" s="162" t="str">
        <f>IF(ISBLANK(J105),"",NOT(ISERROR(MATCH(J105,Deltagarlista!$E$5:$E$64,0))))</f>
        <v/>
      </c>
      <c r="BG105" s="162" t="str">
        <f>IF(ISBLANK(K105),"",NOT(ISERROR(MATCH(K105,Deltagarlista!$E$5:$E$64,0))))</f>
        <v/>
      </c>
      <c r="BH105" s="162" t="str">
        <f>IF(ISBLANK(L105),"",NOT(ISERROR(MATCH(L105,Deltagarlista!$E$5:$E$64,0))))</f>
        <v/>
      </c>
      <c r="BI105" s="162" t="str">
        <f>IF(ISBLANK(M105),"",NOT(ISERROR(MATCH(M105,Deltagarlista!$E$5:$E$64,0))))</f>
        <v/>
      </c>
      <c r="BJ105" s="162" t="str">
        <f>IF(ISBLANK(N105),"",NOT(ISERROR(MATCH(N105,Deltagarlista!$E$5:$E$64,0))))</f>
        <v/>
      </c>
      <c r="BK105" s="162" t="str">
        <f>IF(ISBLANK(O105),"",NOT(ISERROR(MATCH(O105,Deltagarlista!$E$5:$E$64,0))))</f>
        <v/>
      </c>
      <c r="BL105" s="162" t="str">
        <f>IF(ISBLANK(P105),"",NOT(ISERROR(MATCH(P105,Deltagarlista!$E$5:$E$64,0))))</f>
        <v/>
      </c>
      <c r="BM105" s="162" t="str">
        <f>IF(ISBLANK(Q105),"",NOT(ISERROR(MATCH(Q105,Deltagarlista!$E$5:$E$64,0))))</f>
        <v/>
      </c>
      <c r="BN105" s="167"/>
    </row>
    <row r="106" spans="2:66" x14ac:dyDescent="0.3">
      <c r="B106" s="186">
        <v>9</v>
      </c>
      <c r="C106" s="27"/>
      <c r="D106" s="28"/>
      <c r="E106" s="38"/>
      <c r="F106" s="27"/>
      <c r="G106" s="28"/>
      <c r="H106" s="29"/>
      <c r="I106" s="41"/>
      <c r="J106" s="28"/>
      <c r="K106" s="38"/>
      <c r="L106" s="27"/>
      <c r="M106" s="28"/>
      <c r="N106" s="29"/>
      <c r="O106" s="41"/>
      <c r="P106" s="28"/>
      <c r="Q106" s="29"/>
      <c r="R106" s="187">
        <v>9</v>
      </c>
      <c r="S106" s="188">
        <v>9</v>
      </c>
      <c r="T106" s="188">
        <v>9</v>
      </c>
      <c r="U106" s="188">
        <v>9</v>
      </c>
      <c r="V106" s="188">
        <v>9</v>
      </c>
      <c r="W106" s="188">
        <v>9</v>
      </c>
      <c r="X106" s="188">
        <v>9</v>
      </c>
      <c r="Y106" s="188">
        <v>9</v>
      </c>
      <c r="Z106" s="188">
        <v>9</v>
      </c>
      <c r="AA106" s="188">
        <v>9</v>
      </c>
      <c r="AB106" s="188">
        <v>9</v>
      </c>
      <c r="AC106" s="188">
        <v>9</v>
      </c>
      <c r="AD106" s="188">
        <v>9</v>
      </c>
      <c r="AE106" s="188">
        <v>9</v>
      </c>
      <c r="AF106" s="188">
        <v>9</v>
      </c>
      <c r="AG106" s="188">
        <v>9</v>
      </c>
      <c r="AH106" s="166"/>
      <c r="AI106" s="129">
        <f t="shared" si="95"/>
        <v>0</v>
      </c>
      <c r="AJ106" s="129">
        <f t="shared" si="96"/>
        <v>0</v>
      </c>
      <c r="AK106" s="129">
        <f t="shared" si="97"/>
        <v>0</v>
      </c>
      <c r="AL106" s="129">
        <f t="shared" si="98"/>
        <v>0</v>
      </c>
      <c r="AM106" s="129">
        <f t="shared" si="99"/>
        <v>0</v>
      </c>
      <c r="AN106" s="129">
        <f t="shared" si="100"/>
        <v>0</v>
      </c>
      <c r="AO106" s="129">
        <f t="shared" si="101"/>
        <v>0</v>
      </c>
      <c r="AP106" s="129">
        <f t="shared" si="102"/>
        <v>0</v>
      </c>
      <c r="AQ106" s="129">
        <f t="shared" si="103"/>
        <v>0</v>
      </c>
      <c r="AR106" s="129">
        <f t="shared" si="104"/>
        <v>0</v>
      </c>
      <c r="AS106" s="129">
        <f t="shared" si="105"/>
        <v>0</v>
      </c>
      <c r="AT106" s="129">
        <f t="shared" si="106"/>
        <v>0</v>
      </c>
      <c r="AU106" s="129">
        <f t="shared" si="107"/>
        <v>0</v>
      </c>
      <c r="AV106" s="129">
        <f t="shared" si="108"/>
        <v>0</v>
      </c>
      <c r="AW106" s="129">
        <f t="shared" si="109"/>
        <v>0</v>
      </c>
      <c r="AY106" s="162" t="str">
        <f>IF(ISBLANK(C106),"",NOT(ISERROR(MATCH(C106,Deltagarlista!$E$5:$E$64,0))))</f>
        <v/>
      </c>
      <c r="AZ106" s="162" t="str">
        <f>IF(ISBLANK(D106),"",NOT(ISERROR(MATCH(D106,Deltagarlista!$E$5:$E$64,0))))</f>
        <v/>
      </c>
      <c r="BA106" s="162" t="str">
        <f>IF(ISBLANK(E106),"",NOT(ISERROR(MATCH(E106,Deltagarlista!$E$5:$E$64,0))))</f>
        <v/>
      </c>
      <c r="BB106" s="162" t="str">
        <f>IF(ISBLANK(F106),"",NOT(ISERROR(MATCH(F106,Deltagarlista!$E$5:$E$64,0))))</f>
        <v/>
      </c>
      <c r="BC106" s="162" t="str">
        <f>IF(ISBLANK(G106),"",NOT(ISERROR(MATCH(G106,Deltagarlista!$E$5:$E$64,0))))</f>
        <v/>
      </c>
      <c r="BD106" s="162" t="str">
        <f>IF(ISBLANK(H106),"",NOT(ISERROR(MATCH(H106,Deltagarlista!$E$5:$E$64,0))))</f>
        <v/>
      </c>
      <c r="BE106" s="162" t="str">
        <f>IF(ISBLANK(I106),"",NOT(ISERROR(MATCH(I106,Deltagarlista!$E$5:$E$64,0))))</f>
        <v/>
      </c>
      <c r="BF106" s="162" t="str">
        <f>IF(ISBLANK(J106),"",NOT(ISERROR(MATCH(J106,Deltagarlista!$E$5:$E$64,0))))</f>
        <v/>
      </c>
      <c r="BG106" s="162" t="str">
        <f>IF(ISBLANK(K106),"",NOT(ISERROR(MATCH(K106,Deltagarlista!$E$5:$E$64,0))))</f>
        <v/>
      </c>
      <c r="BH106" s="162" t="str">
        <f>IF(ISBLANK(L106),"",NOT(ISERROR(MATCH(L106,Deltagarlista!$E$5:$E$64,0))))</f>
        <v/>
      </c>
      <c r="BI106" s="162" t="str">
        <f>IF(ISBLANK(M106),"",NOT(ISERROR(MATCH(M106,Deltagarlista!$E$5:$E$64,0))))</f>
        <v/>
      </c>
      <c r="BJ106" s="162" t="str">
        <f>IF(ISBLANK(N106),"",NOT(ISERROR(MATCH(N106,Deltagarlista!$E$5:$E$64,0))))</f>
        <v/>
      </c>
      <c r="BK106" s="162" t="str">
        <f>IF(ISBLANK(O106),"",NOT(ISERROR(MATCH(O106,Deltagarlista!$E$5:$E$64,0))))</f>
        <v/>
      </c>
      <c r="BL106" s="162" t="str">
        <f>IF(ISBLANK(P106),"",NOT(ISERROR(MATCH(P106,Deltagarlista!$E$5:$E$64,0))))</f>
        <v/>
      </c>
      <c r="BM106" s="162" t="str">
        <f>IF(ISBLANK(Q106),"",NOT(ISERROR(MATCH(Q106,Deltagarlista!$E$5:$E$64,0))))</f>
        <v/>
      </c>
      <c r="BN106" s="167"/>
    </row>
    <row r="107" spans="2:66" x14ac:dyDescent="0.3">
      <c r="B107" s="186">
        <v>10</v>
      </c>
      <c r="C107" s="27"/>
      <c r="D107" s="28"/>
      <c r="E107" s="38"/>
      <c r="F107" s="27"/>
      <c r="G107" s="28"/>
      <c r="H107" s="29"/>
      <c r="I107" s="41"/>
      <c r="J107" s="28"/>
      <c r="K107" s="38"/>
      <c r="L107" s="27"/>
      <c r="M107" s="28"/>
      <c r="N107" s="29"/>
      <c r="O107" s="41"/>
      <c r="P107" s="28"/>
      <c r="Q107" s="29"/>
      <c r="R107" s="187">
        <v>10</v>
      </c>
      <c r="S107" s="188">
        <v>10</v>
      </c>
      <c r="T107" s="188">
        <v>10</v>
      </c>
      <c r="U107" s="188">
        <v>10</v>
      </c>
      <c r="V107" s="188">
        <v>10</v>
      </c>
      <c r="W107" s="188">
        <v>10</v>
      </c>
      <c r="X107" s="188">
        <v>10</v>
      </c>
      <c r="Y107" s="188">
        <v>10</v>
      </c>
      <c r="Z107" s="188">
        <v>10</v>
      </c>
      <c r="AA107" s="188">
        <v>10</v>
      </c>
      <c r="AB107" s="188">
        <v>10</v>
      </c>
      <c r="AC107" s="188">
        <v>10</v>
      </c>
      <c r="AD107" s="188">
        <v>10</v>
      </c>
      <c r="AE107" s="188">
        <v>10</v>
      </c>
      <c r="AF107" s="188">
        <v>10</v>
      </c>
      <c r="AG107" s="188">
        <v>10</v>
      </c>
      <c r="AH107" s="166"/>
      <c r="AI107" s="129">
        <f t="shared" si="95"/>
        <v>0</v>
      </c>
      <c r="AJ107" s="129">
        <f t="shared" si="96"/>
        <v>0</v>
      </c>
      <c r="AK107" s="129">
        <f t="shared" si="97"/>
        <v>0</v>
      </c>
      <c r="AL107" s="129">
        <f t="shared" si="98"/>
        <v>0</v>
      </c>
      <c r="AM107" s="129">
        <f t="shared" si="99"/>
        <v>0</v>
      </c>
      <c r="AN107" s="129">
        <f t="shared" si="100"/>
        <v>0</v>
      </c>
      <c r="AO107" s="129">
        <f t="shared" si="101"/>
        <v>0</v>
      </c>
      <c r="AP107" s="129">
        <f t="shared" si="102"/>
        <v>0</v>
      </c>
      <c r="AQ107" s="129">
        <f t="shared" si="103"/>
        <v>0</v>
      </c>
      <c r="AR107" s="129">
        <f t="shared" si="104"/>
        <v>0</v>
      </c>
      <c r="AS107" s="129">
        <f t="shared" si="105"/>
        <v>0</v>
      </c>
      <c r="AT107" s="129">
        <f t="shared" si="106"/>
        <v>0</v>
      </c>
      <c r="AU107" s="129">
        <f t="shared" si="107"/>
        <v>0</v>
      </c>
      <c r="AV107" s="129">
        <f t="shared" si="108"/>
        <v>0</v>
      </c>
      <c r="AW107" s="129">
        <f t="shared" si="109"/>
        <v>0</v>
      </c>
      <c r="AY107" s="162" t="str">
        <f>IF(ISBLANK(C107),"",NOT(ISERROR(MATCH(C107,Deltagarlista!$E$5:$E$64,0))))</f>
        <v/>
      </c>
      <c r="AZ107" s="162" t="str">
        <f>IF(ISBLANK(D107),"",NOT(ISERROR(MATCH(D107,Deltagarlista!$E$5:$E$64,0))))</f>
        <v/>
      </c>
      <c r="BA107" s="162" t="str">
        <f>IF(ISBLANK(E107),"",NOT(ISERROR(MATCH(E107,Deltagarlista!$E$5:$E$64,0))))</f>
        <v/>
      </c>
      <c r="BB107" s="162" t="str">
        <f>IF(ISBLANK(F107),"",NOT(ISERROR(MATCH(F107,Deltagarlista!$E$5:$E$64,0))))</f>
        <v/>
      </c>
      <c r="BC107" s="162" t="str">
        <f>IF(ISBLANK(G107),"",NOT(ISERROR(MATCH(G107,Deltagarlista!$E$5:$E$64,0))))</f>
        <v/>
      </c>
      <c r="BD107" s="162" t="str">
        <f>IF(ISBLANK(H107),"",NOT(ISERROR(MATCH(H107,Deltagarlista!$E$5:$E$64,0))))</f>
        <v/>
      </c>
      <c r="BE107" s="162" t="str">
        <f>IF(ISBLANK(I107),"",NOT(ISERROR(MATCH(I107,Deltagarlista!$E$5:$E$64,0))))</f>
        <v/>
      </c>
      <c r="BF107" s="162" t="str">
        <f>IF(ISBLANK(J107),"",NOT(ISERROR(MATCH(J107,Deltagarlista!$E$5:$E$64,0))))</f>
        <v/>
      </c>
      <c r="BG107" s="162" t="str">
        <f>IF(ISBLANK(K107),"",NOT(ISERROR(MATCH(K107,Deltagarlista!$E$5:$E$64,0))))</f>
        <v/>
      </c>
      <c r="BH107" s="162" t="str">
        <f>IF(ISBLANK(L107),"",NOT(ISERROR(MATCH(L107,Deltagarlista!$E$5:$E$64,0))))</f>
        <v/>
      </c>
      <c r="BI107" s="162" t="str">
        <f>IF(ISBLANK(M107),"",NOT(ISERROR(MATCH(M107,Deltagarlista!$E$5:$E$64,0))))</f>
        <v/>
      </c>
      <c r="BJ107" s="162" t="str">
        <f>IF(ISBLANK(N107),"",NOT(ISERROR(MATCH(N107,Deltagarlista!$E$5:$E$64,0))))</f>
        <v/>
      </c>
      <c r="BK107" s="162" t="str">
        <f>IF(ISBLANK(O107),"",NOT(ISERROR(MATCH(O107,Deltagarlista!$E$5:$E$64,0))))</f>
        <v/>
      </c>
      <c r="BL107" s="162" t="str">
        <f>IF(ISBLANK(P107),"",NOT(ISERROR(MATCH(P107,Deltagarlista!$E$5:$E$64,0))))</f>
        <v/>
      </c>
      <c r="BM107" s="162" t="str">
        <f>IF(ISBLANK(Q107),"",NOT(ISERROR(MATCH(Q107,Deltagarlista!$E$5:$E$64,0))))</f>
        <v/>
      </c>
      <c r="BN107" s="167"/>
    </row>
    <row r="108" spans="2:66" x14ac:dyDescent="0.3">
      <c r="B108" s="186">
        <v>11</v>
      </c>
      <c r="C108" s="27"/>
      <c r="D108" s="28"/>
      <c r="E108" s="38"/>
      <c r="F108" s="27"/>
      <c r="G108" s="28"/>
      <c r="H108" s="29"/>
      <c r="I108" s="41"/>
      <c r="J108" s="28"/>
      <c r="K108" s="38"/>
      <c r="L108" s="27"/>
      <c r="M108" s="28"/>
      <c r="N108" s="29"/>
      <c r="O108" s="41"/>
      <c r="P108" s="28"/>
      <c r="Q108" s="29"/>
      <c r="R108" s="187">
        <v>11</v>
      </c>
      <c r="S108" s="188">
        <v>11</v>
      </c>
      <c r="T108" s="188">
        <v>11</v>
      </c>
      <c r="U108" s="188">
        <v>11</v>
      </c>
      <c r="V108" s="188">
        <v>11</v>
      </c>
      <c r="W108" s="188">
        <v>11</v>
      </c>
      <c r="X108" s="188">
        <v>11</v>
      </c>
      <c r="Y108" s="188">
        <v>11</v>
      </c>
      <c r="Z108" s="188">
        <v>11</v>
      </c>
      <c r="AA108" s="188">
        <v>11</v>
      </c>
      <c r="AB108" s="188">
        <v>11</v>
      </c>
      <c r="AC108" s="188">
        <v>11</v>
      </c>
      <c r="AD108" s="188">
        <v>11</v>
      </c>
      <c r="AE108" s="188">
        <v>11</v>
      </c>
      <c r="AF108" s="188">
        <v>11</v>
      </c>
      <c r="AG108" s="188">
        <v>11</v>
      </c>
      <c r="AH108" s="166"/>
      <c r="AI108" s="129">
        <f t="shared" si="95"/>
        <v>0</v>
      </c>
      <c r="AJ108" s="129">
        <f t="shared" si="96"/>
        <v>0</v>
      </c>
      <c r="AK108" s="129">
        <f t="shared" si="97"/>
        <v>0</v>
      </c>
      <c r="AL108" s="129">
        <f t="shared" si="98"/>
        <v>0</v>
      </c>
      <c r="AM108" s="129">
        <f t="shared" si="99"/>
        <v>0</v>
      </c>
      <c r="AN108" s="129">
        <f t="shared" si="100"/>
        <v>0</v>
      </c>
      <c r="AO108" s="129">
        <f t="shared" si="101"/>
        <v>0</v>
      </c>
      <c r="AP108" s="129">
        <f t="shared" si="102"/>
        <v>0</v>
      </c>
      <c r="AQ108" s="129">
        <f t="shared" si="103"/>
        <v>0</v>
      </c>
      <c r="AR108" s="129">
        <f t="shared" si="104"/>
        <v>0</v>
      </c>
      <c r="AS108" s="129">
        <f t="shared" si="105"/>
        <v>0</v>
      </c>
      <c r="AT108" s="129">
        <f t="shared" si="106"/>
        <v>0</v>
      </c>
      <c r="AU108" s="129">
        <f t="shared" si="107"/>
        <v>0</v>
      </c>
      <c r="AV108" s="129">
        <f t="shared" si="108"/>
        <v>0</v>
      </c>
      <c r="AW108" s="129">
        <f t="shared" si="109"/>
        <v>0</v>
      </c>
      <c r="AY108" s="162" t="str">
        <f>IF(ISBLANK(C108),"",NOT(ISERROR(MATCH(C108,Deltagarlista!$E$5:$E$64,0))))</f>
        <v/>
      </c>
      <c r="AZ108" s="162" t="str">
        <f>IF(ISBLANK(D108),"",NOT(ISERROR(MATCH(D108,Deltagarlista!$E$5:$E$64,0))))</f>
        <v/>
      </c>
      <c r="BA108" s="162" t="str">
        <f>IF(ISBLANK(E108),"",NOT(ISERROR(MATCH(E108,Deltagarlista!$E$5:$E$64,0))))</f>
        <v/>
      </c>
      <c r="BB108" s="162" t="str">
        <f>IF(ISBLANK(F108),"",NOT(ISERROR(MATCH(F108,Deltagarlista!$E$5:$E$64,0))))</f>
        <v/>
      </c>
      <c r="BC108" s="162" t="str">
        <f>IF(ISBLANK(G108),"",NOT(ISERROR(MATCH(G108,Deltagarlista!$E$5:$E$64,0))))</f>
        <v/>
      </c>
      <c r="BD108" s="162" t="str">
        <f>IF(ISBLANK(H108),"",NOT(ISERROR(MATCH(H108,Deltagarlista!$E$5:$E$64,0))))</f>
        <v/>
      </c>
      <c r="BE108" s="162" t="str">
        <f>IF(ISBLANK(I108),"",NOT(ISERROR(MATCH(I108,Deltagarlista!$E$5:$E$64,0))))</f>
        <v/>
      </c>
      <c r="BF108" s="162" t="str">
        <f>IF(ISBLANK(J108),"",NOT(ISERROR(MATCH(J108,Deltagarlista!$E$5:$E$64,0))))</f>
        <v/>
      </c>
      <c r="BG108" s="162" t="str">
        <f>IF(ISBLANK(K108),"",NOT(ISERROR(MATCH(K108,Deltagarlista!$E$5:$E$64,0))))</f>
        <v/>
      </c>
      <c r="BH108" s="162" t="str">
        <f>IF(ISBLANK(L108),"",NOT(ISERROR(MATCH(L108,Deltagarlista!$E$5:$E$64,0))))</f>
        <v/>
      </c>
      <c r="BI108" s="162" t="str">
        <f>IF(ISBLANK(M108),"",NOT(ISERROR(MATCH(M108,Deltagarlista!$E$5:$E$64,0))))</f>
        <v/>
      </c>
      <c r="BJ108" s="162" t="str">
        <f>IF(ISBLANK(N108),"",NOT(ISERROR(MATCH(N108,Deltagarlista!$E$5:$E$64,0))))</f>
        <v/>
      </c>
      <c r="BK108" s="162" t="str">
        <f>IF(ISBLANK(O108),"",NOT(ISERROR(MATCH(O108,Deltagarlista!$E$5:$E$64,0))))</f>
        <v/>
      </c>
      <c r="BL108" s="162" t="str">
        <f>IF(ISBLANK(P108),"",NOT(ISERROR(MATCH(P108,Deltagarlista!$E$5:$E$64,0))))</f>
        <v/>
      </c>
      <c r="BM108" s="162" t="str">
        <f>IF(ISBLANK(Q108),"",NOT(ISERROR(MATCH(Q108,Deltagarlista!$E$5:$E$64,0))))</f>
        <v/>
      </c>
      <c r="BN108" s="167"/>
    </row>
    <row r="109" spans="2:66" x14ac:dyDescent="0.3">
      <c r="B109" s="186">
        <v>12</v>
      </c>
      <c r="C109" s="27"/>
      <c r="D109" s="28"/>
      <c r="E109" s="38"/>
      <c r="F109" s="27"/>
      <c r="G109" s="28"/>
      <c r="H109" s="29"/>
      <c r="I109" s="41"/>
      <c r="J109" s="28"/>
      <c r="K109" s="38"/>
      <c r="L109" s="27"/>
      <c r="M109" s="28"/>
      <c r="N109" s="29"/>
      <c r="O109" s="41"/>
      <c r="P109" s="28"/>
      <c r="Q109" s="29"/>
      <c r="R109" s="187">
        <v>12</v>
      </c>
      <c r="S109" s="188">
        <v>12</v>
      </c>
      <c r="T109" s="188">
        <v>12</v>
      </c>
      <c r="U109" s="188">
        <v>12</v>
      </c>
      <c r="V109" s="188">
        <v>12</v>
      </c>
      <c r="W109" s="188">
        <v>12</v>
      </c>
      <c r="X109" s="188">
        <v>12</v>
      </c>
      <c r="Y109" s="188">
        <v>12</v>
      </c>
      <c r="Z109" s="188">
        <v>12</v>
      </c>
      <c r="AA109" s="188">
        <v>12</v>
      </c>
      <c r="AB109" s="188">
        <v>12</v>
      </c>
      <c r="AC109" s="188">
        <v>12</v>
      </c>
      <c r="AD109" s="188">
        <v>12</v>
      </c>
      <c r="AE109" s="188">
        <v>12</v>
      </c>
      <c r="AF109" s="188">
        <v>12</v>
      </c>
      <c r="AG109" s="188">
        <v>12</v>
      </c>
      <c r="AH109" s="166"/>
      <c r="AI109" s="129">
        <f t="shared" si="95"/>
        <v>0</v>
      </c>
      <c r="AJ109" s="129">
        <f t="shared" si="96"/>
        <v>0</v>
      </c>
      <c r="AK109" s="129">
        <f t="shared" si="97"/>
        <v>0</v>
      </c>
      <c r="AL109" s="129">
        <f t="shared" si="98"/>
        <v>0</v>
      </c>
      <c r="AM109" s="129">
        <f t="shared" si="99"/>
        <v>0</v>
      </c>
      <c r="AN109" s="129">
        <f t="shared" si="100"/>
        <v>0</v>
      </c>
      <c r="AO109" s="129">
        <f t="shared" si="101"/>
        <v>0</v>
      </c>
      <c r="AP109" s="129">
        <f t="shared" si="102"/>
        <v>0</v>
      </c>
      <c r="AQ109" s="129">
        <f t="shared" si="103"/>
        <v>0</v>
      </c>
      <c r="AR109" s="129">
        <f t="shared" si="104"/>
        <v>0</v>
      </c>
      <c r="AS109" s="129">
        <f t="shared" si="105"/>
        <v>0</v>
      </c>
      <c r="AT109" s="129">
        <f t="shared" si="106"/>
        <v>0</v>
      </c>
      <c r="AU109" s="129">
        <f t="shared" si="107"/>
        <v>0</v>
      </c>
      <c r="AV109" s="129">
        <f t="shared" si="108"/>
        <v>0</v>
      </c>
      <c r="AW109" s="129">
        <f t="shared" si="109"/>
        <v>0</v>
      </c>
      <c r="AY109" s="162" t="str">
        <f>IF(ISBLANK(C109),"",NOT(ISERROR(MATCH(C109,Deltagarlista!$E$5:$E$64,0))))</f>
        <v/>
      </c>
      <c r="AZ109" s="162" t="str">
        <f>IF(ISBLANK(D109),"",NOT(ISERROR(MATCH(D109,Deltagarlista!$E$5:$E$64,0))))</f>
        <v/>
      </c>
      <c r="BA109" s="162" t="str">
        <f>IF(ISBLANK(E109),"",NOT(ISERROR(MATCH(E109,Deltagarlista!$E$5:$E$64,0))))</f>
        <v/>
      </c>
      <c r="BB109" s="162" t="str">
        <f>IF(ISBLANK(F109),"",NOT(ISERROR(MATCH(F109,Deltagarlista!$E$5:$E$64,0))))</f>
        <v/>
      </c>
      <c r="BC109" s="162" t="str">
        <f>IF(ISBLANK(G109),"",NOT(ISERROR(MATCH(G109,Deltagarlista!$E$5:$E$64,0))))</f>
        <v/>
      </c>
      <c r="BD109" s="162" t="str">
        <f>IF(ISBLANK(H109),"",NOT(ISERROR(MATCH(H109,Deltagarlista!$E$5:$E$64,0))))</f>
        <v/>
      </c>
      <c r="BE109" s="162" t="str">
        <f>IF(ISBLANK(I109),"",NOT(ISERROR(MATCH(I109,Deltagarlista!$E$5:$E$64,0))))</f>
        <v/>
      </c>
      <c r="BF109" s="162" t="str">
        <f>IF(ISBLANK(J109),"",NOT(ISERROR(MATCH(J109,Deltagarlista!$E$5:$E$64,0))))</f>
        <v/>
      </c>
      <c r="BG109" s="162" t="str">
        <f>IF(ISBLANK(K109),"",NOT(ISERROR(MATCH(K109,Deltagarlista!$E$5:$E$64,0))))</f>
        <v/>
      </c>
      <c r="BH109" s="162" t="str">
        <f>IF(ISBLANK(L109),"",NOT(ISERROR(MATCH(L109,Deltagarlista!$E$5:$E$64,0))))</f>
        <v/>
      </c>
      <c r="BI109" s="162" t="str">
        <f>IF(ISBLANK(M109),"",NOT(ISERROR(MATCH(M109,Deltagarlista!$E$5:$E$64,0))))</f>
        <v/>
      </c>
      <c r="BJ109" s="162" t="str">
        <f>IF(ISBLANK(N109),"",NOT(ISERROR(MATCH(N109,Deltagarlista!$E$5:$E$64,0))))</f>
        <v/>
      </c>
      <c r="BK109" s="162" t="str">
        <f>IF(ISBLANK(O109),"",NOT(ISERROR(MATCH(O109,Deltagarlista!$E$5:$E$64,0))))</f>
        <v/>
      </c>
      <c r="BL109" s="162" t="str">
        <f>IF(ISBLANK(P109),"",NOT(ISERROR(MATCH(P109,Deltagarlista!$E$5:$E$64,0))))</f>
        <v/>
      </c>
      <c r="BM109" s="162" t="str">
        <f>IF(ISBLANK(Q109),"",NOT(ISERROR(MATCH(Q109,Deltagarlista!$E$5:$E$64,0))))</f>
        <v/>
      </c>
      <c r="BN109" s="167"/>
    </row>
    <row r="110" spans="2:66" x14ac:dyDescent="0.3">
      <c r="B110" s="186">
        <v>13</v>
      </c>
      <c r="C110" s="27"/>
      <c r="D110" s="28"/>
      <c r="E110" s="38"/>
      <c r="F110" s="27"/>
      <c r="G110" s="28"/>
      <c r="H110" s="29"/>
      <c r="I110" s="41"/>
      <c r="J110" s="28"/>
      <c r="K110" s="38"/>
      <c r="L110" s="27"/>
      <c r="M110" s="28"/>
      <c r="N110" s="29"/>
      <c r="O110" s="41"/>
      <c r="P110" s="28"/>
      <c r="Q110" s="29"/>
      <c r="R110" s="187">
        <v>13</v>
      </c>
      <c r="S110" s="188">
        <v>13</v>
      </c>
      <c r="T110" s="188">
        <v>13</v>
      </c>
      <c r="U110" s="188">
        <v>13</v>
      </c>
      <c r="V110" s="188">
        <v>13</v>
      </c>
      <c r="W110" s="188">
        <v>13</v>
      </c>
      <c r="X110" s="188">
        <v>13</v>
      </c>
      <c r="Y110" s="188">
        <v>13</v>
      </c>
      <c r="Z110" s="188">
        <v>13</v>
      </c>
      <c r="AA110" s="188">
        <v>13</v>
      </c>
      <c r="AB110" s="188">
        <v>13</v>
      </c>
      <c r="AC110" s="188">
        <v>13</v>
      </c>
      <c r="AD110" s="188">
        <v>13</v>
      </c>
      <c r="AE110" s="188">
        <v>13</v>
      </c>
      <c r="AF110" s="188">
        <v>13</v>
      </c>
      <c r="AG110" s="188">
        <v>13</v>
      </c>
      <c r="AH110" s="166"/>
      <c r="AI110" s="129">
        <f t="shared" si="95"/>
        <v>0</v>
      </c>
      <c r="AJ110" s="129">
        <f t="shared" si="96"/>
        <v>0</v>
      </c>
      <c r="AK110" s="129">
        <f t="shared" si="97"/>
        <v>0</v>
      </c>
      <c r="AL110" s="129">
        <f t="shared" si="98"/>
        <v>0</v>
      </c>
      <c r="AM110" s="129">
        <f t="shared" si="99"/>
        <v>0</v>
      </c>
      <c r="AN110" s="129">
        <f t="shared" si="100"/>
        <v>0</v>
      </c>
      <c r="AO110" s="129">
        <f t="shared" si="101"/>
        <v>0</v>
      </c>
      <c r="AP110" s="129">
        <f t="shared" si="102"/>
        <v>0</v>
      </c>
      <c r="AQ110" s="129">
        <f t="shared" si="103"/>
        <v>0</v>
      </c>
      <c r="AR110" s="129">
        <f t="shared" si="104"/>
        <v>0</v>
      </c>
      <c r="AS110" s="129">
        <f t="shared" si="105"/>
        <v>0</v>
      </c>
      <c r="AT110" s="129">
        <f t="shared" si="106"/>
        <v>0</v>
      </c>
      <c r="AU110" s="129">
        <f t="shared" si="107"/>
        <v>0</v>
      </c>
      <c r="AV110" s="129">
        <f t="shared" si="108"/>
        <v>0</v>
      </c>
      <c r="AW110" s="129">
        <f t="shared" si="109"/>
        <v>0</v>
      </c>
      <c r="AY110" s="162" t="str">
        <f>IF(ISBLANK(C110),"",NOT(ISERROR(MATCH(C110,Deltagarlista!$E$5:$E$64,0))))</f>
        <v/>
      </c>
      <c r="AZ110" s="162" t="str">
        <f>IF(ISBLANK(D110),"",NOT(ISERROR(MATCH(D110,Deltagarlista!$E$5:$E$64,0))))</f>
        <v/>
      </c>
      <c r="BA110" s="162" t="str">
        <f>IF(ISBLANK(E110),"",NOT(ISERROR(MATCH(E110,Deltagarlista!$E$5:$E$64,0))))</f>
        <v/>
      </c>
      <c r="BB110" s="162" t="str">
        <f>IF(ISBLANK(F110),"",NOT(ISERROR(MATCH(F110,Deltagarlista!$E$5:$E$64,0))))</f>
        <v/>
      </c>
      <c r="BC110" s="162" t="str">
        <f>IF(ISBLANK(G110),"",NOT(ISERROR(MATCH(G110,Deltagarlista!$E$5:$E$64,0))))</f>
        <v/>
      </c>
      <c r="BD110" s="162" t="str">
        <f>IF(ISBLANK(H110),"",NOT(ISERROR(MATCH(H110,Deltagarlista!$E$5:$E$64,0))))</f>
        <v/>
      </c>
      <c r="BE110" s="162" t="str">
        <f>IF(ISBLANK(I110),"",NOT(ISERROR(MATCH(I110,Deltagarlista!$E$5:$E$64,0))))</f>
        <v/>
      </c>
      <c r="BF110" s="162" t="str">
        <f>IF(ISBLANK(J110),"",NOT(ISERROR(MATCH(J110,Deltagarlista!$E$5:$E$64,0))))</f>
        <v/>
      </c>
      <c r="BG110" s="162" t="str">
        <f>IF(ISBLANK(K110),"",NOT(ISERROR(MATCH(K110,Deltagarlista!$E$5:$E$64,0))))</f>
        <v/>
      </c>
      <c r="BH110" s="162" t="str">
        <f>IF(ISBLANK(L110),"",NOT(ISERROR(MATCH(L110,Deltagarlista!$E$5:$E$64,0))))</f>
        <v/>
      </c>
      <c r="BI110" s="162" t="str">
        <f>IF(ISBLANK(M110),"",NOT(ISERROR(MATCH(M110,Deltagarlista!$E$5:$E$64,0))))</f>
        <v/>
      </c>
      <c r="BJ110" s="162" t="str">
        <f>IF(ISBLANK(N110),"",NOT(ISERROR(MATCH(N110,Deltagarlista!$E$5:$E$64,0))))</f>
        <v/>
      </c>
      <c r="BK110" s="162" t="str">
        <f>IF(ISBLANK(O110),"",NOT(ISERROR(MATCH(O110,Deltagarlista!$E$5:$E$64,0))))</f>
        <v/>
      </c>
      <c r="BL110" s="162" t="str">
        <f>IF(ISBLANK(P110),"",NOT(ISERROR(MATCH(P110,Deltagarlista!$E$5:$E$64,0))))</f>
        <v/>
      </c>
      <c r="BM110" s="162" t="str">
        <f>IF(ISBLANK(Q110),"",NOT(ISERROR(MATCH(Q110,Deltagarlista!$E$5:$E$64,0))))</f>
        <v/>
      </c>
      <c r="BN110" s="167"/>
    </row>
    <row r="111" spans="2:66" x14ac:dyDescent="0.3">
      <c r="B111" s="186">
        <v>14</v>
      </c>
      <c r="C111" s="27"/>
      <c r="D111" s="28"/>
      <c r="E111" s="38"/>
      <c r="F111" s="27"/>
      <c r="G111" s="28"/>
      <c r="H111" s="29"/>
      <c r="I111" s="41"/>
      <c r="J111" s="28"/>
      <c r="K111" s="38"/>
      <c r="L111" s="27"/>
      <c r="M111" s="28"/>
      <c r="N111" s="29"/>
      <c r="O111" s="41"/>
      <c r="P111" s="28"/>
      <c r="Q111" s="29"/>
      <c r="R111" s="187">
        <v>14</v>
      </c>
      <c r="S111" s="188">
        <v>14</v>
      </c>
      <c r="T111" s="188">
        <v>14</v>
      </c>
      <c r="U111" s="188">
        <v>14</v>
      </c>
      <c r="V111" s="188">
        <v>14</v>
      </c>
      <c r="W111" s="188">
        <v>14</v>
      </c>
      <c r="X111" s="188">
        <v>14</v>
      </c>
      <c r="Y111" s="188">
        <v>14</v>
      </c>
      <c r="Z111" s="188">
        <v>14</v>
      </c>
      <c r="AA111" s="188">
        <v>14</v>
      </c>
      <c r="AB111" s="188">
        <v>14</v>
      </c>
      <c r="AC111" s="188">
        <v>14</v>
      </c>
      <c r="AD111" s="188">
        <v>14</v>
      </c>
      <c r="AE111" s="188">
        <v>14</v>
      </c>
      <c r="AF111" s="188">
        <v>14</v>
      </c>
      <c r="AG111" s="188">
        <v>14</v>
      </c>
      <c r="AH111" s="166"/>
      <c r="AI111" s="129">
        <f t="shared" si="95"/>
        <v>0</v>
      </c>
      <c r="AJ111" s="129">
        <f t="shared" si="96"/>
        <v>0</v>
      </c>
      <c r="AK111" s="129">
        <f t="shared" si="97"/>
        <v>0</v>
      </c>
      <c r="AL111" s="129">
        <f t="shared" si="98"/>
        <v>0</v>
      </c>
      <c r="AM111" s="129">
        <f t="shared" si="99"/>
        <v>0</v>
      </c>
      <c r="AN111" s="129">
        <f t="shared" si="100"/>
        <v>0</v>
      </c>
      <c r="AO111" s="129">
        <f t="shared" si="101"/>
        <v>0</v>
      </c>
      <c r="AP111" s="129">
        <f t="shared" si="102"/>
        <v>0</v>
      </c>
      <c r="AQ111" s="129">
        <f t="shared" si="103"/>
        <v>0</v>
      </c>
      <c r="AR111" s="129">
        <f t="shared" si="104"/>
        <v>0</v>
      </c>
      <c r="AS111" s="129">
        <f t="shared" si="105"/>
        <v>0</v>
      </c>
      <c r="AT111" s="129">
        <f t="shared" si="106"/>
        <v>0</v>
      </c>
      <c r="AU111" s="129">
        <f t="shared" si="107"/>
        <v>0</v>
      </c>
      <c r="AV111" s="129">
        <f t="shared" si="108"/>
        <v>0</v>
      </c>
      <c r="AW111" s="129">
        <f t="shared" si="109"/>
        <v>0</v>
      </c>
      <c r="AY111" s="162" t="str">
        <f>IF(ISBLANK(C111),"",NOT(ISERROR(MATCH(C111,Deltagarlista!$E$5:$E$64,0))))</f>
        <v/>
      </c>
      <c r="AZ111" s="162" t="str">
        <f>IF(ISBLANK(D111),"",NOT(ISERROR(MATCH(D111,Deltagarlista!$E$5:$E$64,0))))</f>
        <v/>
      </c>
      <c r="BA111" s="162" t="str">
        <f>IF(ISBLANK(E111),"",NOT(ISERROR(MATCH(E111,Deltagarlista!$E$5:$E$64,0))))</f>
        <v/>
      </c>
      <c r="BB111" s="162" t="str">
        <f>IF(ISBLANK(F111),"",NOT(ISERROR(MATCH(F111,Deltagarlista!$E$5:$E$64,0))))</f>
        <v/>
      </c>
      <c r="BC111" s="162" t="str">
        <f>IF(ISBLANK(G111),"",NOT(ISERROR(MATCH(G111,Deltagarlista!$E$5:$E$64,0))))</f>
        <v/>
      </c>
      <c r="BD111" s="162" t="str">
        <f>IF(ISBLANK(H111),"",NOT(ISERROR(MATCH(H111,Deltagarlista!$E$5:$E$64,0))))</f>
        <v/>
      </c>
      <c r="BE111" s="162" t="str">
        <f>IF(ISBLANK(I111),"",NOT(ISERROR(MATCH(I111,Deltagarlista!$E$5:$E$64,0))))</f>
        <v/>
      </c>
      <c r="BF111" s="162" t="str">
        <f>IF(ISBLANK(J111),"",NOT(ISERROR(MATCH(J111,Deltagarlista!$E$5:$E$64,0))))</f>
        <v/>
      </c>
      <c r="BG111" s="162" t="str">
        <f>IF(ISBLANK(K111),"",NOT(ISERROR(MATCH(K111,Deltagarlista!$E$5:$E$64,0))))</f>
        <v/>
      </c>
      <c r="BH111" s="162" t="str">
        <f>IF(ISBLANK(L111),"",NOT(ISERROR(MATCH(L111,Deltagarlista!$E$5:$E$64,0))))</f>
        <v/>
      </c>
      <c r="BI111" s="162" t="str">
        <f>IF(ISBLANK(M111),"",NOT(ISERROR(MATCH(M111,Deltagarlista!$E$5:$E$64,0))))</f>
        <v/>
      </c>
      <c r="BJ111" s="162" t="str">
        <f>IF(ISBLANK(N111),"",NOT(ISERROR(MATCH(N111,Deltagarlista!$E$5:$E$64,0))))</f>
        <v/>
      </c>
      <c r="BK111" s="162" t="str">
        <f>IF(ISBLANK(O111),"",NOT(ISERROR(MATCH(O111,Deltagarlista!$E$5:$E$64,0))))</f>
        <v/>
      </c>
      <c r="BL111" s="162" t="str">
        <f>IF(ISBLANK(P111),"",NOT(ISERROR(MATCH(P111,Deltagarlista!$E$5:$E$64,0))))</f>
        <v/>
      </c>
      <c r="BM111" s="162" t="str">
        <f>IF(ISBLANK(Q111),"",NOT(ISERROR(MATCH(Q111,Deltagarlista!$E$5:$E$64,0))))</f>
        <v/>
      </c>
      <c r="BN111" s="167"/>
    </row>
    <row r="112" spans="2:66" x14ac:dyDescent="0.3">
      <c r="B112" s="186">
        <v>15</v>
      </c>
      <c r="C112" s="27"/>
      <c r="D112" s="28"/>
      <c r="E112" s="38"/>
      <c r="F112" s="27"/>
      <c r="G112" s="28"/>
      <c r="H112" s="29"/>
      <c r="I112" s="41"/>
      <c r="J112" s="28"/>
      <c r="K112" s="38"/>
      <c r="L112" s="27"/>
      <c r="M112" s="28"/>
      <c r="N112" s="29"/>
      <c r="O112" s="41"/>
      <c r="P112" s="28"/>
      <c r="Q112" s="29"/>
      <c r="R112" s="187">
        <v>15</v>
      </c>
      <c r="S112" s="188">
        <v>15</v>
      </c>
      <c r="T112" s="188">
        <v>15</v>
      </c>
      <c r="U112" s="188">
        <v>15</v>
      </c>
      <c r="V112" s="188">
        <v>15</v>
      </c>
      <c r="W112" s="188">
        <v>15</v>
      </c>
      <c r="X112" s="188">
        <v>15</v>
      </c>
      <c r="Y112" s="188">
        <v>15</v>
      </c>
      <c r="Z112" s="188">
        <v>15</v>
      </c>
      <c r="AA112" s="188">
        <v>15</v>
      </c>
      <c r="AB112" s="188">
        <v>15</v>
      </c>
      <c r="AC112" s="188">
        <v>15</v>
      </c>
      <c r="AD112" s="188">
        <v>15</v>
      </c>
      <c r="AE112" s="188">
        <v>15</v>
      </c>
      <c r="AF112" s="188">
        <v>15</v>
      </c>
      <c r="AG112" s="188">
        <v>15</v>
      </c>
      <c r="AH112" s="166"/>
      <c r="AI112" s="129">
        <f t="shared" si="95"/>
        <v>0</v>
      </c>
      <c r="AJ112" s="129">
        <f t="shared" si="96"/>
        <v>0</v>
      </c>
      <c r="AK112" s="129">
        <f t="shared" si="97"/>
        <v>0</v>
      </c>
      <c r="AL112" s="129">
        <f t="shared" si="98"/>
        <v>0</v>
      </c>
      <c r="AM112" s="129">
        <f t="shared" si="99"/>
        <v>0</v>
      </c>
      <c r="AN112" s="129">
        <f t="shared" si="100"/>
        <v>0</v>
      </c>
      <c r="AO112" s="129">
        <f t="shared" si="101"/>
        <v>0</v>
      </c>
      <c r="AP112" s="129">
        <f t="shared" si="102"/>
        <v>0</v>
      </c>
      <c r="AQ112" s="129">
        <f t="shared" si="103"/>
        <v>0</v>
      </c>
      <c r="AR112" s="129">
        <f t="shared" si="104"/>
        <v>0</v>
      </c>
      <c r="AS112" s="129">
        <f t="shared" si="105"/>
        <v>0</v>
      </c>
      <c r="AT112" s="129">
        <f t="shared" si="106"/>
        <v>0</v>
      </c>
      <c r="AU112" s="129">
        <f t="shared" si="107"/>
        <v>0</v>
      </c>
      <c r="AV112" s="129">
        <f t="shared" si="108"/>
        <v>0</v>
      </c>
      <c r="AW112" s="129">
        <f t="shared" si="109"/>
        <v>0</v>
      </c>
      <c r="AY112" s="162" t="str">
        <f>IF(ISBLANK(C112),"",NOT(ISERROR(MATCH(C112,Deltagarlista!$E$5:$E$64,0))))</f>
        <v/>
      </c>
      <c r="AZ112" s="162" t="str">
        <f>IF(ISBLANK(D112),"",NOT(ISERROR(MATCH(D112,Deltagarlista!$E$5:$E$64,0))))</f>
        <v/>
      </c>
      <c r="BA112" s="162" t="str">
        <f>IF(ISBLANK(E112),"",NOT(ISERROR(MATCH(E112,Deltagarlista!$E$5:$E$64,0))))</f>
        <v/>
      </c>
      <c r="BB112" s="162" t="str">
        <f>IF(ISBLANK(F112),"",NOT(ISERROR(MATCH(F112,Deltagarlista!$E$5:$E$64,0))))</f>
        <v/>
      </c>
      <c r="BC112" s="162" t="str">
        <f>IF(ISBLANK(G112),"",NOT(ISERROR(MATCH(G112,Deltagarlista!$E$5:$E$64,0))))</f>
        <v/>
      </c>
      <c r="BD112" s="162" t="str">
        <f>IF(ISBLANK(H112),"",NOT(ISERROR(MATCH(H112,Deltagarlista!$E$5:$E$64,0))))</f>
        <v/>
      </c>
      <c r="BE112" s="162" t="str">
        <f>IF(ISBLANK(I112),"",NOT(ISERROR(MATCH(I112,Deltagarlista!$E$5:$E$64,0))))</f>
        <v/>
      </c>
      <c r="BF112" s="162" t="str">
        <f>IF(ISBLANK(J112),"",NOT(ISERROR(MATCH(J112,Deltagarlista!$E$5:$E$64,0))))</f>
        <v/>
      </c>
      <c r="BG112" s="162" t="str">
        <f>IF(ISBLANK(K112),"",NOT(ISERROR(MATCH(K112,Deltagarlista!$E$5:$E$64,0))))</f>
        <v/>
      </c>
      <c r="BH112" s="162" t="str">
        <f>IF(ISBLANK(L112),"",NOT(ISERROR(MATCH(L112,Deltagarlista!$E$5:$E$64,0))))</f>
        <v/>
      </c>
      <c r="BI112" s="162" t="str">
        <f>IF(ISBLANK(M112),"",NOT(ISERROR(MATCH(M112,Deltagarlista!$E$5:$E$64,0))))</f>
        <v/>
      </c>
      <c r="BJ112" s="162" t="str">
        <f>IF(ISBLANK(N112),"",NOT(ISERROR(MATCH(N112,Deltagarlista!$E$5:$E$64,0))))</f>
        <v/>
      </c>
      <c r="BK112" s="162" t="str">
        <f>IF(ISBLANK(O112),"",NOT(ISERROR(MATCH(O112,Deltagarlista!$E$5:$E$64,0))))</f>
        <v/>
      </c>
      <c r="BL112" s="162" t="str">
        <f>IF(ISBLANK(P112),"",NOT(ISERROR(MATCH(P112,Deltagarlista!$E$5:$E$64,0))))</f>
        <v/>
      </c>
      <c r="BM112" s="162" t="str">
        <f>IF(ISBLANK(Q112),"",NOT(ISERROR(MATCH(Q112,Deltagarlista!$E$5:$E$64,0))))</f>
        <v/>
      </c>
      <c r="BN112" s="167"/>
    </row>
    <row r="113" spans="2:66" x14ac:dyDescent="0.3">
      <c r="B113" s="186">
        <v>16</v>
      </c>
      <c r="C113" s="27"/>
      <c r="D113" s="28"/>
      <c r="E113" s="38"/>
      <c r="F113" s="27"/>
      <c r="G113" s="28"/>
      <c r="H113" s="29"/>
      <c r="I113" s="41"/>
      <c r="J113" s="28"/>
      <c r="K113" s="38"/>
      <c r="L113" s="27"/>
      <c r="M113" s="28"/>
      <c r="N113" s="29"/>
      <c r="O113" s="41"/>
      <c r="P113" s="28"/>
      <c r="Q113" s="29"/>
      <c r="R113" s="187">
        <v>16</v>
      </c>
      <c r="S113" s="188">
        <v>16</v>
      </c>
      <c r="T113" s="188">
        <v>16</v>
      </c>
      <c r="U113" s="188">
        <v>16</v>
      </c>
      <c r="V113" s="188">
        <v>16</v>
      </c>
      <c r="W113" s="188">
        <v>16</v>
      </c>
      <c r="X113" s="188">
        <v>16</v>
      </c>
      <c r="Y113" s="188">
        <v>16</v>
      </c>
      <c r="Z113" s="188">
        <v>16</v>
      </c>
      <c r="AA113" s="188">
        <v>16</v>
      </c>
      <c r="AB113" s="188">
        <v>16</v>
      </c>
      <c r="AC113" s="188">
        <v>16</v>
      </c>
      <c r="AD113" s="188">
        <v>16</v>
      </c>
      <c r="AE113" s="188">
        <v>16</v>
      </c>
      <c r="AF113" s="188">
        <v>16</v>
      </c>
      <c r="AG113" s="188">
        <v>16</v>
      </c>
      <c r="AH113" s="166"/>
      <c r="AI113" s="129">
        <f t="shared" si="95"/>
        <v>0</v>
      </c>
      <c r="AJ113" s="129">
        <f t="shared" si="96"/>
        <v>0</v>
      </c>
      <c r="AK113" s="129">
        <f t="shared" si="97"/>
        <v>0</v>
      </c>
      <c r="AL113" s="129">
        <f t="shared" si="98"/>
        <v>0</v>
      </c>
      <c r="AM113" s="129">
        <f t="shared" si="99"/>
        <v>0</v>
      </c>
      <c r="AN113" s="129">
        <f t="shared" si="100"/>
        <v>0</v>
      </c>
      <c r="AO113" s="129">
        <f t="shared" si="101"/>
        <v>0</v>
      </c>
      <c r="AP113" s="129">
        <f t="shared" si="102"/>
        <v>0</v>
      </c>
      <c r="AQ113" s="129">
        <f t="shared" si="103"/>
        <v>0</v>
      </c>
      <c r="AR113" s="129">
        <f t="shared" si="104"/>
        <v>0</v>
      </c>
      <c r="AS113" s="129">
        <f t="shared" si="105"/>
        <v>0</v>
      </c>
      <c r="AT113" s="129">
        <f t="shared" si="106"/>
        <v>0</v>
      </c>
      <c r="AU113" s="129">
        <f t="shared" si="107"/>
        <v>0</v>
      </c>
      <c r="AV113" s="129">
        <f t="shared" si="108"/>
        <v>0</v>
      </c>
      <c r="AW113" s="129">
        <f t="shared" si="109"/>
        <v>0</v>
      </c>
      <c r="AY113" s="162" t="str">
        <f>IF(ISBLANK(C113),"",NOT(ISERROR(MATCH(C113,Deltagarlista!$E$5:$E$64,0))))</f>
        <v/>
      </c>
      <c r="AZ113" s="162" t="str">
        <f>IF(ISBLANK(D113),"",NOT(ISERROR(MATCH(D113,Deltagarlista!$E$5:$E$64,0))))</f>
        <v/>
      </c>
      <c r="BA113" s="162" t="str">
        <f>IF(ISBLANK(E113),"",NOT(ISERROR(MATCH(E113,Deltagarlista!$E$5:$E$64,0))))</f>
        <v/>
      </c>
      <c r="BB113" s="162" t="str">
        <f>IF(ISBLANK(F113),"",NOT(ISERROR(MATCH(F113,Deltagarlista!$E$5:$E$64,0))))</f>
        <v/>
      </c>
      <c r="BC113" s="162" t="str">
        <f>IF(ISBLANK(G113),"",NOT(ISERROR(MATCH(G113,Deltagarlista!$E$5:$E$64,0))))</f>
        <v/>
      </c>
      <c r="BD113" s="162" t="str">
        <f>IF(ISBLANK(H113),"",NOT(ISERROR(MATCH(H113,Deltagarlista!$E$5:$E$64,0))))</f>
        <v/>
      </c>
      <c r="BE113" s="162" t="str">
        <f>IF(ISBLANK(I113),"",NOT(ISERROR(MATCH(I113,Deltagarlista!$E$5:$E$64,0))))</f>
        <v/>
      </c>
      <c r="BF113" s="162" t="str">
        <f>IF(ISBLANK(J113),"",NOT(ISERROR(MATCH(J113,Deltagarlista!$E$5:$E$64,0))))</f>
        <v/>
      </c>
      <c r="BG113" s="162" t="str">
        <f>IF(ISBLANK(K113),"",NOT(ISERROR(MATCH(K113,Deltagarlista!$E$5:$E$64,0))))</f>
        <v/>
      </c>
      <c r="BH113" s="162" t="str">
        <f>IF(ISBLANK(L113),"",NOT(ISERROR(MATCH(L113,Deltagarlista!$E$5:$E$64,0))))</f>
        <v/>
      </c>
      <c r="BI113" s="162" t="str">
        <f>IF(ISBLANK(M113),"",NOT(ISERROR(MATCH(M113,Deltagarlista!$E$5:$E$64,0))))</f>
        <v/>
      </c>
      <c r="BJ113" s="162" t="str">
        <f>IF(ISBLANK(N113),"",NOT(ISERROR(MATCH(N113,Deltagarlista!$E$5:$E$64,0))))</f>
        <v/>
      </c>
      <c r="BK113" s="162" t="str">
        <f>IF(ISBLANK(O113),"",NOT(ISERROR(MATCH(O113,Deltagarlista!$E$5:$E$64,0))))</f>
        <v/>
      </c>
      <c r="BL113" s="162" t="str">
        <f>IF(ISBLANK(P113),"",NOT(ISERROR(MATCH(P113,Deltagarlista!$E$5:$E$64,0))))</f>
        <v/>
      </c>
      <c r="BM113" s="162" t="str">
        <f>IF(ISBLANK(Q113),"",NOT(ISERROR(MATCH(Q113,Deltagarlista!$E$5:$E$64,0))))</f>
        <v/>
      </c>
      <c r="BN113" s="167"/>
    </row>
    <row r="114" spans="2:66" x14ac:dyDescent="0.3">
      <c r="B114" s="186">
        <v>17</v>
      </c>
      <c r="C114" s="27"/>
      <c r="D114" s="28"/>
      <c r="E114" s="38"/>
      <c r="F114" s="27"/>
      <c r="G114" s="28"/>
      <c r="H114" s="29"/>
      <c r="I114" s="41"/>
      <c r="J114" s="28"/>
      <c r="K114" s="38"/>
      <c r="L114" s="27"/>
      <c r="M114" s="28"/>
      <c r="N114" s="29"/>
      <c r="O114" s="41"/>
      <c r="P114" s="28"/>
      <c r="Q114" s="29"/>
      <c r="R114" s="187">
        <v>17</v>
      </c>
      <c r="S114" s="188">
        <v>17</v>
      </c>
      <c r="T114" s="188">
        <v>17</v>
      </c>
      <c r="U114" s="188">
        <v>17</v>
      </c>
      <c r="V114" s="188">
        <v>17</v>
      </c>
      <c r="W114" s="188">
        <v>17</v>
      </c>
      <c r="X114" s="188">
        <v>17</v>
      </c>
      <c r="Y114" s="188">
        <v>17</v>
      </c>
      <c r="Z114" s="188">
        <v>17</v>
      </c>
      <c r="AA114" s="188">
        <v>17</v>
      </c>
      <c r="AB114" s="188">
        <v>17</v>
      </c>
      <c r="AC114" s="188">
        <v>17</v>
      </c>
      <c r="AD114" s="188">
        <v>17</v>
      </c>
      <c r="AE114" s="188">
        <v>17</v>
      </c>
      <c r="AF114" s="188">
        <v>17</v>
      </c>
      <c r="AG114" s="188">
        <v>17</v>
      </c>
      <c r="AH114" s="166"/>
      <c r="AI114" s="129">
        <f t="shared" si="95"/>
        <v>0</v>
      </c>
      <c r="AJ114" s="129">
        <f t="shared" si="96"/>
        <v>0</v>
      </c>
      <c r="AK114" s="129">
        <f t="shared" si="97"/>
        <v>0</v>
      </c>
      <c r="AL114" s="129">
        <f t="shared" si="98"/>
        <v>0</v>
      </c>
      <c r="AM114" s="129">
        <f t="shared" si="99"/>
        <v>0</v>
      </c>
      <c r="AN114" s="129">
        <f t="shared" si="100"/>
        <v>0</v>
      </c>
      <c r="AO114" s="129">
        <f t="shared" si="101"/>
        <v>0</v>
      </c>
      <c r="AP114" s="129">
        <f t="shared" si="102"/>
        <v>0</v>
      </c>
      <c r="AQ114" s="129">
        <f t="shared" si="103"/>
        <v>0</v>
      </c>
      <c r="AR114" s="129">
        <f t="shared" si="104"/>
        <v>0</v>
      </c>
      <c r="AS114" s="129">
        <f t="shared" si="105"/>
        <v>0</v>
      </c>
      <c r="AT114" s="129">
        <f t="shared" si="106"/>
        <v>0</v>
      </c>
      <c r="AU114" s="129">
        <f t="shared" si="107"/>
        <v>0</v>
      </c>
      <c r="AV114" s="129">
        <f t="shared" si="108"/>
        <v>0</v>
      </c>
      <c r="AW114" s="129">
        <f t="shared" si="109"/>
        <v>0</v>
      </c>
      <c r="AY114" s="162" t="str">
        <f>IF(ISBLANK(C114),"",NOT(ISERROR(MATCH(C114,Deltagarlista!$E$5:$E$64,0))))</f>
        <v/>
      </c>
      <c r="AZ114" s="162" t="str">
        <f>IF(ISBLANK(D114),"",NOT(ISERROR(MATCH(D114,Deltagarlista!$E$5:$E$64,0))))</f>
        <v/>
      </c>
      <c r="BA114" s="162" t="str">
        <f>IF(ISBLANK(E114),"",NOT(ISERROR(MATCH(E114,Deltagarlista!$E$5:$E$64,0))))</f>
        <v/>
      </c>
      <c r="BB114" s="162" t="str">
        <f>IF(ISBLANK(F114),"",NOT(ISERROR(MATCH(F114,Deltagarlista!$E$5:$E$64,0))))</f>
        <v/>
      </c>
      <c r="BC114" s="162" t="str">
        <f>IF(ISBLANK(G114),"",NOT(ISERROR(MATCH(G114,Deltagarlista!$E$5:$E$64,0))))</f>
        <v/>
      </c>
      <c r="BD114" s="162" t="str">
        <f>IF(ISBLANK(H114),"",NOT(ISERROR(MATCH(H114,Deltagarlista!$E$5:$E$64,0))))</f>
        <v/>
      </c>
      <c r="BE114" s="162" t="str">
        <f>IF(ISBLANK(I114),"",NOT(ISERROR(MATCH(I114,Deltagarlista!$E$5:$E$64,0))))</f>
        <v/>
      </c>
      <c r="BF114" s="162" t="str">
        <f>IF(ISBLANK(J114),"",NOT(ISERROR(MATCH(J114,Deltagarlista!$E$5:$E$64,0))))</f>
        <v/>
      </c>
      <c r="BG114" s="162" t="str">
        <f>IF(ISBLANK(K114),"",NOT(ISERROR(MATCH(K114,Deltagarlista!$E$5:$E$64,0))))</f>
        <v/>
      </c>
      <c r="BH114" s="162" t="str">
        <f>IF(ISBLANK(L114),"",NOT(ISERROR(MATCH(L114,Deltagarlista!$E$5:$E$64,0))))</f>
        <v/>
      </c>
      <c r="BI114" s="162" t="str">
        <f>IF(ISBLANK(M114),"",NOT(ISERROR(MATCH(M114,Deltagarlista!$E$5:$E$64,0))))</f>
        <v/>
      </c>
      <c r="BJ114" s="162" t="str">
        <f>IF(ISBLANK(N114),"",NOT(ISERROR(MATCH(N114,Deltagarlista!$E$5:$E$64,0))))</f>
        <v/>
      </c>
      <c r="BK114" s="162" t="str">
        <f>IF(ISBLANK(O114),"",NOT(ISERROR(MATCH(O114,Deltagarlista!$E$5:$E$64,0))))</f>
        <v/>
      </c>
      <c r="BL114" s="162" t="str">
        <f>IF(ISBLANK(P114),"",NOT(ISERROR(MATCH(P114,Deltagarlista!$E$5:$E$64,0))))</f>
        <v/>
      </c>
      <c r="BM114" s="162" t="str">
        <f>IF(ISBLANK(Q114),"",NOT(ISERROR(MATCH(Q114,Deltagarlista!$E$5:$E$64,0))))</f>
        <v/>
      </c>
      <c r="BN114" s="167"/>
    </row>
    <row r="115" spans="2:66" x14ac:dyDescent="0.3">
      <c r="B115" s="186">
        <v>18</v>
      </c>
      <c r="C115" s="27"/>
      <c r="D115" s="28"/>
      <c r="E115" s="38"/>
      <c r="F115" s="27"/>
      <c r="G115" s="28"/>
      <c r="H115" s="29"/>
      <c r="I115" s="41"/>
      <c r="J115" s="28"/>
      <c r="K115" s="38"/>
      <c r="L115" s="27"/>
      <c r="M115" s="28"/>
      <c r="N115" s="29"/>
      <c r="O115" s="41"/>
      <c r="P115" s="28"/>
      <c r="Q115" s="29"/>
      <c r="R115" s="187">
        <v>18</v>
      </c>
      <c r="S115" s="188">
        <v>18</v>
      </c>
      <c r="T115" s="188">
        <v>18</v>
      </c>
      <c r="U115" s="188">
        <v>18</v>
      </c>
      <c r="V115" s="188">
        <v>18</v>
      </c>
      <c r="W115" s="188">
        <v>18</v>
      </c>
      <c r="X115" s="188">
        <v>18</v>
      </c>
      <c r="Y115" s="188">
        <v>18</v>
      </c>
      <c r="Z115" s="188">
        <v>18</v>
      </c>
      <c r="AA115" s="188">
        <v>18</v>
      </c>
      <c r="AB115" s="188">
        <v>18</v>
      </c>
      <c r="AC115" s="188">
        <v>18</v>
      </c>
      <c r="AD115" s="188">
        <v>18</v>
      </c>
      <c r="AE115" s="188">
        <v>18</v>
      </c>
      <c r="AF115" s="188">
        <v>18</v>
      </c>
      <c r="AG115" s="188">
        <v>18</v>
      </c>
      <c r="AH115" s="166"/>
      <c r="AI115" s="129">
        <f t="shared" si="95"/>
        <v>0</v>
      </c>
      <c r="AJ115" s="129">
        <f t="shared" si="96"/>
        <v>0</v>
      </c>
      <c r="AK115" s="129">
        <f t="shared" si="97"/>
        <v>0</v>
      </c>
      <c r="AL115" s="129">
        <f t="shared" si="98"/>
        <v>0</v>
      </c>
      <c r="AM115" s="129">
        <f t="shared" si="99"/>
        <v>0</v>
      </c>
      <c r="AN115" s="129">
        <f t="shared" si="100"/>
        <v>0</v>
      </c>
      <c r="AO115" s="129">
        <f t="shared" si="101"/>
        <v>0</v>
      </c>
      <c r="AP115" s="129">
        <f t="shared" si="102"/>
        <v>0</v>
      </c>
      <c r="AQ115" s="129">
        <f t="shared" si="103"/>
        <v>0</v>
      </c>
      <c r="AR115" s="129">
        <f t="shared" si="104"/>
        <v>0</v>
      </c>
      <c r="AS115" s="129">
        <f t="shared" si="105"/>
        <v>0</v>
      </c>
      <c r="AT115" s="129">
        <f t="shared" si="106"/>
        <v>0</v>
      </c>
      <c r="AU115" s="129">
        <f t="shared" si="107"/>
        <v>0</v>
      </c>
      <c r="AV115" s="129">
        <f t="shared" si="108"/>
        <v>0</v>
      </c>
      <c r="AW115" s="129">
        <f t="shared" si="109"/>
        <v>0</v>
      </c>
      <c r="AY115" s="162" t="str">
        <f>IF(ISBLANK(C115),"",NOT(ISERROR(MATCH(C115,Deltagarlista!$E$5:$E$64,0))))</f>
        <v/>
      </c>
      <c r="AZ115" s="162" t="str">
        <f>IF(ISBLANK(D115),"",NOT(ISERROR(MATCH(D115,Deltagarlista!$E$5:$E$64,0))))</f>
        <v/>
      </c>
      <c r="BA115" s="162" t="str">
        <f>IF(ISBLANK(E115),"",NOT(ISERROR(MATCH(E115,Deltagarlista!$E$5:$E$64,0))))</f>
        <v/>
      </c>
      <c r="BB115" s="162" t="str">
        <f>IF(ISBLANK(F115),"",NOT(ISERROR(MATCH(F115,Deltagarlista!$E$5:$E$64,0))))</f>
        <v/>
      </c>
      <c r="BC115" s="162" t="str">
        <f>IF(ISBLANK(G115),"",NOT(ISERROR(MATCH(G115,Deltagarlista!$E$5:$E$64,0))))</f>
        <v/>
      </c>
      <c r="BD115" s="162" t="str">
        <f>IF(ISBLANK(H115),"",NOT(ISERROR(MATCH(H115,Deltagarlista!$E$5:$E$64,0))))</f>
        <v/>
      </c>
      <c r="BE115" s="162" t="str">
        <f>IF(ISBLANK(I115),"",NOT(ISERROR(MATCH(I115,Deltagarlista!$E$5:$E$64,0))))</f>
        <v/>
      </c>
      <c r="BF115" s="162" t="str">
        <f>IF(ISBLANK(J115),"",NOT(ISERROR(MATCH(J115,Deltagarlista!$E$5:$E$64,0))))</f>
        <v/>
      </c>
      <c r="BG115" s="162" t="str">
        <f>IF(ISBLANK(K115),"",NOT(ISERROR(MATCH(K115,Deltagarlista!$E$5:$E$64,0))))</f>
        <v/>
      </c>
      <c r="BH115" s="162" t="str">
        <f>IF(ISBLANK(L115),"",NOT(ISERROR(MATCH(L115,Deltagarlista!$E$5:$E$64,0))))</f>
        <v/>
      </c>
      <c r="BI115" s="162" t="str">
        <f>IF(ISBLANK(M115),"",NOT(ISERROR(MATCH(M115,Deltagarlista!$E$5:$E$64,0))))</f>
        <v/>
      </c>
      <c r="BJ115" s="162" t="str">
        <f>IF(ISBLANK(N115),"",NOT(ISERROR(MATCH(N115,Deltagarlista!$E$5:$E$64,0))))</f>
        <v/>
      </c>
      <c r="BK115" s="162" t="str">
        <f>IF(ISBLANK(O115),"",NOT(ISERROR(MATCH(O115,Deltagarlista!$E$5:$E$64,0))))</f>
        <v/>
      </c>
      <c r="BL115" s="162" t="str">
        <f>IF(ISBLANK(P115),"",NOT(ISERROR(MATCH(P115,Deltagarlista!$E$5:$E$64,0))))</f>
        <v/>
      </c>
      <c r="BM115" s="162" t="str">
        <f>IF(ISBLANK(Q115),"",NOT(ISERROR(MATCH(Q115,Deltagarlista!$E$5:$E$64,0))))</f>
        <v/>
      </c>
      <c r="BN115" s="167"/>
    </row>
    <row r="116" spans="2:66" x14ac:dyDescent="0.3">
      <c r="B116" s="186">
        <v>19</v>
      </c>
      <c r="C116" s="27"/>
      <c r="D116" s="28"/>
      <c r="E116" s="38"/>
      <c r="F116" s="27"/>
      <c r="G116" s="28"/>
      <c r="H116" s="29"/>
      <c r="I116" s="41"/>
      <c r="J116" s="28"/>
      <c r="K116" s="38"/>
      <c r="L116" s="27"/>
      <c r="M116" s="28"/>
      <c r="N116" s="29"/>
      <c r="O116" s="41"/>
      <c r="P116" s="28"/>
      <c r="Q116" s="29"/>
      <c r="R116" s="187">
        <v>19</v>
      </c>
      <c r="S116" s="188">
        <v>19</v>
      </c>
      <c r="T116" s="188">
        <v>19</v>
      </c>
      <c r="U116" s="188">
        <v>19</v>
      </c>
      <c r="V116" s="188">
        <v>19</v>
      </c>
      <c r="W116" s="188">
        <v>19</v>
      </c>
      <c r="X116" s="188">
        <v>19</v>
      </c>
      <c r="Y116" s="188">
        <v>19</v>
      </c>
      <c r="Z116" s="188">
        <v>19</v>
      </c>
      <c r="AA116" s="188">
        <v>19</v>
      </c>
      <c r="AB116" s="188">
        <v>19</v>
      </c>
      <c r="AC116" s="188">
        <v>19</v>
      </c>
      <c r="AD116" s="188">
        <v>19</v>
      </c>
      <c r="AE116" s="188">
        <v>19</v>
      </c>
      <c r="AF116" s="188">
        <v>19</v>
      </c>
      <c r="AG116" s="188">
        <v>19</v>
      </c>
      <c r="AH116" s="166"/>
      <c r="AI116" s="129">
        <f t="shared" si="95"/>
        <v>0</v>
      </c>
      <c r="AJ116" s="129">
        <f t="shared" si="96"/>
        <v>0</v>
      </c>
      <c r="AK116" s="129">
        <f t="shared" si="97"/>
        <v>0</v>
      </c>
      <c r="AL116" s="129">
        <f t="shared" si="98"/>
        <v>0</v>
      </c>
      <c r="AM116" s="129">
        <f t="shared" si="99"/>
        <v>0</v>
      </c>
      <c r="AN116" s="129">
        <f t="shared" si="100"/>
        <v>0</v>
      </c>
      <c r="AO116" s="129">
        <f t="shared" si="101"/>
        <v>0</v>
      </c>
      <c r="AP116" s="129">
        <f t="shared" si="102"/>
        <v>0</v>
      </c>
      <c r="AQ116" s="129">
        <f t="shared" si="103"/>
        <v>0</v>
      </c>
      <c r="AR116" s="129">
        <f t="shared" si="104"/>
        <v>0</v>
      </c>
      <c r="AS116" s="129">
        <f t="shared" si="105"/>
        <v>0</v>
      </c>
      <c r="AT116" s="129">
        <f t="shared" si="106"/>
        <v>0</v>
      </c>
      <c r="AU116" s="129">
        <f t="shared" si="107"/>
        <v>0</v>
      </c>
      <c r="AV116" s="129">
        <f t="shared" si="108"/>
        <v>0</v>
      </c>
      <c r="AW116" s="129">
        <f t="shared" si="109"/>
        <v>0</v>
      </c>
      <c r="AY116" s="162" t="str">
        <f>IF(ISBLANK(C116),"",NOT(ISERROR(MATCH(C116,Deltagarlista!$E$5:$E$64,0))))</f>
        <v/>
      </c>
      <c r="AZ116" s="162" t="str">
        <f>IF(ISBLANK(D116),"",NOT(ISERROR(MATCH(D116,Deltagarlista!$E$5:$E$64,0))))</f>
        <v/>
      </c>
      <c r="BA116" s="162" t="str">
        <f>IF(ISBLANK(E116),"",NOT(ISERROR(MATCH(E116,Deltagarlista!$E$5:$E$64,0))))</f>
        <v/>
      </c>
      <c r="BB116" s="162" t="str">
        <f>IF(ISBLANK(F116),"",NOT(ISERROR(MATCH(F116,Deltagarlista!$E$5:$E$64,0))))</f>
        <v/>
      </c>
      <c r="BC116" s="162" t="str">
        <f>IF(ISBLANK(G116),"",NOT(ISERROR(MATCH(G116,Deltagarlista!$E$5:$E$64,0))))</f>
        <v/>
      </c>
      <c r="BD116" s="162" t="str">
        <f>IF(ISBLANK(H116),"",NOT(ISERROR(MATCH(H116,Deltagarlista!$E$5:$E$64,0))))</f>
        <v/>
      </c>
      <c r="BE116" s="162" t="str">
        <f>IF(ISBLANK(I116),"",NOT(ISERROR(MATCH(I116,Deltagarlista!$E$5:$E$64,0))))</f>
        <v/>
      </c>
      <c r="BF116" s="162" t="str">
        <f>IF(ISBLANK(J116),"",NOT(ISERROR(MATCH(J116,Deltagarlista!$E$5:$E$64,0))))</f>
        <v/>
      </c>
      <c r="BG116" s="162" t="str">
        <f>IF(ISBLANK(K116),"",NOT(ISERROR(MATCH(K116,Deltagarlista!$E$5:$E$64,0))))</f>
        <v/>
      </c>
      <c r="BH116" s="162" t="str">
        <f>IF(ISBLANK(L116),"",NOT(ISERROR(MATCH(L116,Deltagarlista!$E$5:$E$64,0))))</f>
        <v/>
      </c>
      <c r="BI116" s="162" t="str">
        <f>IF(ISBLANK(M116),"",NOT(ISERROR(MATCH(M116,Deltagarlista!$E$5:$E$64,0))))</f>
        <v/>
      </c>
      <c r="BJ116" s="162" t="str">
        <f>IF(ISBLANK(N116),"",NOT(ISERROR(MATCH(N116,Deltagarlista!$E$5:$E$64,0))))</f>
        <v/>
      </c>
      <c r="BK116" s="162" t="str">
        <f>IF(ISBLANK(O116),"",NOT(ISERROR(MATCH(O116,Deltagarlista!$E$5:$E$64,0))))</f>
        <v/>
      </c>
      <c r="BL116" s="162" t="str">
        <f>IF(ISBLANK(P116),"",NOT(ISERROR(MATCH(P116,Deltagarlista!$E$5:$E$64,0))))</f>
        <v/>
      </c>
      <c r="BM116" s="162" t="str">
        <f>IF(ISBLANK(Q116),"",NOT(ISERROR(MATCH(Q116,Deltagarlista!$E$5:$E$64,0))))</f>
        <v/>
      </c>
      <c r="BN116" s="167"/>
    </row>
    <row r="117" spans="2:66" x14ac:dyDescent="0.3">
      <c r="B117" s="186">
        <v>20</v>
      </c>
      <c r="C117" s="27"/>
      <c r="D117" s="28"/>
      <c r="E117" s="38"/>
      <c r="F117" s="27"/>
      <c r="G117" s="28"/>
      <c r="H117" s="29"/>
      <c r="I117" s="41"/>
      <c r="J117" s="28"/>
      <c r="K117" s="38"/>
      <c r="L117" s="27"/>
      <c r="M117" s="28"/>
      <c r="N117" s="29"/>
      <c r="O117" s="41"/>
      <c r="P117" s="28"/>
      <c r="Q117" s="29"/>
      <c r="R117" s="187">
        <v>20</v>
      </c>
      <c r="S117" s="188">
        <v>20</v>
      </c>
      <c r="T117" s="188">
        <v>20</v>
      </c>
      <c r="U117" s="188">
        <v>20</v>
      </c>
      <c r="V117" s="188">
        <v>20</v>
      </c>
      <c r="W117" s="188">
        <v>20</v>
      </c>
      <c r="X117" s="188">
        <v>20</v>
      </c>
      <c r="Y117" s="188">
        <v>20</v>
      </c>
      <c r="Z117" s="188">
        <v>20</v>
      </c>
      <c r="AA117" s="188">
        <v>20</v>
      </c>
      <c r="AB117" s="188">
        <v>20</v>
      </c>
      <c r="AC117" s="188">
        <v>20</v>
      </c>
      <c r="AD117" s="188">
        <v>20</v>
      </c>
      <c r="AE117" s="188">
        <v>20</v>
      </c>
      <c r="AF117" s="188">
        <v>20</v>
      </c>
      <c r="AG117" s="188">
        <v>20</v>
      </c>
      <c r="AH117" s="166"/>
      <c r="AI117" s="129">
        <f t="shared" si="95"/>
        <v>0</v>
      </c>
      <c r="AJ117" s="129">
        <f t="shared" si="96"/>
        <v>0</v>
      </c>
      <c r="AK117" s="129">
        <f t="shared" si="97"/>
        <v>0</v>
      </c>
      <c r="AL117" s="129">
        <f t="shared" si="98"/>
        <v>0</v>
      </c>
      <c r="AM117" s="129">
        <f t="shared" si="99"/>
        <v>0</v>
      </c>
      <c r="AN117" s="129">
        <f t="shared" si="100"/>
        <v>0</v>
      </c>
      <c r="AO117" s="129">
        <f t="shared" si="101"/>
        <v>0</v>
      </c>
      <c r="AP117" s="129">
        <f t="shared" si="102"/>
        <v>0</v>
      </c>
      <c r="AQ117" s="129">
        <f t="shared" si="103"/>
        <v>0</v>
      </c>
      <c r="AR117" s="129">
        <f t="shared" si="104"/>
        <v>0</v>
      </c>
      <c r="AS117" s="129">
        <f t="shared" si="105"/>
        <v>0</v>
      </c>
      <c r="AT117" s="129">
        <f t="shared" si="106"/>
        <v>0</v>
      </c>
      <c r="AU117" s="129">
        <f t="shared" si="107"/>
        <v>0</v>
      </c>
      <c r="AV117" s="129">
        <f t="shared" si="108"/>
        <v>0</v>
      </c>
      <c r="AW117" s="129">
        <f t="shared" si="109"/>
        <v>0</v>
      </c>
      <c r="AY117" s="162" t="str">
        <f>IF(ISBLANK(C117),"",NOT(ISERROR(MATCH(C117,Deltagarlista!$E$5:$E$64,0))))</f>
        <v/>
      </c>
      <c r="AZ117" s="162" t="str">
        <f>IF(ISBLANK(D117),"",NOT(ISERROR(MATCH(D117,Deltagarlista!$E$5:$E$64,0))))</f>
        <v/>
      </c>
      <c r="BA117" s="162" t="str">
        <f>IF(ISBLANK(E117),"",NOT(ISERROR(MATCH(E117,Deltagarlista!$E$5:$E$64,0))))</f>
        <v/>
      </c>
      <c r="BB117" s="162" t="str">
        <f>IF(ISBLANK(F117),"",NOT(ISERROR(MATCH(F117,Deltagarlista!$E$5:$E$64,0))))</f>
        <v/>
      </c>
      <c r="BC117" s="162" t="str">
        <f>IF(ISBLANK(G117),"",NOT(ISERROR(MATCH(G117,Deltagarlista!$E$5:$E$64,0))))</f>
        <v/>
      </c>
      <c r="BD117" s="162" t="str">
        <f>IF(ISBLANK(H117),"",NOT(ISERROR(MATCH(H117,Deltagarlista!$E$5:$E$64,0))))</f>
        <v/>
      </c>
      <c r="BE117" s="162" t="str">
        <f>IF(ISBLANK(I117),"",NOT(ISERROR(MATCH(I117,Deltagarlista!$E$5:$E$64,0))))</f>
        <v/>
      </c>
      <c r="BF117" s="162" t="str">
        <f>IF(ISBLANK(J117),"",NOT(ISERROR(MATCH(J117,Deltagarlista!$E$5:$E$64,0))))</f>
        <v/>
      </c>
      <c r="BG117" s="162" t="str">
        <f>IF(ISBLANK(K117),"",NOT(ISERROR(MATCH(K117,Deltagarlista!$E$5:$E$64,0))))</f>
        <v/>
      </c>
      <c r="BH117" s="162" t="str">
        <f>IF(ISBLANK(L117),"",NOT(ISERROR(MATCH(L117,Deltagarlista!$E$5:$E$64,0))))</f>
        <v/>
      </c>
      <c r="BI117" s="162" t="str">
        <f>IF(ISBLANK(M117),"",NOT(ISERROR(MATCH(M117,Deltagarlista!$E$5:$E$64,0))))</f>
        <v/>
      </c>
      <c r="BJ117" s="162" t="str">
        <f>IF(ISBLANK(N117),"",NOT(ISERROR(MATCH(N117,Deltagarlista!$E$5:$E$64,0))))</f>
        <v/>
      </c>
      <c r="BK117" s="162" t="str">
        <f>IF(ISBLANK(O117),"",NOT(ISERROR(MATCH(O117,Deltagarlista!$E$5:$E$64,0))))</f>
        <v/>
      </c>
      <c r="BL117" s="162" t="str">
        <f>IF(ISBLANK(P117),"",NOT(ISERROR(MATCH(P117,Deltagarlista!$E$5:$E$64,0))))</f>
        <v/>
      </c>
      <c r="BM117" s="162" t="str">
        <f>IF(ISBLANK(Q117),"",NOT(ISERROR(MATCH(Q117,Deltagarlista!$E$5:$E$64,0))))</f>
        <v/>
      </c>
      <c r="BN117" s="167"/>
    </row>
    <row r="118" spans="2:66" x14ac:dyDescent="0.3">
      <c r="B118" s="186">
        <v>21</v>
      </c>
      <c r="C118" s="27"/>
      <c r="D118" s="28"/>
      <c r="E118" s="38"/>
      <c r="F118" s="27"/>
      <c r="G118" s="28"/>
      <c r="H118" s="29"/>
      <c r="I118" s="41"/>
      <c r="J118" s="28"/>
      <c r="K118" s="38"/>
      <c r="L118" s="27"/>
      <c r="M118" s="28"/>
      <c r="N118" s="29"/>
      <c r="O118" s="41"/>
      <c r="P118" s="28"/>
      <c r="Q118" s="29"/>
      <c r="R118" s="187">
        <v>21</v>
      </c>
      <c r="S118" s="188">
        <v>21</v>
      </c>
      <c r="T118" s="188">
        <v>21</v>
      </c>
      <c r="U118" s="188">
        <v>21</v>
      </c>
      <c r="V118" s="188">
        <v>21</v>
      </c>
      <c r="W118" s="188">
        <v>21</v>
      </c>
      <c r="X118" s="188">
        <v>21</v>
      </c>
      <c r="Y118" s="188">
        <v>21</v>
      </c>
      <c r="Z118" s="188">
        <v>21</v>
      </c>
      <c r="AA118" s="188">
        <v>21</v>
      </c>
      <c r="AB118" s="188">
        <v>21</v>
      </c>
      <c r="AC118" s="188">
        <v>21</v>
      </c>
      <c r="AD118" s="188">
        <v>21</v>
      </c>
      <c r="AE118" s="188">
        <v>21</v>
      </c>
      <c r="AF118" s="188">
        <v>21</v>
      </c>
      <c r="AG118" s="188">
        <v>21</v>
      </c>
      <c r="AH118" s="166"/>
      <c r="AI118" s="129">
        <f t="shared" si="95"/>
        <v>0</v>
      </c>
      <c r="AJ118" s="129">
        <f t="shared" si="96"/>
        <v>0</v>
      </c>
      <c r="AK118" s="129">
        <f t="shared" si="97"/>
        <v>0</v>
      </c>
      <c r="AL118" s="129">
        <f t="shared" si="98"/>
        <v>0</v>
      </c>
      <c r="AM118" s="129">
        <f t="shared" si="99"/>
        <v>0</v>
      </c>
      <c r="AN118" s="129">
        <f t="shared" si="100"/>
        <v>0</v>
      </c>
      <c r="AO118" s="129">
        <f t="shared" si="101"/>
        <v>0</v>
      </c>
      <c r="AP118" s="129">
        <f t="shared" si="102"/>
        <v>0</v>
      </c>
      <c r="AQ118" s="129">
        <f t="shared" si="103"/>
        <v>0</v>
      </c>
      <c r="AR118" s="129">
        <f t="shared" si="104"/>
        <v>0</v>
      </c>
      <c r="AS118" s="129">
        <f t="shared" si="105"/>
        <v>0</v>
      </c>
      <c r="AT118" s="129">
        <f t="shared" si="106"/>
        <v>0</v>
      </c>
      <c r="AU118" s="129">
        <f t="shared" si="107"/>
        <v>0</v>
      </c>
      <c r="AV118" s="129">
        <f t="shared" si="108"/>
        <v>0</v>
      </c>
      <c r="AW118" s="129">
        <f t="shared" si="109"/>
        <v>0</v>
      </c>
      <c r="AY118" s="162" t="str">
        <f>IF(ISBLANK(C118),"",NOT(ISERROR(MATCH(C118,Deltagarlista!$E$5:$E$64,0))))</f>
        <v/>
      </c>
      <c r="AZ118" s="162" t="str">
        <f>IF(ISBLANK(D118),"",NOT(ISERROR(MATCH(D118,Deltagarlista!$E$5:$E$64,0))))</f>
        <v/>
      </c>
      <c r="BA118" s="162" t="str">
        <f>IF(ISBLANK(E118),"",NOT(ISERROR(MATCH(E118,Deltagarlista!$E$5:$E$64,0))))</f>
        <v/>
      </c>
      <c r="BB118" s="162" t="str">
        <f>IF(ISBLANK(F118),"",NOT(ISERROR(MATCH(F118,Deltagarlista!$E$5:$E$64,0))))</f>
        <v/>
      </c>
      <c r="BC118" s="162" t="str">
        <f>IF(ISBLANK(G118),"",NOT(ISERROR(MATCH(G118,Deltagarlista!$E$5:$E$64,0))))</f>
        <v/>
      </c>
      <c r="BD118" s="162" t="str">
        <f>IF(ISBLANK(H118),"",NOT(ISERROR(MATCH(H118,Deltagarlista!$E$5:$E$64,0))))</f>
        <v/>
      </c>
      <c r="BE118" s="162" t="str">
        <f>IF(ISBLANK(I118),"",NOT(ISERROR(MATCH(I118,Deltagarlista!$E$5:$E$64,0))))</f>
        <v/>
      </c>
      <c r="BF118" s="162" t="str">
        <f>IF(ISBLANK(J118),"",NOT(ISERROR(MATCH(J118,Deltagarlista!$E$5:$E$64,0))))</f>
        <v/>
      </c>
      <c r="BG118" s="162" t="str">
        <f>IF(ISBLANK(K118),"",NOT(ISERROR(MATCH(K118,Deltagarlista!$E$5:$E$64,0))))</f>
        <v/>
      </c>
      <c r="BH118" s="162" t="str">
        <f>IF(ISBLANK(L118),"",NOT(ISERROR(MATCH(L118,Deltagarlista!$E$5:$E$64,0))))</f>
        <v/>
      </c>
      <c r="BI118" s="162" t="str">
        <f>IF(ISBLANK(M118),"",NOT(ISERROR(MATCH(M118,Deltagarlista!$E$5:$E$64,0))))</f>
        <v/>
      </c>
      <c r="BJ118" s="162" t="str">
        <f>IF(ISBLANK(N118),"",NOT(ISERROR(MATCH(N118,Deltagarlista!$E$5:$E$64,0))))</f>
        <v/>
      </c>
      <c r="BK118" s="162" t="str">
        <f>IF(ISBLANK(O118),"",NOT(ISERROR(MATCH(O118,Deltagarlista!$E$5:$E$64,0))))</f>
        <v/>
      </c>
      <c r="BL118" s="162" t="str">
        <f>IF(ISBLANK(P118),"",NOT(ISERROR(MATCH(P118,Deltagarlista!$E$5:$E$64,0))))</f>
        <v/>
      </c>
      <c r="BM118" s="162" t="str">
        <f>IF(ISBLANK(Q118),"",NOT(ISERROR(MATCH(Q118,Deltagarlista!$E$5:$E$64,0))))</f>
        <v/>
      </c>
      <c r="BN118" s="167"/>
    </row>
    <row r="119" spans="2:66" x14ac:dyDescent="0.3">
      <c r="B119" s="186">
        <v>22</v>
      </c>
      <c r="C119" s="27"/>
      <c r="D119" s="28"/>
      <c r="E119" s="38"/>
      <c r="F119" s="27"/>
      <c r="G119" s="28"/>
      <c r="H119" s="29"/>
      <c r="I119" s="41"/>
      <c r="J119" s="28"/>
      <c r="K119" s="38"/>
      <c r="L119" s="27"/>
      <c r="M119" s="28"/>
      <c r="N119" s="29"/>
      <c r="O119" s="41"/>
      <c r="P119" s="28"/>
      <c r="Q119" s="29"/>
      <c r="R119" s="187">
        <v>22</v>
      </c>
      <c r="S119" s="188">
        <v>22</v>
      </c>
      <c r="T119" s="188">
        <v>22</v>
      </c>
      <c r="U119" s="188">
        <v>22</v>
      </c>
      <c r="V119" s="188">
        <v>22</v>
      </c>
      <c r="W119" s="188">
        <v>22</v>
      </c>
      <c r="X119" s="188">
        <v>22</v>
      </c>
      <c r="Y119" s="188">
        <v>22</v>
      </c>
      <c r="Z119" s="188">
        <v>22</v>
      </c>
      <c r="AA119" s="188">
        <v>22</v>
      </c>
      <c r="AB119" s="188">
        <v>22</v>
      </c>
      <c r="AC119" s="188">
        <v>22</v>
      </c>
      <c r="AD119" s="188">
        <v>22</v>
      </c>
      <c r="AE119" s="188">
        <v>22</v>
      </c>
      <c r="AF119" s="188">
        <v>22</v>
      </c>
      <c r="AG119" s="188">
        <v>22</v>
      </c>
      <c r="AH119" s="166"/>
      <c r="AI119" s="129">
        <f t="shared" si="95"/>
        <v>0</v>
      </c>
      <c r="AJ119" s="129">
        <f t="shared" si="96"/>
        <v>0</v>
      </c>
      <c r="AK119" s="129">
        <f t="shared" si="97"/>
        <v>0</v>
      </c>
      <c r="AL119" s="129">
        <f t="shared" si="98"/>
        <v>0</v>
      </c>
      <c r="AM119" s="129">
        <f t="shared" si="99"/>
        <v>0</v>
      </c>
      <c r="AN119" s="129">
        <f t="shared" si="100"/>
        <v>0</v>
      </c>
      <c r="AO119" s="129">
        <f t="shared" si="101"/>
        <v>0</v>
      </c>
      <c r="AP119" s="129">
        <f t="shared" si="102"/>
        <v>0</v>
      </c>
      <c r="AQ119" s="129">
        <f t="shared" si="103"/>
        <v>0</v>
      </c>
      <c r="AR119" s="129">
        <f t="shared" si="104"/>
        <v>0</v>
      </c>
      <c r="AS119" s="129">
        <f t="shared" si="105"/>
        <v>0</v>
      </c>
      <c r="AT119" s="129">
        <f t="shared" si="106"/>
        <v>0</v>
      </c>
      <c r="AU119" s="129">
        <f t="shared" si="107"/>
        <v>0</v>
      </c>
      <c r="AV119" s="129">
        <f t="shared" si="108"/>
        <v>0</v>
      </c>
      <c r="AW119" s="129">
        <f t="shared" si="109"/>
        <v>0</v>
      </c>
      <c r="AY119" s="162" t="str">
        <f>IF(ISBLANK(C119),"",NOT(ISERROR(MATCH(C119,Deltagarlista!$E$5:$E$64,0))))</f>
        <v/>
      </c>
      <c r="AZ119" s="162" t="str">
        <f>IF(ISBLANK(D119),"",NOT(ISERROR(MATCH(D119,Deltagarlista!$E$5:$E$64,0))))</f>
        <v/>
      </c>
      <c r="BA119" s="162" t="str">
        <f>IF(ISBLANK(E119),"",NOT(ISERROR(MATCH(E119,Deltagarlista!$E$5:$E$64,0))))</f>
        <v/>
      </c>
      <c r="BB119" s="162" t="str">
        <f>IF(ISBLANK(F119),"",NOT(ISERROR(MATCH(F119,Deltagarlista!$E$5:$E$64,0))))</f>
        <v/>
      </c>
      <c r="BC119" s="162" t="str">
        <f>IF(ISBLANK(G119),"",NOT(ISERROR(MATCH(G119,Deltagarlista!$E$5:$E$64,0))))</f>
        <v/>
      </c>
      <c r="BD119" s="162" t="str">
        <f>IF(ISBLANK(H119),"",NOT(ISERROR(MATCH(H119,Deltagarlista!$E$5:$E$64,0))))</f>
        <v/>
      </c>
      <c r="BE119" s="162" t="str">
        <f>IF(ISBLANK(I119),"",NOT(ISERROR(MATCH(I119,Deltagarlista!$E$5:$E$64,0))))</f>
        <v/>
      </c>
      <c r="BF119" s="162" t="str">
        <f>IF(ISBLANK(J119),"",NOT(ISERROR(MATCH(J119,Deltagarlista!$E$5:$E$64,0))))</f>
        <v/>
      </c>
      <c r="BG119" s="162" t="str">
        <f>IF(ISBLANK(K119),"",NOT(ISERROR(MATCH(K119,Deltagarlista!$E$5:$E$64,0))))</f>
        <v/>
      </c>
      <c r="BH119" s="162" t="str">
        <f>IF(ISBLANK(L119),"",NOT(ISERROR(MATCH(L119,Deltagarlista!$E$5:$E$64,0))))</f>
        <v/>
      </c>
      <c r="BI119" s="162" t="str">
        <f>IF(ISBLANK(M119),"",NOT(ISERROR(MATCH(M119,Deltagarlista!$E$5:$E$64,0))))</f>
        <v/>
      </c>
      <c r="BJ119" s="162" t="str">
        <f>IF(ISBLANK(N119),"",NOT(ISERROR(MATCH(N119,Deltagarlista!$E$5:$E$64,0))))</f>
        <v/>
      </c>
      <c r="BK119" s="162" t="str">
        <f>IF(ISBLANK(O119),"",NOT(ISERROR(MATCH(O119,Deltagarlista!$E$5:$E$64,0))))</f>
        <v/>
      </c>
      <c r="BL119" s="162" t="str">
        <f>IF(ISBLANK(P119),"",NOT(ISERROR(MATCH(P119,Deltagarlista!$E$5:$E$64,0))))</f>
        <v/>
      </c>
      <c r="BM119" s="162" t="str">
        <f>IF(ISBLANK(Q119),"",NOT(ISERROR(MATCH(Q119,Deltagarlista!$E$5:$E$64,0))))</f>
        <v/>
      </c>
      <c r="BN119" s="167"/>
    </row>
    <row r="120" spans="2:66" x14ac:dyDescent="0.3">
      <c r="B120" s="186">
        <v>23</v>
      </c>
      <c r="C120" s="27"/>
      <c r="D120" s="28"/>
      <c r="E120" s="38"/>
      <c r="F120" s="27"/>
      <c r="G120" s="28"/>
      <c r="H120" s="29"/>
      <c r="I120" s="41"/>
      <c r="J120" s="28"/>
      <c r="K120" s="38"/>
      <c r="L120" s="27"/>
      <c r="M120" s="28"/>
      <c r="N120" s="29"/>
      <c r="O120" s="41"/>
      <c r="P120" s="28"/>
      <c r="Q120" s="29"/>
      <c r="R120" s="187">
        <v>23</v>
      </c>
      <c r="S120" s="188">
        <v>23</v>
      </c>
      <c r="T120" s="188">
        <v>23</v>
      </c>
      <c r="U120" s="188">
        <v>23</v>
      </c>
      <c r="V120" s="188">
        <v>23</v>
      </c>
      <c r="W120" s="188">
        <v>23</v>
      </c>
      <c r="X120" s="188">
        <v>23</v>
      </c>
      <c r="Y120" s="188">
        <v>23</v>
      </c>
      <c r="Z120" s="188">
        <v>23</v>
      </c>
      <c r="AA120" s="188">
        <v>23</v>
      </c>
      <c r="AB120" s="188">
        <v>23</v>
      </c>
      <c r="AC120" s="188">
        <v>23</v>
      </c>
      <c r="AD120" s="188">
        <v>23</v>
      </c>
      <c r="AE120" s="188">
        <v>23</v>
      </c>
      <c r="AF120" s="188">
        <v>23</v>
      </c>
      <c r="AG120" s="188">
        <v>23</v>
      </c>
      <c r="AH120" s="166"/>
      <c r="AI120" s="129">
        <f t="shared" si="95"/>
        <v>0</v>
      </c>
      <c r="AJ120" s="129">
        <f t="shared" si="96"/>
        <v>0</v>
      </c>
      <c r="AK120" s="129">
        <f t="shared" si="97"/>
        <v>0</v>
      </c>
      <c r="AL120" s="129">
        <f t="shared" si="98"/>
        <v>0</v>
      </c>
      <c r="AM120" s="129">
        <f t="shared" si="99"/>
        <v>0</v>
      </c>
      <c r="AN120" s="129">
        <f t="shared" si="100"/>
        <v>0</v>
      </c>
      <c r="AO120" s="129">
        <f t="shared" si="101"/>
        <v>0</v>
      </c>
      <c r="AP120" s="129">
        <f t="shared" si="102"/>
        <v>0</v>
      </c>
      <c r="AQ120" s="129">
        <f t="shared" si="103"/>
        <v>0</v>
      </c>
      <c r="AR120" s="129">
        <f t="shared" si="104"/>
        <v>0</v>
      </c>
      <c r="AS120" s="129">
        <f t="shared" si="105"/>
        <v>0</v>
      </c>
      <c r="AT120" s="129">
        <f t="shared" si="106"/>
        <v>0</v>
      </c>
      <c r="AU120" s="129">
        <f t="shared" si="107"/>
        <v>0</v>
      </c>
      <c r="AV120" s="129">
        <f t="shared" si="108"/>
        <v>0</v>
      </c>
      <c r="AW120" s="129">
        <f t="shared" si="109"/>
        <v>0</v>
      </c>
      <c r="AY120" s="162" t="str">
        <f>IF(ISBLANK(C120),"",NOT(ISERROR(MATCH(C120,Deltagarlista!$E$5:$E$64,0))))</f>
        <v/>
      </c>
      <c r="AZ120" s="162" t="str">
        <f>IF(ISBLANK(D120),"",NOT(ISERROR(MATCH(D120,Deltagarlista!$E$5:$E$64,0))))</f>
        <v/>
      </c>
      <c r="BA120" s="162" t="str">
        <f>IF(ISBLANK(E120),"",NOT(ISERROR(MATCH(E120,Deltagarlista!$E$5:$E$64,0))))</f>
        <v/>
      </c>
      <c r="BB120" s="162" t="str">
        <f>IF(ISBLANK(F120),"",NOT(ISERROR(MATCH(F120,Deltagarlista!$E$5:$E$64,0))))</f>
        <v/>
      </c>
      <c r="BC120" s="162" t="str">
        <f>IF(ISBLANK(G120),"",NOT(ISERROR(MATCH(G120,Deltagarlista!$E$5:$E$64,0))))</f>
        <v/>
      </c>
      <c r="BD120" s="162" t="str">
        <f>IF(ISBLANK(H120),"",NOT(ISERROR(MATCH(H120,Deltagarlista!$E$5:$E$64,0))))</f>
        <v/>
      </c>
      <c r="BE120" s="162" t="str">
        <f>IF(ISBLANK(I120),"",NOT(ISERROR(MATCH(I120,Deltagarlista!$E$5:$E$64,0))))</f>
        <v/>
      </c>
      <c r="BF120" s="162" t="str">
        <f>IF(ISBLANK(J120),"",NOT(ISERROR(MATCH(J120,Deltagarlista!$E$5:$E$64,0))))</f>
        <v/>
      </c>
      <c r="BG120" s="162" t="str">
        <f>IF(ISBLANK(K120),"",NOT(ISERROR(MATCH(K120,Deltagarlista!$E$5:$E$64,0))))</f>
        <v/>
      </c>
      <c r="BH120" s="162" t="str">
        <f>IF(ISBLANK(L120),"",NOT(ISERROR(MATCH(L120,Deltagarlista!$E$5:$E$64,0))))</f>
        <v/>
      </c>
      <c r="BI120" s="162" t="str">
        <f>IF(ISBLANK(M120),"",NOT(ISERROR(MATCH(M120,Deltagarlista!$E$5:$E$64,0))))</f>
        <v/>
      </c>
      <c r="BJ120" s="162" t="str">
        <f>IF(ISBLANK(N120),"",NOT(ISERROR(MATCH(N120,Deltagarlista!$E$5:$E$64,0))))</f>
        <v/>
      </c>
      <c r="BK120" s="162" t="str">
        <f>IF(ISBLANK(O120),"",NOT(ISERROR(MATCH(O120,Deltagarlista!$E$5:$E$64,0))))</f>
        <v/>
      </c>
      <c r="BL120" s="162" t="str">
        <f>IF(ISBLANK(P120),"",NOT(ISERROR(MATCH(P120,Deltagarlista!$E$5:$E$64,0))))</f>
        <v/>
      </c>
      <c r="BM120" s="162" t="str">
        <f>IF(ISBLANK(Q120),"",NOT(ISERROR(MATCH(Q120,Deltagarlista!$E$5:$E$64,0))))</f>
        <v/>
      </c>
      <c r="BN120" s="167"/>
    </row>
    <row r="121" spans="2:66" x14ac:dyDescent="0.3">
      <c r="B121" s="186">
        <v>24</v>
      </c>
      <c r="C121" s="27"/>
      <c r="D121" s="28"/>
      <c r="E121" s="38"/>
      <c r="F121" s="27"/>
      <c r="G121" s="28"/>
      <c r="H121" s="29"/>
      <c r="I121" s="41"/>
      <c r="J121" s="28"/>
      <c r="K121" s="38"/>
      <c r="L121" s="27"/>
      <c r="M121" s="28"/>
      <c r="N121" s="29"/>
      <c r="O121" s="41"/>
      <c r="P121" s="28"/>
      <c r="Q121" s="29"/>
      <c r="R121" s="187">
        <v>24</v>
      </c>
      <c r="S121" s="188">
        <v>24</v>
      </c>
      <c r="T121" s="188">
        <v>24</v>
      </c>
      <c r="U121" s="188">
        <v>24</v>
      </c>
      <c r="V121" s="188">
        <v>24</v>
      </c>
      <c r="W121" s="188">
        <v>24</v>
      </c>
      <c r="X121" s="188">
        <v>24</v>
      </c>
      <c r="Y121" s="188">
        <v>24</v>
      </c>
      <c r="Z121" s="188">
        <v>24</v>
      </c>
      <c r="AA121" s="188">
        <v>24</v>
      </c>
      <c r="AB121" s="188">
        <v>24</v>
      </c>
      <c r="AC121" s="188">
        <v>24</v>
      </c>
      <c r="AD121" s="188">
        <v>24</v>
      </c>
      <c r="AE121" s="188">
        <v>24</v>
      </c>
      <c r="AF121" s="188">
        <v>24</v>
      </c>
      <c r="AG121" s="188">
        <v>24</v>
      </c>
      <c r="AH121" s="166"/>
      <c r="AI121" s="129">
        <f t="shared" si="95"/>
        <v>0</v>
      </c>
      <c r="AJ121" s="129">
        <f t="shared" si="96"/>
        <v>0</v>
      </c>
      <c r="AK121" s="129">
        <f t="shared" si="97"/>
        <v>0</v>
      </c>
      <c r="AL121" s="129">
        <f t="shared" si="98"/>
        <v>0</v>
      </c>
      <c r="AM121" s="129">
        <f t="shared" si="99"/>
        <v>0</v>
      </c>
      <c r="AN121" s="129">
        <f t="shared" si="100"/>
        <v>0</v>
      </c>
      <c r="AO121" s="129">
        <f t="shared" si="101"/>
        <v>0</v>
      </c>
      <c r="AP121" s="129">
        <f t="shared" si="102"/>
        <v>0</v>
      </c>
      <c r="AQ121" s="129">
        <f t="shared" si="103"/>
        <v>0</v>
      </c>
      <c r="AR121" s="129">
        <f t="shared" si="104"/>
        <v>0</v>
      </c>
      <c r="AS121" s="129">
        <f t="shared" si="105"/>
        <v>0</v>
      </c>
      <c r="AT121" s="129">
        <f t="shared" si="106"/>
        <v>0</v>
      </c>
      <c r="AU121" s="129">
        <f t="shared" si="107"/>
        <v>0</v>
      </c>
      <c r="AV121" s="129">
        <f t="shared" si="108"/>
        <v>0</v>
      </c>
      <c r="AW121" s="129">
        <f t="shared" si="109"/>
        <v>0</v>
      </c>
      <c r="AY121" s="162" t="str">
        <f>IF(ISBLANK(C121),"",NOT(ISERROR(MATCH(C121,Deltagarlista!$E$5:$E$64,0))))</f>
        <v/>
      </c>
      <c r="AZ121" s="162" t="str">
        <f>IF(ISBLANK(D121),"",NOT(ISERROR(MATCH(D121,Deltagarlista!$E$5:$E$64,0))))</f>
        <v/>
      </c>
      <c r="BA121" s="162" t="str">
        <f>IF(ISBLANK(E121),"",NOT(ISERROR(MATCH(E121,Deltagarlista!$E$5:$E$64,0))))</f>
        <v/>
      </c>
      <c r="BB121" s="162" t="str">
        <f>IF(ISBLANK(F121),"",NOT(ISERROR(MATCH(F121,Deltagarlista!$E$5:$E$64,0))))</f>
        <v/>
      </c>
      <c r="BC121" s="162" t="str">
        <f>IF(ISBLANK(G121),"",NOT(ISERROR(MATCH(G121,Deltagarlista!$E$5:$E$64,0))))</f>
        <v/>
      </c>
      <c r="BD121" s="162" t="str">
        <f>IF(ISBLANK(H121),"",NOT(ISERROR(MATCH(H121,Deltagarlista!$E$5:$E$64,0))))</f>
        <v/>
      </c>
      <c r="BE121" s="162" t="str">
        <f>IF(ISBLANK(I121),"",NOT(ISERROR(MATCH(I121,Deltagarlista!$E$5:$E$64,0))))</f>
        <v/>
      </c>
      <c r="BF121" s="162" t="str">
        <f>IF(ISBLANK(J121),"",NOT(ISERROR(MATCH(J121,Deltagarlista!$E$5:$E$64,0))))</f>
        <v/>
      </c>
      <c r="BG121" s="162" t="str">
        <f>IF(ISBLANK(K121),"",NOT(ISERROR(MATCH(K121,Deltagarlista!$E$5:$E$64,0))))</f>
        <v/>
      </c>
      <c r="BH121" s="162" t="str">
        <f>IF(ISBLANK(L121),"",NOT(ISERROR(MATCH(L121,Deltagarlista!$E$5:$E$64,0))))</f>
        <v/>
      </c>
      <c r="BI121" s="162" t="str">
        <f>IF(ISBLANK(M121),"",NOT(ISERROR(MATCH(M121,Deltagarlista!$E$5:$E$64,0))))</f>
        <v/>
      </c>
      <c r="BJ121" s="162" t="str">
        <f>IF(ISBLANK(N121),"",NOT(ISERROR(MATCH(N121,Deltagarlista!$E$5:$E$64,0))))</f>
        <v/>
      </c>
      <c r="BK121" s="162" t="str">
        <f>IF(ISBLANK(O121),"",NOT(ISERROR(MATCH(O121,Deltagarlista!$E$5:$E$64,0))))</f>
        <v/>
      </c>
      <c r="BL121" s="162" t="str">
        <f>IF(ISBLANK(P121),"",NOT(ISERROR(MATCH(P121,Deltagarlista!$E$5:$E$64,0))))</f>
        <v/>
      </c>
      <c r="BM121" s="162" t="str">
        <f>IF(ISBLANK(Q121),"",NOT(ISERROR(MATCH(Q121,Deltagarlista!$E$5:$E$64,0))))</f>
        <v/>
      </c>
      <c r="BN121" s="167"/>
    </row>
    <row r="122" spans="2:66" x14ac:dyDescent="0.3">
      <c r="B122" s="186">
        <v>25</v>
      </c>
      <c r="C122" s="27"/>
      <c r="D122" s="28"/>
      <c r="E122" s="38"/>
      <c r="F122" s="27"/>
      <c r="G122" s="28"/>
      <c r="H122" s="29"/>
      <c r="I122" s="41"/>
      <c r="J122" s="28"/>
      <c r="K122" s="38"/>
      <c r="L122" s="27"/>
      <c r="M122" s="28"/>
      <c r="N122" s="29"/>
      <c r="O122" s="41"/>
      <c r="P122" s="28"/>
      <c r="Q122" s="29"/>
      <c r="R122" s="187">
        <v>25</v>
      </c>
      <c r="S122" s="188">
        <v>25</v>
      </c>
      <c r="T122" s="188">
        <v>25</v>
      </c>
      <c r="U122" s="188">
        <v>25</v>
      </c>
      <c r="V122" s="188">
        <v>25</v>
      </c>
      <c r="W122" s="188">
        <v>25</v>
      </c>
      <c r="X122" s="188">
        <v>25</v>
      </c>
      <c r="Y122" s="188">
        <v>25</v>
      </c>
      <c r="Z122" s="188">
        <v>25</v>
      </c>
      <c r="AA122" s="188">
        <v>25</v>
      </c>
      <c r="AB122" s="188">
        <v>25</v>
      </c>
      <c r="AC122" s="188">
        <v>25</v>
      </c>
      <c r="AD122" s="188">
        <v>25</v>
      </c>
      <c r="AE122" s="188">
        <v>25</v>
      </c>
      <c r="AF122" s="188">
        <v>25</v>
      </c>
      <c r="AG122" s="188">
        <v>25</v>
      </c>
      <c r="AH122" s="166"/>
      <c r="AI122" s="129">
        <f t="shared" si="95"/>
        <v>0</v>
      </c>
      <c r="AJ122" s="129">
        <f t="shared" si="96"/>
        <v>0</v>
      </c>
      <c r="AK122" s="129">
        <f t="shared" si="97"/>
        <v>0</v>
      </c>
      <c r="AL122" s="129">
        <f t="shared" si="98"/>
        <v>0</v>
      </c>
      <c r="AM122" s="129">
        <f t="shared" si="99"/>
        <v>0</v>
      </c>
      <c r="AN122" s="129">
        <f t="shared" si="100"/>
        <v>0</v>
      </c>
      <c r="AO122" s="129">
        <f t="shared" si="101"/>
        <v>0</v>
      </c>
      <c r="AP122" s="129">
        <f t="shared" si="102"/>
        <v>0</v>
      </c>
      <c r="AQ122" s="129">
        <f t="shared" si="103"/>
        <v>0</v>
      </c>
      <c r="AR122" s="129">
        <f t="shared" si="104"/>
        <v>0</v>
      </c>
      <c r="AS122" s="129">
        <f t="shared" si="105"/>
        <v>0</v>
      </c>
      <c r="AT122" s="129">
        <f t="shared" si="106"/>
        <v>0</v>
      </c>
      <c r="AU122" s="129">
        <f t="shared" si="107"/>
        <v>0</v>
      </c>
      <c r="AV122" s="129">
        <f t="shared" si="108"/>
        <v>0</v>
      </c>
      <c r="AW122" s="129">
        <f t="shared" si="109"/>
        <v>0</v>
      </c>
      <c r="AY122" s="162" t="str">
        <f>IF(ISBLANK(C122),"",NOT(ISERROR(MATCH(C122,Deltagarlista!$E$5:$E$64,0))))</f>
        <v/>
      </c>
      <c r="AZ122" s="162" t="str">
        <f>IF(ISBLANK(D122),"",NOT(ISERROR(MATCH(D122,Deltagarlista!$E$5:$E$64,0))))</f>
        <v/>
      </c>
      <c r="BA122" s="162" t="str">
        <f>IF(ISBLANK(E122),"",NOT(ISERROR(MATCH(E122,Deltagarlista!$E$5:$E$64,0))))</f>
        <v/>
      </c>
      <c r="BB122" s="162" t="str">
        <f>IF(ISBLANK(F122),"",NOT(ISERROR(MATCH(F122,Deltagarlista!$E$5:$E$64,0))))</f>
        <v/>
      </c>
      <c r="BC122" s="162" t="str">
        <f>IF(ISBLANK(G122),"",NOT(ISERROR(MATCH(G122,Deltagarlista!$E$5:$E$64,0))))</f>
        <v/>
      </c>
      <c r="BD122" s="162" t="str">
        <f>IF(ISBLANK(H122),"",NOT(ISERROR(MATCH(H122,Deltagarlista!$E$5:$E$64,0))))</f>
        <v/>
      </c>
      <c r="BE122" s="162" t="str">
        <f>IF(ISBLANK(I122),"",NOT(ISERROR(MATCH(I122,Deltagarlista!$E$5:$E$64,0))))</f>
        <v/>
      </c>
      <c r="BF122" s="162" t="str">
        <f>IF(ISBLANK(J122),"",NOT(ISERROR(MATCH(J122,Deltagarlista!$E$5:$E$64,0))))</f>
        <v/>
      </c>
      <c r="BG122" s="162" t="str">
        <f>IF(ISBLANK(K122),"",NOT(ISERROR(MATCH(K122,Deltagarlista!$E$5:$E$64,0))))</f>
        <v/>
      </c>
      <c r="BH122" s="162" t="str">
        <f>IF(ISBLANK(L122),"",NOT(ISERROR(MATCH(L122,Deltagarlista!$E$5:$E$64,0))))</f>
        <v/>
      </c>
      <c r="BI122" s="162" t="str">
        <f>IF(ISBLANK(M122),"",NOT(ISERROR(MATCH(M122,Deltagarlista!$E$5:$E$64,0))))</f>
        <v/>
      </c>
      <c r="BJ122" s="162" t="str">
        <f>IF(ISBLANK(N122),"",NOT(ISERROR(MATCH(N122,Deltagarlista!$E$5:$E$64,0))))</f>
        <v/>
      </c>
      <c r="BK122" s="162" t="str">
        <f>IF(ISBLANK(O122),"",NOT(ISERROR(MATCH(O122,Deltagarlista!$E$5:$E$64,0))))</f>
        <v/>
      </c>
      <c r="BL122" s="162" t="str">
        <f>IF(ISBLANK(P122),"",NOT(ISERROR(MATCH(P122,Deltagarlista!$E$5:$E$64,0))))</f>
        <v/>
      </c>
      <c r="BM122" s="162" t="str">
        <f>IF(ISBLANK(Q122),"",NOT(ISERROR(MATCH(Q122,Deltagarlista!$E$5:$E$64,0))))</f>
        <v/>
      </c>
      <c r="BN122" s="167"/>
    </row>
    <row r="123" spans="2:66" x14ac:dyDescent="0.3">
      <c r="B123" s="186">
        <v>26</v>
      </c>
      <c r="C123" s="27"/>
      <c r="D123" s="28"/>
      <c r="E123" s="38"/>
      <c r="F123" s="27"/>
      <c r="G123" s="28"/>
      <c r="H123" s="29"/>
      <c r="I123" s="41"/>
      <c r="J123" s="28"/>
      <c r="K123" s="38"/>
      <c r="L123" s="27"/>
      <c r="M123" s="28"/>
      <c r="N123" s="29"/>
      <c r="O123" s="41"/>
      <c r="P123" s="28"/>
      <c r="Q123" s="29"/>
      <c r="R123" s="187">
        <v>26</v>
      </c>
      <c r="S123" s="188">
        <v>26</v>
      </c>
      <c r="T123" s="188">
        <v>26</v>
      </c>
      <c r="U123" s="188">
        <v>26</v>
      </c>
      <c r="V123" s="188">
        <v>26</v>
      </c>
      <c r="W123" s="188">
        <v>26</v>
      </c>
      <c r="X123" s="188">
        <v>26</v>
      </c>
      <c r="Y123" s="188">
        <v>26</v>
      </c>
      <c r="Z123" s="188">
        <v>26</v>
      </c>
      <c r="AA123" s="188">
        <v>26</v>
      </c>
      <c r="AB123" s="188">
        <v>26</v>
      </c>
      <c r="AC123" s="188">
        <v>26</v>
      </c>
      <c r="AD123" s="188">
        <v>26</v>
      </c>
      <c r="AE123" s="188">
        <v>26</v>
      </c>
      <c r="AF123" s="188">
        <v>26</v>
      </c>
      <c r="AG123" s="188">
        <v>26</v>
      </c>
      <c r="AH123" s="166"/>
      <c r="AI123" s="129">
        <f t="shared" si="95"/>
        <v>0</v>
      </c>
      <c r="AJ123" s="129">
        <f t="shared" si="96"/>
        <v>0</v>
      </c>
      <c r="AK123" s="129">
        <f t="shared" si="97"/>
        <v>0</v>
      </c>
      <c r="AL123" s="129">
        <f t="shared" si="98"/>
        <v>0</v>
      </c>
      <c r="AM123" s="129">
        <f t="shared" si="99"/>
        <v>0</v>
      </c>
      <c r="AN123" s="129">
        <f t="shared" si="100"/>
        <v>0</v>
      </c>
      <c r="AO123" s="129">
        <f t="shared" si="101"/>
        <v>0</v>
      </c>
      <c r="AP123" s="129">
        <f t="shared" si="102"/>
        <v>0</v>
      </c>
      <c r="AQ123" s="129">
        <f t="shared" si="103"/>
        <v>0</v>
      </c>
      <c r="AR123" s="129">
        <f t="shared" si="104"/>
        <v>0</v>
      </c>
      <c r="AS123" s="129">
        <f t="shared" si="105"/>
        <v>0</v>
      </c>
      <c r="AT123" s="129">
        <f t="shared" si="106"/>
        <v>0</v>
      </c>
      <c r="AU123" s="129">
        <f t="shared" si="107"/>
        <v>0</v>
      </c>
      <c r="AV123" s="129">
        <f t="shared" si="108"/>
        <v>0</v>
      </c>
      <c r="AW123" s="129">
        <f t="shared" si="109"/>
        <v>0</v>
      </c>
      <c r="AY123" s="162" t="str">
        <f>IF(ISBLANK(C123),"",NOT(ISERROR(MATCH(C123,Deltagarlista!$E$5:$E$64,0))))</f>
        <v/>
      </c>
      <c r="AZ123" s="162" t="str">
        <f>IF(ISBLANK(D123),"",NOT(ISERROR(MATCH(D123,Deltagarlista!$E$5:$E$64,0))))</f>
        <v/>
      </c>
      <c r="BA123" s="162" t="str">
        <f>IF(ISBLANK(E123),"",NOT(ISERROR(MATCH(E123,Deltagarlista!$E$5:$E$64,0))))</f>
        <v/>
      </c>
      <c r="BB123" s="162" t="str">
        <f>IF(ISBLANK(F123),"",NOT(ISERROR(MATCH(F123,Deltagarlista!$E$5:$E$64,0))))</f>
        <v/>
      </c>
      <c r="BC123" s="162" t="str">
        <f>IF(ISBLANK(G123),"",NOT(ISERROR(MATCH(G123,Deltagarlista!$E$5:$E$64,0))))</f>
        <v/>
      </c>
      <c r="BD123" s="162" t="str">
        <f>IF(ISBLANK(H123),"",NOT(ISERROR(MATCH(H123,Deltagarlista!$E$5:$E$64,0))))</f>
        <v/>
      </c>
      <c r="BE123" s="162" t="str">
        <f>IF(ISBLANK(I123),"",NOT(ISERROR(MATCH(I123,Deltagarlista!$E$5:$E$64,0))))</f>
        <v/>
      </c>
      <c r="BF123" s="162" t="str">
        <f>IF(ISBLANK(J123),"",NOT(ISERROR(MATCH(J123,Deltagarlista!$E$5:$E$64,0))))</f>
        <v/>
      </c>
      <c r="BG123" s="162" t="str">
        <f>IF(ISBLANK(K123),"",NOT(ISERROR(MATCH(K123,Deltagarlista!$E$5:$E$64,0))))</f>
        <v/>
      </c>
      <c r="BH123" s="162" t="str">
        <f>IF(ISBLANK(L123),"",NOT(ISERROR(MATCH(L123,Deltagarlista!$E$5:$E$64,0))))</f>
        <v/>
      </c>
      <c r="BI123" s="162" t="str">
        <f>IF(ISBLANK(M123),"",NOT(ISERROR(MATCH(M123,Deltagarlista!$E$5:$E$64,0))))</f>
        <v/>
      </c>
      <c r="BJ123" s="162" t="str">
        <f>IF(ISBLANK(N123),"",NOT(ISERROR(MATCH(N123,Deltagarlista!$E$5:$E$64,0))))</f>
        <v/>
      </c>
      <c r="BK123" s="162" t="str">
        <f>IF(ISBLANK(O123),"",NOT(ISERROR(MATCH(O123,Deltagarlista!$E$5:$E$64,0))))</f>
        <v/>
      </c>
      <c r="BL123" s="162" t="str">
        <f>IF(ISBLANK(P123),"",NOT(ISERROR(MATCH(P123,Deltagarlista!$E$5:$E$64,0))))</f>
        <v/>
      </c>
      <c r="BM123" s="162" t="str">
        <f>IF(ISBLANK(Q123),"",NOT(ISERROR(MATCH(Q123,Deltagarlista!$E$5:$E$64,0))))</f>
        <v/>
      </c>
      <c r="BN123" s="167"/>
    </row>
    <row r="124" spans="2:66" x14ac:dyDescent="0.3">
      <c r="B124" s="186">
        <v>27</v>
      </c>
      <c r="C124" s="27"/>
      <c r="D124" s="28"/>
      <c r="E124" s="38"/>
      <c r="F124" s="27"/>
      <c r="G124" s="28"/>
      <c r="H124" s="29"/>
      <c r="I124" s="41"/>
      <c r="J124" s="28"/>
      <c r="K124" s="38"/>
      <c r="L124" s="27"/>
      <c r="M124" s="28"/>
      <c r="N124" s="29"/>
      <c r="O124" s="41"/>
      <c r="P124" s="28"/>
      <c r="Q124" s="29"/>
      <c r="R124" s="187">
        <v>27</v>
      </c>
      <c r="S124" s="188">
        <v>27</v>
      </c>
      <c r="T124" s="188">
        <v>27</v>
      </c>
      <c r="U124" s="188">
        <v>27</v>
      </c>
      <c r="V124" s="188">
        <v>27</v>
      </c>
      <c r="W124" s="188">
        <v>27</v>
      </c>
      <c r="X124" s="188">
        <v>27</v>
      </c>
      <c r="Y124" s="188">
        <v>27</v>
      </c>
      <c r="Z124" s="188">
        <v>27</v>
      </c>
      <c r="AA124" s="188">
        <v>27</v>
      </c>
      <c r="AB124" s="188">
        <v>27</v>
      </c>
      <c r="AC124" s="188">
        <v>27</v>
      </c>
      <c r="AD124" s="188">
        <v>27</v>
      </c>
      <c r="AE124" s="188">
        <v>27</v>
      </c>
      <c r="AF124" s="188">
        <v>27</v>
      </c>
      <c r="AG124" s="188">
        <v>27</v>
      </c>
      <c r="AH124" s="166"/>
      <c r="AI124" s="129">
        <f t="shared" si="95"/>
        <v>0</v>
      </c>
      <c r="AJ124" s="129">
        <f t="shared" si="96"/>
        <v>0</v>
      </c>
      <c r="AK124" s="129">
        <f t="shared" si="97"/>
        <v>0</v>
      </c>
      <c r="AL124" s="129">
        <f t="shared" si="98"/>
        <v>0</v>
      </c>
      <c r="AM124" s="129">
        <f t="shared" si="99"/>
        <v>0</v>
      </c>
      <c r="AN124" s="129">
        <f t="shared" si="100"/>
        <v>0</v>
      </c>
      <c r="AO124" s="129">
        <f t="shared" si="101"/>
        <v>0</v>
      </c>
      <c r="AP124" s="129">
        <f t="shared" si="102"/>
        <v>0</v>
      </c>
      <c r="AQ124" s="129">
        <f t="shared" si="103"/>
        <v>0</v>
      </c>
      <c r="AR124" s="129">
        <f t="shared" si="104"/>
        <v>0</v>
      </c>
      <c r="AS124" s="129">
        <f t="shared" si="105"/>
        <v>0</v>
      </c>
      <c r="AT124" s="129">
        <f t="shared" si="106"/>
        <v>0</v>
      </c>
      <c r="AU124" s="129">
        <f t="shared" si="107"/>
        <v>0</v>
      </c>
      <c r="AV124" s="129">
        <f t="shared" si="108"/>
        <v>0</v>
      </c>
      <c r="AW124" s="129">
        <f t="shared" si="109"/>
        <v>0</v>
      </c>
      <c r="AY124" s="162" t="str">
        <f>IF(ISBLANK(C124),"",NOT(ISERROR(MATCH(C124,Deltagarlista!$E$5:$E$64,0))))</f>
        <v/>
      </c>
      <c r="AZ124" s="162" t="str">
        <f>IF(ISBLANK(D124),"",NOT(ISERROR(MATCH(D124,Deltagarlista!$E$5:$E$64,0))))</f>
        <v/>
      </c>
      <c r="BA124" s="162" t="str">
        <f>IF(ISBLANK(E124),"",NOT(ISERROR(MATCH(E124,Deltagarlista!$E$5:$E$64,0))))</f>
        <v/>
      </c>
      <c r="BB124" s="162" t="str">
        <f>IF(ISBLANK(F124),"",NOT(ISERROR(MATCH(F124,Deltagarlista!$E$5:$E$64,0))))</f>
        <v/>
      </c>
      <c r="BC124" s="162" t="str">
        <f>IF(ISBLANK(G124),"",NOT(ISERROR(MATCH(G124,Deltagarlista!$E$5:$E$64,0))))</f>
        <v/>
      </c>
      <c r="BD124" s="162" t="str">
        <f>IF(ISBLANK(H124),"",NOT(ISERROR(MATCH(H124,Deltagarlista!$E$5:$E$64,0))))</f>
        <v/>
      </c>
      <c r="BE124" s="162" t="str">
        <f>IF(ISBLANK(I124),"",NOT(ISERROR(MATCH(I124,Deltagarlista!$E$5:$E$64,0))))</f>
        <v/>
      </c>
      <c r="BF124" s="162" t="str">
        <f>IF(ISBLANK(J124),"",NOT(ISERROR(MATCH(J124,Deltagarlista!$E$5:$E$64,0))))</f>
        <v/>
      </c>
      <c r="BG124" s="162" t="str">
        <f>IF(ISBLANK(K124),"",NOT(ISERROR(MATCH(K124,Deltagarlista!$E$5:$E$64,0))))</f>
        <v/>
      </c>
      <c r="BH124" s="162" t="str">
        <f>IF(ISBLANK(L124),"",NOT(ISERROR(MATCH(L124,Deltagarlista!$E$5:$E$64,0))))</f>
        <v/>
      </c>
      <c r="BI124" s="162" t="str">
        <f>IF(ISBLANK(M124),"",NOT(ISERROR(MATCH(M124,Deltagarlista!$E$5:$E$64,0))))</f>
        <v/>
      </c>
      <c r="BJ124" s="162" t="str">
        <f>IF(ISBLANK(N124),"",NOT(ISERROR(MATCH(N124,Deltagarlista!$E$5:$E$64,0))))</f>
        <v/>
      </c>
      <c r="BK124" s="162" t="str">
        <f>IF(ISBLANK(O124),"",NOT(ISERROR(MATCH(O124,Deltagarlista!$E$5:$E$64,0))))</f>
        <v/>
      </c>
      <c r="BL124" s="162" t="str">
        <f>IF(ISBLANK(P124),"",NOT(ISERROR(MATCH(P124,Deltagarlista!$E$5:$E$64,0))))</f>
        <v/>
      </c>
      <c r="BM124" s="162" t="str">
        <f>IF(ISBLANK(Q124),"",NOT(ISERROR(MATCH(Q124,Deltagarlista!$E$5:$E$64,0))))</f>
        <v/>
      </c>
      <c r="BN124" s="167"/>
    </row>
    <row r="125" spans="2:66" x14ac:dyDescent="0.3">
      <c r="B125" s="186">
        <v>28</v>
      </c>
      <c r="C125" s="27"/>
      <c r="D125" s="28"/>
      <c r="E125" s="38"/>
      <c r="F125" s="27"/>
      <c r="G125" s="28"/>
      <c r="H125" s="29"/>
      <c r="I125" s="41"/>
      <c r="J125" s="28"/>
      <c r="K125" s="38"/>
      <c r="L125" s="27"/>
      <c r="M125" s="28"/>
      <c r="N125" s="29"/>
      <c r="O125" s="41"/>
      <c r="P125" s="28"/>
      <c r="Q125" s="29"/>
      <c r="R125" s="187">
        <v>28</v>
      </c>
      <c r="S125" s="188">
        <v>28</v>
      </c>
      <c r="T125" s="188">
        <v>28</v>
      </c>
      <c r="U125" s="188">
        <v>28</v>
      </c>
      <c r="V125" s="188">
        <v>28</v>
      </c>
      <c r="W125" s="188">
        <v>28</v>
      </c>
      <c r="X125" s="188">
        <v>28</v>
      </c>
      <c r="Y125" s="188">
        <v>28</v>
      </c>
      <c r="Z125" s="188">
        <v>28</v>
      </c>
      <c r="AA125" s="188">
        <v>28</v>
      </c>
      <c r="AB125" s="188">
        <v>28</v>
      </c>
      <c r="AC125" s="188">
        <v>28</v>
      </c>
      <c r="AD125" s="188">
        <v>28</v>
      </c>
      <c r="AE125" s="188">
        <v>28</v>
      </c>
      <c r="AF125" s="188">
        <v>28</v>
      </c>
      <c r="AG125" s="188">
        <v>28</v>
      </c>
      <c r="AH125" s="166"/>
      <c r="AI125" s="129">
        <f t="shared" si="95"/>
        <v>0</v>
      </c>
      <c r="AJ125" s="129">
        <f t="shared" si="96"/>
        <v>0</v>
      </c>
      <c r="AK125" s="129">
        <f t="shared" si="97"/>
        <v>0</v>
      </c>
      <c r="AL125" s="129">
        <f t="shared" si="98"/>
        <v>0</v>
      </c>
      <c r="AM125" s="129">
        <f t="shared" si="99"/>
        <v>0</v>
      </c>
      <c r="AN125" s="129">
        <f t="shared" si="100"/>
        <v>0</v>
      </c>
      <c r="AO125" s="129">
        <f t="shared" si="101"/>
        <v>0</v>
      </c>
      <c r="AP125" s="129">
        <f t="shared" si="102"/>
        <v>0</v>
      </c>
      <c r="AQ125" s="129">
        <f t="shared" si="103"/>
        <v>0</v>
      </c>
      <c r="AR125" s="129">
        <f t="shared" si="104"/>
        <v>0</v>
      </c>
      <c r="AS125" s="129">
        <f t="shared" si="105"/>
        <v>0</v>
      </c>
      <c r="AT125" s="129">
        <f t="shared" si="106"/>
        <v>0</v>
      </c>
      <c r="AU125" s="129">
        <f t="shared" si="107"/>
        <v>0</v>
      </c>
      <c r="AV125" s="129">
        <f t="shared" si="108"/>
        <v>0</v>
      </c>
      <c r="AW125" s="129">
        <f t="shared" si="109"/>
        <v>0</v>
      </c>
      <c r="AY125" s="162" t="str">
        <f>IF(ISBLANK(C125),"",NOT(ISERROR(MATCH(C125,Deltagarlista!$E$5:$E$64,0))))</f>
        <v/>
      </c>
      <c r="AZ125" s="162" t="str">
        <f>IF(ISBLANK(D125),"",NOT(ISERROR(MATCH(D125,Deltagarlista!$E$5:$E$64,0))))</f>
        <v/>
      </c>
      <c r="BA125" s="162" t="str">
        <f>IF(ISBLANK(E125),"",NOT(ISERROR(MATCH(E125,Deltagarlista!$E$5:$E$64,0))))</f>
        <v/>
      </c>
      <c r="BB125" s="162" t="str">
        <f>IF(ISBLANK(F125),"",NOT(ISERROR(MATCH(F125,Deltagarlista!$E$5:$E$64,0))))</f>
        <v/>
      </c>
      <c r="BC125" s="162" t="str">
        <f>IF(ISBLANK(G125),"",NOT(ISERROR(MATCH(G125,Deltagarlista!$E$5:$E$64,0))))</f>
        <v/>
      </c>
      <c r="BD125" s="162" t="str">
        <f>IF(ISBLANK(H125),"",NOT(ISERROR(MATCH(H125,Deltagarlista!$E$5:$E$64,0))))</f>
        <v/>
      </c>
      <c r="BE125" s="162" t="str">
        <f>IF(ISBLANK(I125),"",NOT(ISERROR(MATCH(I125,Deltagarlista!$E$5:$E$64,0))))</f>
        <v/>
      </c>
      <c r="BF125" s="162" t="str">
        <f>IF(ISBLANK(J125),"",NOT(ISERROR(MATCH(J125,Deltagarlista!$E$5:$E$64,0))))</f>
        <v/>
      </c>
      <c r="BG125" s="162" t="str">
        <f>IF(ISBLANK(K125),"",NOT(ISERROR(MATCH(K125,Deltagarlista!$E$5:$E$64,0))))</f>
        <v/>
      </c>
      <c r="BH125" s="162" t="str">
        <f>IF(ISBLANK(L125),"",NOT(ISERROR(MATCH(L125,Deltagarlista!$E$5:$E$64,0))))</f>
        <v/>
      </c>
      <c r="BI125" s="162" t="str">
        <f>IF(ISBLANK(M125),"",NOT(ISERROR(MATCH(M125,Deltagarlista!$E$5:$E$64,0))))</f>
        <v/>
      </c>
      <c r="BJ125" s="162" t="str">
        <f>IF(ISBLANK(N125),"",NOT(ISERROR(MATCH(N125,Deltagarlista!$E$5:$E$64,0))))</f>
        <v/>
      </c>
      <c r="BK125" s="162" t="str">
        <f>IF(ISBLANK(O125),"",NOT(ISERROR(MATCH(O125,Deltagarlista!$E$5:$E$64,0))))</f>
        <v/>
      </c>
      <c r="BL125" s="162" t="str">
        <f>IF(ISBLANK(P125),"",NOT(ISERROR(MATCH(P125,Deltagarlista!$E$5:$E$64,0))))</f>
        <v/>
      </c>
      <c r="BM125" s="162" t="str">
        <f>IF(ISBLANK(Q125),"",NOT(ISERROR(MATCH(Q125,Deltagarlista!$E$5:$E$64,0))))</f>
        <v/>
      </c>
      <c r="BN125" s="167"/>
    </row>
    <row r="126" spans="2:66" x14ac:dyDescent="0.3">
      <c r="B126" s="186">
        <v>29</v>
      </c>
      <c r="C126" s="27"/>
      <c r="D126" s="28"/>
      <c r="E126" s="38"/>
      <c r="F126" s="27"/>
      <c r="G126" s="28"/>
      <c r="H126" s="29"/>
      <c r="I126" s="41"/>
      <c r="J126" s="28"/>
      <c r="K126" s="38"/>
      <c r="L126" s="27"/>
      <c r="M126" s="28"/>
      <c r="N126" s="29"/>
      <c r="O126" s="41"/>
      <c r="P126" s="28"/>
      <c r="Q126" s="29"/>
      <c r="R126" s="187">
        <v>29</v>
      </c>
      <c r="S126" s="188">
        <v>29</v>
      </c>
      <c r="T126" s="188">
        <v>29</v>
      </c>
      <c r="U126" s="188">
        <v>29</v>
      </c>
      <c r="V126" s="188">
        <v>29</v>
      </c>
      <c r="W126" s="188">
        <v>29</v>
      </c>
      <c r="X126" s="188">
        <v>29</v>
      </c>
      <c r="Y126" s="188">
        <v>29</v>
      </c>
      <c r="Z126" s="188">
        <v>29</v>
      </c>
      <c r="AA126" s="188">
        <v>29</v>
      </c>
      <c r="AB126" s="188">
        <v>29</v>
      </c>
      <c r="AC126" s="188">
        <v>29</v>
      </c>
      <c r="AD126" s="188">
        <v>29</v>
      </c>
      <c r="AE126" s="188">
        <v>29</v>
      </c>
      <c r="AF126" s="188">
        <v>29</v>
      </c>
      <c r="AG126" s="188">
        <v>29</v>
      </c>
      <c r="AH126" s="166"/>
      <c r="AI126" s="129">
        <f t="shared" si="95"/>
        <v>0</v>
      </c>
      <c r="AJ126" s="129">
        <f t="shared" si="96"/>
        <v>0</v>
      </c>
      <c r="AK126" s="129">
        <f t="shared" si="97"/>
        <v>0</v>
      </c>
      <c r="AL126" s="129">
        <f t="shared" si="98"/>
        <v>0</v>
      </c>
      <c r="AM126" s="129">
        <f t="shared" si="99"/>
        <v>0</v>
      </c>
      <c r="AN126" s="129">
        <f t="shared" si="100"/>
        <v>0</v>
      </c>
      <c r="AO126" s="129">
        <f t="shared" si="101"/>
        <v>0</v>
      </c>
      <c r="AP126" s="129">
        <f t="shared" si="102"/>
        <v>0</v>
      </c>
      <c r="AQ126" s="129">
        <f t="shared" si="103"/>
        <v>0</v>
      </c>
      <c r="AR126" s="129">
        <f t="shared" si="104"/>
        <v>0</v>
      </c>
      <c r="AS126" s="129">
        <f t="shared" si="105"/>
        <v>0</v>
      </c>
      <c r="AT126" s="129">
        <f t="shared" si="106"/>
        <v>0</v>
      </c>
      <c r="AU126" s="129">
        <f t="shared" si="107"/>
        <v>0</v>
      </c>
      <c r="AV126" s="129">
        <f t="shared" si="108"/>
        <v>0</v>
      </c>
      <c r="AW126" s="129">
        <f t="shared" si="109"/>
        <v>0</v>
      </c>
      <c r="AY126" s="162" t="str">
        <f>IF(ISBLANK(C126),"",NOT(ISERROR(MATCH(C126,Deltagarlista!$E$5:$E$64,0))))</f>
        <v/>
      </c>
      <c r="AZ126" s="162" t="str">
        <f>IF(ISBLANK(D126),"",NOT(ISERROR(MATCH(D126,Deltagarlista!$E$5:$E$64,0))))</f>
        <v/>
      </c>
      <c r="BA126" s="162" t="str">
        <f>IF(ISBLANK(E126),"",NOT(ISERROR(MATCH(E126,Deltagarlista!$E$5:$E$64,0))))</f>
        <v/>
      </c>
      <c r="BB126" s="162" t="str">
        <f>IF(ISBLANK(F126),"",NOT(ISERROR(MATCH(F126,Deltagarlista!$E$5:$E$64,0))))</f>
        <v/>
      </c>
      <c r="BC126" s="162" t="str">
        <f>IF(ISBLANK(G126),"",NOT(ISERROR(MATCH(G126,Deltagarlista!$E$5:$E$64,0))))</f>
        <v/>
      </c>
      <c r="BD126" s="162" t="str">
        <f>IF(ISBLANK(H126),"",NOT(ISERROR(MATCH(H126,Deltagarlista!$E$5:$E$64,0))))</f>
        <v/>
      </c>
      <c r="BE126" s="162" t="str">
        <f>IF(ISBLANK(I126),"",NOT(ISERROR(MATCH(I126,Deltagarlista!$E$5:$E$64,0))))</f>
        <v/>
      </c>
      <c r="BF126" s="162" t="str">
        <f>IF(ISBLANK(J126),"",NOT(ISERROR(MATCH(J126,Deltagarlista!$E$5:$E$64,0))))</f>
        <v/>
      </c>
      <c r="BG126" s="162" t="str">
        <f>IF(ISBLANK(K126),"",NOT(ISERROR(MATCH(K126,Deltagarlista!$E$5:$E$64,0))))</f>
        <v/>
      </c>
      <c r="BH126" s="162" t="str">
        <f>IF(ISBLANK(L126),"",NOT(ISERROR(MATCH(L126,Deltagarlista!$E$5:$E$64,0))))</f>
        <v/>
      </c>
      <c r="BI126" s="162" t="str">
        <f>IF(ISBLANK(M126),"",NOT(ISERROR(MATCH(M126,Deltagarlista!$E$5:$E$64,0))))</f>
        <v/>
      </c>
      <c r="BJ126" s="162" t="str">
        <f>IF(ISBLANK(N126),"",NOT(ISERROR(MATCH(N126,Deltagarlista!$E$5:$E$64,0))))</f>
        <v/>
      </c>
      <c r="BK126" s="162" t="str">
        <f>IF(ISBLANK(O126),"",NOT(ISERROR(MATCH(O126,Deltagarlista!$E$5:$E$64,0))))</f>
        <v/>
      </c>
      <c r="BL126" s="162" t="str">
        <f>IF(ISBLANK(P126),"",NOT(ISERROR(MATCH(P126,Deltagarlista!$E$5:$E$64,0))))</f>
        <v/>
      </c>
      <c r="BM126" s="162" t="str">
        <f>IF(ISBLANK(Q126),"",NOT(ISERROR(MATCH(Q126,Deltagarlista!$E$5:$E$64,0))))</f>
        <v/>
      </c>
      <c r="BN126" s="167"/>
    </row>
    <row r="127" spans="2:66" x14ac:dyDescent="0.3">
      <c r="B127" s="186">
        <v>30</v>
      </c>
      <c r="C127" s="27"/>
      <c r="D127" s="28"/>
      <c r="E127" s="38"/>
      <c r="F127" s="27"/>
      <c r="G127" s="28"/>
      <c r="H127" s="29"/>
      <c r="I127" s="41"/>
      <c r="J127" s="28"/>
      <c r="K127" s="38"/>
      <c r="L127" s="27"/>
      <c r="M127" s="28"/>
      <c r="N127" s="29"/>
      <c r="O127" s="41"/>
      <c r="P127" s="28"/>
      <c r="Q127" s="29"/>
      <c r="R127" s="187">
        <v>30</v>
      </c>
      <c r="S127" s="188">
        <v>30</v>
      </c>
      <c r="T127" s="188">
        <v>30</v>
      </c>
      <c r="U127" s="188">
        <v>30</v>
      </c>
      <c r="V127" s="188">
        <v>30</v>
      </c>
      <c r="W127" s="188">
        <v>30</v>
      </c>
      <c r="X127" s="188">
        <v>30</v>
      </c>
      <c r="Y127" s="188">
        <v>30</v>
      </c>
      <c r="Z127" s="188">
        <v>30</v>
      </c>
      <c r="AA127" s="188">
        <v>30</v>
      </c>
      <c r="AB127" s="188">
        <v>30</v>
      </c>
      <c r="AC127" s="188">
        <v>30</v>
      </c>
      <c r="AD127" s="188">
        <v>30</v>
      </c>
      <c r="AE127" s="188">
        <v>30</v>
      </c>
      <c r="AF127" s="188">
        <v>30</v>
      </c>
      <c r="AG127" s="188">
        <v>30</v>
      </c>
      <c r="AH127" s="166"/>
      <c r="AI127" s="129">
        <f t="shared" si="95"/>
        <v>0</v>
      </c>
      <c r="AJ127" s="129">
        <f t="shared" si="96"/>
        <v>0</v>
      </c>
      <c r="AK127" s="129">
        <f t="shared" si="97"/>
        <v>0</v>
      </c>
      <c r="AL127" s="129">
        <f t="shared" si="98"/>
        <v>0</v>
      </c>
      <c r="AM127" s="129">
        <f t="shared" si="99"/>
        <v>0</v>
      </c>
      <c r="AN127" s="129">
        <f t="shared" si="100"/>
        <v>0</v>
      </c>
      <c r="AO127" s="129">
        <f t="shared" si="101"/>
        <v>0</v>
      </c>
      <c r="AP127" s="129">
        <f t="shared" si="102"/>
        <v>0</v>
      </c>
      <c r="AQ127" s="129">
        <f t="shared" si="103"/>
        <v>0</v>
      </c>
      <c r="AR127" s="129">
        <f t="shared" si="104"/>
        <v>0</v>
      </c>
      <c r="AS127" s="129">
        <f t="shared" si="105"/>
        <v>0</v>
      </c>
      <c r="AT127" s="129">
        <f t="shared" si="106"/>
        <v>0</v>
      </c>
      <c r="AU127" s="129">
        <f t="shared" si="107"/>
        <v>0</v>
      </c>
      <c r="AV127" s="129">
        <f t="shared" si="108"/>
        <v>0</v>
      </c>
      <c r="AW127" s="129">
        <f t="shared" si="109"/>
        <v>0</v>
      </c>
      <c r="AY127" s="162" t="str">
        <f>IF(ISBLANK(C127),"",NOT(ISERROR(MATCH(C127,Deltagarlista!$E$5:$E$64,0))))</f>
        <v/>
      </c>
      <c r="AZ127" s="162" t="str">
        <f>IF(ISBLANK(D127),"",NOT(ISERROR(MATCH(D127,Deltagarlista!$E$5:$E$64,0))))</f>
        <v/>
      </c>
      <c r="BA127" s="162" t="str">
        <f>IF(ISBLANK(E127),"",NOT(ISERROR(MATCH(E127,Deltagarlista!$E$5:$E$64,0))))</f>
        <v/>
      </c>
      <c r="BB127" s="162" t="str">
        <f>IF(ISBLANK(F127),"",NOT(ISERROR(MATCH(F127,Deltagarlista!$E$5:$E$64,0))))</f>
        <v/>
      </c>
      <c r="BC127" s="162" t="str">
        <f>IF(ISBLANK(G127),"",NOT(ISERROR(MATCH(G127,Deltagarlista!$E$5:$E$64,0))))</f>
        <v/>
      </c>
      <c r="BD127" s="162" t="str">
        <f>IF(ISBLANK(H127),"",NOT(ISERROR(MATCH(H127,Deltagarlista!$E$5:$E$64,0))))</f>
        <v/>
      </c>
      <c r="BE127" s="162" t="str">
        <f>IF(ISBLANK(I127),"",NOT(ISERROR(MATCH(I127,Deltagarlista!$E$5:$E$64,0))))</f>
        <v/>
      </c>
      <c r="BF127" s="162" t="str">
        <f>IF(ISBLANK(J127),"",NOT(ISERROR(MATCH(J127,Deltagarlista!$E$5:$E$64,0))))</f>
        <v/>
      </c>
      <c r="BG127" s="162" t="str">
        <f>IF(ISBLANK(K127),"",NOT(ISERROR(MATCH(K127,Deltagarlista!$E$5:$E$64,0))))</f>
        <v/>
      </c>
      <c r="BH127" s="162" t="str">
        <f>IF(ISBLANK(L127),"",NOT(ISERROR(MATCH(L127,Deltagarlista!$E$5:$E$64,0))))</f>
        <v/>
      </c>
      <c r="BI127" s="162" t="str">
        <f>IF(ISBLANK(M127),"",NOT(ISERROR(MATCH(M127,Deltagarlista!$E$5:$E$64,0))))</f>
        <v/>
      </c>
      <c r="BJ127" s="162" t="str">
        <f>IF(ISBLANK(N127),"",NOT(ISERROR(MATCH(N127,Deltagarlista!$E$5:$E$64,0))))</f>
        <v/>
      </c>
      <c r="BK127" s="162" t="str">
        <f>IF(ISBLANK(O127),"",NOT(ISERROR(MATCH(O127,Deltagarlista!$E$5:$E$64,0))))</f>
        <v/>
      </c>
      <c r="BL127" s="162" t="str">
        <f>IF(ISBLANK(P127),"",NOT(ISERROR(MATCH(P127,Deltagarlista!$E$5:$E$64,0))))</f>
        <v/>
      </c>
      <c r="BM127" s="162" t="str">
        <f>IF(ISBLANK(Q127),"",NOT(ISERROR(MATCH(Q127,Deltagarlista!$E$5:$E$64,0))))</f>
        <v/>
      </c>
      <c r="BN127" s="167"/>
    </row>
    <row r="128" spans="2:66" x14ac:dyDescent="0.3">
      <c r="B128" s="189" t="s">
        <v>5</v>
      </c>
      <c r="C128" s="27"/>
      <c r="D128" s="28"/>
      <c r="E128" s="38"/>
      <c r="F128" s="27"/>
      <c r="G128" s="28"/>
      <c r="H128" s="29"/>
      <c r="I128" s="41"/>
      <c r="J128" s="28"/>
      <c r="K128" s="38"/>
      <c r="L128" s="27"/>
      <c r="M128" s="28"/>
      <c r="N128" s="29"/>
      <c r="O128" s="41"/>
      <c r="P128" s="28"/>
      <c r="Q128" s="29"/>
      <c r="R128" s="190" t="s">
        <v>5</v>
      </c>
      <c r="S128" s="188" t="s">
        <v>5</v>
      </c>
      <c r="T128" s="188" t="s">
        <v>5</v>
      </c>
      <c r="U128" s="188" t="s">
        <v>5</v>
      </c>
      <c r="V128" s="188" t="s">
        <v>5</v>
      </c>
      <c r="W128" s="188" t="s">
        <v>5</v>
      </c>
      <c r="X128" s="188" t="s">
        <v>5</v>
      </c>
      <c r="Y128" s="188" t="s">
        <v>5</v>
      </c>
      <c r="Z128" s="188" t="s">
        <v>5</v>
      </c>
      <c r="AA128" s="188" t="s">
        <v>5</v>
      </c>
      <c r="AB128" s="188" t="s">
        <v>5</v>
      </c>
      <c r="AC128" s="188" t="s">
        <v>5</v>
      </c>
      <c r="AD128" s="188" t="s">
        <v>5</v>
      </c>
      <c r="AE128" s="188" t="s">
        <v>5</v>
      </c>
      <c r="AF128" s="188" t="s">
        <v>5</v>
      </c>
      <c r="AG128" s="188" t="s">
        <v>5</v>
      </c>
      <c r="AH128" s="166"/>
      <c r="AI128" s="129">
        <f t="shared" si="95"/>
        <v>0</v>
      </c>
      <c r="AJ128" s="129">
        <f t="shared" si="96"/>
        <v>0</v>
      </c>
      <c r="AK128" s="129">
        <f t="shared" si="97"/>
        <v>0</v>
      </c>
      <c r="AL128" s="129">
        <f t="shared" si="98"/>
        <v>0</v>
      </c>
      <c r="AM128" s="129">
        <f t="shared" si="99"/>
        <v>0</v>
      </c>
      <c r="AN128" s="129">
        <f t="shared" si="100"/>
        <v>0</v>
      </c>
      <c r="AO128" s="129">
        <f t="shared" si="101"/>
        <v>0</v>
      </c>
      <c r="AP128" s="129">
        <f t="shared" si="102"/>
        <v>0</v>
      </c>
      <c r="AQ128" s="129">
        <f t="shared" si="103"/>
        <v>0</v>
      </c>
      <c r="AR128" s="129">
        <f t="shared" si="104"/>
        <v>0</v>
      </c>
      <c r="AS128" s="129">
        <f t="shared" si="105"/>
        <v>0</v>
      </c>
      <c r="AT128" s="129">
        <f t="shared" si="106"/>
        <v>0</v>
      </c>
      <c r="AU128" s="129">
        <f t="shared" si="107"/>
        <v>0</v>
      </c>
      <c r="AV128" s="129">
        <f t="shared" si="108"/>
        <v>0</v>
      </c>
      <c r="AW128" s="129">
        <f t="shared" si="109"/>
        <v>0</v>
      </c>
      <c r="AY128" s="162" t="str">
        <f>IF(ISBLANK(C128),"",NOT(ISERROR(MATCH(C128,Deltagarlista!$E$5:$E$64,0))))</f>
        <v/>
      </c>
      <c r="AZ128" s="162" t="str">
        <f>IF(ISBLANK(D128),"",NOT(ISERROR(MATCH(D128,Deltagarlista!$E$5:$E$64,0))))</f>
        <v/>
      </c>
      <c r="BA128" s="162" t="str">
        <f>IF(ISBLANK(E128),"",NOT(ISERROR(MATCH(E128,Deltagarlista!$E$5:$E$64,0))))</f>
        <v/>
      </c>
      <c r="BB128" s="162" t="str">
        <f>IF(ISBLANK(F128),"",NOT(ISERROR(MATCH(F128,Deltagarlista!$E$5:$E$64,0))))</f>
        <v/>
      </c>
      <c r="BC128" s="162" t="str">
        <f>IF(ISBLANK(G128),"",NOT(ISERROR(MATCH(G128,Deltagarlista!$E$5:$E$64,0))))</f>
        <v/>
      </c>
      <c r="BD128" s="162" t="str">
        <f>IF(ISBLANK(H128),"",NOT(ISERROR(MATCH(H128,Deltagarlista!$E$5:$E$64,0))))</f>
        <v/>
      </c>
      <c r="BE128" s="162" t="str">
        <f>IF(ISBLANK(I128),"",NOT(ISERROR(MATCH(I128,Deltagarlista!$E$5:$E$64,0))))</f>
        <v/>
      </c>
      <c r="BF128" s="162" t="str">
        <f>IF(ISBLANK(J128),"",NOT(ISERROR(MATCH(J128,Deltagarlista!$E$5:$E$64,0))))</f>
        <v/>
      </c>
      <c r="BG128" s="162" t="str">
        <f>IF(ISBLANK(K128),"",NOT(ISERROR(MATCH(K128,Deltagarlista!$E$5:$E$64,0))))</f>
        <v/>
      </c>
      <c r="BH128" s="162" t="str">
        <f>IF(ISBLANK(L128),"",NOT(ISERROR(MATCH(L128,Deltagarlista!$E$5:$E$64,0))))</f>
        <v/>
      </c>
      <c r="BI128" s="162" t="str">
        <f>IF(ISBLANK(M128),"",NOT(ISERROR(MATCH(M128,Deltagarlista!$E$5:$E$64,0))))</f>
        <v/>
      </c>
      <c r="BJ128" s="162" t="str">
        <f>IF(ISBLANK(N128),"",NOT(ISERROR(MATCH(N128,Deltagarlista!$E$5:$E$64,0))))</f>
        <v/>
      </c>
      <c r="BK128" s="162" t="str">
        <f>IF(ISBLANK(O128),"",NOT(ISERROR(MATCH(O128,Deltagarlista!$E$5:$E$64,0))))</f>
        <v/>
      </c>
      <c r="BL128" s="162" t="str">
        <f>IF(ISBLANK(P128),"",NOT(ISERROR(MATCH(P128,Deltagarlista!$E$5:$E$64,0))))</f>
        <v/>
      </c>
      <c r="BM128" s="162" t="str">
        <f>IF(ISBLANK(Q128),"",NOT(ISERROR(MATCH(Q128,Deltagarlista!$E$5:$E$64,0))))</f>
        <v/>
      </c>
      <c r="BN128" s="167"/>
    </row>
    <row r="129" spans="2:66" x14ac:dyDescent="0.3">
      <c r="B129" s="189" t="s">
        <v>5</v>
      </c>
      <c r="C129" s="27"/>
      <c r="D129" s="28"/>
      <c r="E129" s="38"/>
      <c r="F129" s="27"/>
      <c r="G129" s="28"/>
      <c r="H129" s="29"/>
      <c r="I129" s="41"/>
      <c r="J129" s="28"/>
      <c r="K129" s="38"/>
      <c r="L129" s="27"/>
      <c r="M129" s="28"/>
      <c r="N129" s="29"/>
      <c r="O129" s="41"/>
      <c r="P129" s="28"/>
      <c r="Q129" s="29"/>
      <c r="R129" s="190" t="s">
        <v>5</v>
      </c>
      <c r="S129" s="188" t="s">
        <v>5</v>
      </c>
      <c r="T129" s="188" t="s">
        <v>5</v>
      </c>
      <c r="U129" s="188" t="s">
        <v>5</v>
      </c>
      <c r="V129" s="188" t="s">
        <v>5</v>
      </c>
      <c r="W129" s="188" t="s">
        <v>5</v>
      </c>
      <c r="X129" s="188" t="s">
        <v>5</v>
      </c>
      <c r="Y129" s="188" t="s">
        <v>5</v>
      </c>
      <c r="Z129" s="188" t="s">
        <v>5</v>
      </c>
      <c r="AA129" s="188" t="s">
        <v>5</v>
      </c>
      <c r="AB129" s="188" t="s">
        <v>5</v>
      </c>
      <c r="AC129" s="188" t="s">
        <v>5</v>
      </c>
      <c r="AD129" s="188" t="s">
        <v>5</v>
      </c>
      <c r="AE129" s="188" t="s">
        <v>5</v>
      </c>
      <c r="AF129" s="188" t="s">
        <v>5</v>
      </c>
      <c r="AG129" s="188" t="s">
        <v>5</v>
      </c>
      <c r="AH129" s="166"/>
      <c r="AI129" s="129">
        <f t="shared" si="95"/>
        <v>0</v>
      </c>
      <c r="AJ129" s="129">
        <f t="shared" si="96"/>
        <v>0</v>
      </c>
      <c r="AK129" s="129">
        <f t="shared" si="97"/>
        <v>0</v>
      </c>
      <c r="AL129" s="129">
        <f t="shared" si="98"/>
        <v>0</v>
      </c>
      <c r="AM129" s="129">
        <f t="shared" si="99"/>
        <v>0</v>
      </c>
      <c r="AN129" s="129">
        <f t="shared" si="100"/>
        <v>0</v>
      </c>
      <c r="AO129" s="129">
        <f t="shared" si="101"/>
        <v>0</v>
      </c>
      <c r="AP129" s="129">
        <f t="shared" si="102"/>
        <v>0</v>
      </c>
      <c r="AQ129" s="129">
        <f t="shared" si="103"/>
        <v>0</v>
      </c>
      <c r="AR129" s="129">
        <f t="shared" si="104"/>
        <v>0</v>
      </c>
      <c r="AS129" s="129">
        <f t="shared" si="105"/>
        <v>0</v>
      </c>
      <c r="AT129" s="129">
        <f t="shared" si="106"/>
        <v>0</v>
      </c>
      <c r="AU129" s="129">
        <f t="shared" si="107"/>
        <v>0</v>
      </c>
      <c r="AV129" s="129">
        <f t="shared" si="108"/>
        <v>0</v>
      </c>
      <c r="AW129" s="129">
        <f t="shared" si="109"/>
        <v>0</v>
      </c>
      <c r="AY129" s="162" t="str">
        <f>IF(ISBLANK(C129),"",NOT(ISERROR(MATCH(C129,Deltagarlista!$E$5:$E$64,0))))</f>
        <v/>
      </c>
      <c r="AZ129" s="162" t="str">
        <f>IF(ISBLANK(D129),"",NOT(ISERROR(MATCH(D129,Deltagarlista!$E$5:$E$64,0))))</f>
        <v/>
      </c>
      <c r="BA129" s="162" t="str">
        <f>IF(ISBLANK(E129),"",NOT(ISERROR(MATCH(E129,Deltagarlista!$E$5:$E$64,0))))</f>
        <v/>
      </c>
      <c r="BB129" s="162" t="str">
        <f>IF(ISBLANK(F129),"",NOT(ISERROR(MATCH(F129,Deltagarlista!$E$5:$E$64,0))))</f>
        <v/>
      </c>
      <c r="BC129" s="162" t="str">
        <f>IF(ISBLANK(G129),"",NOT(ISERROR(MATCH(G129,Deltagarlista!$E$5:$E$64,0))))</f>
        <v/>
      </c>
      <c r="BD129" s="162" t="str">
        <f>IF(ISBLANK(H129),"",NOT(ISERROR(MATCH(H129,Deltagarlista!$E$5:$E$64,0))))</f>
        <v/>
      </c>
      <c r="BE129" s="162" t="str">
        <f>IF(ISBLANK(I129),"",NOT(ISERROR(MATCH(I129,Deltagarlista!$E$5:$E$64,0))))</f>
        <v/>
      </c>
      <c r="BF129" s="162" t="str">
        <f>IF(ISBLANK(J129),"",NOT(ISERROR(MATCH(J129,Deltagarlista!$E$5:$E$64,0))))</f>
        <v/>
      </c>
      <c r="BG129" s="162" t="str">
        <f>IF(ISBLANK(K129),"",NOT(ISERROR(MATCH(K129,Deltagarlista!$E$5:$E$64,0))))</f>
        <v/>
      </c>
      <c r="BH129" s="162" t="str">
        <f>IF(ISBLANK(L129),"",NOT(ISERROR(MATCH(L129,Deltagarlista!$E$5:$E$64,0))))</f>
        <v/>
      </c>
      <c r="BI129" s="162" t="str">
        <f>IF(ISBLANK(M129),"",NOT(ISERROR(MATCH(M129,Deltagarlista!$E$5:$E$64,0))))</f>
        <v/>
      </c>
      <c r="BJ129" s="162" t="str">
        <f>IF(ISBLANK(N129),"",NOT(ISERROR(MATCH(N129,Deltagarlista!$E$5:$E$64,0))))</f>
        <v/>
      </c>
      <c r="BK129" s="162" t="str">
        <f>IF(ISBLANK(O129),"",NOT(ISERROR(MATCH(O129,Deltagarlista!$E$5:$E$64,0))))</f>
        <v/>
      </c>
      <c r="BL129" s="162" t="str">
        <f>IF(ISBLANK(P129),"",NOT(ISERROR(MATCH(P129,Deltagarlista!$E$5:$E$64,0))))</f>
        <v/>
      </c>
      <c r="BM129" s="162" t="str">
        <f>IF(ISBLANK(Q129),"",NOT(ISERROR(MATCH(Q129,Deltagarlista!$E$5:$E$64,0))))</f>
        <v/>
      </c>
      <c r="BN129" s="167"/>
    </row>
    <row r="130" spans="2:66" x14ac:dyDescent="0.3">
      <c r="B130" s="189" t="s">
        <v>5</v>
      </c>
      <c r="C130" s="27"/>
      <c r="D130" s="28"/>
      <c r="E130" s="38"/>
      <c r="F130" s="27"/>
      <c r="G130" s="28"/>
      <c r="H130" s="29"/>
      <c r="I130" s="41"/>
      <c r="J130" s="28"/>
      <c r="K130" s="38"/>
      <c r="L130" s="27"/>
      <c r="M130" s="28"/>
      <c r="N130" s="29"/>
      <c r="O130" s="41"/>
      <c r="P130" s="28"/>
      <c r="Q130" s="29"/>
      <c r="R130" s="190" t="s">
        <v>5</v>
      </c>
      <c r="S130" s="188" t="s">
        <v>5</v>
      </c>
      <c r="T130" s="188" t="s">
        <v>5</v>
      </c>
      <c r="U130" s="188" t="s">
        <v>5</v>
      </c>
      <c r="V130" s="188" t="s">
        <v>5</v>
      </c>
      <c r="W130" s="188" t="s">
        <v>5</v>
      </c>
      <c r="X130" s="188" t="s">
        <v>5</v>
      </c>
      <c r="Y130" s="188" t="s">
        <v>5</v>
      </c>
      <c r="Z130" s="188" t="s">
        <v>5</v>
      </c>
      <c r="AA130" s="188" t="s">
        <v>5</v>
      </c>
      <c r="AB130" s="188" t="s">
        <v>5</v>
      </c>
      <c r="AC130" s="188" t="s">
        <v>5</v>
      </c>
      <c r="AD130" s="188" t="s">
        <v>5</v>
      </c>
      <c r="AE130" s="188" t="s">
        <v>5</v>
      </c>
      <c r="AF130" s="188" t="s">
        <v>5</v>
      </c>
      <c r="AG130" s="188" t="s">
        <v>5</v>
      </c>
      <c r="AH130" s="166"/>
      <c r="AI130" s="129">
        <f t="shared" si="95"/>
        <v>0</v>
      </c>
      <c r="AJ130" s="129">
        <f t="shared" si="96"/>
        <v>0</v>
      </c>
      <c r="AK130" s="129">
        <f t="shared" si="97"/>
        <v>0</v>
      </c>
      <c r="AL130" s="129">
        <f t="shared" si="98"/>
        <v>0</v>
      </c>
      <c r="AM130" s="129">
        <f t="shared" si="99"/>
        <v>0</v>
      </c>
      <c r="AN130" s="129">
        <f t="shared" si="100"/>
        <v>0</v>
      </c>
      <c r="AO130" s="129">
        <f t="shared" si="101"/>
        <v>0</v>
      </c>
      <c r="AP130" s="129">
        <f t="shared" si="102"/>
        <v>0</v>
      </c>
      <c r="AQ130" s="129">
        <f t="shared" si="103"/>
        <v>0</v>
      </c>
      <c r="AR130" s="129">
        <f t="shared" si="104"/>
        <v>0</v>
      </c>
      <c r="AS130" s="129">
        <f t="shared" si="105"/>
        <v>0</v>
      </c>
      <c r="AT130" s="129">
        <f t="shared" si="106"/>
        <v>0</v>
      </c>
      <c r="AU130" s="129">
        <f t="shared" si="107"/>
        <v>0</v>
      </c>
      <c r="AV130" s="129">
        <f t="shared" si="108"/>
        <v>0</v>
      </c>
      <c r="AW130" s="129">
        <f t="shared" si="109"/>
        <v>0</v>
      </c>
      <c r="AY130" s="162" t="str">
        <f>IF(ISBLANK(C130),"",NOT(ISERROR(MATCH(C130,Deltagarlista!$E$5:$E$64,0))))</f>
        <v/>
      </c>
      <c r="AZ130" s="162" t="str">
        <f>IF(ISBLANK(D130),"",NOT(ISERROR(MATCH(D130,Deltagarlista!$E$5:$E$64,0))))</f>
        <v/>
      </c>
      <c r="BA130" s="162" t="str">
        <f>IF(ISBLANK(E130),"",NOT(ISERROR(MATCH(E130,Deltagarlista!$E$5:$E$64,0))))</f>
        <v/>
      </c>
      <c r="BB130" s="162" t="str">
        <f>IF(ISBLANK(F130),"",NOT(ISERROR(MATCH(F130,Deltagarlista!$E$5:$E$64,0))))</f>
        <v/>
      </c>
      <c r="BC130" s="162" t="str">
        <f>IF(ISBLANK(G130),"",NOT(ISERROR(MATCH(G130,Deltagarlista!$E$5:$E$64,0))))</f>
        <v/>
      </c>
      <c r="BD130" s="162" t="str">
        <f>IF(ISBLANK(H130),"",NOT(ISERROR(MATCH(H130,Deltagarlista!$E$5:$E$64,0))))</f>
        <v/>
      </c>
      <c r="BE130" s="162" t="str">
        <f>IF(ISBLANK(I130),"",NOT(ISERROR(MATCH(I130,Deltagarlista!$E$5:$E$64,0))))</f>
        <v/>
      </c>
      <c r="BF130" s="162" t="str">
        <f>IF(ISBLANK(J130),"",NOT(ISERROR(MATCH(J130,Deltagarlista!$E$5:$E$64,0))))</f>
        <v/>
      </c>
      <c r="BG130" s="162" t="str">
        <f>IF(ISBLANK(K130),"",NOT(ISERROR(MATCH(K130,Deltagarlista!$E$5:$E$64,0))))</f>
        <v/>
      </c>
      <c r="BH130" s="162" t="str">
        <f>IF(ISBLANK(L130),"",NOT(ISERROR(MATCH(L130,Deltagarlista!$E$5:$E$64,0))))</f>
        <v/>
      </c>
      <c r="BI130" s="162" t="str">
        <f>IF(ISBLANK(M130),"",NOT(ISERROR(MATCH(M130,Deltagarlista!$E$5:$E$64,0))))</f>
        <v/>
      </c>
      <c r="BJ130" s="162" t="str">
        <f>IF(ISBLANK(N130),"",NOT(ISERROR(MATCH(N130,Deltagarlista!$E$5:$E$64,0))))</f>
        <v/>
      </c>
      <c r="BK130" s="162" t="str">
        <f>IF(ISBLANK(O130),"",NOT(ISERROR(MATCH(O130,Deltagarlista!$E$5:$E$64,0))))</f>
        <v/>
      </c>
      <c r="BL130" s="162" t="str">
        <f>IF(ISBLANK(P130),"",NOT(ISERROR(MATCH(P130,Deltagarlista!$E$5:$E$64,0))))</f>
        <v/>
      </c>
      <c r="BM130" s="162" t="str">
        <f>IF(ISBLANK(Q130),"",NOT(ISERROR(MATCH(Q130,Deltagarlista!$E$5:$E$64,0))))</f>
        <v/>
      </c>
      <c r="BN130" s="167"/>
    </row>
    <row r="131" spans="2:66" x14ac:dyDescent="0.3">
      <c r="B131" s="189" t="s">
        <v>5</v>
      </c>
      <c r="C131" s="27"/>
      <c r="D131" s="28"/>
      <c r="E131" s="38"/>
      <c r="F131" s="27"/>
      <c r="G131" s="28"/>
      <c r="H131" s="29"/>
      <c r="I131" s="41"/>
      <c r="J131" s="28"/>
      <c r="K131" s="38"/>
      <c r="L131" s="27"/>
      <c r="M131" s="28"/>
      <c r="N131" s="29"/>
      <c r="O131" s="41"/>
      <c r="P131" s="28"/>
      <c r="Q131" s="29"/>
      <c r="R131" s="190" t="s">
        <v>5</v>
      </c>
      <c r="S131" s="188" t="s">
        <v>5</v>
      </c>
      <c r="T131" s="188" t="s">
        <v>5</v>
      </c>
      <c r="U131" s="188" t="s">
        <v>5</v>
      </c>
      <c r="V131" s="188" t="s">
        <v>5</v>
      </c>
      <c r="W131" s="188" t="s">
        <v>5</v>
      </c>
      <c r="X131" s="188" t="s">
        <v>5</v>
      </c>
      <c r="Y131" s="188" t="s">
        <v>5</v>
      </c>
      <c r="Z131" s="188" t="s">
        <v>5</v>
      </c>
      <c r="AA131" s="188" t="s">
        <v>5</v>
      </c>
      <c r="AB131" s="188" t="s">
        <v>5</v>
      </c>
      <c r="AC131" s="188" t="s">
        <v>5</v>
      </c>
      <c r="AD131" s="188" t="s">
        <v>5</v>
      </c>
      <c r="AE131" s="188" t="s">
        <v>5</v>
      </c>
      <c r="AF131" s="188" t="s">
        <v>5</v>
      </c>
      <c r="AG131" s="188" t="s">
        <v>5</v>
      </c>
      <c r="AH131" s="166"/>
      <c r="AI131" s="129">
        <f t="shared" si="95"/>
        <v>0</v>
      </c>
      <c r="AJ131" s="129">
        <f t="shared" si="96"/>
        <v>0</v>
      </c>
      <c r="AK131" s="129">
        <f t="shared" si="97"/>
        <v>0</v>
      </c>
      <c r="AL131" s="129">
        <f t="shared" si="98"/>
        <v>0</v>
      </c>
      <c r="AM131" s="129">
        <f t="shared" si="99"/>
        <v>0</v>
      </c>
      <c r="AN131" s="129">
        <f t="shared" si="100"/>
        <v>0</v>
      </c>
      <c r="AO131" s="129">
        <f t="shared" si="101"/>
        <v>0</v>
      </c>
      <c r="AP131" s="129">
        <f t="shared" si="102"/>
        <v>0</v>
      </c>
      <c r="AQ131" s="129">
        <f t="shared" si="103"/>
        <v>0</v>
      </c>
      <c r="AR131" s="129">
        <f t="shared" si="104"/>
        <v>0</v>
      </c>
      <c r="AS131" s="129">
        <f t="shared" si="105"/>
        <v>0</v>
      </c>
      <c r="AT131" s="129">
        <f t="shared" si="106"/>
        <v>0</v>
      </c>
      <c r="AU131" s="129">
        <f t="shared" si="107"/>
        <v>0</v>
      </c>
      <c r="AV131" s="129">
        <f t="shared" si="108"/>
        <v>0</v>
      </c>
      <c r="AW131" s="129">
        <f t="shared" si="109"/>
        <v>0</v>
      </c>
      <c r="AY131" s="162" t="str">
        <f>IF(ISBLANK(C131),"",NOT(ISERROR(MATCH(C131,Deltagarlista!$E$5:$E$64,0))))</f>
        <v/>
      </c>
      <c r="AZ131" s="162" t="str">
        <f>IF(ISBLANK(D131),"",NOT(ISERROR(MATCH(D131,Deltagarlista!$E$5:$E$64,0))))</f>
        <v/>
      </c>
      <c r="BA131" s="162" t="str">
        <f>IF(ISBLANK(E131),"",NOT(ISERROR(MATCH(E131,Deltagarlista!$E$5:$E$64,0))))</f>
        <v/>
      </c>
      <c r="BB131" s="162" t="str">
        <f>IF(ISBLANK(F131),"",NOT(ISERROR(MATCH(F131,Deltagarlista!$E$5:$E$64,0))))</f>
        <v/>
      </c>
      <c r="BC131" s="162" t="str">
        <f>IF(ISBLANK(G131),"",NOT(ISERROR(MATCH(G131,Deltagarlista!$E$5:$E$64,0))))</f>
        <v/>
      </c>
      <c r="BD131" s="162" t="str">
        <f>IF(ISBLANK(H131),"",NOT(ISERROR(MATCH(H131,Deltagarlista!$E$5:$E$64,0))))</f>
        <v/>
      </c>
      <c r="BE131" s="162" t="str">
        <f>IF(ISBLANK(I131),"",NOT(ISERROR(MATCH(I131,Deltagarlista!$E$5:$E$64,0))))</f>
        <v/>
      </c>
      <c r="BF131" s="162" t="str">
        <f>IF(ISBLANK(J131),"",NOT(ISERROR(MATCH(J131,Deltagarlista!$E$5:$E$64,0))))</f>
        <v/>
      </c>
      <c r="BG131" s="162" t="str">
        <f>IF(ISBLANK(K131),"",NOT(ISERROR(MATCH(K131,Deltagarlista!$E$5:$E$64,0))))</f>
        <v/>
      </c>
      <c r="BH131" s="162" t="str">
        <f>IF(ISBLANK(L131),"",NOT(ISERROR(MATCH(L131,Deltagarlista!$E$5:$E$64,0))))</f>
        <v/>
      </c>
      <c r="BI131" s="162" t="str">
        <f>IF(ISBLANK(M131),"",NOT(ISERROR(MATCH(M131,Deltagarlista!$E$5:$E$64,0))))</f>
        <v/>
      </c>
      <c r="BJ131" s="162" t="str">
        <f>IF(ISBLANK(N131),"",NOT(ISERROR(MATCH(N131,Deltagarlista!$E$5:$E$64,0))))</f>
        <v/>
      </c>
      <c r="BK131" s="162" t="str">
        <f>IF(ISBLANK(O131),"",NOT(ISERROR(MATCH(O131,Deltagarlista!$E$5:$E$64,0))))</f>
        <v/>
      </c>
      <c r="BL131" s="162" t="str">
        <f>IF(ISBLANK(P131),"",NOT(ISERROR(MATCH(P131,Deltagarlista!$E$5:$E$64,0))))</f>
        <v/>
      </c>
      <c r="BM131" s="162" t="str">
        <f>IF(ISBLANK(Q131),"",NOT(ISERROR(MATCH(Q131,Deltagarlista!$E$5:$E$64,0))))</f>
        <v/>
      </c>
      <c r="BN131" s="167"/>
    </row>
    <row r="132" spans="2:66" x14ac:dyDescent="0.3">
      <c r="B132" s="189" t="s">
        <v>5</v>
      </c>
      <c r="C132" s="27"/>
      <c r="D132" s="28"/>
      <c r="E132" s="38"/>
      <c r="F132" s="27"/>
      <c r="G132" s="28"/>
      <c r="H132" s="29"/>
      <c r="I132" s="41"/>
      <c r="J132" s="28"/>
      <c r="K132" s="38"/>
      <c r="L132" s="27"/>
      <c r="M132" s="28"/>
      <c r="N132" s="29"/>
      <c r="O132" s="41"/>
      <c r="P132" s="28"/>
      <c r="Q132" s="29"/>
      <c r="R132" s="190" t="s">
        <v>5</v>
      </c>
      <c r="S132" s="188" t="s">
        <v>5</v>
      </c>
      <c r="T132" s="188" t="s">
        <v>5</v>
      </c>
      <c r="U132" s="188" t="s">
        <v>5</v>
      </c>
      <c r="V132" s="188" t="s">
        <v>5</v>
      </c>
      <c r="W132" s="188" t="s">
        <v>5</v>
      </c>
      <c r="X132" s="188" t="s">
        <v>5</v>
      </c>
      <c r="Y132" s="188" t="s">
        <v>5</v>
      </c>
      <c r="Z132" s="188" t="s">
        <v>5</v>
      </c>
      <c r="AA132" s="188" t="s">
        <v>5</v>
      </c>
      <c r="AB132" s="188" t="s">
        <v>5</v>
      </c>
      <c r="AC132" s="188" t="s">
        <v>5</v>
      </c>
      <c r="AD132" s="188" t="s">
        <v>5</v>
      </c>
      <c r="AE132" s="188" t="s">
        <v>5</v>
      </c>
      <c r="AF132" s="188" t="s">
        <v>5</v>
      </c>
      <c r="AG132" s="188" t="s">
        <v>5</v>
      </c>
      <c r="AH132" s="166"/>
      <c r="AI132" s="129">
        <f t="shared" si="95"/>
        <v>0</v>
      </c>
      <c r="AJ132" s="129">
        <f t="shared" si="96"/>
        <v>0</v>
      </c>
      <c r="AK132" s="129">
        <f t="shared" si="97"/>
        <v>0</v>
      </c>
      <c r="AL132" s="129">
        <f t="shared" si="98"/>
        <v>0</v>
      </c>
      <c r="AM132" s="129">
        <f t="shared" si="99"/>
        <v>0</v>
      </c>
      <c r="AN132" s="129">
        <f t="shared" si="100"/>
        <v>0</v>
      </c>
      <c r="AO132" s="129">
        <f t="shared" si="101"/>
        <v>0</v>
      </c>
      <c r="AP132" s="129">
        <f t="shared" si="102"/>
        <v>0</v>
      </c>
      <c r="AQ132" s="129">
        <f t="shared" si="103"/>
        <v>0</v>
      </c>
      <c r="AR132" s="129">
        <f t="shared" si="104"/>
        <v>0</v>
      </c>
      <c r="AS132" s="129">
        <f t="shared" si="105"/>
        <v>0</v>
      </c>
      <c r="AT132" s="129">
        <f t="shared" si="106"/>
        <v>0</v>
      </c>
      <c r="AU132" s="129">
        <f t="shared" si="107"/>
        <v>0</v>
      </c>
      <c r="AV132" s="129">
        <f t="shared" si="108"/>
        <v>0</v>
      </c>
      <c r="AW132" s="129">
        <f t="shared" si="109"/>
        <v>0</v>
      </c>
      <c r="AY132" s="162" t="str">
        <f>IF(ISBLANK(C132),"",NOT(ISERROR(MATCH(C132,Deltagarlista!$E$5:$E$64,0))))</f>
        <v/>
      </c>
      <c r="AZ132" s="162" t="str">
        <f>IF(ISBLANK(D132),"",NOT(ISERROR(MATCH(D132,Deltagarlista!$E$5:$E$64,0))))</f>
        <v/>
      </c>
      <c r="BA132" s="162" t="str">
        <f>IF(ISBLANK(E132),"",NOT(ISERROR(MATCH(E132,Deltagarlista!$E$5:$E$64,0))))</f>
        <v/>
      </c>
      <c r="BB132" s="162" t="str">
        <f>IF(ISBLANK(F132),"",NOT(ISERROR(MATCH(F132,Deltagarlista!$E$5:$E$64,0))))</f>
        <v/>
      </c>
      <c r="BC132" s="162" t="str">
        <f>IF(ISBLANK(G132),"",NOT(ISERROR(MATCH(G132,Deltagarlista!$E$5:$E$64,0))))</f>
        <v/>
      </c>
      <c r="BD132" s="162" t="str">
        <f>IF(ISBLANK(H132),"",NOT(ISERROR(MATCH(H132,Deltagarlista!$E$5:$E$64,0))))</f>
        <v/>
      </c>
      <c r="BE132" s="162" t="str">
        <f>IF(ISBLANK(I132),"",NOT(ISERROR(MATCH(I132,Deltagarlista!$E$5:$E$64,0))))</f>
        <v/>
      </c>
      <c r="BF132" s="162" t="str">
        <f>IF(ISBLANK(J132),"",NOT(ISERROR(MATCH(J132,Deltagarlista!$E$5:$E$64,0))))</f>
        <v/>
      </c>
      <c r="BG132" s="162" t="str">
        <f>IF(ISBLANK(K132),"",NOT(ISERROR(MATCH(K132,Deltagarlista!$E$5:$E$64,0))))</f>
        <v/>
      </c>
      <c r="BH132" s="162" t="str">
        <f>IF(ISBLANK(L132),"",NOT(ISERROR(MATCH(L132,Deltagarlista!$E$5:$E$64,0))))</f>
        <v/>
      </c>
      <c r="BI132" s="162" t="str">
        <f>IF(ISBLANK(M132),"",NOT(ISERROR(MATCH(M132,Deltagarlista!$E$5:$E$64,0))))</f>
        <v/>
      </c>
      <c r="BJ132" s="162" t="str">
        <f>IF(ISBLANK(N132),"",NOT(ISERROR(MATCH(N132,Deltagarlista!$E$5:$E$64,0))))</f>
        <v/>
      </c>
      <c r="BK132" s="162" t="str">
        <f>IF(ISBLANK(O132),"",NOT(ISERROR(MATCH(O132,Deltagarlista!$E$5:$E$64,0))))</f>
        <v/>
      </c>
      <c r="BL132" s="162" t="str">
        <f>IF(ISBLANK(P132),"",NOT(ISERROR(MATCH(P132,Deltagarlista!$E$5:$E$64,0))))</f>
        <v/>
      </c>
      <c r="BM132" s="162" t="str">
        <f>IF(ISBLANK(Q132),"",NOT(ISERROR(MATCH(Q132,Deltagarlista!$E$5:$E$64,0))))</f>
        <v/>
      </c>
      <c r="BN132" s="167"/>
    </row>
    <row r="133" spans="2:66" x14ac:dyDescent="0.3">
      <c r="B133" s="189" t="s">
        <v>5</v>
      </c>
      <c r="C133" s="27"/>
      <c r="D133" s="28"/>
      <c r="E133" s="38"/>
      <c r="F133" s="27"/>
      <c r="G133" s="28"/>
      <c r="H133" s="29"/>
      <c r="I133" s="41"/>
      <c r="J133" s="28"/>
      <c r="K133" s="38"/>
      <c r="L133" s="27"/>
      <c r="M133" s="28"/>
      <c r="N133" s="29"/>
      <c r="O133" s="41"/>
      <c r="P133" s="28"/>
      <c r="Q133" s="29"/>
      <c r="R133" s="190" t="s">
        <v>5</v>
      </c>
      <c r="S133" s="188" t="s">
        <v>5</v>
      </c>
      <c r="T133" s="188" t="s">
        <v>5</v>
      </c>
      <c r="U133" s="188" t="s">
        <v>5</v>
      </c>
      <c r="V133" s="188" t="s">
        <v>5</v>
      </c>
      <c r="W133" s="188" t="s">
        <v>5</v>
      </c>
      <c r="X133" s="188" t="s">
        <v>5</v>
      </c>
      <c r="Y133" s="188" t="s">
        <v>5</v>
      </c>
      <c r="Z133" s="188" t="s">
        <v>5</v>
      </c>
      <c r="AA133" s="188" t="s">
        <v>5</v>
      </c>
      <c r="AB133" s="188" t="s">
        <v>5</v>
      </c>
      <c r="AC133" s="188" t="s">
        <v>5</v>
      </c>
      <c r="AD133" s="188" t="s">
        <v>5</v>
      </c>
      <c r="AE133" s="188" t="s">
        <v>5</v>
      </c>
      <c r="AF133" s="188" t="s">
        <v>5</v>
      </c>
      <c r="AG133" s="188" t="s">
        <v>5</v>
      </c>
      <c r="AH133" s="166"/>
      <c r="AI133" s="129">
        <f t="shared" si="95"/>
        <v>0</v>
      </c>
      <c r="AJ133" s="129">
        <f t="shared" si="96"/>
        <v>0</v>
      </c>
      <c r="AK133" s="129">
        <f t="shared" si="97"/>
        <v>0</v>
      </c>
      <c r="AL133" s="129">
        <f t="shared" si="98"/>
        <v>0</v>
      </c>
      <c r="AM133" s="129">
        <f t="shared" si="99"/>
        <v>0</v>
      </c>
      <c r="AN133" s="129">
        <f t="shared" si="100"/>
        <v>0</v>
      </c>
      <c r="AO133" s="129">
        <f t="shared" si="101"/>
        <v>0</v>
      </c>
      <c r="AP133" s="129">
        <f t="shared" si="102"/>
        <v>0</v>
      </c>
      <c r="AQ133" s="129">
        <f t="shared" si="103"/>
        <v>0</v>
      </c>
      <c r="AR133" s="129">
        <f t="shared" si="104"/>
        <v>0</v>
      </c>
      <c r="AS133" s="129">
        <f t="shared" si="105"/>
        <v>0</v>
      </c>
      <c r="AT133" s="129">
        <f t="shared" si="106"/>
        <v>0</v>
      </c>
      <c r="AU133" s="129">
        <f t="shared" si="107"/>
        <v>0</v>
      </c>
      <c r="AV133" s="129">
        <f t="shared" si="108"/>
        <v>0</v>
      </c>
      <c r="AW133" s="129">
        <f t="shared" si="109"/>
        <v>0</v>
      </c>
      <c r="AY133" s="162" t="str">
        <f>IF(ISBLANK(C133),"",NOT(ISERROR(MATCH(C133,Deltagarlista!$E$5:$E$64,0))))</f>
        <v/>
      </c>
      <c r="AZ133" s="162" t="str">
        <f>IF(ISBLANK(D133),"",NOT(ISERROR(MATCH(D133,Deltagarlista!$E$5:$E$64,0))))</f>
        <v/>
      </c>
      <c r="BA133" s="162" t="str">
        <f>IF(ISBLANK(E133),"",NOT(ISERROR(MATCH(E133,Deltagarlista!$E$5:$E$64,0))))</f>
        <v/>
      </c>
      <c r="BB133" s="162" t="str">
        <f>IF(ISBLANK(F133),"",NOT(ISERROR(MATCH(F133,Deltagarlista!$E$5:$E$64,0))))</f>
        <v/>
      </c>
      <c r="BC133" s="162" t="str">
        <f>IF(ISBLANK(G133),"",NOT(ISERROR(MATCH(G133,Deltagarlista!$E$5:$E$64,0))))</f>
        <v/>
      </c>
      <c r="BD133" s="162" t="str">
        <f>IF(ISBLANK(H133),"",NOT(ISERROR(MATCH(H133,Deltagarlista!$E$5:$E$64,0))))</f>
        <v/>
      </c>
      <c r="BE133" s="162" t="str">
        <f>IF(ISBLANK(I133),"",NOT(ISERROR(MATCH(I133,Deltagarlista!$E$5:$E$64,0))))</f>
        <v/>
      </c>
      <c r="BF133" s="162" t="str">
        <f>IF(ISBLANK(J133),"",NOT(ISERROR(MATCH(J133,Deltagarlista!$E$5:$E$64,0))))</f>
        <v/>
      </c>
      <c r="BG133" s="162" t="str">
        <f>IF(ISBLANK(K133),"",NOT(ISERROR(MATCH(K133,Deltagarlista!$E$5:$E$64,0))))</f>
        <v/>
      </c>
      <c r="BH133" s="162" t="str">
        <f>IF(ISBLANK(L133),"",NOT(ISERROR(MATCH(L133,Deltagarlista!$E$5:$E$64,0))))</f>
        <v/>
      </c>
      <c r="BI133" s="162" t="str">
        <f>IF(ISBLANK(M133),"",NOT(ISERROR(MATCH(M133,Deltagarlista!$E$5:$E$64,0))))</f>
        <v/>
      </c>
      <c r="BJ133" s="162" t="str">
        <f>IF(ISBLANK(N133),"",NOT(ISERROR(MATCH(N133,Deltagarlista!$E$5:$E$64,0))))</f>
        <v/>
      </c>
      <c r="BK133" s="162" t="str">
        <f>IF(ISBLANK(O133),"",NOT(ISERROR(MATCH(O133,Deltagarlista!$E$5:$E$64,0))))</f>
        <v/>
      </c>
      <c r="BL133" s="162" t="str">
        <f>IF(ISBLANK(P133),"",NOT(ISERROR(MATCH(P133,Deltagarlista!$E$5:$E$64,0))))</f>
        <v/>
      </c>
      <c r="BM133" s="162" t="str">
        <f>IF(ISBLANK(Q133),"",NOT(ISERROR(MATCH(Q133,Deltagarlista!$E$5:$E$64,0))))</f>
        <v/>
      </c>
      <c r="BN133" s="167"/>
    </row>
    <row r="134" spans="2:66" x14ac:dyDescent="0.3">
      <c r="B134" s="189" t="s">
        <v>6</v>
      </c>
      <c r="C134" s="27"/>
      <c r="D134" s="28"/>
      <c r="E134" s="38"/>
      <c r="F134" s="27"/>
      <c r="G134" s="28"/>
      <c r="H134" s="29"/>
      <c r="I134" s="41"/>
      <c r="J134" s="28"/>
      <c r="K134" s="38"/>
      <c r="L134" s="27"/>
      <c r="M134" s="28"/>
      <c r="N134" s="29"/>
      <c r="O134" s="41"/>
      <c r="P134" s="28"/>
      <c r="Q134" s="29"/>
      <c r="R134" s="190" t="s">
        <v>6</v>
      </c>
      <c r="S134" s="188" t="s">
        <v>6</v>
      </c>
      <c r="T134" s="188" t="s">
        <v>6</v>
      </c>
      <c r="U134" s="188" t="s">
        <v>6</v>
      </c>
      <c r="V134" s="188" t="s">
        <v>6</v>
      </c>
      <c r="W134" s="188" t="s">
        <v>6</v>
      </c>
      <c r="X134" s="188" t="s">
        <v>6</v>
      </c>
      <c r="Y134" s="188" t="s">
        <v>6</v>
      </c>
      <c r="Z134" s="188" t="s">
        <v>6</v>
      </c>
      <c r="AA134" s="188" t="s">
        <v>6</v>
      </c>
      <c r="AB134" s="188" t="s">
        <v>6</v>
      </c>
      <c r="AC134" s="188" t="s">
        <v>6</v>
      </c>
      <c r="AD134" s="188" t="s">
        <v>6</v>
      </c>
      <c r="AE134" s="188" t="s">
        <v>6</v>
      </c>
      <c r="AF134" s="188" t="s">
        <v>6</v>
      </c>
      <c r="AG134" s="188" t="s">
        <v>6</v>
      </c>
      <c r="AH134" s="166"/>
      <c r="AI134" s="129">
        <f t="shared" si="95"/>
        <v>0</v>
      </c>
      <c r="AJ134" s="129">
        <f t="shared" si="96"/>
        <v>0</v>
      </c>
      <c r="AK134" s="129">
        <f t="shared" si="97"/>
        <v>0</v>
      </c>
      <c r="AL134" s="129">
        <f t="shared" si="98"/>
        <v>0</v>
      </c>
      <c r="AM134" s="129">
        <f t="shared" si="99"/>
        <v>0</v>
      </c>
      <c r="AN134" s="129">
        <f t="shared" si="100"/>
        <v>0</v>
      </c>
      <c r="AO134" s="129">
        <f t="shared" si="101"/>
        <v>0</v>
      </c>
      <c r="AP134" s="129">
        <f t="shared" si="102"/>
        <v>0</v>
      </c>
      <c r="AQ134" s="129">
        <f t="shared" si="103"/>
        <v>0</v>
      </c>
      <c r="AR134" s="129">
        <f t="shared" si="104"/>
        <v>0</v>
      </c>
      <c r="AS134" s="129">
        <f t="shared" si="105"/>
        <v>0</v>
      </c>
      <c r="AT134" s="129">
        <f t="shared" si="106"/>
        <v>0</v>
      </c>
      <c r="AU134" s="129">
        <f t="shared" si="107"/>
        <v>0</v>
      </c>
      <c r="AV134" s="129">
        <f t="shared" si="108"/>
        <v>0</v>
      </c>
      <c r="AW134" s="129">
        <f t="shared" si="109"/>
        <v>0</v>
      </c>
      <c r="AY134" s="162" t="str">
        <f>IF(ISBLANK(C134),"",NOT(ISERROR(MATCH(C134,Deltagarlista!$E$5:$E$64,0))))</f>
        <v/>
      </c>
      <c r="AZ134" s="162" t="str">
        <f>IF(ISBLANK(D134),"",NOT(ISERROR(MATCH(D134,Deltagarlista!$E$5:$E$64,0))))</f>
        <v/>
      </c>
      <c r="BA134" s="162" t="str">
        <f>IF(ISBLANK(E134),"",NOT(ISERROR(MATCH(E134,Deltagarlista!$E$5:$E$64,0))))</f>
        <v/>
      </c>
      <c r="BB134" s="162" t="str">
        <f>IF(ISBLANK(F134),"",NOT(ISERROR(MATCH(F134,Deltagarlista!$E$5:$E$64,0))))</f>
        <v/>
      </c>
      <c r="BC134" s="162" t="str">
        <f>IF(ISBLANK(G134),"",NOT(ISERROR(MATCH(G134,Deltagarlista!$E$5:$E$64,0))))</f>
        <v/>
      </c>
      <c r="BD134" s="162" t="str">
        <f>IF(ISBLANK(H134),"",NOT(ISERROR(MATCH(H134,Deltagarlista!$E$5:$E$64,0))))</f>
        <v/>
      </c>
      <c r="BE134" s="162" t="str">
        <f>IF(ISBLANK(I134),"",NOT(ISERROR(MATCH(I134,Deltagarlista!$E$5:$E$64,0))))</f>
        <v/>
      </c>
      <c r="BF134" s="162" t="str">
        <f>IF(ISBLANK(J134),"",NOT(ISERROR(MATCH(J134,Deltagarlista!$E$5:$E$64,0))))</f>
        <v/>
      </c>
      <c r="BG134" s="162" t="str">
        <f>IF(ISBLANK(K134),"",NOT(ISERROR(MATCH(K134,Deltagarlista!$E$5:$E$64,0))))</f>
        <v/>
      </c>
      <c r="BH134" s="162" t="str">
        <f>IF(ISBLANK(L134),"",NOT(ISERROR(MATCH(L134,Deltagarlista!$E$5:$E$64,0))))</f>
        <v/>
      </c>
      <c r="BI134" s="162" t="str">
        <f>IF(ISBLANK(M134),"",NOT(ISERROR(MATCH(M134,Deltagarlista!$E$5:$E$64,0))))</f>
        <v/>
      </c>
      <c r="BJ134" s="162" t="str">
        <f>IF(ISBLANK(N134),"",NOT(ISERROR(MATCH(N134,Deltagarlista!$E$5:$E$64,0))))</f>
        <v/>
      </c>
      <c r="BK134" s="162" t="str">
        <f>IF(ISBLANK(O134),"",NOT(ISERROR(MATCH(O134,Deltagarlista!$E$5:$E$64,0))))</f>
        <v/>
      </c>
      <c r="BL134" s="162" t="str">
        <f>IF(ISBLANK(P134),"",NOT(ISERROR(MATCH(P134,Deltagarlista!$E$5:$E$64,0))))</f>
        <v/>
      </c>
      <c r="BM134" s="162" t="str">
        <f>IF(ISBLANK(Q134),"",NOT(ISERROR(MATCH(Q134,Deltagarlista!$E$5:$E$64,0))))</f>
        <v/>
      </c>
      <c r="BN134" s="167"/>
    </row>
    <row r="135" spans="2:66" ht="16.2" thickBot="1" x14ac:dyDescent="0.35">
      <c r="B135" s="191" t="s">
        <v>6</v>
      </c>
      <c r="C135" s="30"/>
      <c r="D135" s="31"/>
      <c r="E135" s="39"/>
      <c r="F135" s="30"/>
      <c r="G135" s="31"/>
      <c r="H135" s="32"/>
      <c r="I135" s="42"/>
      <c r="J135" s="31"/>
      <c r="K135" s="39"/>
      <c r="L135" s="30"/>
      <c r="M135" s="31"/>
      <c r="N135" s="32"/>
      <c r="O135" s="42"/>
      <c r="P135" s="31"/>
      <c r="Q135" s="32"/>
      <c r="R135" s="192" t="s">
        <v>6</v>
      </c>
      <c r="S135" s="188" t="s">
        <v>6</v>
      </c>
      <c r="T135" s="188" t="s">
        <v>6</v>
      </c>
      <c r="U135" s="188" t="s">
        <v>6</v>
      </c>
      <c r="V135" s="188" t="s">
        <v>6</v>
      </c>
      <c r="W135" s="188" t="s">
        <v>6</v>
      </c>
      <c r="X135" s="188" t="s">
        <v>6</v>
      </c>
      <c r="Y135" s="188" t="s">
        <v>6</v>
      </c>
      <c r="Z135" s="188" t="s">
        <v>6</v>
      </c>
      <c r="AA135" s="188" t="s">
        <v>6</v>
      </c>
      <c r="AB135" s="188" t="s">
        <v>6</v>
      </c>
      <c r="AC135" s="188" t="s">
        <v>6</v>
      </c>
      <c r="AD135" s="188" t="s">
        <v>6</v>
      </c>
      <c r="AE135" s="188" t="s">
        <v>6</v>
      </c>
      <c r="AF135" s="188" t="s">
        <v>6</v>
      </c>
      <c r="AG135" s="188" t="s">
        <v>6</v>
      </c>
      <c r="AH135" s="166"/>
      <c r="AI135" s="129">
        <f t="shared" si="95"/>
        <v>0</v>
      </c>
      <c r="AJ135" s="129">
        <f t="shared" si="96"/>
        <v>0</v>
      </c>
      <c r="AK135" s="129">
        <f t="shared" si="97"/>
        <v>0</v>
      </c>
      <c r="AL135" s="129">
        <f t="shared" si="98"/>
        <v>0</v>
      </c>
      <c r="AM135" s="129">
        <f t="shared" si="99"/>
        <v>0</v>
      </c>
      <c r="AN135" s="129">
        <f t="shared" si="100"/>
        <v>0</v>
      </c>
      <c r="AO135" s="129">
        <f t="shared" si="101"/>
        <v>0</v>
      </c>
      <c r="AP135" s="129">
        <f t="shared" si="102"/>
        <v>0</v>
      </c>
      <c r="AQ135" s="129">
        <f t="shared" si="103"/>
        <v>0</v>
      </c>
      <c r="AR135" s="129">
        <f t="shared" si="104"/>
        <v>0</v>
      </c>
      <c r="AS135" s="129">
        <f t="shared" si="105"/>
        <v>0</v>
      </c>
      <c r="AT135" s="129">
        <f t="shared" si="106"/>
        <v>0</v>
      </c>
      <c r="AU135" s="129">
        <f t="shared" si="107"/>
        <v>0</v>
      </c>
      <c r="AV135" s="129">
        <f t="shared" si="108"/>
        <v>0</v>
      </c>
      <c r="AW135" s="129">
        <f t="shared" si="109"/>
        <v>0</v>
      </c>
      <c r="AY135" s="162" t="str">
        <f>IF(ISBLANK(C135),"",NOT(ISERROR(MATCH(C135,Deltagarlista!$E$5:$E$64,0))))</f>
        <v/>
      </c>
      <c r="AZ135" s="162" t="str">
        <f>IF(ISBLANK(D135),"",NOT(ISERROR(MATCH(D135,Deltagarlista!$E$5:$E$64,0))))</f>
        <v/>
      </c>
      <c r="BA135" s="162" t="str">
        <f>IF(ISBLANK(E135),"",NOT(ISERROR(MATCH(E135,Deltagarlista!$E$5:$E$64,0))))</f>
        <v/>
      </c>
      <c r="BB135" s="162" t="str">
        <f>IF(ISBLANK(F135),"",NOT(ISERROR(MATCH(F135,Deltagarlista!$E$5:$E$64,0))))</f>
        <v/>
      </c>
      <c r="BC135" s="162" t="str">
        <f>IF(ISBLANK(G135),"",NOT(ISERROR(MATCH(G135,Deltagarlista!$E$5:$E$64,0))))</f>
        <v/>
      </c>
      <c r="BD135" s="162" t="str">
        <f>IF(ISBLANK(H135),"",NOT(ISERROR(MATCH(H135,Deltagarlista!$E$5:$E$64,0))))</f>
        <v/>
      </c>
      <c r="BE135" s="162" t="str">
        <f>IF(ISBLANK(I135),"",NOT(ISERROR(MATCH(I135,Deltagarlista!$E$5:$E$64,0))))</f>
        <v/>
      </c>
      <c r="BF135" s="162" t="str">
        <f>IF(ISBLANK(J135),"",NOT(ISERROR(MATCH(J135,Deltagarlista!$E$5:$E$64,0))))</f>
        <v/>
      </c>
      <c r="BG135" s="162" t="str">
        <f>IF(ISBLANK(K135),"",NOT(ISERROR(MATCH(K135,Deltagarlista!$E$5:$E$64,0))))</f>
        <v/>
      </c>
      <c r="BH135" s="162" t="str">
        <f>IF(ISBLANK(L135),"",NOT(ISERROR(MATCH(L135,Deltagarlista!$E$5:$E$64,0))))</f>
        <v/>
      </c>
      <c r="BI135" s="162" t="str">
        <f>IF(ISBLANK(M135),"",NOT(ISERROR(MATCH(M135,Deltagarlista!$E$5:$E$64,0))))</f>
        <v/>
      </c>
      <c r="BJ135" s="162" t="str">
        <f>IF(ISBLANK(N135),"",NOT(ISERROR(MATCH(N135,Deltagarlista!$E$5:$E$64,0))))</f>
        <v/>
      </c>
      <c r="BK135" s="162" t="str">
        <f>IF(ISBLANK(O135),"",NOT(ISERROR(MATCH(O135,Deltagarlista!$E$5:$E$64,0))))</f>
        <v/>
      </c>
      <c r="BL135" s="162" t="str">
        <f>IF(ISBLANK(P135),"",NOT(ISERROR(MATCH(P135,Deltagarlista!$E$5:$E$64,0))))</f>
        <v/>
      </c>
      <c r="BM135" s="162" t="str">
        <f>IF(ISBLANK(Q135),"",NOT(ISERROR(MATCH(Q135,Deltagarlista!$E$5:$E$64,0))))</f>
        <v/>
      </c>
      <c r="BN135" s="167"/>
    </row>
    <row r="136" spans="2:66" x14ac:dyDescent="0.3">
      <c r="B136" s="195"/>
      <c r="C136" s="197"/>
      <c r="D136" s="197"/>
      <c r="E136" s="197"/>
      <c r="F136" s="197"/>
      <c r="G136" s="197"/>
      <c r="H136" s="197"/>
      <c r="I136" s="197"/>
      <c r="J136" s="197"/>
      <c r="K136" s="197"/>
      <c r="L136" s="197"/>
      <c r="M136" s="197"/>
      <c r="N136" s="197"/>
      <c r="O136" s="197"/>
      <c r="P136" s="197"/>
      <c r="Q136" s="197"/>
      <c r="R136" s="195"/>
      <c r="S136" s="188"/>
      <c r="T136" s="188"/>
      <c r="U136" s="188"/>
      <c r="V136" s="188"/>
      <c r="W136" s="188"/>
      <c r="X136" s="188"/>
      <c r="Y136" s="188"/>
      <c r="Z136" s="188"/>
      <c r="AA136" s="188"/>
      <c r="AB136" s="188"/>
      <c r="AC136" s="188"/>
      <c r="AD136" s="188"/>
      <c r="AE136" s="188"/>
      <c r="AF136" s="188"/>
      <c r="AG136" s="188"/>
      <c r="AH136" s="166"/>
      <c r="AI136" s="129"/>
      <c r="AJ136" s="129"/>
      <c r="AK136" s="129"/>
      <c r="AL136" s="129"/>
      <c r="AM136" s="129"/>
      <c r="AN136" s="129"/>
      <c r="AO136" s="129"/>
      <c r="AP136" s="129"/>
      <c r="AQ136" s="129"/>
      <c r="AR136" s="129"/>
      <c r="AS136" s="129"/>
      <c r="AT136" s="129"/>
      <c r="AU136" s="129"/>
      <c r="AV136" s="129"/>
      <c r="AW136" s="129"/>
      <c r="BN136" s="167"/>
    </row>
    <row r="137" spans="2:66" ht="27.9" customHeight="1" x14ac:dyDescent="0.35">
      <c r="B137" s="196" t="str">
        <f>IF(OR(Deltagarlista!$K$3=2,Deltagarlista!$K$3=4),IF($CQ$5=0,"","VARNING, du har registrerat resultat för någon som inte borde segla i detta heat!"),"")</f>
        <v/>
      </c>
      <c r="C137" s="197"/>
      <c r="D137" s="197"/>
      <c r="E137" s="197"/>
      <c r="F137" s="197"/>
      <c r="G137" s="197"/>
      <c r="H137" s="197"/>
      <c r="I137" s="197"/>
      <c r="J137" s="197"/>
      <c r="K137" s="197"/>
      <c r="L137" s="197"/>
      <c r="M137" s="197"/>
      <c r="N137" s="197"/>
      <c r="O137" s="197"/>
      <c r="P137" s="197"/>
      <c r="Q137" s="197"/>
      <c r="R137" s="198"/>
      <c r="S137" s="188"/>
      <c r="T137" s="188"/>
      <c r="U137" s="188"/>
      <c r="V137" s="188"/>
      <c r="W137" s="188"/>
      <c r="X137" s="188"/>
      <c r="Y137" s="188"/>
      <c r="Z137" s="188"/>
      <c r="AA137" s="188"/>
      <c r="AB137" s="188"/>
      <c r="AC137" s="188"/>
      <c r="AD137" s="188"/>
      <c r="AE137" s="188"/>
      <c r="AF137" s="188"/>
      <c r="AG137" s="188"/>
      <c r="AH137" s="166"/>
      <c r="AI137" s="129"/>
      <c r="AJ137" s="129"/>
      <c r="AK137" s="129"/>
      <c r="AL137" s="129"/>
      <c r="AM137" s="129"/>
      <c r="AN137" s="129"/>
      <c r="AO137" s="129"/>
      <c r="AP137" s="129"/>
      <c r="AQ137" s="129"/>
      <c r="AR137" s="129"/>
      <c r="AS137" s="129"/>
      <c r="AT137" s="129"/>
      <c r="AU137" s="129"/>
      <c r="AV137" s="129"/>
      <c r="AW137" s="129"/>
      <c r="BN137" s="167"/>
    </row>
    <row r="138" spans="2:66" ht="27.9" customHeight="1" thickBot="1" x14ac:dyDescent="0.4">
      <c r="B138" s="161" t="str">
        <f>IF($AY$4=60,"","VARNING, du har registrerat resultat för en seglare som inte finns i deltagarlistan!")</f>
        <v/>
      </c>
      <c r="C138" s="199"/>
      <c r="D138" s="48"/>
      <c r="E138" s="48"/>
      <c r="F138" s="48"/>
      <c r="G138" s="48"/>
      <c r="H138" s="48"/>
      <c r="I138" s="48"/>
      <c r="J138" s="48"/>
      <c r="K138" s="48"/>
      <c r="L138" s="48"/>
      <c r="M138" s="48"/>
      <c r="N138" s="48"/>
      <c r="O138" s="48"/>
      <c r="P138" s="48"/>
      <c r="Q138" s="48"/>
      <c r="R138" s="48"/>
      <c r="S138" s="200"/>
      <c r="T138" s="200"/>
      <c r="U138" s="200"/>
      <c r="V138" s="200"/>
      <c r="W138" s="200"/>
      <c r="X138" s="200"/>
      <c r="Y138" s="129"/>
      <c r="Z138" s="129"/>
      <c r="AA138" s="129"/>
      <c r="AB138" s="129"/>
      <c r="AC138" s="129"/>
      <c r="AD138" s="129"/>
      <c r="AE138" s="129"/>
      <c r="AF138" s="129"/>
      <c r="AG138" s="129"/>
      <c r="AH138" s="166"/>
      <c r="AI138" s="129"/>
      <c r="AJ138" s="129"/>
      <c r="AK138" s="129"/>
      <c r="AL138" s="129"/>
      <c r="AM138" s="129"/>
      <c r="AN138" s="129"/>
      <c r="AO138" s="129"/>
      <c r="AP138" s="129"/>
      <c r="AQ138" s="129"/>
      <c r="AR138" s="129"/>
      <c r="AS138" s="129"/>
      <c r="AT138" s="129"/>
      <c r="AU138" s="129"/>
      <c r="AV138" s="129"/>
      <c r="AW138" s="129"/>
      <c r="BN138" s="167"/>
    </row>
    <row r="139" spans="2:66" ht="27" customHeight="1" thickBot="1" x14ac:dyDescent="0.5">
      <c r="B139" s="168" t="str">
        <f>B94</f>
        <v/>
      </c>
      <c r="C139" s="169"/>
      <c r="D139" s="169"/>
      <c r="E139" s="169"/>
      <c r="F139" s="169"/>
      <c r="G139" s="169"/>
      <c r="H139" s="169"/>
      <c r="I139" s="169"/>
      <c r="J139" s="169"/>
      <c r="K139" s="169"/>
      <c r="L139" s="169"/>
      <c r="M139" s="169"/>
      <c r="N139" s="169"/>
      <c r="O139" s="169"/>
      <c r="P139" s="169"/>
      <c r="Q139" s="169"/>
      <c r="R139" s="170" t="str">
        <f>R94</f>
        <v/>
      </c>
      <c r="S139" s="129"/>
      <c r="T139" s="129"/>
      <c r="U139" s="129"/>
      <c r="V139" s="129"/>
      <c r="W139" s="129"/>
      <c r="X139" s="129"/>
      <c r="Y139" s="129"/>
      <c r="Z139" s="129"/>
      <c r="AA139" s="129"/>
      <c r="AB139" s="129"/>
      <c r="AC139" s="129"/>
      <c r="AD139" s="129"/>
      <c r="AE139" s="129"/>
      <c r="AF139" s="129"/>
      <c r="AG139" s="129"/>
      <c r="AH139" s="166"/>
      <c r="AI139" s="129"/>
      <c r="AJ139" s="129"/>
      <c r="AK139" s="129"/>
      <c r="AL139" s="129"/>
      <c r="AM139" s="129"/>
      <c r="AN139" s="129"/>
      <c r="AO139" s="129"/>
      <c r="AP139" s="129"/>
      <c r="AQ139" s="129"/>
      <c r="AR139" s="129"/>
      <c r="AS139" s="129"/>
      <c r="AT139" s="129"/>
      <c r="AU139" s="129"/>
      <c r="AV139" s="129"/>
      <c r="AW139" s="129"/>
      <c r="BN139" s="167"/>
    </row>
    <row r="140" spans="2:66" ht="27" customHeight="1" thickBot="1" x14ac:dyDescent="0.35">
      <c r="B140" s="247" t="str">
        <f>B95</f>
        <v/>
      </c>
      <c r="C140" s="248"/>
      <c r="D140" s="248"/>
      <c r="E140" s="248"/>
      <c r="F140" s="249"/>
      <c r="G140" s="249"/>
      <c r="H140" s="249"/>
      <c r="I140" s="250"/>
      <c r="J140" s="251" t="str">
        <f>J95</f>
        <v/>
      </c>
      <c r="K140" s="252"/>
      <c r="L140" s="252"/>
      <c r="M140" s="252"/>
      <c r="N140" s="252"/>
      <c r="O140" s="252"/>
      <c r="P140" s="252"/>
      <c r="Q140" s="252"/>
      <c r="R140" s="253"/>
      <c r="S140" s="129"/>
      <c r="T140" s="129"/>
      <c r="U140" s="129"/>
      <c r="V140" s="129"/>
      <c r="W140" s="129"/>
      <c r="X140" s="129"/>
      <c r="Y140" s="129"/>
      <c r="Z140" s="129"/>
      <c r="AA140" s="129"/>
      <c r="AB140" s="129"/>
      <c r="AC140" s="129"/>
      <c r="AD140" s="129"/>
      <c r="AE140" s="129"/>
      <c r="AF140" s="129"/>
      <c r="AG140" s="129"/>
      <c r="AH140" s="166"/>
      <c r="AI140" s="129"/>
      <c r="AJ140" s="129"/>
      <c r="AK140" s="129"/>
      <c r="AL140" s="129"/>
      <c r="AM140" s="129"/>
      <c r="AN140" s="129"/>
      <c r="AO140" s="129"/>
      <c r="AP140" s="129"/>
      <c r="AQ140" s="129"/>
      <c r="AR140" s="129"/>
      <c r="AS140" s="129"/>
      <c r="AT140" s="129"/>
      <c r="AU140" s="129"/>
      <c r="AV140" s="129"/>
      <c r="AW140" s="129"/>
      <c r="BN140" s="167"/>
    </row>
    <row r="141" spans="2:66" ht="18.600000000000001" thickBot="1" x14ac:dyDescent="0.4">
      <c r="B141" s="172" t="s">
        <v>46</v>
      </c>
      <c r="C141" s="173" t="str">
        <f>IF(Deltagarlista!$K$3=2,"Gr/R",IF(Deltagarlista!$K$3=3,"Röd",IF(Deltagarlista!$K$3=4,"Gu/R","")))</f>
        <v/>
      </c>
      <c r="D141" s="174" t="str">
        <f>IF(Deltagarlista!$K$3=2,"B/Gr",IF(Deltagarlista!$K$3=3,"Grön",IF(Deltagarlista!$K$3=4,"R/B","")))</f>
        <v/>
      </c>
      <c r="E141" s="174" t="str">
        <f>IF(Deltagarlista!$K$3=2,"R/B",IF(Deltagarlista!$K$3=3,"Röd",IF(Deltagarlista!$K$3=4,"Gu/Gr","")))</f>
        <v/>
      </c>
      <c r="F141" s="174" t="str">
        <f>IF(Deltagarlista!$K$3=2,"Gr/R",IF(Deltagarlista!$K$3=3,"Grön",IF(Deltagarlista!$K$3=4,"Gr/R","")))</f>
        <v/>
      </c>
      <c r="G141" s="174" t="str">
        <f>IF(Deltagarlista!$K$3=2,"B/Gr",IF(Deltagarlista!$K$3=3,"Röd",IF(Deltagarlista!$K$3=4,"B/Gu","")))</f>
        <v/>
      </c>
      <c r="H141" s="174" t="str">
        <f>IF(Deltagarlista!$K$3=2,"R/B",IF(Deltagarlista!$K$3=3,"Grön",IF(Deltagarlista!$K$3=4,"Gr/B","")))</f>
        <v/>
      </c>
      <c r="I141" s="174" t="str">
        <f>IF(Deltagarlista!$K$3=2,"Gr/R",IF(Deltagarlista!$K$3=3,"Röd",IF(Deltagarlista!$K$3=4,"Gu/R","")))</f>
        <v/>
      </c>
      <c r="J141" s="174" t="str">
        <f>IF(Deltagarlista!$K$3=2,"B/Gr",IF(Deltagarlista!$K$3=3,"Grön",IF(Deltagarlista!$K$3=4,"R/B","")))</f>
        <v/>
      </c>
      <c r="K141" s="174" t="str">
        <f>IF(Deltagarlista!$K$3=2,"R/B",IF(Deltagarlista!$K$3=3,"Röd",IF(Deltagarlista!$K$3=4,"Gu/Gr","")))</f>
        <v/>
      </c>
      <c r="L141" s="174" t="str">
        <f>IF(Deltagarlista!$K$3=2,"Gr/R",IF(Deltagarlista!$K$3=3,"Grön",IF(Deltagarlista!$K$3=4,"Gr/R","")))</f>
        <v/>
      </c>
      <c r="M141" s="174" t="str">
        <f>IF(Deltagarlista!$K$3=2,"B/Gr",IF(Deltagarlista!$K$3=3,"Röd",IF(Deltagarlista!$K$3=4,"B/Gu","")))</f>
        <v/>
      </c>
      <c r="N141" s="174" t="str">
        <f>IF(Deltagarlista!$K$3=2,"R/B",IF(Deltagarlista!$K$3=3,"Grön",IF(Deltagarlista!$K$3=4,"Gr/B","")))</f>
        <v/>
      </c>
      <c r="O141" s="174" t="str">
        <f>IF(Deltagarlista!$K$3=2,"Gr/R",IF(Deltagarlista!$K$3=3,"Röd",IF(Deltagarlista!$K$3=4,"Gu/R","")))</f>
        <v/>
      </c>
      <c r="P141" s="174" t="str">
        <f>IF(Deltagarlista!$K$3=2,"B/Gr",IF(Deltagarlista!$K$3=3,"Grön",IF(Deltagarlista!$K$3=4,"R/B","")))</f>
        <v/>
      </c>
      <c r="Q141" s="175" t="str">
        <f>IF(Deltagarlista!$K$3=2,"R/B",IF(Deltagarlista!$K$3=3,"Röd",IF(Deltagarlista!$K$3=4,"Gu/Gr","")))</f>
        <v/>
      </c>
      <c r="R141" s="176" t="s">
        <v>46</v>
      </c>
      <c r="S141" s="129"/>
      <c r="T141" s="129"/>
      <c r="U141" s="129"/>
      <c r="V141" s="129"/>
      <c r="W141" s="129"/>
      <c r="X141" s="129"/>
      <c r="Y141" s="129"/>
      <c r="Z141" s="129"/>
      <c r="AA141" s="129"/>
      <c r="AB141" s="129"/>
      <c r="AC141" s="129"/>
      <c r="AD141" s="129"/>
      <c r="AE141" s="129"/>
      <c r="AF141" s="129"/>
      <c r="AG141" s="129"/>
      <c r="AH141" s="166"/>
      <c r="AI141" s="129"/>
      <c r="AJ141" s="129"/>
      <c r="AK141" s="129"/>
      <c r="AL141" s="129"/>
      <c r="AM141" s="129"/>
      <c r="AN141" s="129"/>
      <c r="AO141" s="129"/>
      <c r="AP141" s="129"/>
      <c r="AQ141" s="129"/>
      <c r="AR141" s="129"/>
      <c r="AS141" s="129"/>
      <c r="AT141" s="129"/>
      <c r="AU141" s="129"/>
      <c r="AV141" s="129"/>
      <c r="AW141" s="129"/>
      <c r="BN141" s="167"/>
    </row>
    <row r="142" spans="2:66" ht="20.399999999999999" customHeight="1" thickBot="1" x14ac:dyDescent="0.35">
      <c r="B142" s="178" t="s">
        <v>0</v>
      </c>
      <c r="C142" s="179" t="str">
        <f>IF(OR(Deltagarlista!$K$3=4,Deltagarlista!$K$3=3),"","46")</f>
        <v>46</v>
      </c>
      <c r="D142" s="179" t="str">
        <f>IF(OR(Deltagarlista!$K$3=4,Deltagarlista!$K$3=3),"24","47")</f>
        <v>47</v>
      </c>
      <c r="E142" s="179" t="str">
        <f>IF(OR(Deltagarlista!$K$3=4,Deltagarlista!$K$3=3),"","48")</f>
        <v>48</v>
      </c>
      <c r="F142" s="179" t="str">
        <f>IF(OR(Deltagarlista!$K$3=4,Deltagarlista!$K$3=3),"25","49")</f>
        <v>49</v>
      </c>
      <c r="G142" s="179" t="str">
        <f>IF(OR(Deltagarlista!$K$3=4,Deltagarlista!$K$3=3),"","50")</f>
        <v>50</v>
      </c>
      <c r="H142" s="179" t="str">
        <f>IF(OR(Deltagarlista!$K$3=4,Deltagarlista!$K$3=3),"26","51")</f>
        <v>51</v>
      </c>
      <c r="I142" s="179" t="str">
        <f>IF(OR(Deltagarlista!$K$3=4,Deltagarlista!$K$3=3),"","52")</f>
        <v>52</v>
      </c>
      <c r="J142" s="179" t="str">
        <f>IF(OR(Deltagarlista!$K$3=4,Deltagarlista!$K$3=3),"27","53")</f>
        <v>53</v>
      </c>
      <c r="K142" s="179" t="str">
        <f>IF(OR(Deltagarlista!$K$3=4,Deltagarlista!$K$3=3),"","54")</f>
        <v>54</v>
      </c>
      <c r="L142" s="179" t="str">
        <f>IF(OR(Deltagarlista!$K$3=4,Deltagarlista!$K$3=3),"28","55")</f>
        <v>55</v>
      </c>
      <c r="M142" s="179" t="str">
        <f>IF(OR(Deltagarlista!$K$3=4,Deltagarlista!$K$3=3),"","56")</f>
        <v>56</v>
      </c>
      <c r="N142" s="179" t="str">
        <f>IF(OR(Deltagarlista!$K$3=4,Deltagarlista!$K$3=3),"29","57")</f>
        <v>57</v>
      </c>
      <c r="O142" s="179" t="str">
        <f>IF(OR(Deltagarlista!$K$3=4,Deltagarlista!$K$3=3),"","58")</f>
        <v>58</v>
      </c>
      <c r="P142" s="179" t="str">
        <f>IF(OR(Deltagarlista!$K$3=4,Deltagarlista!$K$3=3),"30","59")</f>
        <v>59</v>
      </c>
      <c r="Q142" s="179" t="str">
        <f>IF(OR(Deltagarlista!$K$3=4,Deltagarlista!$K$3=3),"","60")</f>
        <v>60</v>
      </c>
      <c r="R142" s="178" t="s">
        <v>0</v>
      </c>
      <c r="S142" s="129"/>
      <c r="T142" s="129"/>
      <c r="U142" s="129"/>
      <c r="V142" s="129"/>
      <c r="W142" s="129"/>
      <c r="X142" s="129"/>
      <c r="Y142" s="129"/>
      <c r="Z142" s="129"/>
      <c r="AA142" s="129"/>
      <c r="AB142" s="129"/>
      <c r="AC142" s="129"/>
      <c r="AD142" s="129"/>
      <c r="AE142" s="129"/>
      <c r="AF142" s="129"/>
      <c r="AG142" s="129"/>
      <c r="AH142" s="166"/>
      <c r="AI142" s="129"/>
      <c r="AJ142" s="129"/>
      <c r="AK142" s="129"/>
      <c r="AL142" s="129"/>
      <c r="AM142" s="129"/>
      <c r="AN142" s="129"/>
      <c r="AO142" s="129"/>
      <c r="AP142" s="129"/>
      <c r="AQ142" s="129"/>
      <c r="AR142" s="129"/>
      <c r="AS142" s="129"/>
      <c r="AT142" s="129"/>
      <c r="AU142" s="129"/>
      <c r="AV142" s="129"/>
      <c r="AW142" s="129"/>
      <c r="AY142" s="162">
        <f t="shared" ref="AY142" si="110">IF(SUM(AY143:AY180)&lt;&gt;COUNT(C143:C180),0,1)</f>
        <v>1</v>
      </c>
      <c r="AZ142" s="162">
        <f t="shared" ref="AZ142" si="111">IF(SUM(AZ143:AZ180)&lt;&gt;COUNT(D143:D180),0,1)</f>
        <v>1</v>
      </c>
      <c r="BA142" s="162">
        <f t="shared" ref="BA142" si="112">IF(SUM(BA143:BA180)&lt;&gt;COUNT(E143:E180),0,1)</f>
        <v>1</v>
      </c>
      <c r="BB142" s="162">
        <f t="shared" ref="BB142" si="113">IF(SUM(BB143:BB180)&lt;&gt;COUNT(F143:F180),0,1)</f>
        <v>1</v>
      </c>
      <c r="BC142" s="162">
        <f t="shared" ref="BC142" si="114">IF(SUM(BC143:BC180)&lt;&gt;COUNT(G143:G180),0,1)</f>
        <v>1</v>
      </c>
      <c r="BD142" s="162">
        <f t="shared" ref="BD142" si="115">IF(SUM(BD143:BD180)&lt;&gt;COUNT(H143:H180),0,1)</f>
        <v>1</v>
      </c>
      <c r="BE142" s="162">
        <f t="shared" ref="BE142" si="116">IF(SUM(BE143:BE180)&lt;&gt;COUNT(I143:I180),0,1)</f>
        <v>1</v>
      </c>
      <c r="BF142" s="162">
        <f t="shared" ref="BF142" si="117">IF(SUM(BF143:BF180)&lt;&gt;COUNT(J143:J180),0,1)</f>
        <v>1</v>
      </c>
      <c r="BG142" s="162">
        <f t="shared" ref="BG142" si="118">IF(SUM(BG143:BG180)&lt;&gt;COUNT(K143:K180),0,1)</f>
        <v>1</v>
      </c>
      <c r="BH142" s="162">
        <f t="shared" ref="BH142" si="119">IF(SUM(BH143:BH180)&lt;&gt;COUNT(L143:L180),0,1)</f>
        <v>1</v>
      </c>
      <c r="BI142" s="162">
        <f t="shared" ref="BI142" si="120">IF(SUM(BI143:BI180)&lt;&gt;COUNT(M143:M180),0,1)</f>
        <v>1</v>
      </c>
      <c r="BJ142" s="162">
        <f t="shared" ref="BJ142" si="121">IF(SUM(BJ143:BJ180)&lt;&gt;COUNT(N143:N180),0,1)</f>
        <v>1</v>
      </c>
      <c r="BK142" s="162">
        <f t="shared" ref="BK142" si="122">IF(SUM(BK143:BK180)&lt;&gt;COUNT(O143:O180),0,1)</f>
        <v>1</v>
      </c>
      <c r="BL142" s="162">
        <f t="shared" ref="BL142" si="123">IF(SUM(BL143:BL180)&lt;&gt;COUNT(P143:P180),0,1)</f>
        <v>1</v>
      </c>
      <c r="BM142" s="162">
        <f t="shared" ref="BM142" si="124">IF(SUM(BM143:BM180)&lt;&gt;COUNT(Q143:Q180),0,1)</f>
        <v>1</v>
      </c>
      <c r="BN142" s="167"/>
    </row>
    <row r="143" spans="2:66" x14ac:dyDescent="0.3">
      <c r="B143" s="186">
        <v>1</v>
      </c>
      <c r="C143" s="24"/>
      <c r="D143" s="25"/>
      <c r="E143" s="37"/>
      <c r="F143" s="24"/>
      <c r="G143" s="25"/>
      <c r="H143" s="26"/>
      <c r="I143" s="40"/>
      <c r="J143" s="25"/>
      <c r="K143" s="37"/>
      <c r="L143" s="24"/>
      <c r="M143" s="25"/>
      <c r="N143" s="26"/>
      <c r="O143" s="40"/>
      <c r="P143" s="25"/>
      <c r="Q143" s="26"/>
      <c r="R143" s="187">
        <v>1</v>
      </c>
      <c r="S143" s="188">
        <v>1</v>
      </c>
      <c r="T143" s="188">
        <v>1</v>
      </c>
      <c r="U143" s="188">
        <v>1</v>
      </c>
      <c r="V143" s="188">
        <v>1</v>
      </c>
      <c r="W143" s="188">
        <v>1</v>
      </c>
      <c r="X143" s="188">
        <v>1</v>
      </c>
      <c r="Y143" s="188">
        <v>1</v>
      </c>
      <c r="Z143" s="188">
        <v>1</v>
      </c>
      <c r="AA143" s="188">
        <v>1</v>
      </c>
      <c r="AB143" s="188">
        <v>1</v>
      </c>
      <c r="AC143" s="188">
        <v>1</v>
      </c>
      <c r="AD143" s="188">
        <v>1</v>
      </c>
      <c r="AE143" s="188">
        <v>1</v>
      </c>
      <c r="AF143" s="188">
        <v>1</v>
      </c>
      <c r="AG143" s="188">
        <v>1</v>
      </c>
      <c r="AH143" s="166"/>
      <c r="AI143" s="129">
        <f t="shared" ref="AI143:AI180" si="125">C143</f>
        <v>0</v>
      </c>
      <c r="AJ143" s="129">
        <f t="shared" ref="AJ143:AJ180" si="126">D143</f>
        <v>0</v>
      </c>
      <c r="AK143" s="129">
        <f t="shared" ref="AK143:AK180" si="127">E143</f>
        <v>0</v>
      </c>
      <c r="AL143" s="129">
        <f t="shared" ref="AL143:AL180" si="128">F143</f>
        <v>0</v>
      </c>
      <c r="AM143" s="129">
        <f t="shared" ref="AM143:AM180" si="129">G143</f>
        <v>0</v>
      </c>
      <c r="AN143" s="129">
        <f t="shared" ref="AN143:AN180" si="130">H143</f>
        <v>0</v>
      </c>
      <c r="AO143" s="129">
        <f t="shared" ref="AO143:AO180" si="131">I143</f>
        <v>0</v>
      </c>
      <c r="AP143" s="129">
        <f t="shared" ref="AP143:AP180" si="132">J143</f>
        <v>0</v>
      </c>
      <c r="AQ143" s="129">
        <f t="shared" ref="AQ143:AQ180" si="133">K143</f>
        <v>0</v>
      </c>
      <c r="AR143" s="129">
        <f t="shared" ref="AR143:AR180" si="134">L143</f>
        <v>0</v>
      </c>
      <c r="AS143" s="129">
        <f t="shared" ref="AS143:AS180" si="135">M143</f>
        <v>0</v>
      </c>
      <c r="AT143" s="129">
        <f t="shared" ref="AT143:AT180" si="136">N143</f>
        <v>0</v>
      </c>
      <c r="AU143" s="129">
        <f t="shared" ref="AU143:AU180" si="137">O143</f>
        <v>0</v>
      </c>
      <c r="AV143" s="129">
        <f t="shared" ref="AV143:AV180" si="138">P143</f>
        <v>0</v>
      </c>
      <c r="AW143" s="129">
        <f t="shared" ref="AW143:AW180" si="139">Q143</f>
        <v>0</v>
      </c>
      <c r="AY143" s="162" t="str">
        <f>IF(ISBLANK(C143),"",NOT(ISERROR(MATCH(C143,Deltagarlista!$E$5:$E$64,0))))</f>
        <v/>
      </c>
      <c r="AZ143" s="162" t="str">
        <f>IF(ISBLANK(D143),"",NOT(ISERROR(MATCH(D143,Deltagarlista!$E$5:$E$64,0))))</f>
        <v/>
      </c>
      <c r="BA143" s="162" t="str">
        <f>IF(ISBLANK(E143),"",NOT(ISERROR(MATCH(E143,Deltagarlista!$E$5:$E$64,0))))</f>
        <v/>
      </c>
      <c r="BB143" s="162" t="str">
        <f>IF(ISBLANK(F143),"",NOT(ISERROR(MATCH(F143,Deltagarlista!$E$5:$E$64,0))))</f>
        <v/>
      </c>
      <c r="BC143" s="162" t="str">
        <f>IF(ISBLANK(G143),"",NOT(ISERROR(MATCH(G143,Deltagarlista!$E$5:$E$64,0))))</f>
        <v/>
      </c>
      <c r="BD143" s="162" t="str">
        <f>IF(ISBLANK(H143),"",NOT(ISERROR(MATCH(H143,Deltagarlista!$E$5:$E$64,0))))</f>
        <v/>
      </c>
      <c r="BE143" s="162" t="str">
        <f>IF(ISBLANK(I143),"",NOT(ISERROR(MATCH(I143,Deltagarlista!$E$5:$E$64,0))))</f>
        <v/>
      </c>
      <c r="BF143" s="162" t="str">
        <f>IF(ISBLANK(J143),"",NOT(ISERROR(MATCH(J143,Deltagarlista!$E$5:$E$64,0))))</f>
        <v/>
      </c>
      <c r="BG143" s="162" t="str">
        <f>IF(ISBLANK(K143),"",NOT(ISERROR(MATCH(K143,Deltagarlista!$E$5:$E$64,0))))</f>
        <v/>
      </c>
      <c r="BH143" s="162" t="str">
        <f>IF(ISBLANK(L143),"",NOT(ISERROR(MATCH(L143,Deltagarlista!$E$5:$E$64,0))))</f>
        <v/>
      </c>
      <c r="BI143" s="162" t="str">
        <f>IF(ISBLANK(M143),"",NOT(ISERROR(MATCH(M143,Deltagarlista!$E$5:$E$64,0))))</f>
        <v/>
      </c>
      <c r="BJ143" s="162" t="str">
        <f>IF(ISBLANK(N143),"",NOT(ISERROR(MATCH(N143,Deltagarlista!$E$5:$E$64,0))))</f>
        <v/>
      </c>
      <c r="BK143" s="162" t="str">
        <f>IF(ISBLANK(O143),"",NOT(ISERROR(MATCH(O143,Deltagarlista!$E$5:$E$64,0))))</f>
        <v/>
      </c>
      <c r="BL143" s="162" t="str">
        <f>IF(ISBLANK(P143),"",NOT(ISERROR(MATCH(P143,Deltagarlista!$E$5:$E$64,0))))</f>
        <v/>
      </c>
      <c r="BM143" s="162" t="str">
        <f>IF(ISBLANK(Q143),"",NOT(ISERROR(MATCH(Q143,Deltagarlista!$E$5:$E$64,0))))</f>
        <v/>
      </c>
      <c r="BN143" s="167"/>
    </row>
    <row r="144" spans="2:66" x14ac:dyDescent="0.3">
      <c r="B144" s="186">
        <v>2</v>
      </c>
      <c r="C144" s="27"/>
      <c r="D144" s="28"/>
      <c r="E144" s="38"/>
      <c r="F144" s="27"/>
      <c r="G144" s="28"/>
      <c r="H144" s="29"/>
      <c r="I144" s="41"/>
      <c r="J144" s="28"/>
      <c r="K144" s="38"/>
      <c r="L144" s="27"/>
      <c r="M144" s="28"/>
      <c r="N144" s="29"/>
      <c r="O144" s="41"/>
      <c r="P144" s="28"/>
      <c r="Q144" s="29"/>
      <c r="R144" s="187">
        <v>2</v>
      </c>
      <c r="S144" s="188">
        <v>2</v>
      </c>
      <c r="T144" s="188">
        <v>2</v>
      </c>
      <c r="U144" s="188">
        <v>2</v>
      </c>
      <c r="V144" s="188">
        <v>2</v>
      </c>
      <c r="W144" s="188">
        <v>2</v>
      </c>
      <c r="X144" s="188">
        <v>2</v>
      </c>
      <c r="Y144" s="188">
        <v>2</v>
      </c>
      <c r="Z144" s="188">
        <v>2</v>
      </c>
      <c r="AA144" s="188">
        <v>2</v>
      </c>
      <c r="AB144" s="188">
        <v>2</v>
      </c>
      <c r="AC144" s="188">
        <v>2</v>
      </c>
      <c r="AD144" s="188">
        <v>2</v>
      </c>
      <c r="AE144" s="188">
        <v>2</v>
      </c>
      <c r="AF144" s="188">
        <v>2</v>
      </c>
      <c r="AG144" s="188">
        <v>2</v>
      </c>
      <c r="AH144" s="166"/>
      <c r="AI144" s="129">
        <f t="shared" si="125"/>
        <v>0</v>
      </c>
      <c r="AJ144" s="129">
        <f t="shared" si="126"/>
        <v>0</v>
      </c>
      <c r="AK144" s="129">
        <f t="shared" si="127"/>
        <v>0</v>
      </c>
      <c r="AL144" s="129">
        <f t="shared" si="128"/>
        <v>0</v>
      </c>
      <c r="AM144" s="129">
        <f t="shared" si="129"/>
        <v>0</v>
      </c>
      <c r="AN144" s="129">
        <f t="shared" si="130"/>
        <v>0</v>
      </c>
      <c r="AO144" s="129">
        <f t="shared" si="131"/>
        <v>0</v>
      </c>
      <c r="AP144" s="129">
        <f t="shared" si="132"/>
        <v>0</v>
      </c>
      <c r="AQ144" s="129">
        <f t="shared" si="133"/>
        <v>0</v>
      </c>
      <c r="AR144" s="129">
        <f t="shared" si="134"/>
        <v>0</v>
      </c>
      <c r="AS144" s="129">
        <f t="shared" si="135"/>
        <v>0</v>
      </c>
      <c r="AT144" s="129">
        <f t="shared" si="136"/>
        <v>0</v>
      </c>
      <c r="AU144" s="129">
        <f t="shared" si="137"/>
        <v>0</v>
      </c>
      <c r="AV144" s="129">
        <f t="shared" si="138"/>
        <v>0</v>
      </c>
      <c r="AW144" s="129">
        <f t="shared" si="139"/>
        <v>0</v>
      </c>
      <c r="AY144" s="162" t="str">
        <f>IF(ISBLANK(C144),"",NOT(ISERROR(MATCH(C144,Deltagarlista!$E$5:$E$64,0))))</f>
        <v/>
      </c>
      <c r="AZ144" s="162" t="str">
        <f>IF(ISBLANK(D144),"",NOT(ISERROR(MATCH(D144,Deltagarlista!$E$5:$E$64,0))))</f>
        <v/>
      </c>
      <c r="BA144" s="162" t="str">
        <f>IF(ISBLANK(E144),"",NOT(ISERROR(MATCH(E144,Deltagarlista!$E$5:$E$64,0))))</f>
        <v/>
      </c>
      <c r="BB144" s="162" t="str">
        <f>IF(ISBLANK(F144),"",NOT(ISERROR(MATCH(F144,Deltagarlista!$E$5:$E$64,0))))</f>
        <v/>
      </c>
      <c r="BC144" s="162" t="str">
        <f>IF(ISBLANK(G144),"",NOT(ISERROR(MATCH(G144,Deltagarlista!$E$5:$E$64,0))))</f>
        <v/>
      </c>
      <c r="BD144" s="162" t="str">
        <f>IF(ISBLANK(H144),"",NOT(ISERROR(MATCH(H144,Deltagarlista!$E$5:$E$64,0))))</f>
        <v/>
      </c>
      <c r="BE144" s="162" t="str">
        <f>IF(ISBLANK(I144),"",NOT(ISERROR(MATCH(I144,Deltagarlista!$E$5:$E$64,0))))</f>
        <v/>
      </c>
      <c r="BF144" s="162" t="str">
        <f>IF(ISBLANK(J144),"",NOT(ISERROR(MATCH(J144,Deltagarlista!$E$5:$E$64,0))))</f>
        <v/>
      </c>
      <c r="BG144" s="162" t="str">
        <f>IF(ISBLANK(K144),"",NOT(ISERROR(MATCH(K144,Deltagarlista!$E$5:$E$64,0))))</f>
        <v/>
      </c>
      <c r="BH144" s="162" t="str">
        <f>IF(ISBLANK(L144),"",NOT(ISERROR(MATCH(L144,Deltagarlista!$E$5:$E$64,0))))</f>
        <v/>
      </c>
      <c r="BI144" s="162" t="str">
        <f>IF(ISBLANK(M144),"",NOT(ISERROR(MATCH(M144,Deltagarlista!$E$5:$E$64,0))))</f>
        <v/>
      </c>
      <c r="BJ144" s="162" t="str">
        <f>IF(ISBLANK(N144),"",NOT(ISERROR(MATCH(N144,Deltagarlista!$E$5:$E$64,0))))</f>
        <v/>
      </c>
      <c r="BK144" s="162" t="str">
        <f>IF(ISBLANK(O144),"",NOT(ISERROR(MATCH(O144,Deltagarlista!$E$5:$E$64,0))))</f>
        <v/>
      </c>
      <c r="BL144" s="162" t="str">
        <f>IF(ISBLANK(P144),"",NOT(ISERROR(MATCH(P144,Deltagarlista!$E$5:$E$64,0))))</f>
        <v/>
      </c>
      <c r="BM144" s="162" t="str">
        <f>IF(ISBLANK(Q144),"",NOT(ISERROR(MATCH(Q144,Deltagarlista!$E$5:$E$64,0))))</f>
        <v/>
      </c>
      <c r="BN144" s="167"/>
    </row>
    <row r="145" spans="2:66" x14ac:dyDescent="0.3">
      <c r="B145" s="186">
        <v>3</v>
      </c>
      <c r="C145" s="27"/>
      <c r="D145" s="28"/>
      <c r="E145" s="38"/>
      <c r="F145" s="27"/>
      <c r="G145" s="28"/>
      <c r="H145" s="29"/>
      <c r="I145" s="41"/>
      <c r="J145" s="28"/>
      <c r="K145" s="38"/>
      <c r="L145" s="27"/>
      <c r="M145" s="28"/>
      <c r="N145" s="29"/>
      <c r="O145" s="41"/>
      <c r="P145" s="28"/>
      <c r="Q145" s="29"/>
      <c r="R145" s="187">
        <v>3</v>
      </c>
      <c r="S145" s="188">
        <v>3</v>
      </c>
      <c r="T145" s="188">
        <v>3</v>
      </c>
      <c r="U145" s="188">
        <v>3</v>
      </c>
      <c r="V145" s="188">
        <v>3</v>
      </c>
      <c r="W145" s="188">
        <v>3</v>
      </c>
      <c r="X145" s="188">
        <v>3</v>
      </c>
      <c r="Y145" s="188">
        <v>3</v>
      </c>
      <c r="Z145" s="188">
        <v>3</v>
      </c>
      <c r="AA145" s="188">
        <v>3</v>
      </c>
      <c r="AB145" s="188">
        <v>3</v>
      </c>
      <c r="AC145" s="188">
        <v>3</v>
      </c>
      <c r="AD145" s="188">
        <v>3</v>
      </c>
      <c r="AE145" s="188">
        <v>3</v>
      </c>
      <c r="AF145" s="188">
        <v>3</v>
      </c>
      <c r="AG145" s="188">
        <v>3</v>
      </c>
      <c r="AH145" s="166"/>
      <c r="AI145" s="129">
        <f t="shared" si="125"/>
        <v>0</v>
      </c>
      <c r="AJ145" s="129">
        <f t="shared" si="126"/>
        <v>0</v>
      </c>
      <c r="AK145" s="129">
        <f t="shared" si="127"/>
        <v>0</v>
      </c>
      <c r="AL145" s="129">
        <f t="shared" si="128"/>
        <v>0</v>
      </c>
      <c r="AM145" s="129">
        <f t="shared" si="129"/>
        <v>0</v>
      </c>
      <c r="AN145" s="129">
        <f t="shared" si="130"/>
        <v>0</v>
      </c>
      <c r="AO145" s="129">
        <f t="shared" si="131"/>
        <v>0</v>
      </c>
      <c r="AP145" s="129">
        <f t="shared" si="132"/>
        <v>0</v>
      </c>
      <c r="AQ145" s="129">
        <f t="shared" si="133"/>
        <v>0</v>
      </c>
      <c r="AR145" s="129">
        <f t="shared" si="134"/>
        <v>0</v>
      </c>
      <c r="AS145" s="129">
        <f t="shared" si="135"/>
        <v>0</v>
      </c>
      <c r="AT145" s="129">
        <f t="shared" si="136"/>
        <v>0</v>
      </c>
      <c r="AU145" s="129">
        <f t="shared" si="137"/>
        <v>0</v>
      </c>
      <c r="AV145" s="129">
        <f t="shared" si="138"/>
        <v>0</v>
      </c>
      <c r="AW145" s="129">
        <f t="shared" si="139"/>
        <v>0</v>
      </c>
      <c r="AY145" s="162" t="str">
        <f>IF(ISBLANK(C145),"",NOT(ISERROR(MATCH(C145,Deltagarlista!$E$5:$E$64,0))))</f>
        <v/>
      </c>
      <c r="AZ145" s="162" t="str">
        <f>IF(ISBLANK(D145),"",NOT(ISERROR(MATCH(D145,Deltagarlista!$E$5:$E$64,0))))</f>
        <v/>
      </c>
      <c r="BA145" s="162" t="str">
        <f>IF(ISBLANK(E145),"",NOT(ISERROR(MATCH(E145,Deltagarlista!$E$5:$E$64,0))))</f>
        <v/>
      </c>
      <c r="BB145" s="162" t="str">
        <f>IF(ISBLANK(F145),"",NOT(ISERROR(MATCH(F145,Deltagarlista!$E$5:$E$64,0))))</f>
        <v/>
      </c>
      <c r="BC145" s="162" t="str">
        <f>IF(ISBLANK(G145),"",NOT(ISERROR(MATCH(G145,Deltagarlista!$E$5:$E$64,0))))</f>
        <v/>
      </c>
      <c r="BD145" s="162" t="str">
        <f>IF(ISBLANK(H145),"",NOT(ISERROR(MATCH(H145,Deltagarlista!$E$5:$E$64,0))))</f>
        <v/>
      </c>
      <c r="BE145" s="162" t="str">
        <f>IF(ISBLANK(I145),"",NOT(ISERROR(MATCH(I145,Deltagarlista!$E$5:$E$64,0))))</f>
        <v/>
      </c>
      <c r="BF145" s="162" t="str">
        <f>IF(ISBLANK(J145),"",NOT(ISERROR(MATCH(J145,Deltagarlista!$E$5:$E$64,0))))</f>
        <v/>
      </c>
      <c r="BG145" s="162" t="str">
        <f>IF(ISBLANK(K145),"",NOT(ISERROR(MATCH(K145,Deltagarlista!$E$5:$E$64,0))))</f>
        <v/>
      </c>
      <c r="BH145" s="162" t="str">
        <f>IF(ISBLANK(L145),"",NOT(ISERROR(MATCH(L145,Deltagarlista!$E$5:$E$64,0))))</f>
        <v/>
      </c>
      <c r="BI145" s="162" t="str">
        <f>IF(ISBLANK(M145),"",NOT(ISERROR(MATCH(M145,Deltagarlista!$E$5:$E$64,0))))</f>
        <v/>
      </c>
      <c r="BJ145" s="162" t="str">
        <f>IF(ISBLANK(N145),"",NOT(ISERROR(MATCH(N145,Deltagarlista!$E$5:$E$64,0))))</f>
        <v/>
      </c>
      <c r="BK145" s="162" t="str">
        <f>IF(ISBLANK(O145),"",NOT(ISERROR(MATCH(O145,Deltagarlista!$E$5:$E$64,0))))</f>
        <v/>
      </c>
      <c r="BL145" s="162" t="str">
        <f>IF(ISBLANK(P145),"",NOT(ISERROR(MATCH(P145,Deltagarlista!$E$5:$E$64,0))))</f>
        <v/>
      </c>
      <c r="BM145" s="162" t="str">
        <f>IF(ISBLANK(Q145),"",NOT(ISERROR(MATCH(Q145,Deltagarlista!$E$5:$E$64,0))))</f>
        <v/>
      </c>
      <c r="BN145" s="167"/>
    </row>
    <row r="146" spans="2:66" x14ac:dyDescent="0.3">
      <c r="B146" s="186">
        <v>4</v>
      </c>
      <c r="C146" s="27"/>
      <c r="D146" s="28"/>
      <c r="E146" s="38"/>
      <c r="F146" s="27"/>
      <c r="G146" s="28"/>
      <c r="H146" s="29"/>
      <c r="I146" s="41"/>
      <c r="J146" s="28"/>
      <c r="K146" s="38"/>
      <c r="L146" s="27"/>
      <c r="M146" s="28"/>
      <c r="N146" s="29"/>
      <c r="O146" s="41"/>
      <c r="P146" s="28"/>
      <c r="Q146" s="29"/>
      <c r="R146" s="187">
        <v>4</v>
      </c>
      <c r="S146" s="188">
        <v>4</v>
      </c>
      <c r="T146" s="188">
        <v>4</v>
      </c>
      <c r="U146" s="188">
        <v>4</v>
      </c>
      <c r="V146" s="188">
        <v>4</v>
      </c>
      <c r="W146" s="188">
        <v>4</v>
      </c>
      <c r="X146" s="188">
        <v>4</v>
      </c>
      <c r="Y146" s="188">
        <v>4</v>
      </c>
      <c r="Z146" s="188">
        <v>4</v>
      </c>
      <c r="AA146" s="188">
        <v>4</v>
      </c>
      <c r="AB146" s="188">
        <v>4</v>
      </c>
      <c r="AC146" s="188">
        <v>4</v>
      </c>
      <c r="AD146" s="188">
        <v>4</v>
      </c>
      <c r="AE146" s="188">
        <v>4</v>
      </c>
      <c r="AF146" s="188">
        <v>4</v>
      </c>
      <c r="AG146" s="188">
        <v>4</v>
      </c>
      <c r="AH146" s="166"/>
      <c r="AI146" s="129">
        <f t="shared" si="125"/>
        <v>0</v>
      </c>
      <c r="AJ146" s="129">
        <f t="shared" si="126"/>
        <v>0</v>
      </c>
      <c r="AK146" s="129">
        <f t="shared" si="127"/>
        <v>0</v>
      </c>
      <c r="AL146" s="129">
        <f t="shared" si="128"/>
        <v>0</v>
      </c>
      <c r="AM146" s="129">
        <f t="shared" si="129"/>
        <v>0</v>
      </c>
      <c r="AN146" s="129">
        <f t="shared" si="130"/>
        <v>0</v>
      </c>
      <c r="AO146" s="129">
        <f t="shared" si="131"/>
        <v>0</v>
      </c>
      <c r="AP146" s="129">
        <f t="shared" si="132"/>
        <v>0</v>
      </c>
      <c r="AQ146" s="129">
        <f t="shared" si="133"/>
        <v>0</v>
      </c>
      <c r="AR146" s="129">
        <f t="shared" si="134"/>
        <v>0</v>
      </c>
      <c r="AS146" s="129">
        <f t="shared" si="135"/>
        <v>0</v>
      </c>
      <c r="AT146" s="129">
        <f t="shared" si="136"/>
        <v>0</v>
      </c>
      <c r="AU146" s="129">
        <f t="shared" si="137"/>
        <v>0</v>
      </c>
      <c r="AV146" s="129">
        <f t="shared" si="138"/>
        <v>0</v>
      </c>
      <c r="AW146" s="129">
        <f t="shared" si="139"/>
        <v>0</v>
      </c>
      <c r="AY146" s="162" t="str">
        <f>IF(ISBLANK(C146),"",NOT(ISERROR(MATCH(C146,Deltagarlista!$E$5:$E$64,0))))</f>
        <v/>
      </c>
      <c r="AZ146" s="162" t="str">
        <f>IF(ISBLANK(D146),"",NOT(ISERROR(MATCH(D146,Deltagarlista!$E$5:$E$64,0))))</f>
        <v/>
      </c>
      <c r="BA146" s="162" t="str">
        <f>IF(ISBLANK(E146),"",NOT(ISERROR(MATCH(E146,Deltagarlista!$E$5:$E$64,0))))</f>
        <v/>
      </c>
      <c r="BB146" s="162" t="str">
        <f>IF(ISBLANK(F146),"",NOT(ISERROR(MATCH(F146,Deltagarlista!$E$5:$E$64,0))))</f>
        <v/>
      </c>
      <c r="BC146" s="162" t="str">
        <f>IF(ISBLANK(G146),"",NOT(ISERROR(MATCH(G146,Deltagarlista!$E$5:$E$64,0))))</f>
        <v/>
      </c>
      <c r="BD146" s="162" t="str">
        <f>IF(ISBLANK(H146),"",NOT(ISERROR(MATCH(H146,Deltagarlista!$E$5:$E$64,0))))</f>
        <v/>
      </c>
      <c r="BE146" s="162" t="str">
        <f>IF(ISBLANK(I146),"",NOT(ISERROR(MATCH(I146,Deltagarlista!$E$5:$E$64,0))))</f>
        <v/>
      </c>
      <c r="BF146" s="162" t="str">
        <f>IF(ISBLANK(J146),"",NOT(ISERROR(MATCH(J146,Deltagarlista!$E$5:$E$64,0))))</f>
        <v/>
      </c>
      <c r="BG146" s="162" t="str">
        <f>IF(ISBLANK(K146),"",NOT(ISERROR(MATCH(K146,Deltagarlista!$E$5:$E$64,0))))</f>
        <v/>
      </c>
      <c r="BH146" s="162" t="str">
        <f>IF(ISBLANK(L146),"",NOT(ISERROR(MATCH(L146,Deltagarlista!$E$5:$E$64,0))))</f>
        <v/>
      </c>
      <c r="BI146" s="162" t="str">
        <f>IF(ISBLANK(M146),"",NOT(ISERROR(MATCH(M146,Deltagarlista!$E$5:$E$64,0))))</f>
        <v/>
      </c>
      <c r="BJ146" s="162" t="str">
        <f>IF(ISBLANK(N146),"",NOT(ISERROR(MATCH(N146,Deltagarlista!$E$5:$E$64,0))))</f>
        <v/>
      </c>
      <c r="BK146" s="162" t="str">
        <f>IF(ISBLANK(O146),"",NOT(ISERROR(MATCH(O146,Deltagarlista!$E$5:$E$64,0))))</f>
        <v/>
      </c>
      <c r="BL146" s="162" t="str">
        <f>IF(ISBLANK(P146),"",NOT(ISERROR(MATCH(P146,Deltagarlista!$E$5:$E$64,0))))</f>
        <v/>
      </c>
      <c r="BM146" s="162" t="str">
        <f>IF(ISBLANK(Q146),"",NOT(ISERROR(MATCH(Q146,Deltagarlista!$E$5:$E$64,0))))</f>
        <v/>
      </c>
      <c r="BN146" s="167"/>
    </row>
    <row r="147" spans="2:66" x14ac:dyDescent="0.3">
      <c r="B147" s="186">
        <v>5</v>
      </c>
      <c r="C147" s="27"/>
      <c r="D147" s="28"/>
      <c r="E147" s="38"/>
      <c r="F147" s="27"/>
      <c r="G147" s="28"/>
      <c r="H147" s="29"/>
      <c r="I147" s="41"/>
      <c r="J147" s="28"/>
      <c r="K147" s="38"/>
      <c r="L147" s="27"/>
      <c r="M147" s="28"/>
      <c r="N147" s="29"/>
      <c r="O147" s="41"/>
      <c r="P147" s="28"/>
      <c r="Q147" s="29"/>
      <c r="R147" s="187">
        <v>5</v>
      </c>
      <c r="S147" s="188">
        <v>5</v>
      </c>
      <c r="T147" s="188">
        <v>5</v>
      </c>
      <c r="U147" s="188">
        <v>5</v>
      </c>
      <c r="V147" s="188">
        <v>5</v>
      </c>
      <c r="W147" s="188">
        <v>5</v>
      </c>
      <c r="X147" s="188">
        <v>5</v>
      </c>
      <c r="Y147" s="188">
        <v>5</v>
      </c>
      <c r="Z147" s="188">
        <v>5</v>
      </c>
      <c r="AA147" s="188">
        <v>5</v>
      </c>
      <c r="AB147" s="188">
        <v>5</v>
      </c>
      <c r="AC147" s="188">
        <v>5</v>
      </c>
      <c r="AD147" s="188">
        <v>5</v>
      </c>
      <c r="AE147" s="188">
        <v>5</v>
      </c>
      <c r="AF147" s="188">
        <v>5</v>
      </c>
      <c r="AG147" s="188">
        <v>5</v>
      </c>
      <c r="AH147" s="166"/>
      <c r="AI147" s="129">
        <f t="shared" si="125"/>
        <v>0</v>
      </c>
      <c r="AJ147" s="129">
        <f t="shared" si="126"/>
        <v>0</v>
      </c>
      <c r="AK147" s="129">
        <f t="shared" si="127"/>
        <v>0</v>
      </c>
      <c r="AL147" s="129">
        <f t="shared" si="128"/>
        <v>0</v>
      </c>
      <c r="AM147" s="129">
        <f t="shared" si="129"/>
        <v>0</v>
      </c>
      <c r="AN147" s="129">
        <f t="shared" si="130"/>
        <v>0</v>
      </c>
      <c r="AO147" s="129">
        <f t="shared" si="131"/>
        <v>0</v>
      </c>
      <c r="AP147" s="129">
        <f t="shared" si="132"/>
        <v>0</v>
      </c>
      <c r="AQ147" s="129">
        <f t="shared" si="133"/>
        <v>0</v>
      </c>
      <c r="AR147" s="129">
        <f t="shared" si="134"/>
        <v>0</v>
      </c>
      <c r="AS147" s="129">
        <f t="shared" si="135"/>
        <v>0</v>
      </c>
      <c r="AT147" s="129">
        <f t="shared" si="136"/>
        <v>0</v>
      </c>
      <c r="AU147" s="129">
        <f t="shared" si="137"/>
        <v>0</v>
      </c>
      <c r="AV147" s="129">
        <f t="shared" si="138"/>
        <v>0</v>
      </c>
      <c r="AW147" s="129">
        <f t="shared" si="139"/>
        <v>0</v>
      </c>
      <c r="AY147" s="162" t="str">
        <f>IF(ISBLANK(C147),"",NOT(ISERROR(MATCH(C147,Deltagarlista!$E$5:$E$64,0))))</f>
        <v/>
      </c>
      <c r="AZ147" s="162" t="str">
        <f>IF(ISBLANK(D147),"",NOT(ISERROR(MATCH(D147,Deltagarlista!$E$5:$E$64,0))))</f>
        <v/>
      </c>
      <c r="BA147" s="162" t="str">
        <f>IF(ISBLANK(E147),"",NOT(ISERROR(MATCH(E147,Deltagarlista!$E$5:$E$64,0))))</f>
        <v/>
      </c>
      <c r="BB147" s="162" t="str">
        <f>IF(ISBLANK(F147),"",NOT(ISERROR(MATCH(F147,Deltagarlista!$E$5:$E$64,0))))</f>
        <v/>
      </c>
      <c r="BC147" s="162" t="str">
        <f>IF(ISBLANK(G147),"",NOT(ISERROR(MATCH(G147,Deltagarlista!$E$5:$E$64,0))))</f>
        <v/>
      </c>
      <c r="BD147" s="162" t="str">
        <f>IF(ISBLANK(H147),"",NOT(ISERROR(MATCH(H147,Deltagarlista!$E$5:$E$64,0))))</f>
        <v/>
      </c>
      <c r="BE147" s="162" t="str">
        <f>IF(ISBLANK(I147),"",NOT(ISERROR(MATCH(I147,Deltagarlista!$E$5:$E$64,0))))</f>
        <v/>
      </c>
      <c r="BF147" s="162" t="str">
        <f>IF(ISBLANK(J147),"",NOT(ISERROR(MATCH(J147,Deltagarlista!$E$5:$E$64,0))))</f>
        <v/>
      </c>
      <c r="BG147" s="162" t="str">
        <f>IF(ISBLANK(K147),"",NOT(ISERROR(MATCH(K147,Deltagarlista!$E$5:$E$64,0))))</f>
        <v/>
      </c>
      <c r="BH147" s="162" t="str">
        <f>IF(ISBLANK(L147),"",NOT(ISERROR(MATCH(L147,Deltagarlista!$E$5:$E$64,0))))</f>
        <v/>
      </c>
      <c r="BI147" s="162" t="str">
        <f>IF(ISBLANK(M147),"",NOT(ISERROR(MATCH(M147,Deltagarlista!$E$5:$E$64,0))))</f>
        <v/>
      </c>
      <c r="BJ147" s="162" t="str">
        <f>IF(ISBLANK(N147),"",NOT(ISERROR(MATCH(N147,Deltagarlista!$E$5:$E$64,0))))</f>
        <v/>
      </c>
      <c r="BK147" s="162" t="str">
        <f>IF(ISBLANK(O147),"",NOT(ISERROR(MATCH(O147,Deltagarlista!$E$5:$E$64,0))))</f>
        <v/>
      </c>
      <c r="BL147" s="162" t="str">
        <f>IF(ISBLANK(P147),"",NOT(ISERROR(MATCH(P147,Deltagarlista!$E$5:$E$64,0))))</f>
        <v/>
      </c>
      <c r="BM147" s="162" t="str">
        <f>IF(ISBLANK(Q147),"",NOT(ISERROR(MATCH(Q147,Deltagarlista!$E$5:$E$64,0))))</f>
        <v/>
      </c>
      <c r="BN147" s="167"/>
    </row>
    <row r="148" spans="2:66" x14ac:dyDescent="0.3">
      <c r="B148" s="186">
        <v>6</v>
      </c>
      <c r="C148" s="27"/>
      <c r="D148" s="28"/>
      <c r="E148" s="38"/>
      <c r="F148" s="27"/>
      <c r="G148" s="28"/>
      <c r="H148" s="29"/>
      <c r="I148" s="41"/>
      <c r="J148" s="28"/>
      <c r="K148" s="38"/>
      <c r="L148" s="27"/>
      <c r="M148" s="28"/>
      <c r="N148" s="29"/>
      <c r="O148" s="41"/>
      <c r="P148" s="28"/>
      <c r="Q148" s="29"/>
      <c r="R148" s="187">
        <v>6</v>
      </c>
      <c r="S148" s="188">
        <v>6</v>
      </c>
      <c r="T148" s="188">
        <v>6</v>
      </c>
      <c r="U148" s="188">
        <v>6</v>
      </c>
      <c r="V148" s="188">
        <v>6</v>
      </c>
      <c r="W148" s="188">
        <v>6</v>
      </c>
      <c r="X148" s="188">
        <v>6</v>
      </c>
      <c r="Y148" s="188">
        <v>6</v>
      </c>
      <c r="Z148" s="188">
        <v>6</v>
      </c>
      <c r="AA148" s="188">
        <v>6</v>
      </c>
      <c r="AB148" s="188">
        <v>6</v>
      </c>
      <c r="AC148" s="188">
        <v>6</v>
      </c>
      <c r="AD148" s="188">
        <v>6</v>
      </c>
      <c r="AE148" s="188">
        <v>6</v>
      </c>
      <c r="AF148" s="188">
        <v>6</v>
      </c>
      <c r="AG148" s="188">
        <v>6</v>
      </c>
      <c r="AH148" s="166"/>
      <c r="AI148" s="129">
        <f t="shared" si="125"/>
        <v>0</v>
      </c>
      <c r="AJ148" s="129">
        <f t="shared" si="126"/>
        <v>0</v>
      </c>
      <c r="AK148" s="129">
        <f t="shared" si="127"/>
        <v>0</v>
      </c>
      <c r="AL148" s="129">
        <f t="shared" si="128"/>
        <v>0</v>
      </c>
      <c r="AM148" s="129">
        <f t="shared" si="129"/>
        <v>0</v>
      </c>
      <c r="AN148" s="129">
        <f t="shared" si="130"/>
        <v>0</v>
      </c>
      <c r="AO148" s="129">
        <f t="shared" si="131"/>
        <v>0</v>
      </c>
      <c r="AP148" s="129">
        <f t="shared" si="132"/>
        <v>0</v>
      </c>
      <c r="AQ148" s="129">
        <f t="shared" si="133"/>
        <v>0</v>
      </c>
      <c r="AR148" s="129">
        <f t="shared" si="134"/>
        <v>0</v>
      </c>
      <c r="AS148" s="129">
        <f t="shared" si="135"/>
        <v>0</v>
      </c>
      <c r="AT148" s="129">
        <f t="shared" si="136"/>
        <v>0</v>
      </c>
      <c r="AU148" s="129">
        <f t="shared" si="137"/>
        <v>0</v>
      </c>
      <c r="AV148" s="129">
        <f t="shared" si="138"/>
        <v>0</v>
      </c>
      <c r="AW148" s="129">
        <f t="shared" si="139"/>
        <v>0</v>
      </c>
      <c r="AY148" s="162" t="str">
        <f>IF(ISBLANK(C148),"",NOT(ISERROR(MATCH(C148,Deltagarlista!$E$5:$E$64,0))))</f>
        <v/>
      </c>
      <c r="AZ148" s="162" t="str">
        <f>IF(ISBLANK(D148),"",NOT(ISERROR(MATCH(D148,Deltagarlista!$E$5:$E$64,0))))</f>
        <v/>
      </c>
      <c r="BA148" s="162" t="str">
        <f>IF(ISBLANK(E148),"",NOT(ISERROR(MATCH(E148,Deltagarlista!$E$5:$E$64,0))))</f>
        <v/>
      </c>
      <c r="BB148" s="162" t="str">
        <f>IF(ISBLANK(F148),"",NOT(ISERROR(MATCH(F148,Deltagarlista!$E$5:$E$64,0))))</f>
        <v/>
      </c>
      <c r="BC148" s="162" t="str">
        <f>IF(ISBLANK(G148),"",NOT(ISERROR(MATCH(G148,Deltagarlista!$E$5:$E$64,0))))</f>
        <v/>
      </c>
      <c r="BD148" s="162" t="str">
        <f>IF(ISBLANK(H148),"",NOT(ISERROR(MATCH(H148,Deltagarlista!$E$5:$E$64,0))))</f>
        <v/>
      </c>
      <c r="BE148" s="162" t="str">
        <f>IF(ISBLANK(I148),"",NOT(ISERROR(MATCH(I148,Deltagarlista!$E$5:$E$64,0))))</f>
        <v/>
      </c>
      <c r="BF148" s="162" t="str">
        <f>IF(ISBLANK(J148),"",NOT(ISERROR(MATCH(J148,Deltagarlista!$E$5:$E$64,0))))</f>
        <v/>
      </c>
      <c r="BG148" s="162" t="str">
        <f>IF(ISBLANK(K148),"",NOT(ISERROR(MATCH(K148,Deltagarlista!$E$5:$E$64,0))))</f>
        <v/>
      </c>
      <c r="BH148" s="162" t="str">
        <f>IF(ISBLANK(L148),"",NOT(ISERROR(MATCH(L148,Deltagarlista!$E$5:$E$64,0))))</f>
        <v/>
      </c>
      <c r="BI148" s="162" t="str">
        <f>IF(ISBLANK(M148),"",NOT(ISERROR(MATCH(M148,Deltagarlista!$E$5:$E$64,0))))</f>
        <v/>
      </c>
      <c r="BJ148" s="162" t="str">
        <f>IF(ISBLANK(N148),"",NOT(ISERROR(MATCH(N148,Deltagarlista!$E$5:$E$64,0))))</f>
        <v/>
      </c>
      <c r="BK148" s="162" t="str">
        <f>IF(ISBLANK(O148),"",NOT(ISERROR(MATCH(O148,Deltagarlista!$E$5:$E$64,0))))</f>
        <v/>
      </c>
      <c r="BL148" s="162" t="str">
        <f>IF(ISBLANK(P148),"",NOT(ISERROR(MATCH(P148,Deltagarlista!$E$5:$E$64,0))))</f>
        <v/>
      </c>
      <c r="BM148" s="162" t="str">
        <f>IF(ISBLANK(Q148),"",NOT(ISERROR(MATCH(Q148,Deltagarlista!$E$5:$E$64,0))))</f>
        <v/>
      </c>
      <c r="BN148" s="167"/>
    </row>
    <row r="149" spans="2:66" x14ac:dyDescent="0.3">
      <c r="B149" s="186">
        <v>7</v>
      </c>
      <c r="C149" s="27"/>
      <c r="D149" s="28"/>
      <c r="E149" s="38"/>
      <c r="F149" s="27"/>
      <c r="G149" s="28"/>
      <c r="H149" s="29"/>
      <c r="I149" s="41"/>
      <c r="J149" s="28"/>
      <c r="K149" s="38"/>
      <c r="L149" s="27"/>
      <c r="M149" s="28"/>
      <c r="N149" s="29"/>
      <c r="O149" s="41"/>
      <c r="P149" s="28"/>
      <c r="Q149" s="29"/>
      <c r="R149" s="187">
        <v>7</v>
      </c>
      <c r="S149" s="188">
        <v>7</v>
      </c>
      <c r="T149" s="188">
        <v>7</v>
      </c>
      <c r="U149" s="188">
        <v>7</v>
      </c>
      <c r="V149" s="188">
        <v>7</v>
      </c>
      <c r="W149" s="188">
        <v>7</v>
      </c>
      <c r="X149" s="188">
        <v>7</v>
      </c>
      <c r="Y149" s="188">
        <v>7</v>
      </c>
      <c r="Z149" s="188">
        <v>7</v>
      </c>
      <c r="AA149" s="188">
        <v>7</v>
      </c>
      <c r="AB149" s="188">
        <v>7</v>
      </c>
      <c r="AC149" s="188">
        <v>7</v>
      </c>
      <c r="AD149" s="188">
        <v>7</v>
      </c>
      <c r="AE149" s="188">
        <v>7</v>
      </c>
      <c r="AF149" s="188">
        <v>7</v>
      </c>
      <c r="AG149" s="188">
        <v>7</v>
      </c>
      <c r="AH149" s="166"/>
      <c r="AI149" s="129">
        <f t="shared" si="125"/>
        <v>0</v>
      </c>
      <c r="AJ149" s="129">
        <f t="shared" si="126"/>
        <v>0</v>
      </c>
      <c r="AK149" s="129">
        <f t="shared" si="127"/>
        <v>0</v>
      </c>
      <c r="AL149" s="129">
        <f t="shared" si="128"/>
        <v>0</v>
      </c>
      <c r="AM149" s="129">
        <f t="shared" si="129"/>
        <v>0</v>
      </c>
      <c r="AN149" s="129">
        <f t="shared" si="130"/>
        <v>0</v>
      </c>
      <c r="AO149" s="129">
        <f t="shared" si="131"/>
        <v>0</v>
      </c>
      <c r="AP149" s="129">
        <f t="shared" si="132"/>
        <v>0</v>
      </c>
      <c r="AQ149" s="129">
        <f t="shared" si="133"/>
        <v>0</v>
      </c>
      <c r="AR149" s="129">
        <f t="shared" si="134"/>
        <v>0</v>
      </c>
      <c r="AS149" s="129">
        <f t="shared" si="135"/>
        <v>0</v>
      </c>
      <c r="AT149" s="129">
        <f t="shared" si="136"/>
        <v>0</v>
      </c>
      <c r="AU149" s="129">
        <f t="shared" si="137"/>
        <v>0</v>
      </c>
      <c r="AV149" s="129">
        <f t="shared" si="138"/>
        <v>0</v>
      </c>
      <c r="AW149" s="129">
        <f t="shared" si="139"/>
        <v>0</v>
      </c>
      <c r="AY149" s="162" t="str">
        <f>IF(ISBLANK(C149),"",NOT(ISERROR(MATCH(C149,Deltagarlista!$E$5:$E$64,0))))</f>
        <v/>
      </c>
      <c r="AZ149" s="162" t="str">
        <f>IF(ISBLANK(D149),"",NOT(ISERROR(MATCH(D149,Deltagarlista!$E$5:$E$64,0))))</f>
        <v/>
      </c>
      <c r="BA149" s="162" t="str">
        <f>IF(ISBLANK(E149),"",NOT(ISERROR(MATCH(E149,Deltagarlista!$E$5:$E$64,0))))</f>
        <v/>
      </c>
      <c r="BB149" s="162" t="str">
        <f>IF(ISBLANK(F149),"",NOT(ISERROR(MATCH(F149,Deltagarlista!$E$5:$E$64,0))))</f>
        <v/>
      </c>
      <c r="BC149" s="162" t="str">
        <f>IF(ISBLANK(G149),"",NOT(ISERROR(MATCH(G149,Deltagarlista!$E$5:$E$64,0))))</f>
        <v/>
      </c>
      <c r="BD149" s="162" t="str">
        <f>IF(ISBLANK(H149),"",NOT(ISERROR(MATCH(H149,Deltagarlista!$E$5:$E$64,0))))</f>
        <v/>
      </c>
      <c r="BE149" s="162" t="str">
        <f>IF(ISBLANK(I149),"",NOT(ISERROR(MATCH(I149,Deltagarlista!$E$5:$E$64,0))))</f>
        <v/>
      </c>
      <c r="BF149" s="162" t="str">
        <f>IF(ISBLANK(J149),"",NOT(ISERROR(MATCH(J149,Deltagarlista!$E$5:$E$64,0))))</f>
        <v/>
      </c>
      <c r="BG149" s="162" t="str">
        <f>IF(ISBLANK(K149),"",NOT(ISERROR(MATCH(K149,Deltagarlista!$E$5:$E$64,0))))</f>
        <v/>
      </c>
      <c r="BH149" s="162" t="str">
        <f>IF(ISBLANK(L149),"",NOT(ISERROR(MATCH(L149,Deltagarlista!$E$5:$E$64,0))))</f>
        <v/>
      </c>
      <c r="BI149" s="162" t="str">
        <f>IF(ISBLANK(M149),"",NOT(ISERROR(MATCH(M149,Deltagarlista!$E$5:$E$64,0))))</f>
        <v/>
      </c>
      <c r="BJ149" s="162" t="str">
        <f>IF(ISBLANK(N149),"",NOT(ISERROR(MATCH(N149,Deltagarlista!$E$5:$E$64,0))))</f>
        <v/>
      </c>
      <c r="BK149" s="162" t="str">
        <f>IF(ISBLANK(O149),"",NOT(ISERROR(MATCH(O149,Deltagarlista!$E$5:$E$64,0))))</f>
        <v/>
      </c>
      <c r="BL149" s="162" t="str">
        <f>IF(ISBLANK(P149),"",NOT(ISERROR(MATCH(P149,Deltagarlista!$E$5:$E$64,0))))</f>
        <v/>
      </c>
      <c r="BM149" s="162" t="str">
        <f>IF(ISBLANK(Q149),"",NOT(ISERROR(MATCH(Q149,Deltagarlista!$E$5:$E$64,0))))</f>
        <v/>
      </c>
      <c r="BN149" s="167"/>
    </row>
    <row r="150" spans="2:66" x14ac:dyDescent="0.3">
      <c r="B150" s="186">
        <v>8</v>
      </c>
      <c r="C150" s="27"/>
      <c r="D150" s="28"/>
      <c r="E150" s="38"/>
      <c r="F150" s="27"/>
      <c r="G150" s="28"/>
      <c r="H150" s="29"/>
      <c r="I150" s="41"/>
      <c r="J150" s="28"/>
      <c r="K150" s="38"/>
      <c r="L150" s="27"/>
      <c r="M150" s="28"/>
      <c r="N150" s="29"/>
      <c r="O150" s="41"/>
      <c r="P150" s="28"/>
      <c r="Q150" s="29"/>
      <c r="R150" s="187">
        <v>8</v>
      </c>
      <c r="S150" s="188">
        <v>8</v>
      </c>
      <c r="T150" s="188">
        <v>8</v>
      </c>
      <c r="U150" s="188">
        <v>8</v>
      </c>
      <c r="V150" s="188">
        <v>8</v>
      </c>
      <c r="W150" s="188">
        <v>8</v>
      </c>
      <c r="X150" s="188">
        <v>8</v>
      </c>
      <c r="Y150" s="188">
        <v>8</v>
      </c>
      <c r="Z150" s="188">
        <v>8</v>
      </c>
      <c r="AA150" s="188">
        <v>8</v>
      </c>
      <c r="AB150" s="188">
        <v>8</v>
      </c>
      <c r="AC150" s="188">
        <v>8</v>
      </c>
      <c r="AD150" s="188">
        <v>8</v>
      </c>
      <c r="AE150" s="188">
        <v>8</v>
      </c>
      <c r="AF150" s="188">
        <v>8</v>
      </c>
      <c r="AG150" s="188">
        <v>8</v>
      </c>
      <c r="AH150" s="166"/>
      <c r="AI150" s="129">
        <f t="shared" si="125"/>
        <v>0</v>
      </c>
      <c r="AJ150" s="129">
        <f t="shared" si="126"/>
        <v>0</v>
      </c>
      <c r="AK150" s="129">
        <f t="shared" si="127"/>
        <v>0</v>
      </c>
      <c r="AL150" s="129">
        <f t="shared" si="128"/>
        <v>0</v>
      </c>
      <c r="AM150" s="129">
        <f t="shared" si="129"/>
        <v>0</v>
      </c>
      <c r="AN150" s="129">
        <f t="shared" si="130"/>
        <v>0</v>
      </c>
      <c r="AO150" s="129">
        <f t="shared" si="131"/>
        <v>0</v>
      </c>
      <c r="AP150" s="129">
        <f t="shared" si="132"/>
        <v>0</v>
      </c>
      <c r="AQ150" s="129">
        <f t="shared" si="133"/>
        <v>0</v>
      </c>
      <c r="AR150" s="129">
        <f t="shared" si="134"/>
        <v>0</v>
      </c>
      <c r="AS150" s="129">
        <f t="shared" si="135"/>
        <v>0</v>
      </c>
      <c r="AT150" s="129">
        <f t="shared" si="136"/>
        <v>0</v>
      </c>
      <c r="AU150" s="129">
        <f t="shared" si="137"/>
        <v>0</v>
      </c>
      <c r="AV150" s="129">
        <f t="shared" si="138"/>
        <v>0</v>
      </c>
      <c r="AW150" s="129">
        <f t="shared" si="139"/>
        <v>0</v>
      </c>
      <c r="AY150" s="162" t="str">
        <f>IF(ISBLANK(C150),"",NOT(ISERROR(MATCH(C150,Deltagarlista!$E$5:$E$64,0))))</f>
        <v/>
      </c>
      <c r="AZ150" s="162" t="str">
        <f>IF(ISBLANK(D150),"",NOT(ISERROR(MATCH(D150,Deltagarlista!$E$5:$E$64,0))))</f>
        <v/>
      </c>
      <c r="BA150" s="162" t="str">
        <f>IF(ISBLANK(E150),"",NOT(ISERROR(MATCH(E150,Deltagarlista!$E$5:$E$64,0))))</f>
        <v/>
      </c>
      <c r="BB150" s="162" t="str">
        <f>IF(ISBLANK(F150),"",NOT(ISERROR(MATCH(F150,Deltagarlista!$E$5:$E$64,0))))</f>
        <v/>
      </c>
      <c r="BC150" s="162" t="str">
        <f>IF(ISBLANK(G150),"",NOT(ISERROR(MATCH(G150,Deltagarlista!$E$5:$E$64,0))))</f>
        <v/>
      </c>
      <c r="BD150" s="162" t="str">
        <f>IF(ISBLANK(H150),"",NOT(ISERROR(MATCH(H150,Deltagarlista!$E$5:$E$64,0))))</f>
        <v/>
      </c>
      <c r="BE150" s="162" t="str">
        <f>IF(ISBLANK(I150),"",NOT(ISERROR(MATCH(I150,Deltagarlista!$E$5:$E$64,0))))</f>
        <v/>
      </c>
      <c r="BF150" s="162" t="str">
        <f>IF(ISBLANK(J150),"",NOT(ISERROR(MATCH(J150,Deltagarlista!$E$5:$E$64,0))))</f>
        <v/>
      </c>
      <c r="BG150" s="162" t="str">
        <f>IF(ISBLANK(K150),"",NOT(ISERROR(MATCH(K150,Deltagarlista!$E$5:$E$64,0))))</f>
        <v/>
      </c>
      <c r="BH150" s="162" t="str">
        <f>IF(ISBLANK(L150),"",NOT(ISERROR(MATCH(L150,Deltagarlista!$E$5:$E$64,0))))</f>
        <v/>
      </c>
      <c r="BI150" s="162" t="str">
        <f>IF(ISBLANK(M150),"",NOT(ISERROR(MATCH(M150,Deltagarlista!$E$5:$E$64,0))))</f>
        <v/>
      </c>
      <c r="BJ150" s="162" t="str">
        <f>IF(ISBLANK(N150),"",NOT(ISERROR(MATCH(N150,Deltagarlista!$E$5:$E$64,0))))</f>
        <v/>
      </c>
      <c r="BK150" s="162" t="str">
        <f>IF(ISBLANK(O150),"",NOT(ISERROR(MATCH(O150,Deltagarlista!$E$5:$E$64,0))))</f>
        <v/>
      </c>
      <c r="BL150" s="162" t="str">
        <f>IF(ISBLANK(P150),"",NOT(ISERROR(MATCH(P150,Deltagarlista!$E$5:$E$64,0))))</f>
        <v/>
      </c>
      <c r="BM150" s="162" t="str">
        <f>IF(ISBLANK(Q150),"",NOT(ISERROR(MATCH(Q150,Deltagarlista!$E$5:$E$64,0))))</f>
        <v/>
      </c>
      <c r="BN150" s="167"/>
    </row>
    <row r="151" spans="2:66" x14ac:dyDescent="0.3">
      <c r="B151" s="186">
        <v>9</v>
      </c>
      <c r="C151" s="27"/>
      <c r="D151" s="28"/>
      <c r="E151" s="38"/>
      <c r="F151" s="27"/>
      <c r="G151" s="28"/>
      <c r="H151" s="29"/>
      <c r="I151" s="41"/>
      <c r="J151" s="28"/>
      <c r="K151" s="38"/>
      <c r="L151" s="27"/>
      <c r="M151" s="28"/>
      <c r="N151" s="29"/>
      <c r="O151" s="41"/>
      <c r="P151" s="28"/>
      <c r="Q151" s="29"/>
      <c r="R151" s="187">
        <v>9</v>
      </c>
      <c r="S151" s="188">
        <v>9</v>
      </c>
      <c r="T151" s="188">
        <v>9</v>
      </c>
      <c r="U151" s="188">
        <v>9</v>
      </c>
      <c r="V151" s="188">
        <v>9</v>
      </c>
      <c r="W151" s="188">
        <v>9</v>
      </c>
      <c r="X151" s="188">
        <v>9</v>
      </c>
      <c r="Y151" s="188">
        <v>9</v>
      </c>
      <c r="Z151" s="188">
        <v>9</v>
      </c>
      <c r="AA151" s="188">
        <v>9</v>
      </c>
      <c r="AB151" s="188">
        <v>9</v>
      </c>
      <c r="AC151" s="188">
        <v>9</v>
      </c>
      <c r="AD151" s="188">
        <v>9</v>
      </c>
      <c r="AE151" s="188">
        <v>9</v>
      </c>
      <c r="AF151" s="188">
        <v>9</v>
      </c>
      <c r="AG151" s="188">
        <v>9</v>
      </c>
      <c r="AH151" s="166"/>
      <c r="AI151" s="129">
        <f t="shared" si="125"/>
        <v>0</v>
      </c>
      <c r="AJ151" s="129">
        <f t="shared" si="126"/>
        <v>0</v>
      </c>
      <c r="AK151" s="129">
        <f t="shared" si="127"/>
        <v>0</v>
      </c>
      <c r="AL151" s="129">
        <f t="shared" si="128"/>
        <v>0</v>
      </c>
      <c r="AM151" s="129">
        <f t="shared" si="129"/>
        <v>0</v>
      </c>
      <c r="AN151" s="129">
        <f t="shared" si="130"/>
        <v>0</v>
      </c>
      <c r="AO151" s="129">
        <f t="shared" si="131"/>
        <v>0</v>
      </c>
      <c r="AP151" s="129">
        <f t="shared" si="132"/>
        <v>0</v>
      </c>
      <c r="AQ151" s="129">
        <f t="shared" si="133"/>
        <v>0</v>
      </c>
      <c r="AR151" s="129">
        <f t="shared" si="134"/>
        <v>0</v>
      </c>
      <c r="AS151" s="129">
        <f t="shared" si="135"/>
        <v>0</v>
      </c>
      <c r="AT151" s="129">
        <f t="shared" si="136"/>
        <v>0</v>
      </c>
      <c r="AU151" s="129">
        <f t="shared" si="137"/>
        <v>0</v>
      </c>
      <c r="AV151" s="129">
        <f t="shared" si="138"/>
        <v>0</v>
      </c>
      <c r="AW151" s="129">
        <f t="shared" si="139"/>
        <v>0</v>
      </c>
      <c r="AY151" s="162" t="str">
        <f>IF(ISBLANK(C151),"",NOT(ISERROR(MATCH(C151,Deltagarlista!$E$5:$E$64,0))))</f>
        <v/>
      </c>
      <c r="AZ151" s="162" t="str">
        <f>IF(ISBLANK(D151),"",NOT(ISERROR(MATCH(D151,Deltagarlista!$E$5:$E$64,0))))</f>
        <v/>
      </c>
      <c r="BA151" s="162" t="str">
        <f>IF(ISBLANK(E151),"",NOT(ISERROR(MATCH(E151,Deltagarlista!$E$5:$E$64,0))))</f>
        <v/>
      </c>
      <c r="BB151" s="162" t="str">
        <f>IF(ISBLANK(F151),"",NOT(ISERROR(MATCH(F151,Deltagarlista!$E$5:$E$64,0))))</f>
        <v/>
      </c>
      <c r="BC151" s="162" t="str">
        <f>IF(ISBLANK(G151),"",NOT(ISERROR(MATCH(G151,Deltagarlista!$E$5:$E$64,0))))</f>
        <v/>
      </c>
      <c r="BD151" s="162" t="str">
        <f>IF(ISBLANK(H151),"",NOT(ISERROR(MATCH(H151,Deltagarlista!$E$5:$E$64,0))))</f>
        <v/>
      </c>
      <c r="BE151" s="162" t="str">
        <f>IF(ISBLANK(I151),"",NOT(ISERROR(MATCH(I151,Deltagarlista!$E$5:$E$64,0))))</f>
        <v/>
      </c>
      <c r="BF151" s="162" t="str">
        <f>IF(ISBLANK(J151),"",NOT(ISERROR(MATCH(J151,Deltagarlista!$E$5:$E$64,0))))</f>
        <v/>
      </c>
      <c r="BG151" s="162" t="str">
        <f>IF(ISBLANK(K151),"",NOT(ISERROR(MATCH(K151,Deltagarlista!$E$5:$E$64,0))))</f>
        <v/>
      </c>
      <c r="BH151" s="162" t="str">
        <f>IF(ISBLANK(L151),"",NOT(ISERROR(MATCH(L151,Deltagarlista!$E$5:$E$64,0))))</f>
        <v/>
      </c>
      <c r="BI151" s="162" t="str">
        <f>IF(ISBLANK(M151),"",NOT(ISERROR(MATCH(M151,Deltagarlista!$E$5:$E$64,0))))</f>
        <v/>
      </c>
      <c r="BJ151" s="162" t="str">
        <f>IF(ISBLANK(N151),"",NOT(ISERROR(MATCH(N151,Deltagarlista!$E$5:$E$64,0))))</f>
        <v/>
      </c>
      <c r="BK151" s="162" t="str">
        <f>IF(ISBLANK(O151),"",NOT(ISERROR(MATCH(O151,Deltagarlista!$E$5:$E$64,0))))</f>
        <v/>
      </c>
      <c r="BL151" s="162" t="str">
        <f>IF(ISBLANK(P151),"",NOT(ISERROR(MATCH(P151,Deltagarlista!$E$5:$E$64,0))))</f>
        <v/>
      </c>
      <c r="BM151" s="162" t="str">
        <f>IF(ISBLANK(Q151),"",NOT(ISERROR(MATCH(Q151,Deltagarlista!$E$5:$E$64,0))))</f>
        <v/>
      </c>
      <c r="BN151" s="167"/>
    </row>
    <row r="152" spans="2:66" x14ac:dyDescent="0.3">
      <c r="B152" s="186">
        <v>10</v>
      </c>
      <c r="C152" s="27"/>
      <c r="D152" s="28"/>
      <c r="E152" s="38"/>
      <c r="F152" s="27"/>
      <c r="G152" s="28"/>
      <c r="H152" s="29"/>
      <c r="I152" s="41"/>
      <c r="J152" s="28"/>
      <c r="K152" s="38"/>
      <c r="L152" s="27"/>
      <c r="M152" s="28"/>
      <c r="N152" s="29"/>
      <c r="O152" s="41"/>
      <c r="P152" s="28"/>
      <c r="Q152" s="29"/>
      <c r="R152" s="187">
        <v>10</v>
      </c>
      <c r="S152" s="188">
        <v>10</v>
      </c>
      <c r="T152" s="188">
        <v>10</v>
      </c>
      <c r="U152" s="188">
        <v>10</v>
      </c>
      <c r="V152" s="188">
        <v>10</v>
      </c>
      <c r="W152" s="188">
        <v>10</v>
      </c>
      <c r="X152" s="188">
        <v>10</v>
      </c>
      <c r="Y152" s="188">
        <v>10</v>
      </c>
      <c r="Z152" s="188">
        <v>10</v>
      </c>
      <c r="AA152" s="188">
        <v>10</v>
      </c>
      <c r="AB152" s="188">
        <v>10</v>
      </c>
      <c r="AC152" s="188">
        <v>10</v>
      </c>
      <c r="AD152" s="188">
        <v>10</v>
      </c>
      <c r="AE152" s="188">
        <v>10</v>
      </c>
      <c r="AF152" s="188">
        <v>10</v>
      </c>
      <c r="AG152" s="188">
        <v>10</v>
      </c>
      <c r="AH152" s="166"/>
      <c r="AI152" s="129">
        <f t="shared" si="125"/>
        <v>0</v>
      </c>
      <c r="AJ152" s="129">
        <f t="shared" si="126"/>
        <v>0</v>
      </c>
      <c r="AK152" s="129">
        <f t="shared" si="127"/>
        <v>0</v>
      </c>
      <c r="AL152" s="129">
        <f t="shared" si="128"/>
        <v>0</v>
      </c>
      <c r="AM152" s="129">
        <f t="shared" si="129"/>
        <v>0</v>
      </c>
      <c r="AN152" s="129">
        <f t="shared" si="130"/>
        <v>0</v>
      </c>
      <c r="AO152" s="129">
        <f t="shared" si="131"/>
        <v>0</v>
      </c>
      <c r="AP152" s="129">
        <f t="shared" si="132"/>
        <v>0</v>
      </c>
      <c r="AQ152" s="129">
        <f t="shared" si="133"/>
        <v>0</v>
      </c>
      <c r="AR152" s="129">
        <f t="shared" si="134"/>
        <v>0</v>
      </c>
      <c r="AS152" s="129">
        <f t="shared" si="135"/>
        <v>0</v>
      </c>
      <c r="AT152" s="129">
        <f t="shared" si="136"/>
        <v>0</v>
      </c>
      <c r="AU152" s="129">
        <f t="shared" si="137"/>
        <v>0</v>
      </c>
      <c r="AV152" s="129">
        <f t="shared" si="138"/>
        <v>0</v>
      </c>
      <c r="AW152" s="129">
        <f t="shared" si="139"/>
        <v>0</v>
      </c>
      <c r="AY152" s="162" t="str">
        <f>IF(ISBLANK(C152),"",NOT(ISERROR(MATCH(C152,Deltagarlista!$E$5:$E$64,0))))</f>
        <v/>
      </c>
      <c r="AZ152" s="162" t="str">
        <f>IF(ISBLANK(D152),"",NOT(ISERROR(MATCH(D152,Deltagarlista!$E$5:$E$64,0))))</f>
        <v/>
      </c>
      <c r="BA152" s="162" t="str">
        <f>IF(ISBLANK(E152),"",NOT(ISERROR(MATCH(E152,Deltagarlista!$E$5:$E$64,0))))</f>
        <v/>
      </c>
      <c r="BB152" s="162" t="str">
        <f>IF(ISBLANK(F152),"",NOT(ISERROR(MATCH(F152,Deltagarlista!$E$5:$E$64,0))))</f>
        <v/>
      </c>
      <c r="BC152" s="162" t="str">
        <f>IF(ISBLANK(G152),"",NOT(ISERROR(MATCH(G152,Deltagarlista!$E$5:$E$64,0))))</f>
        <v/>
      </c>
      <c r="BD152" s="162" t="str">
        <f>IF(ISBLANK(H152),"",NOT(ISERROR(MATCH(H152,Deltagarlista!$E$5:$E$64,0))))</f>
        <v/>
      </c>
      <c r="BE152" s="162" t="str">
        <f>IF(ISBLANK(I152),"",NOT(ISERROR(MATCH(I152,Deltagarlista!$E$5:$E$64,0))))</f>
        <v/>
      </c>
      <c r="BF152" s="162" t="str">
        <f>IF(ISBLANK(J152),"",NOT(ISERROR(MATCH(J152,Deltagarlista!$E$5:$E$64,0))))</f>
        <v/>
      </c>
      <c r="BG152" s="162" t="str">
        <f>IF(ISBLANK(K152),"",NOT(ISERROR(MATCH(K152,Deltagarlista!$E$5:$E$64,0))))</f>
        <v/>
      </c>
      <c r="BH152" s="162" t="str">
        <f>IF(ISBLANK(L152),"",NOT(ISERROR(MATCH(L152,Deltagarlista!$E$5:$E$64,0))))</f>
        <v/>
      </c>
      <c r="BI152" s="162" t="str">
        <f>IF(ISBLANK(M152),"",NOT(ISERROR(MATCH(M152,Deltagarlista!$E$5:$E$64,0))))</f>
        <v/>
      </c>
      <c r="BJ152" s="162" t="str">
        <f>IF(ISBLANK(N152),"",NOT(ISERROR(MATCH(N152,Deltagarlista!$E$5:$E$64,0))))</f>
        <v/>
      </c>
      <c r="BK152" s="162" t="str">
        <f>IF(ISBLANK(O152),"",NOT(ISERROR(MATCH(O152,Deltagarlista!$E$5:$E$64,0))))</f>
        <v/>
      </c>
      <c r="BL152" s="162" t="str">
        <f>IF(ISBLANK(P152),"",NOT(ISERROR(MATCH(P152,Deltagarlista!$E$5:$E$64,0))))</f>
        <v/>
      </c>
      <c r="BM152" s="162" t="str">
        <f>IF(ISBLANK(Q152),"",NOT(ISERROR(MATCH(Q152,Deltagarlista!$E$5:$E$64,0))))</f>
        <v/>
      </c>
      <c r="BN152" s="167"/>
    </row>
    <row r="153" spans="2:66" x14ac:dyDescent="0.3">
      <c r="B153" s="186">
        <v>11</v>
      </c>
      <c r="C153" s="27"/>
      <c r="D153" s="28"/>
      <c r="E153" s="38"/>
      <c r="F153" s="27"/>
      <c r="G153" s="28"/>
      <c r="H153" s="29"/>
      <c r="I153" s="41"/>
      <c r="J153" s="28"/>
      <c r="K153" s="38"/>
      <c r="L153" s="27"/>
      <c r="M153" s="28"/>
      <c r="N153" s="29"/>
      <c r="O153" s="41"/>
      <c r="P153" s="28"/>
      <c r="Q153" s="29"/>
      <c r="R153" s="187">
        <v>11</v>
      </c>
      <c r="S153" s="188">
        <v>11</v>
      </c>
      <c r="T153" s="188">
        <v>11</v>
      </c>
      <c r="U153" s="188">
        <v>11</v>
      </c>
      <c r="V153" s="188">
        <v>11</v>
      </c>
      <c r="W153" s="188">
        <v>11</v>
      </c>
      <c r="X153" s="188">
        <v>11</v>
      </c>
      <c r="Y153" s="188">
        <v>11</v>
      </c>
      <c r="Z153" s="188">
        <v>11</v>
      </c>
      <c r="AA153" s="188">
        <v>11</v>
      </c>
      <c r="AB153" s="188">
        <v>11</v>
      </c>
      <c r="AC153" s="188">
        <v>11</v>
      </c>
      <c r="AD153" s="188">
        <v>11</v>
      </c>
      <c r="AE153" s="188">
        <v>11</v>
      </c>
      <c r="AF153" s="188">
        <v>11</v>
      </c>
      <c r="AG153" s="188">
        <v>11</v>
      </c>
      <c r="AH153" s="166"/>
      <c r="AI153" s="129">
        <f t="shared" si="125"/>
        <v>0</v>
      </c>
      <c r="AJ153" s="129">
        <f t="shared" si="126"/>
        <v>0</v>
      </c>
      <c r="AK153" s="129">
        <f t="shared" si="127"/>
        <v>0</v>
      </c>
      <c r="AL153" s="129">
        <f t="shared" si="128"/>
        <v>0</v>
      </c>
      <c r="AM153" s="129">
        <f t="shared" si="129"/>
        <v>0</v>
      </c>
      <c r="AN153" s="129">
        <f t="shared" si="130"/>
        <v>0</v>
      </c>
      <c r="AO153" s="129">
        <f t="shared" si="131"/>
        <v>0</v>
      </c>
      <c r="AP153" s="129">
        <f t="shared" si="132"/>
        <v>0</v>
      </c>
      <c r="AQ153" s="129">
        <f t="shared" si="133"/>
        <v>0</v>
      </c>
      <c r="AR153" s="129">
        <f t="shared" si="134"/>
        <v>0</v>
      </c>
      <c r="AS153" s="129">
        <f t="shared" si="135"/>
        <v>0</v>
      </c>
      <c r="AT153" s="129">
        <f t="shared" si="136"/>
        <v>0</v>
      </c>
      <c r="AU153" s="129">
        <f t="shared" si="137"/>
        <v>0</v>
      </c>
      <c r="AV153" s="129">
        <f t="shared" si="138"/>
        <v>0</v>
      </c>
      <c r="AW153" s="129">
        <f t="shared" si="139"/>
        <v>0</v>
      </c>
      <c r="AY153" s="162" t="str">
        <f>IF(ISBLANK(C153),"",NOT(ISERROR(MATCH(C153,Deltagarlista!$E$5:$E$64,0))))</f>
        <v/>
      </c>
      <c r="AZ153" s="162" t="str">
        <f>IF(ISBLANK(D153),"",NOT(ISERROR(MATCH(D153,Deltagarlista!$E$5:$E$64,0))))</f>
        <v/>
      </c>
      <c r="BA153" s="162" t="str">
        <f>IF(ISBLANK(E153),"",NOT(ISERROR(MATCH(E153,Deltagarlista!$E$5:$E$64,0))))</f>
        <v/>
      </c>
      <c r="BB153" s="162" t="str">
        <f>IF(ISBLANK(F153),"",NOT(ISERROR(MATCH(F153,Deltagarlista!$E$5:$E$64,0))))</f>
        <v/>
      </c>
      <c r="BC153" s="162" t="str">
        <f>IF(ISBLANK(G153),"",NOT(ISERROR(MATCH(G153,Deltagarlista!$E$5:$E$64,0))))</f>
        <v/>
      </c>
      <c r="BD153" s="162" t="str">
        <f>IF(ISBLANK(H153),"",NOT(ISERROR(MATCH(H153,Deltagarlista!$E$5:$E$64,0))))</f>
        <v/>
      </c>
      <c r="BE153" s="162" t="str">
        <f>IF(ISBLANK(I153),"",NOT(ISERROR(MATCH(I153,Deltagarlista!$E$5:$E$64,0))))</f>
        <v/>
      </c>
      <c r="BF153" s="162" t="str">
        <f>IF(ISBLANK(J153),"",NOT(ISERROR(MATCH(J153,Deltagarlista!$E$5:$E$64,0))))</f>
        <v/>
      </c>
      <c r="BG153" s="162" t="str">
        <f>IF(ISBLANK(K153),"",NOT(ISERROR(MATCH(K153,Deltagarlista!$E$5:$E$64,0))))</f>
        <v/>
      </c>
      <c r="BH153" s="162" t="str">
        <f>IF(ISBLANK(L153),"",NOT(ISERROR(MATCH(L153,Deltagarlista!$E$5:$E$64,0))))</f>
        <v/>
      </c>
      <c r="BI153" s="162" t="str">
        <f>IF(ISBLANK(M153),"",NOT(ISERROR(MATCH(M153,Deltagarlista!$E$5:$E$64,0))))</f>
        <v/>
      </c>
      <c r="BJ153" s="162" t="str">
        <f>IF(ISBLANK(N153),"",NOT(ISERROR(MATCH(N153,Deltagarlista!$E$5:$E$64,0))))</f>
        <v/>
      </c>
      <c r="BK153" s="162" t="str">
        <f>IF(ISBLANK(O153),"",NOT(ISERROR(MATCH(O153,Deltagarlista!$E$5:$E$64,0))))</f>
        <v/>
      </c>
      <c r="BL153" s="162" t="str">
        <f>IF(ISBLANK(P153),"",NOT(ISERROR(MATCH(P153,Deltagarlista!$E$5:$E$64,0))))</f>
        <v/>
      </c>
      <c r="BM153" s="162" t="str">
        <f>IF(ISBLANK(Q153),"",NOT(ISERROR(MATCH(Q153,Deltagarlista!$E$5:$E$64,0))))</f>
        <v/>
      </c>
      <c r="BN153" s="167"/>
    </row>
    <row r="154" spans="2:66" x14ac:dyDescent="0.3">
      <c r="B154" s="186">
        <v>12</v>
      </c>
      <c r="C154" s="27"/>
      <c r="D154" s="28"/>
      <c r="E154" s="38"/>
      <c r="F154" s="27"/>
      <c r="G154" s="28"/>
      <c r="H154" s="29"/>
      <c r="I154" s="41"/>
      <c r="J154" s="28"/>
      <c r="K154" s="38"/>
      <c r="L154" s="27"/>
      <c r="M154" s="28"/>
      <c r="N154" s="29"/>
      <c r="O154" s="41"/>
      <c r="P154" s="28"/>
      <c r="Q154" s="29"/>
      <c r="R154" s="187">
        <v>12</v>
      </c>
      <c r="S154" s="188">
        <v>12</v>
      </c>
      <c r="T154" s="188">
        <v>12</v>
      </c>
      <c r="U154" s="188">
        <v>12</v>
      </c>
      <c r="V154" s="188">
        <v>12</v>
      </c>
      <c r="W154" s="188">
        <v>12</v>
      </c>
      <c r="X154" s="188">
        <v>12</v>
      </c>
      <c r="Y154" s="188">
        <v>12</v>
      </c>
      <c r="Z154" s="188">
        <v>12</v>
      </c>
      <c r="AA154" s="188">
        <v>12</v>
      </c>
      <c r="AB154" s="188">
        <v>12</v>
      </c>
      <c r="AC154" s="188">
        <v>12</v>
      </c>
      <c r="AD154" s="188">
        <v>12</v>
      </c>
      <c r="AE154" s="188">
        <v>12</v>
      </c>
      <c r="AF154" s="188">
        <v>12</v>
      </c>
      <c r="AG154" s="188">
        <v>12</v>
      </c>
      <c r="AH154" s="166"/>
      <c r="AI154" s="129">
        <f t="shared" si="125"/>
        <v>0</v>
      </c>
      <c r="AJ154" s="129">
        <f t="shared" si="126"/>
        <v>0</v>
      </c>
      <c r="AK154" s="129">
        <f t="shared" si="127"/>
        <v>0</v>
      </c>
      <c r="AL154" s="129">
        <f t="shared" si="128"/>
        <v>0</v>
      </c>
      <c r="AM154" s="129">
        <f t="shared" si="129"/>
        <v>0</v>
      </c>
      <c r="AN154" s="129">
        <f t="shared" si="130"/>
        <v>0</v>
      </c>
      <c r="AO154" s="129">
        <f t="shared" si="131"/>
        <v>0</v>
      </c>
      <c r="AP154" s="129">
        <f t="shared" si="132"/>
        <v>0</v>
      </c>
      <c r="AQ154" s="129">
        <f t="shared" si="133"/>
        <v>0</v>
      </c>
      <c r="AR154" s="129">
        <f t="shared" si="134"/>
        <v>0</v>
      </c>
      <c r="AS154" s="129">
        <f t="shared" si="135"/>
        <v>0</v>
      </c>
      <c r="AT154" s="129">
        <f t="shared" si="136"/>
        <v>0</v>
      </c>
      <c r="AU154" s="129">
        <f t="shared" si="137"/>
        <v>0</v>
      </c>
      <c r="AV154" s="129">
        <f t="shared" si="138"/>
        <v>0</v>
      </c>
      <c r="AW154" s="129">
        <f t="shared" si="139"/>
        <v>0</v>
      </c>
      <c r="AY154" s="162" t="str">
        <f>IF(ISBLANK(C154),"",NOT(ISERROR(MATCH(C154,Deltagarlista!$E$5:$E$64,0))))</f>
        <v/>
      </c>
      <c r="AZ154" s="162" t="str">
        <f>IF(ISBLANK(D154),"",NOT(ISERROR(MATCH(D154,Deltagarlista!$E$5:$E$64,0))))</f>
        <v/>
      </c>
      <c r="BA154" s="162" t="str">
        <f>IF(ISBLANK(E154),"",NOT(ISERROR(MATCH(E154,Deltagarlista!$E$5:$E$64,0))))</f>
        <v/>
      </c>
      <c r="BB154" s="162" t="str">
        <f>IF(ISBLANK(F154),"",NOT(ISERROR(MATCH(F154,Deltagarlista!$E$5:$E$64,0))))</f>
        <v/>
      </c>
      <c r="BC154" s="162" t="str">
        <f>IF(ISBLANK(G154),"",NOT(ISERROR(MATCH(G154,Deltagarlista!$E$5:$E$64,0))))</f>
        <v/>
      </c>
      <c r="BD154" s="162" t="str">
        <f>IF(ISBLANK(H154),"",NOT(ISERROR(MATCH(H154,Deltagarlista!$E$5:$E$64,0))))</f>
        <v/>
      </c>
      <c r="BE154" s="162" t="str">
        <f>IF(ISBLANK(I154),"",NOT(ISERROR(MATCH(I154,Deltagarlista!$E$5:$E$64,0))))</f>
        <v/>
      </c>
      <c r="BF154" s="162" t="str">
        <f>IF(ISBLANK(J154),"",NOT(ISERROR(MATCH(J154,Deltagarlista!$E$5:$E$64,0))))</f>
        <v/>
      </c>
      <c r="BG154" s="162" t="str">
        <f>IF(ISBLANK(K154),"",NOT(ISERROR(MATCH(K154,Deltagarlista!$E$5:$E$64,0))))</f>
        <v/>
      </c>
      <c r="BH154" s="162" t="str">
        <f>IF(ISBLANK(L154),"",NOT(ISERROR(MATCH(L154,Deltagarlista!$E$5:$E$64,0))))</f>
        <v/>
      </c>
      <c r="BI154" s="162" t="str">
        <f>IF(ISBLANK(M154),"",NOT(ISERROR(MATCH(M154,Deltagarlista!$E$5:$E$64,0))))</f>
        <v/>
      </c>
      <c r="BJ154" s="162" t="str">
        <f>IF(ISBLANK(N154),"",NOT(ISERROR(MATCH(N154,Deltagarlista!$E$5:$E$64,0))))</f>
        <v/>
      </c>
      <c r="BK154" s="162" t="str">
        <f>IF(ISBLANK(O154),"",NOT(ISERROR(MATCH(O154,Deltagarlista!$E$5:$E$64,0))))</f>
        <v/>
      </c>
      <c r="BL154" s="162" t="str">
        <f>IF(ISBLANK(P154),"",NOT(ISERROR(MATCH(P154,Deltagarlista!$E$5:$E$64,0))))</f>
        <v/>
      </c>
      <c r="BM154" s="162" t="str">
        <f>IF(ISBLANK(Q154),"",NOT(ISERROR(MATCH(Q154,Deltagarlista!$E$5:$E$64,0))))</f>
        <v/>
      </c>
      <c r="BN154" s="167"/>
    </row>
    <row r="155" spans="2:66" x14ac:dyDescent="0.3">
      <c r="B155" s="186">
        <v>13</v>
      </c>
      <c r="C155" s="27"/>
      <c r="D155" s="28"/>
      <c r="E155" s="38"/>
      <c r="F155" s="27"/>
      <c r="G155" s="28"/>
      <c r="H155" s="29"/>
      <c r="I155" s="41"/>
      <c r="J155" s="28"/>
      <c r="K155" s="38"/>
      <c r="L155" s="27"/>
      <c r="M155" s="28"/>
      <c r="N155" s="29"/>
      <c r="O155" s="41"/>
      <c r="P155" s="28"/>
      <c r="Q155" s="29"/>
      <c r="R155" s="187">
        <v>13</v>
      </c>
      <c r="S155" s="188">
        <v>13</v>
      </c>
      <c r="T155" s="188">
        <v>13</v>
      </c>
      <c r="U155" s="188">
        <v>13</v>
      </c>
      <c r="V155" s="188">
        <v>13</v>
      </c>
      <c r="W155" s="188">
        <v>13</v>
      </c>
      <c r="X155" s="188">
        <v>13</v>
      </c>
      <c r="Y155" s="188">
        <v>13</v>
      </c>
      <c r="Z155" s="188">
        <v>13</v>
      </c>
      <c r="AA155" s="188">
        <v>13</v>
      </c>
      <c r="AB155" s="188">
        <v>13</v>
      </c>
      <c r="AC155" s="188">
        <v>13</v>
      </c>
      <c r="AD155" s="188">
        <v>13</v>
      </c>
      <c r="AE155" s="188">
        <v>13</v>
      </c>
      <c r="AF155" s="188">
        <v>13</v>
      </c>
      <c r="AG155" s="188">
        <v>13</v>
      </c>
      <c r="AH155" s="166"/>
      <c r="AI155" s="129">
        <f t="shared" si="125"/>
        <v>0</v>
      </c>
      <c r="AJ155" s="129">
        <f t="shared" si="126"/>
        <v>0</v>
      </c>
      <c r="AK155" s="129">
        <f t="shared" si="127"/>
        <v>0</v>
      </c>
      <c r="AL155" s="129">
        <f t="shared" si="128"/>
        <v>0</v>
      </c>
      <c r="AM155" s="129">
        <f t="shared" si="129"/>
        <v>0</v>
      </c>
      <c r="AN155" s="129">
        <f t="shared" si="130"/>
        <v>0</v>
      </c>
      <c r="AO155" s="129">
        <f t="shared" si="131"/>
        <v>0</v>
      </c>
      <c r="AP155" s="129">
        <f t="shared" si="132"/>
        <v>0</v>
      </c>
      <c r="AQ155" s="129">
        <f t="shared" si="133"/>
        <v>0</v>
      </c>
      <c r="AR155" s="129">
        <f t="shared" si="134"/>
        <v>0</v>
      </c>
      <c r="AS155" s="129">
        <f t="shared" si="135"/>
        <v>0</v>
      </c>
      <c r="AT155" s="129">
        <f t="shared" si="136"/>
        <v>0</v>
      </c>
      <c r="AU155" s="129">
        <f t="shared" si="137"/>
        <v>0</v>
      </c>
      <c r="AV155" s="129">
        <f t="shared" si="138"/>
        <v>0</v>
      </c>
      <c r="AW155" s="129">
        <f t="shared" si="139"/>
        <v>0</v>
      </c>
      <c r="AY155" s="162" t="str">
        <f>IF(ISBLANK(C155),"",NOT(ISERROR(MATCH(C155,Deltagarlista!$E$5:$E$64,0))))</f>
        <v/>
      </c>
      <c r="AZ155" s="162" t="str">
        <f>IF(ISBLANK(D155),"",NOT(ISERROR(MATCH(D155,Deltagarlista!$E$5:$E$64,0))))</f>
        <v/>
      </c>
      <c r="BA155" s="162" t="str">
        <f>IF(ISBLANK(E155),"",NOT(ISERROR(MATCH(E155,Deltagarlista!$E$5:$E$64,0))))</f>
        <v/>
      </c>
      <c r="BB155" s="162" t="str">
        <f>IF(ISBLANK(F155),"",NOT(ISERROR(MATCH(F155,Deltagarlista!$E$5:$E$64,0))))</f>
        <v/>
      </c>
      <c r="BC155" s="162" t="str">
        <f>IF(ISBLANK(G155),"",NOT(ISERROR(MATCH(G155,Deltagarlista!$E$5:$E$64,0))))</f>
        <v/>
      </c>
      <c r="BD155" s="162" t="str">
        <f>IF(ISBLANK(H155),"",NOT(ISERROR(MATCH(H155,Deltagarlista!$E$5:$E$64,0))))</f>
        <v/>
      </c>
      <c r="BE155" s="162" t="str">
        <f>IF(ISBLANK(I155),"",NOT(ISERROR(MATCH(I155,Deltagarlista!$E$5:$E$64,0))))</f>
        <v/>
      </c>
      <c r="BF155" s="162" t="str">
        <f>IF(ISBLANK(J155),"",NOT(ISERROR(MATCH(J155,Deltagarlista!$E$5:$E$64,0))))</f>
        <v/>
      </c>
      <c r="BG155" s="162" t="str">
        <f>IF(ISBLANK(K155),"",NOT(ISERROR(MATCH(K155,Deltagarlista!$E$5:$E$64,0))))</f>
        <v/>
      </c>
      <c r="BH155" s="162" t="str">
        <f>IF(ISBLANK(L155),"",NOT(ISERROR(MATCH(L155,Deltagarlista!$E$5:$E$64,0))))</f>
        <v/>
      </c>
      <c r="BI155" s="162" t="str">
        <f>IF(ISBLANK(M155),"",NOT(ISERROR(MATCH(M155,Deltagarlista!$E$5:$E$64,0))))</f>
        <v/>
      </c>
      <c r="BJ155" s="162" t="str">
        <f>IF(ISBLANK(N155),"",NOT(ISERROR(MATCH(N155,Deltagarlista!$E$5:$E$64,0))))</f>
        <v/>
      </c>
      <c r="BK155" s="162" t="str">
        <f>IF(ISBLANK(O155),"",NOT(ISERROR(MATCH(O155,Deltagarlista!$E$5:$E$64,0))))</f>
        <v/>
      </c>
      <c r="BL155" s="162" t="str">
        <f>IF(ISBLANK(P155),"",NOT(ISERROR(MATCH(P155,Deltagarlista!$E$5:$E$64,0))))</f>
        <v/>
      </c>
      <c r="BM155" s="162" t="str">
        <f>IF(ISBLANK(Q155),"",NOT(ISERROR(MATCH(Q155,Deltagarlista!$E$5:$E$64,0))))</f>
        <v/>
      </c>
      <c r="BN155" s="167"/>
    </row>
    <row r="156" spans="2:66" x14ac:dyDescent="0.3">
      <c r="B156" s="186">
        <v>14</v>
      </c>
      <c r="C156" s="27"/>
      <c r="D156" s="28"/>
      <c r="E156" s="38"/>
      <c r="F156" s="27"/>
      <c r="G156" s="28"/>
      <c r="H156" s="29"/>
      <c r="I156" s="41"/>
      <c r="J156" s="28"/>
      <c r="K156" s="38"/>
      <c r="L156" s="27"/>
      <c r="M156" s="28"/>
      <c r="N156" s="29"/>
      <c r="O156" s="41"/>
      <c r="P156" s="28"/>
      <c r="Q156" s="29"/>
      <c r="R156" s="187">
        <v>14</v>
      </c>
      <c r="S156" s="188">
        <v>14</v>
      </c>
      <c r="T156" s="188">
        <v>14</v>
      </c>
      <c r="U156" s="188">
        <v>14</v>
      </c>
      <c r="V156" s="188">
        <v>14</v>
      </c>
      <c r="W156" s="188">
        <v>14</v>
      </c>
      <c r="X156" s="188">
        <v>14</v>
      </c>
      <c r="Y156" s="188">
        <v>14</v>
      </c>
      <c r="Z156" s="188">
        <v>14</v>
      </c>
      <c r="AA156" s="188">
        <v>14</v>
      </c>
      <c r="AB156" s="188">
        <v>14</v>
      </c>
      <c r="AC156" s="188">
        <v>14</v>
      </c>
      <c r="AD156" s="188">
        <v>14</v>
      </c>
      <c r="AE156" s="188">
        <v>14</v>
      </c>
      <c r="AF156" s="188">
        <v>14</v>
      </c>
      <c r="AG156" s="188">
        <v>14</v>
      </c>
      <c r="AH156" s="166"/>
      <c r="AI156" s="129">
        <f t="shared" si="125"/>
        <v>0</v>
      </c>
      <c r="AJ156" s="129">
        <f t="shared" si="126"/>
        <v>0</v>
      </c>
      <c r="AK156" s="129">
        <f t="shared" si="127"/>
        <v>0</v>
      </c>
      <c r="AL156" s="129">
        <f t="shared" si="128"/>
        <v>0</v>
      </c>
      <c r="AM156" s="129">
        <f t="shared" si="129"/>
        <v>0</v>
      </c>
      <c r="AN156" s="129">
        <f t="shared" si="130"/>
        <v>0</v>
      </c>
      <c r="AO156" s="129">
        <f t="shared" si="131"/>
        <v>0</v>
      </c>
      <c r="AP156" s="129">
        <f t="shared" si="132"/>
        <v>0</v>
      </c>
      <c r="AQ156" s="129">
        <f t="shared" si="133"/>
        <v>0</v>
      </c>
      <c r="AR156" s="129">
        <f t="shared" si="134"/>
        <v>0</v>
      </c>
      <c r="AS156" s="129">
        <f t="shared" si="135"/>
        <v>0</v>
      </c>
      <c r="AT156" s="129">
        <f t="shared" si="136"/>
        <v>0</v>
      </c>
      <c r="AU156" s="129">
        <f t="shared" si="137"/>
        <v>0</v>
      </c>
      <c r="AV156" s="129">
        <f t="shared" si="138"/>
        <v>0</v>
      </c>
      <c r="AW156" s="129">
        <f t="shared" si="139"/>
        <v>0</v>
      </c>
      <c r="AY156" s="162" t="str">
        <f>IF(ISBLANK(C156),"",NOT(ISERROR(MATCH(C156,Deltagarlista!$E$5:$E$64,0))))</f>
        <v/>
      </c>
      <c r="AZ156" s="162" t="str">
        <f>IF(ISBLANK(D156),"",NOT(ISERROR(MATCH(D156,Deltagarlista!$E$5:$E$64,0))))</f>
        <v/>
      </c>
      <c r="BA156" s="162" t="str">
        <f>IF(ISBLANK(E156),"",NOT(ISERROR(MATCH(E156,Deltagarlista!$E$5:$E$64,0))))</f>
        <v/>
      </c>
      <c r="BB156" s="162" t="str">
        <f>IF(ISBLANK(F156),"",NOT(ISERROR(MATCH(F156,Deltagarlista!$E$5:$E$64,0))))</f>
        <v/>
      </c>
      <c r="BC156" s="162" t="str">
        <f>IF(ISBLANK(G156),"",NOT(ISERROR(MATCH(G156,Deltagarlista!$E$5:$E$64,0))))</f>
        <v/>
      </c>
      <c r="BD156" s="162" t="str">
        <f>IF(ISBLANK(H156),"",NOT(ISERROR(MATCH(H156,Deltagarlista!$E$5:$E$64,0))))</f>
        <v/>
      </c>
      <c r="BE156" s="162" t="str">
        <f>IF(ISBLANK(I156),"",NOT(ISERROR(MATCH(I156,Deltagarlista!$E$5:$E$64,0))))</f>
        <v/>
      </c>
      <c r="BF156" s="162" t="str">
        <f>IF(ISBLANK(J156),"",NOT(ISERROR(MATCH(J156,Deltagarlista!$E$5:$E$64,0))))</f>
        <v/>
      </c>
      <c r="BG156" s="162" t="str">
        <f>IF(ISBLANK(K156),"",NOT(ISERROR(MATCH(K156,Deltagarlista!$E$5:$E$64,0))))</f>
        <v/>
      </c>
      <c r="BH156" s="162" t="str">
        <f>IF(ISBLANK(L156),"",NOT(ISERROR(MATCH(L156,Deltagarlista!$E$5:$E$64,0))))</f>
        <v/>
      </c>
      <c r="BI156" s="162" t="str">
        <f>IF(ISBLANK(M156),"",NOT(ISERROR(MATCH(M156,Deltagarlista!$E$5:$E$64,0))))</f>
        <v/>
      </c>
      <c r="BJ156" s="162" t="str">
        <f>IF(ISBLANK(N156),"",NOT(ISERROR(MATCH(N156,Deltagarlista!$E$5:$E$64,0))))</f>
        <v/>
      </c>
      <c r="BK156" s="162" t="str">
        <f>IF(ISBLANK(O156),"",NOT(ISERROR(MATCH(O156,Deltagarlista!$E$5:$E$64,0))))</f>
        <v/>
      </c>
      <c r="BL156" s="162" t="str">
        <f>IF(ISBLANK(P156),"",NOT(ISERROR(MATCH(P156,Deltagarlista!$E$5:$E$64,0))))</f>
        <v/>
      </c>
      <c r="BM156" s="162" t="str">
        <f>IF(ISBLANK(Q156),"",NOT(ISERROR(MATCH(Q156,Deltagarlista!$E$5:$E$64,0))))</f>
        <v/>
      </c>
      <c r="BN156" s="167"/>
    </row>
    <row r="157" spans="2:66" x14ac:dyDescent="0.3">
      <c r="B157" s="186">
        <v>15</v>
      </c>
      <c r="C157" s="27"/>
      <c r="D157" s="28"/>
      <c r="E157" s="38"/>
      <c r="F157" s="27"/>
      <c r="G157" s="28"/>
      <c r="H157" s="29"/>
      <c r="I157" s="41"/>
      <c r="J157" s="28"/>
      <c r="K157" s="38"/>
      <c r="L157" s="27"/>
      <c r="M157" s="28"/>
      <c r="N157" s="29"/>
      <c r="O157" s="41"/>
      <c r="P157" s="28"/>
      <c r="Q157" s="29"/>
      <c r="R157" s="187">
        <v>15</v>
      </c>
      <c r="S157" s="188">
        <v>15</v>
      </c>
      <c r="T157" s="188">
        <v>15</v>
      </c>
      <c r="U157" s="188">
        <v>15</v>
      </c>
      <c r="V157" s="188">
        <v>15</v>
      </c>
      <c r="W157" s="188">
        <v>15</v>
      </c>
      <c r="X157" s="188">
        <v>15</v>
      </c>
      <c r="Y157" s="188">
        <v>15</v>
      </c>
      <c r="Z157" s="188">
        <v>15</v>
      </c>
      <c r="AA157" s="188">
        <v>15</v>
      </c>
      <c r="AB157" s="188">
        <v>15</v>
      </c>
      <c r="AC157" s="188">
        <v>15</v>
      </c>
      <c r="AD157" s="188">
        <v>15</v>
      </c>
      <c r="AE157" s="188">
        <v>15</v>
      </c>
      <c r="AF157" s="188">
        <v>15</v>
      </c>
      <c r="AG157" s="188">
        <v>15</v>
      </c>
      <c r="AH157" s="166"/>
      <c r="AI157" s="129">
        <f t="shared" si="125"/>
        <v>0</v>
      </c>
      <c r="AJ157" s="129">
        <f t="shared" si="126"/>
        <v>0</v>
      </c>
      <c r="AK157" s="129">
        <f t="shared" si="127"/>
        <v>0</v>
      </c>
      <c r="AL157" s="129">
        <f t="shared" si="128"/>
        <v>0</v>
      </c>
      <c r="AM157" s="129">
        <f t="shared" si="129"/>
        <v>0</v>
      </c>
      <c r="AN157" s="129">
        <f t="shared" si="130"/>
        <v>0</v>
      </c>
      <c r="AO157" s="129">
        <f t="shared" si="131"/>
        <v>0</v>
      </c>
      <c r="AP157" s="129">
        <f t="shared" si="132"/>
        <v>0</v>
      </c>
      <c r="AQ157" s="129">
        <f t="shared" si="133"/>
        <v>0</v>
      </c>
      <c r="AR157" s="129">
        <f t="shared" si="134"/>
        <v>0</v>
      </c>
      <c r="AS157" s="129">
        <f t="shared" si="135"/>
        <v>0</v>
      </c>
      <c r="AT157" s="129">
        <f t="shared" si="136"/>
        <v>0</v>
      </c>
      <c r="AU157" s="129">
        <f t="shared" si="137"/>
        <v>0</v>
      </c>
      <c r="AV157" s="129">
        <f t="shared" si="138"/>
        <v>0</v>
      </c>
      <c r="AW157" s="129">
        <f t="shared" si="139"/>
        <v>0</v>
      </c>
      <c r="AY157" s="162" t="str">
        <f>IF(ISBLANK(C157),"",NOT(ISERROR(MATCH(C157,Deltagarlista!$E$5:$E$64,0))))</f>
        <v/>
      </c>
      <c r="AZ157" s="162" t="str">
        <f>IF(ISBLANK(D157),"",NOT(ISERROR(MATCH(D157,Deltagarlista!$E$5:$E$64,0))))</f>
        <v/>
      </c>
      <c r="BA157" s="162" t="str">
        <f>IF(ISBLANK(E157),"",NOT(ISERROR(MATCH(E157,Deltagarlista!$E$5:$E$64,0))))</f>
        <v/>
      </c>
      <c r="BB157" s="162" t="str">
        <f>IF(ISBLANK(F157),"",NOT(ISERROR(MATCH(F157,Deltagarlista!$E$5:$E$64,0))))</f>
        <v/>
      </c>
      <c r="BC157" s="162" t="str">
        <f>IF(ISBLANK(G157),"",NOT(ISERROR(MATCH(G157,Deltagarlista!$E$5:$E$64,0))))</f>
        <v/>
      </c>
      <c r="BD157" s="162" t="str">
        <f>IF(ISBLANK(H157),"",NOT(ISERROR(MATCH(H157,Deltagarlista!$E$5:$E$64,0))))</f>
        <v/>
      </c>
      <c r="BE157" s="162" t="str">
        <f>IF(ISBLANK(I157),"",NOT(ISERROR(MATCH(I157,Deltagarlista!$E$5:$E$64,0))))</f>
        <v/>
      </c>
      <c r="BF157" s="162" t="str">
        <f>IF(ISBLANK(J157),"",NOT(ISERROR(MATCH(J157,Deltagarlista!$E$5:$E$64,0))))</f>
        <v/>
      </c>
      <c r="BG157" s="162" t="str">
        <f>IF(ISBLANK(K157),"",NOT(ISERROR(MATCH(K157,Deltagarlista!$E$5:$E$64,0))))</f>
        <v/>
      </c>
      <c r="BH157" s="162" t="str">
        <f>IF(ISBLANK(L157),"",NOT(ISERROR(MATCH(L157,Deltagarlista!$E$5:$E$64,0))))</f>
        <v/>
      </c>
      <c r="BI157" s="162" t="str">
        <f>IF(ISBLANK(M157),"",NOT(ISERROR(MATCH(M157,Deltagarlista!$E$5:$E$64,0))))</f>
        <v/>
      </c>
      <c r="BJ157" s="162" t="str">
        <f>IF(ISBLANK(N157),"",NOT(ISERROR(MATCH(N157,Deltagarlista!$E$5:$E$64,0))))</f>
        <v/>
      </c>
      <c r="BK157" s="162" t="str">
        <f>IF(ISBLANK(O157),"",NOT(ISERROR(MATCH(O157,Deltagarlista!$E$5:$E$64,0))))</f>
        <v/>
      </c>
      <c r="BL157" s="162" t="str">
        <f>IF(ISBLANK(P157),"",NOT(ISERROR(MATCH(P157,Deltagarlista!$E$5:$E$64,0))))</f>
        <v/>
      </c>
      <c r="BM157" s="162" t="str">
        <f>IF(ISBLANK(Q157),"",NOT(ISERROR(MATCH(Q157,Deltagarlista!$E$5:$E$64,0))))</f>
        <v/>
      </c>
      <c r="BN157" s="167"/>
    </row>
    <row r="158" spans="2:66" x14ac:dyDescent="0.3">
      <c r="B158" s="186">
        <v>16</v>
      </c>
      <c r="C158" s="27"/>
      <c r="D158" s="28"/>
      <c r="E158" s="38"/>
      <c r="F158" s="27"/>
      <c r="G158" s="28"/>
      <c r="H158" s="29"/>
      <c r="I158" s="41"/>
      <c r="J158" s="28"/>
      <c r="K158" s="38"/>
      <c r="L158" s="27"/>
      <c r="M158" s="28"/>
      <c r="N158" s="29"/>
      <c r="O158" s="41"/>
      <c r="P158" s="28"/>
      <c r="Q158" s="29"/>
      <c r="R158" s="187">
        <v>16</v>
      </c>
      <c r="S158" s="188">
        <v>16</v>
      </c>
      <c r="T158" s="188">
        <v>16</v>
      </c>
      <c r="U158" s="188">
        <v>16</v>
      </c>
      <c r="V158" s="188">
        <v>16</v>
      </c>
      <c r="W158" s="188">
        <v>16</v>
      </c>
      <c r="X158" s="188">
        <v>16</v>
      </c>
      <c r="Y158" s="188">
        <v>16</v>
      </c>
      <c r="Z158" s="188">
        <v>16</v>
      </c>
      <c r="AA158" s="188">
        <v>16</v>
      </c>
      <c r="AB158" s="188">
        <v>16</v>
      </c>
      <c r="AC158" s="188">
        <v>16</v>
      </c>
      <c r="AD158" s="188">
        <v>16</v>
      </c>
      <c r="AE158" s="188">
        <v>16</v>
      </c>
      <c r="AF158" s="188">
        <v>16</v>
      </c>
      <c r="AG158" s="188">
        <v>16</v>
      </c>
      <c r="AH158" s="166"/>
      <c r="AI158" s="129">
        <f t="shared" si="125"/>
        <v>0</v>
      </c>
      <c r="AJ158" s="129">
        <f t="shared" si="126"/>
        <v>0</v>
      </c>
      <c r="AK158" s="129">
        <f t="shared" si="127"/>
        <v>0</v>
      </c>
      <c r="AL158" s="129">
        <f t="shared" si="128"/>
        <v>0</v>
      </c>
      <c r="AM158" s="129">
        <f t="shared" si="129"/>
        <v>0</v>
      </c>
      <c r="AN158" s="129">
        <f t="shared" si="130"/>
        <v>0</v>
      </c>
      <c r="AO158" s="129">
        <f t="shared" si="131"/>
        <v>0</v>
      </c>
      <c r="AP158" s="129">
        <f t="shared" si="132"/>
        <v>0</v>
      </c>
      <c r="AQ158" s="129">
        <f t="shared" si="133"/>
        <v>0</v>
      </c>
      <c r="AR158" s="129">
        <f t="shared" si="134"/>
        <v>0</v>
      </c>
      <c r="AS158" s="129">
        <f t="shared" si="135"/>
        <v>0</v>
      </c>
      <c r="AT158" s="129">
        <f t="shared" si="136"/>
        <v>0</v>
      </c>
      <c r="AU158" s="129">
        <f t="shared" si="137"/>
        <v>0</v>
      </c>
      <c r="AV158" s="129">
        <f t="shared" si="138"/>
        <v>0</v>
      </c>
      <c r="AW158" s="129">
        <f t="shared" si="139"/>
        <v>0</v>
      </c>
      <c r="AY158" s="162" t="str">
        <f>IF(ISBLANK(C158),"",NOT(ISERROR(MATCH(C158,Deltagarlista!$E$5:$E$64,0))))</f>
        <v/>
      </c>
      <c r="AZ158" s="162" t="str">
        <f>IF(ISBLANK(D158),"",NOT(ISERROR(MATCH(D158,Deltagarlista!$E$5:$E$64,0))))</f>
        <v/>
      </c>
      <c r="BA158" s="162" t="str">
        <f>IF(ISBLANK(E158),"",NOT(ISERROR(MATCH(E158,Deltagarlista!$E$5:$E$64,0))))</f>
        <v/>
      </c>
      <c r="BB158" s="162" t="str">
        <f>IF(ISBLANK(F158),"",NOT(ISERROR(MATCH(F158,Deltagarlista!$E$5:$E$64,0))))</f>
        <v/>
      </c>
      <c r="BC158" s="162" t="str">
        <f>IF(ISBLANK(G158),"",NOT(ISERROR(MATCH(G158,Deltagarlista!$E$5:$E$64,0))))</f>
        <v/>
      </c>
      <c r="BD158" s="162" t="str">
        <f>IF(ISBLANK(H158),"",NOT(ISERROR(MATCH(H158,Deltagarlista!$E$5:$E$64,0))))</f>
        <v/>
      </c>
      <c r="BE158" s="162" t="str">
        <f>IF(ISBLANK(I158),"",NOT(ISERROR(MATCH(I158,Deltagarlista!$E$5:$E$64,0))))</f>
        <v/>
      </c>
      <c r="BF158" s="162" t="str">
        <f>IF(ISBLANK(J158),"",NOT(ISERROR(MATCH(J158,Deltagarlista!$E$5:$E$64,0))))</f>
        <v/>
      </c>
      <c r="BG158" s="162" t="str">
        <f>IF(ISBLANK(K158),"",NOT(ISERROR(MATCH(K158,Deltagarlista!$E$5:$E$64,0))))</f>
        <v/>
      </c>
      <c r="BH158" s="162" t="str">
        <f>IF(ISBLANK(L158),"",NOT(ISERROR(MATCH(L158,Deltagarlista!$E$5:$E$64,0))))</f>
        <v/>
      </c>
      <c r="BI158" s="162" t="str">
        <f>IF(ISBLANK(M158),"",NOT(ISERROR(MATCH(M158,Deltagarlista!$E$5:$E$64,0))))</f>
        <v/>
      </c>
      <c r="BJ158" s="162" t="str">
        <f>IF(ISBLANK(N158),"",NOT(ISERROR(MATCH(N158,Deltagarlista!$E$5:$E$64,0))))</f>
        <v/>
      </c>
      <c r="BK158" s="162" t="str">
        <f>IF(ISBLANK(O158),"",NOT(ISERROR(MATCH(O158,Deltagarlista!$E$5:$E$64,0))))</f>
        <v/>
      </c>
      <c r="BL158" s="162" t="str">
        <f>IF(ISBLANK(P158),"",NOT(ISERROR(MATCH(P158,Deltagarlista!$E$5:$E$64,0))))</f>
        <v/>
      </c>
      <c r="BM158" s="162" t="str">
        <f>IF(ISBLANK(Q158),"",NOT(ISERROR(MATCH(Q158,Deltagarlista!$E$5:$E$64,0))))</f>
        <v/>
      </c>
      <c r="BN158" s="167"/>
    </row>
    <row r="159" spans="2:66" x14ac:dyDescent="0.3">
      <c r="B159" s="186">
        <v>17</v>
      </c>
      <c r="C159" s="27"/>
      <c r="D159" s="28"/>
      <c r="E159" s="38"/>
      <c r="F159" s="27"/>
      <c r="G159" s="28"/>
      <c r="H159" s="29"/>
      <c r="I159" s="41"/>
      <c r="J159" s="28"/>
      <c r="K159" s="38"/>
      <c r="L159" s="27"/>
      <c r="M159" s="28"/>
      <c r="N159" s="29"/>
      <c r="O159" s="41"/>
      <c r="P159" s="28"/>
      <c r="Q159" s="29"/>
      <c r="R159" s="187">
        <v>17</v>
      </c>
      <c r="S159" s="188">
        <v>17</v>
      </c>
      <c r="T159" s="188">
        <v>17</v>
      </c>
      <c r="U159" s="188">
        <v>17</v>
      </c>
      <c r="V159" s="188">
        <v>17</v>
      </c>
      <c r="W159" s="188">
        <v>17</v>
      </c>
      <c r="X159" s="188">
        <v>17</v>
      </c>
      <c r="Y159" s="188">
        <v>17</v>
      </c>
      <c r="Z159" s="188">
        <v>17</v>
      </c>
      <c r="AA159" s="188">
        <v>17</v>
      </c>
      <c r="AB159" s="188">
        <v>17</v>
      </c>
      <c r="AC159" s="188">
        <v>17</v>
      </c>
      <c r="AD159" s="188">
        <v>17</v>
      </c>
      <c r="AE159" s="188">
        <v>17</v>
      </c>
      <c r="AF159" s="188">
        <v>17</v>
      </c>
      <c r="AG159" s="188">
        <v>17</v>
      </c>
      <c r="AH159" s="166"/>
      <c r="AI159" s="129">
        <f t="shared" si="125"/>
        <v>0</v>
      </c>
      <c r="AJ159" s="129">
        <f t="shared" si="126"/>
        <v>0</v>
      </c>
      <c r="AK159" s="129">
        <f t="shared" si="127"/>
        <v>0</v>
      </c>
      <c r="AL159" s="129">
        <f t="shared" si="128"/>
        <v>0</v>
      </c>
      <c r="AM159" s="129">
        <f t="shared" si="129"/>
        <v>0</v>
      </c>
      <c r="AN159" s="129">
        <f t="shared" si="130"/>
        <v>0</v>
      </c>
      <c r="AO159" s="129">
        <f t="shared" si="131"/>
        <v>0</v>
      </c>
      <c r="AP159" s="129">
        <f t="shared" si="132"/>
        <v>0</v>
      </c>
      <c r="AQ159" s="129">
        <f t="shared" si="133"/>
        <v>0</v>
      </c>
      <c r="AR159" s="129">
        <f t="shared" si="134"/>
        <v>0</v>
      </c>
      <c r="AS159" s="129">
        <f t="shared" si="135"/>
        <v>0</v>
      </c>
      <c r="AT159" s="129">
        <f t="shared" si="136"/>
        <v>0</v>
      </c>
      <c r="AU159" s="129">
        <f t="shared" si="137"/>
        <v>0</v>
      </c>
      <c r="AV159" s="129">
        <f t="shared" si="138"/>
        <v>0</v>
      </c>
      <c r="AW159" s="129">
        <f t="shared" si="139"/>
        <v>0</v>
      </c>
      <c r="AY159" s="162" t="str">
        <f>IF(ISBLANK(C159),"",NOT(ISERROR(MATCH(C159,Deltagarlista!$E$5:$E$64,0))))</f>
        <v/>
      </c>
      <c r="AZ159" s="162" t="str">
        <f>IF(ISBLANK(D159),"",NOT(ISERROR(MATCH(D159,Deltagarlista!$E$5:$E$64,0))))</f>
        <v/>
      </c>
      <c r="BA159" s="162" t="str">
        <f>IF(ISBLANK(E159),"",NOT(ISERROR(MATCH(E159,Deltagarlista!$E$5:$E$64,0))))</f>
        <v/>
      </c>
      <c r="BB159" s="162" t="str">
        <f>IF(ISBLANK(F159),"",NOT(ISERROR(MATCH(F159,Deltagarlista!$E$5:$E$64,0))))</f>
        <v/>
      </c>
      <c r="BC159" s="162" t="str">
        <f>IF(ISBLANK(G159),"",NOT(ISERROR(MATCH(G159,Deltagarlista!$E$5:$E$64,0))))</f>
        <v/>
      </c>
      <c r="BD159" s="162" t="str">
        <f>IF(ISBLANK(H159),"",NOT(ISERROR(MATCH(H159,Deltagarlista!$E$5:$E$64,0))))</f>
        <v/>
      </c>
      <c r="BE159" s="162" t="str">
        <f>IF(ISBLANK(I159),"",NOT(ISERROR(MATCH(I159,Deltagarlista!$E$5:$E$64,0))))</f>
        <v/>
      </c>
      <c r="BF159" s="162" t="str">
        <f>IF(ISBLANK(J159),"",NOT(ISERROR(MATCH(J159,Deltagarlista!$E$5:$E$64,0))))</f>
        <v/>
      </c>
      <c r="BG159" s="162" t="str">
        <f>IF(ISBLANK(K159),"",NOT(ISERROR(MATCH(K159,Deltagarlista!$E$5:$E$64,0))))</f>
        <v/>
      </c>
      <c r="BH159" s="162" t="str">
        <f>IF(ISBLANK(L159),"",NOT(ISERROR(MATCH(L159,Deltagarlista!$E$5:$E$64,0))))</f>
        <v/>
      </c>
      <c r="BI159" s="162" t="str">
        <f>IF(ISBLANK(M159),"",NOT(ISERROR(MATCH(M159,Deltagarlista!$E$5:$E$64,0))))</f>
        <v/>
      </c>
      <c r="BJ159" s="162" t="str">
        <f>IF(ISBLANK(N159),"",NOT(ISERROR(MATCH(N159,Deltagarlista!$E$5:$E$64,0))))</f>
        <v/>
      </c>
      <c r="BK159" s="162" t="str">
        <f>IF(ISBLANK(O159),"",NOT(ISERROR(MATCH(O159,Deltagarlista!$E$5:$E$64,0))))</f>
        <v/>
      </c>
      <c r="BL159" s="162" t="str">
        <f>IF(ISBLANK(P159),"",NOT(ISERROR(MATCH(P159,Deltagarlista!$E$5:$E$64,0))))</f>
        <v/>
      </c>
      <c r="BM159" s="162" t="str">
        <f>IF(ISBLANK(Q159),"",NOT(ISERROR(MATCH(Q159,Deltagarlista!$E$5:$E$64,0))))</f>
        <v/>
      </c>
      <c r="BN159" s="167"/>
    </row>
    <row r="160" spans="2:66" x14ac:dyDescent="0.3">
      <c r="B160" s="186">
        <v>18</v>
      </c>
      <c r="C160" s="27"/>
      <c r="D160" s="28"/>
      <c r="E160" s="38"/>
      <c r="F160" s="27"/>
      <c r="G160" s="28"/>
      <c r="H160" s="29"/>
      <c r="I160" s="41"/>
      <c r="J160" s="28"/>
      <c r="K160" s="38"/>
      <c r="L160" s="27"/>
      <c r="M160" s="28"/>
      <c r="N160" s="29"/>
      <c r="O160" s="41"/>
      <c r="P160" s="28"/>
      <c r="Q160" s="29"/>
      <c r="R160" s="187">
        <v>18</v>
      </c>
      <c r="S160" s="188">
        <v>18</v>
      </c>
      <c r="T160" s="188">
        <v>18</v>
      </c>
      <c r="U160" s="188">
        <v>18</v>
      </c>
      <c r="V160" s="188">
        <v>18</v>
      </c>
      <c r="W160" s="188">
        <v>18</v>
      </c>
      <c r="X160" s="188">
        <v>18</v>
      </c>
      <c r="Y160" s="188">
        <v>18</v>
      </c>
      <c r="Z160" s="188">
        <v>18</v>
      </c>
      <c r="AA160" s="188">
        <v>18</v>
      </c>
      <c r="AB160" s="188">
        <v>18</v>
      </c>
      <c r="AC160" s="188">
        <v>18</v>
      </c>
      <c r="AD160" s="188">
        <v>18</v>
      </c>
      <c r="AE160" s="188">
        <v>18</v>
      </c>
      <c r="AF160" s="188">
        <v>18</v>
      </c>
      <c r="AG160" s="188">
        <v>18</v>
      </c>
      <c r="AH160" s="166"/>
      <c r="AI160" s="129">
        <f t="shared" si="125"/>
        <v>0</v>
      </c>
      <c r="AJ160" s="129">
        <f t="shared" si="126"/>
        <v>0</v>
      </c>
      <c r="AK160" s="129">
        <f t="shared" si="127"/>
        <v>0</v>
      </c>
      <c r="AL160" s="129">
        <f t="shared" si="128"/>
        <v>0</v>
      </c>
      <c r="AM160" s="129">
        <f t="shared" si="129"/>
        <v>0</v>
      </c>
      <c r="AN160" s="129">
        <f t="shared" si="130"/>
        <v>0</v>
      </c>
      <c r="AO160" s="129">
        <f t="shared" si="131"/>
        <v>0</v>
      </c>
      <c r="AP160" s="129">
        <f t="shared" si="132"/>
        <v>0</v>
      </c>
      <c r="AQ160" s="129">
        <f t="shared" si="133"/>
        <v>0</v>
      </c>
      <c r="AR160" s="129">
        <f t="shared" si="134"/>
        <v>0</v>
      </c>
      <c r="AS160" s="129">
        <f t="shared" si="135"/>
        <v>0</v>
      </c>
      <c r="AT160" s="129">
        <f t="shared" si="136"/>
        <v>0</v>
      </c>
      <c r="AU160" s="129">
        <f t="shared" si="137"/>
        <v>0</v>
      </c>
      <c r="AV160" s="129">
        <f t="shared" si="138"/>
        <v>0</v>
      </c>
      <c r="AW160" s="129">
        <f t="shared" si="139"/>
        <v>0</v>
      </c>
      <c r="AY160" s="162" t="str">
        <f>IF(ISBLANK(C160),"",NOT(ISERROR(MATCH(C160,Deltagarlista!$E$5:$E$64,0))))</f>
        <v/>
      </c>
      <c r="AZ160" s="162" t="str">
        <f>IF(ISBLANK(D160),"",NOT(ISERROR(MATCH(D160,Deltagarlista!$E$5:$E$64,0))))</f>
        <v/>
      </c>
      <c r="BA160" s="162" t="str">
        <f>IF(ISBLANK(E160),"",NOT(ISERROR(MATCH(E160,Deltagarlista!$E$5:$E$64,0))))</f>
        <v/>
      </c>
      <c r="BB160" s="162" t="str">
        <f>IF(ISBLANK(F160),"",NOT(ISERROR(MATCH(F160,Deltagarlista!$E$5:$E$64,0))))</f>
        <v/>
      </c>
      <c r="BC160" s="162" t="str">
        <f>IF(ISBLANK(G160),"",NOT(ISERROR(MATCH(G160,Deltagarlista!$E$5:$E$64,0))))</f>
        <v/>
      </c>
      <c r="BD160" s="162" t="str">
        <f>IF(ISBLANK(H160),"",NOT(ISERROR(MATCH(H160,Deltagarlista!$E$5:$E$64,0))))</f>
        <v/>
      </c>
      <c r="BE160" s="162" t="str">
        <f>IF(ISBLANK(I160),"",NOT(ISERROR(MATCH(I160,Deltagarlista!$E$5:$E$64,0))))</f>
        <v/>
      </c>
      <c r="BF160" s="162" t="str">
        <f>IF(ISBLANK(J160),"",NOT(ISERROR(MATCH(J160,Deltagarlista!$E$5:$E$64,0))))</f>
        <v/>
      </c>
      <c r="BG160" s="162" t="str">
        <f>IF(ISBLANK(K160),"",NOT(ISERROR(MATCH(K160,Deltagarlista!$E$5:$E$64,0))))</f>
        <v/>
      </c>
      <c r="BH160" s="162" t="str">
        <f>IF(ISBLANK(L160),"",NOT(ISERROR(MATCH(L160,Deltagarlista!$E$5:$E$64,0))))</f>
        <v/>
      </c>
      <c r="BI160" s="162" t="str">
        <f>IF(ISBLANK(M160),"",NOT(ISERROR(MATCH(M160,Deltagarlista!$E$5:$E$64,0))))</f>
        <v/>
      </c>
      <c r="BJ160" s="162" t="str">
        <f>IF(ISBLANK(N160),"",NOT(ISERROR(MATCH(N160,Deltagarlista!$E$5:$E$64,0))))</f>
        <v/>
      </c>
      <c r="BK160" s="162" t="str">
        <f>IF(ISBLANK(O160),"",NOT(ISERROR(MATCH(O160,Deltagarlista!$E$5:$E$64,0))))</f>
        <v/>
      </c>
      <c r="BL160" s="162" t="str">
        <f>IF(ISBLANK(P160),"",NOT(ISERROR(MATCH(P160,Deltagarlista!$E$5:$E$64,0))))</f>
        <v/>
      </c>
      <c r="BM160" s="162" t="str">
        <f>IF(ISBLANK(Q160),"",NOT(ISERROR(MATCH(Q160,Deltagarlista!$E$5:$E$64,0))))</f>
        <v/>
      </c>
      <c r="BN160" s="167"/>
    </row>
    <row r="161" spans="2:66" x14ac:dyDescent="0.3">
      <c r="B161" s="186">
        <v>19</v>
      </c>
      <c r="C161" s="27"/>
      <c r="D161" s="28"/>
      <c r="E161" s="38"/>
      <c r="F161" s="27"/>
      <c r="G161" s="28"/>
      <c r="H161" s="29"/>
      <c r="I161" s="41"/>
      <c r="J161" s="28"/>
      <c r="K161" s="38"/>
      <c r="L161" s="27"/>
      <c r="M161" s="28"/>
      <c r="N161" s="29"/>
      <c r="O161" s="41"/>
      <c r="P161" s="28"/>
      <c r="Q161" s="29"/>
      <c r="R161" s="187">
        <v>19</v>
      </c>
      <c r="S161" s="188">
        <v>19</v>
      </c>
      <c r="T161" s="188">
        <v>19</v>
      </c>
      <c r="U161" s="188">
        <v>19</v>
      </c>
      <c r="V161" s="188">
        <v>19</v>
      </c>
      <c r="W161" s="188">
        <v>19</v>
      </c>
      <c r="X161" s="188">
        <v>19</v>
      </c>
      <c r="Y161" s="188">
        <v>19</v>
      </c>
      <c r="Z161" s="188">
        <v>19</v>
      </c>
      <c r="AA161" s="188">
        <v>19</v>
      </c>
      <c r="AB161" s="188">
        <v>19</v>
      </c>
      <c r="AC161" s="188">
        <v>19</v>
      </c>
      <c r="AD161" s="188">
        <v>19</v>
      </c>
      <c r="AE161" s="188">
        <v>19</v>
      </c>
      <c r="AF161" s="188">
        <v>19</v>
      </c>
      <c r="AG161" s="188">
        <v>19</v>
      </c>
      <c r="AH161" s="166"/>
      <c r="AI161" s="129">
        <f t="shared" si="125"/>
        <v>0</v>
      </c>
      <c r="AJ161" s="129">
        <f t="shared" si="126"/>
        <v>0</v>
      </c>
      <c r="AK161" s="129">
        <f t="shared" si="127"/>
        <v>0</v>
      </c>
      <c r="AL161" s="129">
        <f t="shared" si="128"/>
        <v>0</v>
      </c>
      <c r="AM161" s="129">
        <f t="shared" si="129"/>
        <v>0</v>
      </c>
      <c r="AN161" s="129">
        <f t="shared" si="130"/>
        <v>0</v>
      </c>
      <c r="AO161" s="129">
        <f t="shared" si="131"/>
        <v>0</v>
      </c>
      <c r="AP161" s="129">
        <f t="shared" si="132"/>
        <v>0</v>
      </c>
      <c r="AQ161" s="129">
        <f t="shared" si="133"/>
        <v>0</v>
      </c>
      <c r="AR161" s="129">
        <f t="shared" si="134"/>
        <v>0</v>
      </c>
      <c r="AS161" s="129">
        <f t="shared" si="135"/>
        <v>0</v>
      </c>
      <c r="AT161" s="129">
        <f t="shared" si="136"/>
        <v>0</v>
      </c>
      <c r="AU161" s="129">
        <f t="shared" si="137"/>
        <v>0</v>
      </c>
      <c r="AV161" s="129">
        <f t="shared" si="138"/>
        <v>0</v>
      </c>
      <c r="AW161" s="129">
        <f t="shared" si="139"/>
        <v>0</v>
      </c>
      <c r="AY161" s="162" t="str">
        <f>IF(ISBLANK(C161),"",NOT(ISERROR(MATCH(C161,Deltagarlista!$E$5:$E$64,0))))</f>
        <v/>
      </c>
      <c r="AZ161" s="162" t="str">
        <f>IF(ISBLANK(D161),"",NOT(ISERROR(MATCH(D161,Deltagarlista!$E$5:$E$64,0))))</f>
        <v/>
      </c>
      <c r="BA161" s="162" t="str">
        <f>IF(ISBLANK(E161),"",NOT(ISERROR(MATCH(E161,Deltagarlista!$E$5:$E$64,0))))</f>
        <v/>
      </c>
      <c r="BB161" s="162" t="str">
        <f>IF(ISBLANK(F161),"",NOT(ISERROR(MATCH(F161,Deltagarlista!$E$5:$E$64,0))))</f>
        <v/>
      </c>
      <c r="BC161" s="162" t="str">
        <f>IF(ISBLANK(G161),"",NOT(ISERROR(MATCH(G161,Deltagarlista!$E$5:$E$64,0))))</f>
        <v/>
      </c>
      <c r="BD161" s="162" t="str">
        <f>IF(ISBLANK(H161),"",NOT(ISERROR(MATCH(H161,Deltagarlista!$E$5:$E$64,0))))</f>
        <v/>
      </c>
      <c r="BE161" s="162" t="str">
        <f>IF(ISBLANK(I161),"",NOT(ISERROR(MATCH(I161,Deltagarlista!$E$5:$E$64,0))))</f>
        <v/>
      </c>
      <c r="BF161" s="162" t="str">
        <f>IF(ISBLANK(J161),"",NOT(ISERROR(MATCH(J161,Deltagarlista!$E$5:$E$64,0))))</f>
        <v/>
      </c>
      <c r="BG161" s="162" t="str">
        <f>IF(ISBLANK(K161),"",NOT(ISERROR(MATCH(K161,Deltagarlista!$E$5:$E$64,0))))</f>
        <v/>
      </c>
      <c r="BH161" s="162" t="str">
        <f>IF(ISBLANK(L161),"",NOT(ISERROR(MATCH(L161,Deltagarlista!$E$5:$E$64,0))))</f>
        <v/>
      </c>
      <c r="BI161" s="162" t="str">
        <f>IF(ISBLANK(M161),"",NOT(ISERROR(MATCH(M161,Deltagarlista!$E$5:$E$64,0))))</f>
        <v/>
      </c>
      <c r="BJ161" s="162" t="str">
        <f>IF(ISBLANK(N161),"",NOT(ISERROR(MATCH(N161,Deltagarlista!$E$5:$E$64,0))))</f>
        <v/>
      </c>
      <c r="BK161" s="162" t="str">
        <f>IF(ISBLANK(O161),"",NOT(ISERROR(MATCH(O161,Deltagarlista!$E$5:$E$64,0))))</f>
        <v/>
      </c>
      <c r="BL161" s="162" t="str">
        <f>IF(ISBLANK(P161),"",NOT(ISERROR(MATCH(P161,Deltagarlista!$E$5:$E$64,0))))</f>
        <v/>
      </c>
      <c r="BM161" s="162" t="str">
        <f>IF(ISBLANK(Q161),"",NOT(ISERROR(MATCH(Q161,Deltagarlista!$E$5:$E$64,0))))</f>
        <v/>
      </c>
      <c r="BN161" s="167"/>
    </row>
    <row r="162" spans="2:66" x14ac:dyDescent="0.3">
      <c r="B162" s="186">
        <v>20</v>
      </c>
      <c r="C162" s="27"/>
      <c r="D162" s="28"/>
      <c r="E162" s="38"/>
      <c r="F162" s="27"/>
      <c r="G162" s="28"/>
      <c r="H162" s="29"/>
      <c r="I162" s="41"/>
      <c r="J162" s="28"/>
      <c r="K162" s="38"/>
      <c r="L162" s="27"/>
      <c r="M162" s="28"/>
      <c r="N162" s="29"/>
      <c r="O162" s="41"/>
      <c r="P162" s="28"/>
      <c r="Q162" s="29"/>
      <c r="R162" s="187">
        <v>20</v>
      </c>
      <c r="S162" s="188">
        <v>20</v>
      </c>
      <c r="T162" s="188">
        <v>20</v>
      </c>
      <c r="U162" s="188">
        <v>20</v>
      </c>
      <c r="V162" s="188">
        <v>20</v>
      </c>
      <c r="W162" s="188">
        <v>20</v>
      </c>
      <c r="X162" s="188">
        <v>20</v>
      </c>
      <c r="Y162" s="188">
        <v>20</v>
      </c>
      <c r="Z162" s="188">
        <v>20</v>
      </c>
      <c r="AA162" s="188">
        <v>20</v>
      </c>
      <c r="AB162" s="188">
        <v>20</v>
      </c>
      <c r="AC162" s="188">
        <v>20</v>
      </c>
      <c r="AD162" s="188">
        <v>20</v>
      </c>
      <c r="AE162" s="188">
        <v>20</v>
      </c>
      <c r="AF162" s="188">
        <v>20</v>
      </c>
      <c r="AG162" s="188">
        <v>20</v>
      </c>
      <c r="AH162" s="166"/>
      <c r="AI162" s="129">
        <f t="shared" si="125"/>
        <v>0</v>
      </c>
      <c r="AJ162" s="129">
        <f t="shared" si="126"/>
        <v>0</v>
      </c>
      <c r="AK162" s="129">
        <f t="shared" si="127"/>
        <v>0</v>
      </c>
      <c r="AL162" s="129">
        <f t="shared" si="128"/>
        <v>0</v>
      </c>
      <c r="AM162" s="129">
        <f t="shared" si="129"/>
        <v>0</v>
      </c>
      <c r="AN162" s="129">
        <f t="shared" si="130"/>
        <v>0</v>
      </c>
      <c r="AO162" s="129">
        <f t="shared" si="131"/>
        <v>0</v>
      </c>
      <c r="AP162" s="129">
        <f t="shared" si="132"/>
        <v>0</v>
      </c>
      <c r="AQ162" s="129">
        <f t="shared" si="133"/>
        <v>0</v>
      </c>
      <c r="AR162" s="129">
        <f t="shared" si="134"/>
        <v>0</v>
      </c>
      <c r="AS162" s="129">
        <f t="shared" si="135"/>
        <v>0</v>
      </c>
      <c r="AT162" s="129">
        <f t="shared" si="136"/>
        <v>0</v>
      </c>
      <c r="AU162" s="129">
        <f t="shared" si="137"/>
        <v>0</v>
      </c>
      <c r="AV162" s="129">
        <f t="shared" si="138"/>
        <v>0</v>
      </c>
      <c r="AW162" s="129">
        <f t="shared" si="139"/>
        <v>0</v>
      </c>
      <c r="AY162" s="162" t="str">
        <f>IF(ISBLANK(C162),"",NOT(ISERROR(MATCH(C162,Deltagarlista!$E$5:$E$64,0))))</f>
        <v/>
      </c>
      <c r="AZ162" s="162" t="str">
        <f>IF(ISBLANK(D162),"",NOT(ISERROR(MATCH(D162,Deltagarlista!$E$5:$E$64,0))))</f>
        <v/>
      </c>
      <c r="BA162" s="162" t="str">
        <f>IF(ISBLANK(E162),"",NOT(ISERROR(MATCH(E162,Deltagarlista!$E$5:$E$64,0))))</f>
        <v/>
      </c>
      <c r="BB162" s="162" t="str">
        <f>IF(ISBLANK(F162),"",NOT(ISERROR(MATCH(F162,Deltagarlista!$E$5:$E$64,0))))</f>
        <v/>
      </c>
      <c r="BC162" s="162" t="str">
        <f>IF(ISBLANK(G162),"",NOT(ISERROR(MATCH(G162,Deltagarlista!$E$5:$E$64,0))))</f>
        <v/>
      </c>
      <c r="BD162" s="162" t="str">
        <f>IF(ISBLANK(H162),"",NOT(ISERROR(MATCH(H162,Deltagarlista!$E$5:$E$64,0))))</f>
        <v/>
      </c>
      <c r="BE162" s="162" t="str">
        <f>IF(ISBLANK(I162),"",NOT(ISERROR(MATCH(I162,Deltagarlista!$E$5:$E$64,0))))</f>
        <v/>
      </c>
      <c r="BF162" s="162" t="str">
        <f>IF(ISBLANK(J162),"",NOT(ISERROR(MATCH(J162,Deltagarlista!$E$5:$E$64,0))))</f>
        <v/>
      </c>
      <c r="BG162" s="162" t="str">
        <f>IF(ISBLANK(K162),"",NOT(ISERROR(MATCH(K162,Deltagarlista!$E$5:$E$64,0))))</f>
        <v/>
      </c>
      <c r="BH162" s="162" t="str">
        <f>IF(ISBLANK(L162),"",NOT(ISERROR(MATCH(L162,Deltagarlista!$E$5:$E$64,0))))</f>
        <v/>
      </c>
      <c r="BI162" s="162" t="str">
        <f>IF(ISBLANK(M162),"",NOT(ISERROR(MATCH(M162,Deltagarlista!$E$5:$E$64,0))))</f>
        <v/>
      </c>
      <c r="BJ162" s="162" t="str">
        <f>IF(ISBLANK(N162),"",NOT(ISERROR(MATCH(N162,Deltagarlista!$E$5:$E$64,0))))</f>
        <v/>
      </c>
      <c r="BK162" s="162" t="str">
        <f>IF(ISBLANK(O162),"",NOT(ISERROR(MATCH(O162,Deltagarlista!$E$5:$E$64,0))))</f>
        <v/>
      </c>
      <c r="BL162" s="162" t="str">
        <f>IF(ISBLANK(P162),"",NOT(ISERROR(MATCH(P162,Deltagarlista!$E$5:$E$64,0))))</f>
        <v/>
      </c>
      <c r="BM162" s="162" t="str">
        <f>IF(ISBLANK(Q162),"",NOT(ISERROR(MATCH(Q162,Deltagarlista!$E$5:$E$64,0))))</f>
        <v/>
      </c>
      <c r="BN162" s="167"/>
    </row>
    <row r="163" spans="2:66" x14ac:dyDescent="0.3">
      <c r="B163" s="186">
        <v>21</v>
      </c>
      <c r="C163" s="27"/>
      <c r="D163" s="28"/>
      <c r="E163" s="38"/>
      <c r="F163" s="27"/>
      <c r="G163" s="28"/>
      <c r="H163" s="29"/>
      <c r="I163" s="41"/>
      <c r="J163" s="28"/>
      <c r="K163" s="38"/>
      <c r="L163" s="27"/>
      <c r="M163" s="28"/>
      <c r="N163" s="29"/>
      <c r="O163" s="41"/>
      <c r="P163" s="28"/>
      <c r="Q163" s="29"/>
      <c r="R163" s="187">
        <v>21</v>
      </c>
      <c r="S163" s="188">
        <v>21</v>
      </c>
      <c r="T163" s="188">
        <v>21</v>
      </c>
      <c r="U163" s="188">
        <v>21</v>
      </c>
      <c r="V163" s="188">
        <v>21</v>
      </c>
      <c r="W163" s="188">
        <v>21</v>
      </c>
      <c r="X163" s="188">
        <v>21</v>
      </c>
      <c r="Y163" s="188">
        <v>21</v>
      </c>
      <c r="Z163" s="188">
        <v>21</v>
      </c>
      <c r="AA163" s="188">
        <v>21</v>
      </c>
      <c r="AB163" s="188">
        <v>21</v>
      </c>
      <c r="AC163" s="188">
        <v>21</v>
      </c>
      <c r="AD163" s="188">
        <v>21</v>
      </c>
      <c r="AE163" s="188">
        <v>21</v>
      </c>
      <c r="AF163" s="188">
        <v>21</v>
      </c>
      <c r="AG163" s="188">
        <v>21</v>
      </c>
      <c r="AH163" s="166"/>
      <c r="AI163" s="129">
        <f t="shared" si="125"/>
        <v>0</v>
      </c>
      <c r="AJ163" s="129">
        <f t="shared" si="126"/>
        <v>0</v>
      </c>
      <c r="AK163" s="129">
        <f t="shared" si="127"/>
        <v>0</v>
      </c>
      <c r="AL163" s="129">
        <f t="shared" si="128"/>
        <v>0</v>
      </c>
      <c r="AM163" s="129">
        <f t="shared" si="129"/>
        <v>0</v>
      </c>
      <c r="AN163" s="129">
        <f t="shared" si="130"/>
        <v>0</v>
      </c>
      <c r="AO163" s="129">
        <f t="shared" si="131"/>
        <v>0</v>
      </c>
      <c r="AP163" s="129">
        <f t="shared" si="132"/>
        <v>0</v>
      </c>
      <c r="AQ163" s="129">
        <f t="shared" si="133"/>
        <v>0</v>
      </c>
      <c r="AR163" s="129">
        <f t="shared" si="134"/>
        <v>0</v>
      </c>
      <c r="AS163" s="129">
        <f t="shared" si="135"/>
        <v>0</v>
      </c>
      <c r="AT163" s="129">
        <f t="shared" si="136"/>
        <v>0</v>
      </c>
      <c r="AU163" s="129">
        <f t="shared" si="137"/>
        <v>0</v>
      </c>
      <c r="AV163" s="129">
        <f t="shared" si="138"/>
        <v>0</v>
      </c>
      <c r="AW163" s="129">
        <f t="shared" si="139"/>
        <v>0</v>
      </c>
      <c r="AY163" s="162" t="str">
        <f>IF(ISBLANK(C163),"",NOT(ISERROR(MATCH(C163,Deltagarlista!$E$5:$E$64,0))))</f>
        <v/>
      </c>
      <c r="AZ163" s="162" t="str">
        <f>IF(ISBLANK(D163),"",NOT(ISERROR(MATCH(D163,Deltagarlista!$E$5:$E$64,0))))</f>
        <v/>
      </c>
      <c r="BA163" s="162" t="str">
        <f>IF(ISBLANK(E163),"",NOT(ISERROR(MATCH(E163,Deltagarlista!$E$5:$E$64,0))))</f>
        <v/>
      </c>
      <c r="BB163" s="162" t="str">
        <f>IF(ISBLANK(F163),"",NOT(ISERROR(MATCH(F163,Deltagarlista!$E$5:$E$64,0))))</f>
        <v/>
      </c>
      <c r="BC163" s="162" t="str">
        <f>IF(ISBLANK(G163),"",NOT(ISERROR(MATCH(G163,Deltagarlista!$E$5:$E$64,0))))</f>
        <v/>
      </c>
      <c r="BD163" s="162" t="str">
        <f>IF(ISBLANK(H163),"",NOT(ISERROR(MATCH(H163,Deltagarlista!$E$5:$E$64,0))))</f>
        <v/>
      </c>
      <c r="BE163" s="162" t="str">
        <f>IF(ISBLANK(I163),"",NOT(ISERROR(MATCH(I163,Deltagarlista!$E$5:$E$64,0))))</f>
        <v/>
      </c>
      <c r="BF163" s="162" t="str">
        <f>IF(ISBLANK(J163),"",NOT(ISERROR(MATCH(J163,Deltagarlista!$E$5:$E$64,0))))</f>
        <v/>
      </c>
      <c r="BG163" s="162" t="str">
        <f>IF(ISBLANK(K163),"",NOT(ISERROR(MATCH(K163,Deltagarlista!$E$5:$E$64,0))))</f>
        <v/>
      </c>
      <c r="BH163" s="162" t="str">
        <f>IF(ISBLANK(L163),"",NOT(ISERROR(MATCH(L163,Deltagarlista!$E$5:$E$64,0))))</f>
        <v/>
      </c>
      <c r="BI163" s="162" t="str">
        <f>IF(ISBLANK(M163),"",NOT(ISERROR(MATCH(M163,Deltagarlista!$E$5:$E$64,0))))</f>
        <v/>
      </c>
      <c r="BJ163" s="162" t="str">
        <f>IF(ISBLANK(N163),"",NOT(ISERROR(MATCH(N163,Deltagarlista!$E$5:$E$64,0))))</f>
        <v/>
      </c>
      <c r="BK163" s="162" t="str">
        <f>IF(ISBLANK(O163),"",NOT(ISERROR(MATCH(O163,Deltagarlista!$E$5:$E$64,0))))</f>
        <v/>
      </c>
      <c r="BL163" s="162" t="str">
        <f>IF(ISBLANK(P163),"",NOT(ISERROR(MATCH(P163,Deltagarlista!$E$5:$E$64,0))))</f>
        <v/>
      </c>
      <c r="BM163" s="162" t="str">
        <f>IF(ISBLANK(Q163),"",NOT(ISERROR(MATCH(Q163,Deltagarlista!$E$5:$E$64,0))))</f>
        <v/>
      </c>
      <c r="BN163" s="167"/>
    </row>
    <row r="164" spans="2:66" x14ac:dyDescent="0.3">
      <c r="B164" s="186">
        <v>22</v>
      </c>
      <c r="C164" s="27"/>
      <c r="D164" s="28"/>
      <c r="E164" s="38"/>
      <c r="F164" s="27"/>
      <c r="G164" s="28"/>
      <c r="H164" s="29"/>
      <c r="I164" s="41"/>
      <c r="J164" s="28"/>
      <c r="K164" s="38"/>
      <c r="L164" s="27"/>
      <c r="M164" s="28"/>
      <c r="N164" s="29"/>
      <c r="O164" s="41"/>
      <c r="P164" s="28"/>
      <c r="Q164" s="29"/>
      <c r="R164" s="187">
        <v>22</v>
      </c>
      <c r="S164" s="188">
        <v>22</v>
      </c>
      <c r="T164" s="188">
        <v>22</v>
      </c>
      <c r="U164" s="188">
        <v>22</v>
      </c>
      <c r="V164" s="188">
        <v>22</v>
      </c>
      <c r="W164" s="188">
        <v>22</v>
      </c>
      <c r="X164" s="188">
        <v>22</v>
      </c>
      <c r="Y164" s="188">
        <v>22</v>
      </c>
      <c r="Z164" s="188">
        <v>22</v>
      </c>
      <c r="AA164" s="188">
        <v>22</v>
      </c>
      <c r="AB164" s="188">
        <v>22</v>
      </c>
      <c r="AC164" s="188">
        <v>22</v>
      </c>
      <c r="AD164" s="188">
        <v>22</v>
      </c>
      <c r="AE164" s="188">
        <v>22</v>
      </c>
      <c r="AF164" s="188">
        <v>22</v>
      </c>
      <c r="AG164" s="188">
        <v>22</v>
      </c>
      <c r="AH164" s="166"/>
      <c r="AI164" s="129">
        <f t="shared" si="125"/>
        <v>0</v>
      </c>
      <c r="AJ164" s="129">
        <f t="shared" si="126"/>
        <v>0</v>
      </c>
      <c r="AK164" s="129">
        <f t="shared" si="127"/>
        <v>0</v>
      </c>
      <c r="AL164" s="129">
        <f t="shared" si="128"/>
        <v>0</v>
      </c>
      <c r="AM164" s="129">
        <f t="shared" si="129"/>
        <v>0</v>
      </c>
      <c r="AN164" s="129">
        <f t="shared" si="130"/>
        <v>0</v>
      </c>
      <c r="AO164" s="129">
        <f t="shared" si="131"/>
        <v>0</v>
      </c>
      <c r="AP164" s="129">
        <f t="shared" si="132"/>
        <v>0</v>
      </c>
      <c r="AQ164" s="129">
        <f t="shared" si="133"/>
        <v>0</v>
      </c>
      <c r="AR164" s="129">
        <f t="shared" si="134"/>
        <v>0</v>
      </c>
      <c r="AS164" s="129">
        <f t="shared" si="135"/>
        <v>0</v>
      </c>
      <c r="AT164" s="129">
        <f t="shared" si="136"/>
        <v>0</v>
      </c>
      <c r="AU164" s="129">
        <f t="shared" si="137"/>
        <v>0</v>
      </c>
      <c r="AV164" s="129">
        <f t="shared" si="138"/>
        <v>0</v>
      </c>
      <c r="AW164" s="129">
        <f t="shared" si="139"/>
        <v>0</v>
      </c>
      <c r="AY164" s="162" t="str">
        <f>IF(ISBLANK(C164),"",NOT(ISERROR(MATCH(C164,Deltagarlista!$E$5:$E$64,0))))</f>
        <v/>
      </c>
      <c r="AZ164" s="162" t="str">
        <f>IF(ISBLANK(D164),"",NOT(ISERROR(MATCH(D164,Deltagarlista!$E$5:$E$64,0))))</f>
        <v/>
      </c>
      <c r="BA164" s="162" t="str">
        <f>IF(ISBLANK(E164),"",NOT(ISERROR(MATCH(E164,Deltagarlista!$E$5:$E$64,0))))</f>
        <v/>
      </c>
      <c r="BB164" s="162" t="str">
        <f>IF(ISBLANK(F164),"",NOT(ISERROR(MATCH(F164,Deltagarlista!$E$5:$E$64,0))))</f>
        <v/>
      </c>
      <c r="BC164" s="162" t="str">
        <f>IF(ISBLANK(G164),"",NOT(ISERROR(MATCH(G164,Deltagarlista!$E$5:$E$64,0))))</f>
        <v/>
      </c>
      <c r="BD164" s="162" t="str">
        <f>IF(ISBLANK(H164),"",NOT(ISERROR(MATCH(H164,Deltagarlista!$E$5:$E$64,0))))</f>
        <v/>
      </c>
      <c r="BE164" s="162" t="str">
        <f>IF(ISBLANK(I164),"",NOT(ISERROR(MATCH(I164,Deltagarlista!$E$5:$E$64,0))))</f>
        <v/>
      </c>
      <c r="BF164" s="162" t="str">
        <f>IF(ISBLANK(J164),"",NOT(ISERROR(MATCH(J164,Deltagarlista!$E$5:$E$64,0))))</f>
        <v/>
      </c>
      <c r="BG164" s="162" t="str">
        <f>IF(ISBLANK(K164),"",NOT(ISERROR(MATCH(K164,Deltagarlista!$E$5:$E$64,0))))</f>
        <v/>
      </c>
      <c r="BH164" s="162" t="str">
        <f>IF(ISBLANK(L164),"",NOT(ISERROR(MATCH(L164,Deltagarlista!$E$5:$E$64,0))))</f>
        <v/>
      </c>
      <c r="BI164" s="162" t="str">
        <f>IF(ISBLANK(M164),"",NOT(ISERROR(MATCH(M164,Deltagarlista!$E$5:$E$64,0))))</f>
        <v/>
      </c>
      <c r="BJ164" s="162" t="str">
        <f>IF(ISBLANK(N164),"",NOT(ISERROR(MATCH(N164,Deltagarlista!$E$5:$E$64,0))))</f>
        <v/>
      </c>
      <c r="BK164" s="162" t="str">
        <f>IF(ISBLANK(O164),"",NOT(ISERROR(MATCH(O164,Deltagarlista!$E$5:$E$64,0))))</f>
        <v/>
      </c>
      <c r="BL164" s="162" t="str">
        <f>IF(ISBLANK(P164),"",NOT(ISERROR(MATCH(P164,Deltagarlista!$E$5:$E$64,0))))</f>
        <v/>
      </c>
      <c r="BM164" s="162" t="str">
        <f>IF(ISBLANK(Q164),"",NOT(ISERROR(MATCH(Q164,Deltagarlista!$E$5:$E$64,0))))</f>
        <v/>
      </c>
      <c r="BN164" s="167"/>
    </row>
    <row r="165" spans="2:66" x14ac:dyDescent="0.3">
      <c r="B165" s="186">
        <v>23</v>
      </c>
      <c r="C165" s="27"/>
      <c r="D165" s="28"/>
      <c r="E165" s="38"/>
      <c r="F165" s="27"/>
      <c r="G165" s="28"/>
      <c r="H165" s="29"/>
      <c r="I165" s="41"/>
      <c r="J165" s="28"/>
      <c r="K165" s="38"/>
      <c r="L165" s="27"/>
      <c r="M165" s="28"/>
      <c r="N165" s="29"/>
      <c r="O165" s="41"/>
      <c r="P165" s="28"/>
      <c r="Q165" s="29"/>
      <c r="R165" s="187">
        <v>23</v>
      </c>
      <c r="S165" s="188">
        <v>23</v>
      </c>
      <c r="T165" s="188">
        <v>23</v>
      </c>
      <c r="U165" s="188">
        <v>23</v>
      </c>
      <c r="V165" s="188">
        <v>23</v>
      </c>
      <c r="W165" s="188">
        <v>23</v>
      </c>
      <c r="X165" s="188">
        <v>23</v>
      </c>
      <c r="Y165" s="188">
        <v>23</v>
      </c>
      <c r="Z165" s="188">
        <v>23</v>
      </c>
      <c r="AA165" s="188">
        <v>23</v>
      </c>
      <c r="AB165" s="188">
        <v>23</v>
      </c>
      <c r="AC165" s="188">
        <v>23</v>
      </c>
      <c r="AD165" s="188">
        <v>23</v>
      </c>
      <c r="AE165" s="188">
        <v>23</v>
      </c>
      <c r="AF165" s="188">
        <v>23</v>
      </c>
      <c r="AG165" s="188">
        <v>23</v>
      </c>
      <c r="AH165" s="166"/>
      <c r="AI165" s="129">
        <f t="shared" si="125"/>
        <v>0</v>
      </c>
      <c r="AJ165" s="129">
        <f t="shared" si="126"/>
        <v>0</v>
      </c>
      <c r="AK165" s="129">
        <f t="shared" si="127"/>
        <v>0</v>
      </c>
      <c r="AL165" s="129">
        <f t="shared" si="128"/>
        <v>0</v>
      </c>
      <c r="AM165" s="129">
        <f t="shared" si="129"/>
        <v>0</v>
      </c>
      <c r="AN165" s="129">
        <f t="shared" si="130"/>
        <v>0</v>
      </c>
      <c r="AO165" s="129">
        <f t="shared" si="131"/>
        <v>0</v>
      </c>
      <c r="AP165" s="129">
        <f t="shared" si="132"/>
        <v>0</v>
      </c>
      <c r="AQ165" s="129">
        <f t="shared" si="133"/>
        <v>0</v>
      </c>
      <c r="AR165" s="129">
        <f t="shared" si="134"/>
        <v>0</v>
      </c>
      <c r="AS165" s="129">
        <f t="shared" si="135"/>
        <v>0</v>
      </c>
      <c r="AT165" s="129">
        <f t="shared" si="136"/>
        <v>0</v>
      </c>
      <c r="AU165" s="129">
        <f t="shared" si="137"/>
        <v>0</v>
      </c>
      <c r="AV165" s="129">
        <f t="shared" si="138"/>
        <v>0</v>
      </c>
      <c r="AW165" s="129">
        <f t="shared" si="139"/>
        <v>0</v>
      </c>
      <c r="AY165" s="162" t="str">
        <f>IF(ISBLANK(C165),"",NOT(ISERROR(MATCH(C165,Deltagarlista!$E$5:$E$64,0))))</f>
        <v/>
      </c>
      <c r="AZ165" s="162" t="str">
        <f>IF(ISBLANK(D165),"",NOT(ISERROR(MATCH(D165,Deltagarlista!$E$5:$E$64,0))))</f>
        <v/>
      </c>
      <c r="BA165" s="162" t="str">
        <f>IF(ISBLANK(E165),"",NOT(ISERROR(MATCH(E165,Deltagarlista!$E$5:$E$64,0))))</f>
        <v/>
      </c>
      <c r="BB165" s="162" t="str">
        <f>IF(ISBLANK(F165),"",NOT(ISERROR(MATCH(F165,Deltagarlista!$E$5:$E$64,0))))</f>
        <v/>
      </c>
      <c r="BC165" s="162" t="str">
        <f>IF(ISBLANK(G165),"",NOT(ISERROR(MATCH(G165,Deltagarlista!$E$5:$E$64,0))))</f>
        <v/>
      </c>
      <c r="BD165" s="162" t="str">
        <f>IF(ISBLANK(H165),"",NOT(ISERROR(MATCH(H165,Deltagarlista!$E$5:$E$64,0))))</f>
        <v/>
      </c>
      <c r="BE165" s="162" t="str">
        <f>IF(ISBLANK(I165),"",NOT(ISERROR(MATCH(I165,Deltagarlista!$E$5:$E$64,0))))</f>
        <v/>
      </c>
      <c r="BF165" s="162" t="str">
        <f>IF(ISBLANK(J165),"",NOT(ISERROR(MATCH(J165,Deltagarlista!$E$5:$E$64,0))))</f>
        <v/>
      </c>
      <c r="BG165" s="162" t="str">
        <f>IF(ISBLANK(K165),"",NOT(ISERROR(MATCH(K165,Deltagarlista!$E$5:$E$64,0))))</f>
        <v/>
      </c>
      <c r="BH165" s="162" t="str">
        <f>IF(ISBLANK(L165),"",NOT(ISERROR(MATCH(L165,Deltagarlista!$E$5:$E$64,0))))</f>
        <v/>
      </c>
      <c r="BI165" s="162" t="str">
        <f>IF(ISBLANK(M165),"",NOT(ISERROR(MATCH(M165,Deltagarlista!$E$5:$E$64,0))))</f>
        <v/>
      </c>
      <c r="BJ165" s="162" t="str">
        <f>IF(ISBLANK(N165),"",NOT(ISERROR(MATCH(N165,Deltagarlista!$E$5:$E$64,0))))</f>
        <v/>
      </c>
      <c r="BK165" s="162" t="str">
        <f>IF(ISBLANK(O165),"",NOT(ISERROR(MATCH(O165,Deltagarlista!$E$5:$E$64,0))))</f>
        <v/>
      </c>
      <c r="BL165" s="162" t="str">
        <f>IF(ISBLANK(P165),"",NOT(ISERROR(MATCH(P165,Deltagarlista!$E$5:$E$64,0))))</f>
        <v/>
      </c>
      <c r="BM165" s="162" t="str">
        <f>IF(ISBLANK(Q165),"",NOT(ISERROR(MATCH(Q165,Deltagarlista!$E$5:$E$64,0))))</f>
        <v/>
      </c>
      <c r="BN165" s="167"/>
    </row>
    <row r="166" spans="2:66" x14ac:dyDescent="0.3">
      <c r="B166" s="186">
        <v>24</v>
      </c>
      <c r="C166" s="27"/>
      <c r="D166" s="28"/>
      <c r="E166" s="38"/>
      <c r="F166" s="27"/>
      <c r="G166" s="28"/>
      <c r="H166" s="29"/>
      <c r="I166" s="41"/>
      <c r="J166" s="28"/>
      <c r="K166" s="38"/>
      <c r="L166" s="27"/>
      <c r="M166" s="28"/>
      <c r="N166" s="29"/>
      <c r="O166" s="41"/>
      <c r="P166" s="28"/>
      <c r="Q166" s="29"/>
      <c r="R166" s="187">
        <v>24</v>
      </c>
      <c r="S166" s="188">
        <v>24</v>
      </c>
      <c r="T166" s="188">
        <v>24</v>
      </c>
      <c r="U166" s="188">
        <v>24</v>
      </c>
      <c r="V166" s="188">
        <v>24</v>
      </c>
      <c r="W166" s="188">
        <v>24</v>
      </c>
      <c r="X166" s="188">
        <v>24</v>
      </c>
      <c r="Y166" s="188">
        <v>24</v>
      </c>
      <c r="Z166" s="188">
        <v>24</v>
      </c>
      <c r="AA166" s="188">
        <v>24</v>
      </c>
      <c r="AB166" s="188">
        <v>24</v>
      </c>
      <c r="AC166" s="188">
        <v>24</v>
      </c>
      <c r="AD166" s="188">
        <v>24</v>
      </c>
      <c r="AE166" s="188">
        <v>24</v>
      </c>
      <c r="AF166" s="188">
        <v>24</v>
      </c>
      <c r="AG166" s="188">
        <v>24</v>
      </c>
      <c r="AH166" s="166"/>
      <c r="AI166" s="129">
        <f t="shared" si="125"/>
        <v>0</v>
      </c>
      <c r="AJ166" s="129">
        <f t="shared" si="126"/>
        <v>0</v>
      </c>
      <c r="AK166" s="129">
        <f t="shared" si="127"/>
        <v>0</v>
      </c>
      <c r="AL166" s="129">
        <f t="shared" si="128"/>
        <v>0</v>
      </c>
      <c r="AM166" s="129">
        <f t="shared" si="129"/>
        <v>0</v>
      </c>
      <c r="AN166" s="129">
        <f t="shared" si="130"/>
        <v>0</v>
      </c>
      <c r="AO166" s="129">
        <f t="shared" si="131"/>
        <v>0</v>
      </c>
      <c r="AP166" s="129">
        <f t="shared" si="132"/>
        <v>0</v>
      </c>
      <c r="AQ166" s="129">
        <f t="shared" si="133"/>
        <v>0</v>
      </c>
      <c r="AR166" s="129">
        <f t="shared" si="134"/>
        <v>0</v>
      </c>
      <c r="AS166" s="129">
        <f t="shared" si="135"/>
        <v>0</v>
      </c>
      <c r="AT166" s="129">
        <f t="shared" si="136"/>
        <v>0</v>
      </c>
      <c r="AU166" s="129">
        <f t="shared" si="137"/>
        <v>0</v>
      </c>
      <c r="AV166" s="129">
        <f t="shared" si="138"/>
        <v>0</v>
      </c>
      <c r="AW166" s="129">
        <f t="shared" si="139"/>
        <v>0</v>
      </c>
      <c r="AY166" s="162" t="str">
        <f>IF(ISBLANK(C166),"",NOT(ISERROR(MATCH(C166,Deltagarlista!$E$5:$E$64,0))))</f>
        <v/>
      </c>
      <c r="AZ166" s="162" t="str">
        <f>IF(ISBLANK(D166),"",NOT(ISERROR(MATCH(D166,Deltagarlista!$E$5:$E$64,0))))</f>
        <v/>
      </c>
      <c r="BA166" s="162" t="str">
        <f>IF(ISBLANK(E166),"",NOT(ISERROR(MATCH(E166,Deltagarlista!$E$5:$E$64,0))))</f>
        <v/>
      </c>
      <c r="BB166" s="162" t="str">
        <f>IF(ISBLANK(F166),"",NOT(ISERROR(MATCH(F166,Deltagarlista!$E$5:$E$64,0))))</f>
        <v/>
      </c>
      <c r="BC166" s="162" t="str">
        <f>IF(ISBLANK(G166),"",NOT(ISERROR(MATCH(G166,Deltagarlista!$E$5:$E$64,0))))</f>
        <v/>
      </c>
      <c r="BD166" s="162" t="str">
        <f>IF(ISBLANK(H166),"",NOT(ISERROR(MATCH(H166,Deltagarlista!$E$5:$E$64,0))))</f>
        <v/>
      </c>
      <c r="BE166" s="162" t="str">
        <f>IF(ISBLANK(I166),"",NOT(ISERROR(MATCH(I166,Deltagarlista!$E$5:$E$64,0))))</f>
        <v/>
      </c>
      <c r="BF166" s="162" t="str">
        <f>IF(ISBLANK(J166),"",NOT(ISERROR(MATCH(J166,Deltagarlista!$E$5:$E$64,0))))</f>
        <v/>
      </c>
      <c r="BG166" s="162" t="str">
        <f>IF(ISBLANK(K166),"",NOT(ISERROR(MATCH(K166,Deltagarlista!$E$5:$E$64,0))))</f>
        <v/>
      </c>
      <c r="BH166" s="162" t="str">
        <f>IF(ISBLANK(L166),"",NOT(ISERROR(MATCH(L166,Deltagarlista!$E$5:$E$64,0))))</f>
        <v/>
      </c>
      <c r="BI166" s="162" t="str">
        <f>IF(ISBLANK(M166),"",NOT(ISERROR(MATCH(M166,Deltagarlista!$E$5:$E$64,0))))</f>
        <v/>
      </c>
      <c r="BJ166" s="162" t="str">
        <f>IF(ISBLANK(N166),"",NOT(ISERROR(MATCH(N166,Deltagarlista!$E$5:$E$64,0))))</f>
        <v/>
      </c>
      <c r="BK166" s="162" t="str">
        <f>IF(ISBLANK(O166),"",NOT(ISERROR(MATCH(O166,Deltagarlista!$E$5:$E$64,0))))</f>
        <v/>
      </c>
      <c r="BL166" s="162" t="str">
        <f>IF(ISBLANK(P166),"",NOT(ISERROR(MATCH(P166,Deltagarlista!$E$5:$E$64,0))))</f>
        <v/>
      </c>
      <c r="BM166" s="162" t="str">
        <f>IF(ISBLANK(Q166),"",NOT(ISERROR(MATCH(Q166,Deltagarlista!$E$5:$E$64,0))))</f>
        <v/>
      </c>
      <c r="BN166" s="167"/>
    </row>
    <row r="167" spans="2:66" x14ac:dyDescent="0.3">
      <c r="B167" s="186">
        <v>25</v>
      </c>
      <c r="C167" s="27"/>
      <c r="D167" s="28"/>
      <c r="E167" s="38"/>
      <c r="F167" s="27"/>
      <c r="G167" s="28"/>
      <c r="H167" s="29"/>
      <c r="I167" s="41"/>
      <c r="J167" s="28"/>
      <c r="K167" s="38"/>
      <c r="L167" s="27"/>
      <c r="M167" s="28"/>
      <c r="N167" s="29"/>
      <c r="O167" s="41"/>
      <c r="P167" s="28"/>
      <c r="Q167" s="29"/>
      <c r="R167" s="187">
        <v>25</v>
      </c>
      <c r="S167" s="188">
        <v>25</v>
      </c>
      <c r="T167" s="188">
        <v>25</v>
      </c>
      <c r="U167" s="188">
        <v>25</v>
      </c>
      <c r="V167" s="188">
        <v>25</v>
      </c>
      <c r="W167" s="188">
        <v>25</v>
      </c>
      <c r="X167" s="188">
        <v>25</v>
      </c>
      <c r="Y167" s="188">
        <v>25</v>
      </c>
      <c r="Z167" s="188">
        <v>25</v>
      </c>
      <c r="AA167" s="188">
        <v>25</v>
      </c>
      <c r="AB167" s="188">
        <v>25</v>
      </c>
      <c r="AC167" s="188">
        <v>25</v>
      </c>
      <c r="AD167" s="188">
        <v>25</v>
      </c>
      <c r="AE167" s="188">
        <v>25</v>
      </c>
      <c r="AF167" s="188">
        <v>25</v>
      </c>
      <c r="AG167" s="188">
        <v>25</v>
      </c>
      <c r="AH167" s="166"/>
      <c r="AI167" s="129">
        <f t="shared" si="125"/>
        <v>0</v>
      </c>
      <c r="AJ167" s="129">
        <f t="shared" si="126"/>
        <v>0</v>
      </c>
      <c r="AK167" s="129">
        <f t="shared" si="127"/>
        <v>0</v>
      </c>
      <c r="AL167" s="129">
        <f t="shared" si="128"/>
        <v>0</v>
      </c>
      <c r="AM167" s="129">
        <f t="shared" si="129"/>
        <v>0</v>
      </c>
      <c r="AN167" s="129">
        <f t="shared" si="130"/>
        <v>0</v>
      </c>
      <c r="AO167" s="129">
        <f t="shared" si="131"/>
        <v>0</v>
      </c>
      <c r="AP167" s="129">
        <f t="shared" si="132"/>
        <v>0</v>
      </c>
      <c r="AQ167" s="129">
        <f t="shared" si="133"/>
        <v>0</v>
      </c>
      <c r="AR167" s="129">
        <f t="shared" si="134"/>
        <v>0</v>
      </c>
      <c r="AS167" s="129">
        <f t="shared" si="135"/>
        <v>0</v>
      </c>
      <c r="AT167" s="129">
        <f t="shared" si="136"/>
        <v>0</v>
      </c>
      <c r="AU167" s="129">
        <f t="shared" si="137"/>
        <v>0</v>
      </c>
      <c r="AV167" s="129">
        <f t="shared" si="138"/>
        <v>0</v>
      </c>
      <c r="AW167" s="129">
        <f t="shared" si="139"/>
        <v>0</v>
      </c>
      <c r="AY167" s="162" t="str">
        <f>IF(ISBLANK(C167),"",NOT(ISERROR(MATCH(C167,Deltagarlista!$E$5:$E$64,0))))</f>
        <v/>
      </c>
      <c r="AZ167" s="162" t="str">
        <f>IF(ISBLANK(D167),"",NOT(ISERROR(MATCH(D167,Deltagarlista!$E$5:$E$64,0))))</f>
        <v/>
      </c>
      <c r="BA167" s="162" t="str">
        <f>IF(ISBLANK(E167),"",NOT(ISERROR(MATCH(E167,Deltagarlista!$E$5:$E$64,0))))</f>
        <v/>
      </c>
      <c r="BB167" s="162" t="str">
        <f>IF(ISBLANK(F167),"",NOT(ISERROR(MATCH(F167,Deltagarlista!$E$5:$E$64,0))))</f>
        <v/>
      </c>
      <c r="BC167" s="162" t="str">
        <f>IF(ISBLANK(G167),"",NOT(ISERROR(MATCH(G167,Deltagarlista!$E$5:$E$64,0))))</f>
        <v/>
      </c>
      <c r="BD167" s="162" t="str">
        <f>IF(ISBLANK(H167),"",NOT(ISERROR(MATCH(H167,Deltagarlista!$E$5:$E$64,0))))</f>
        <v/>
      </c>
      <c r="BE167" s="162" t="str">
        <f>IF(ISBLANK(I167),"",NOT(ISERROR(MATCH(I167,Deltagarlista!$E$5:$E$64,0))))</f>
        <v/>
      </c>
      <c r="BF167" s="162" t="str">
        <f>IF(ISBLANK(J167),"",NOT(ISERROR(MATCH(J167,Deltagarlista!$E$5:$E$64,0))))</f>
        <v/>
      </c>
      <c r="BG167" s="162" t="str">
        <f>IF(ISBLANK(K167),"",NOT(ISERROR(MATCH(K167,Deltagarlista!$E$5:$E$64,0))))</f>
        <v/>
      </c>
      <c r="BH167" s="162" t="str">
        <f>IF(ISBLANK(L167),"",NOT(ISERROR(MATCH(L167,Deltagarlista!$E$5:$E$64,0))))</f>
        <v/>
      </c>
      <c r="BI167" s="162" t="str">
        <f>IF(ISBLANK(M167),"",NOT(ISERROR(MATCH(M167,Deltagarlista!$E$5:$E$64,0))))</f>
        <v/>
      </c>
      <c r="BJ167" s="162" t="str">
        <f>IF(ISBLANK(N167),"",NOT(ISERROR(MATCH(N167,Deltagarlista!$E$5:$E$64,0))))</f>
        <v/>
      </c>
      <c r="BK167" s="162" t="str">
        <f>IF(ISBLANK(O167),"",NOT(ISERROR(MATCH(O167,Deltagarlista!$E$5:$E$64,0))))</f>
        <v/>
      </c>
      <c r="BL167" s="162" t="str">
        <f>IF(ISBLANK(P167),"",NOT(ISERROR(MATCH(P167,Deltagarlista!$E$5:$E$64,0))))</f>
        <v/>
      </c>
      <c r="BM167" s="162" t="str">
        <f>IF(ISBLANK(Q167),"",NOT(ISERROR(MATCH(Q167,Deltagarlista!$E$5:$E$64,0))))</f>
        <v/>
      </c>
      <c r="BN167" s="167"/>
    </row>
    <row r="168" spans="2:66" x14ac:dyDescent="0.3">
      <c r="B168" s="186">
        <v>26</v>
      </c>
      <c r="C168" s="27"/>
      <c r="D168" s="28"/>
      <c r="E168" s="38"/>
      <c r="F168" s="27"/>
      <c r="G168" s="28"/>
      <c r="H168" s="29"/>
      <c r="I168" s="41"/>
      <c r="J168" s="28"/>
      <c r="K168" s="38"/>
      <c r="L168" s="27"/>
      <c r="M168" s="28"/>
      <c r="N168" s="29"/>
      <c r="O168" s="41"/>
      <c r="P168" s="28"/>
      <c r="Q168" s="29"/>
      <c r="R168" s="187">
        <v>26</v>
      </c>
      <c r="S168" s="188">
        <v>26</v>
      </c>
      <c r="T168" s="188">
        <v>26</v>
      </c>
      <c r="U168" s="188">
        <v>26</v>
      </c>
      <c r="V168" s="188">
        <v>26</v>
      </c>
      <c r="W168" s="188">
        <v>26</v>
      </c>
      <c r="X168" s="188">
        <v>26</v>
      </c>
      <c r="Y168" s="188">
        <v>26</v>
      </c>
      <c r="Z168" s="188">
        <v>26</v>
      </c>
      <c r="AA168" s="188">
        <v>26</v>
      </c>
      <c r="AB168" s="188">
        <v>26</v>
      </c>
      <c r="AC168" s="188">
        <v>26</v>
      </c>
      <c r="AD168" s="188">
        <v>26</v>
      </c>
      <c r="AE168" s="188">
        <v>26</v>
      </c>
      <c r="AF168" s="188">
        <v>26</v>
      </c>
      <c r="AG168" s="188">
        <v>26</v>
      </c>
      <c r="AH168" s="166"/>
      <c r="AI168" s="129">
        <f t="shared" si="125"/>
        <v>0</v>
      </c>
      <c r="AJ168" s="129">
        <f t="shared" si="126"/>
        <v>0</v>
      </c>
      <c r="AK168" s="129">
        <f t="shared" si="127"/>
        <v>0</v>
      </c>
      <c r="AL168" s="129">
        <f t="shared" si="128"/>
        <v>0</v>
      </c>
      <c r="AM168" s="129">
        <f t="shared" si="129"/>
        <v>0</v>
      </c>
      <c r="AN168" s="129">
        <f t="shared" si="130"/>
        <v>0</v>
      </c>
      <c r="AO168" s="129">
        <f t="shared" si="131"/>
        <v>0</v>
      </c>
      <c r="AP168" s="129">
        <f t="shared" si="132"/>
        <v>0</v>
      </c>
      <c r="AQ168" s="129">
        <f t="shared" si="133"/>
        <v>0</v>
      </c>
      <c r="AR168" s="129">
        <f t="shared" si="134"/>
        <v>0</v>
      </c>
      <c r="AS168" s="129">
        <f t="shared" si="135"/>
        <v>0</v>
      </c>
      <c r="AT168" s="129">
        <f t="shared" si="136"/>
        <v>0</v>
      </c>
      <c r="AU168" s="129">
        <f t="shared" si="137"/>
        <v>0</v>
      </c>
      <c r="AV168" s="129">
        <f t="shared" si="138"/>
        <v>0</v>
      </c>
      <c r="AW168" s="129">
        <f t="shared" si="139"/>
        <v>0</v>
      </c>
      <c r="AY168" s="162" t="str">
        <f>IF(ISBLANK(C168),"",NOT(ISERROR(MATCH(C168,Deltagarlista!$E$5:$E$64,0))))</f>
        <v/>
      </c>
      <c r="AZ168" s="162" t="str">
        <f>IF(ISBLANK(D168),"",NOT(ISERROR(MATCH(D168,Deltagarlista!$E$5:$E$64,0))))</f>
        <v/>
      </c>
      <c r="BA168" s="162" t="str">
        <f>IF(ISBLANK(E168),"",NOT(ISERROR(MATCH(E168,Deltagarlista!$E$5:$E$64,0))))</f>
        <v/>
      </c>
      <c r="BB168" s="162" t="str">
        <f>IF(ISBLANK(F168),"",NOT(ISERROR(MATCH(F168,Deltagarlista!$E$5:$E$64,0))))</f>
        <v/>
      </c>
      <c r="BC168" s="162" t="str">
        <f>IF(ISBLANK(G168),"",NOT(ISERROR(MATCH(G168,Deltagarlista!$E$5:$E$64,0))))</f>
        <v/>
      </c>
      <c r="BD168" s="162" t="str">
        <f>IF(ISBLANK(H168),"",NOT(ISERROR(MATCH(H168,Deltagarlista!$E$5:$E$64,0))))</f>
        <v/>
      </c>
      <c r="BE168" s="162" t="str">
        <f>IF(ISBLANK(I168),"",NOT(ISERROR(MATCH(I168,Deltagarlista!$E$5:$E$64,0))))</f>
        <v/>
      </c>
      <c r="BF168" s="162" t="str">
        <f>IF(ISBLANK(J168),"",NOT(ISERROR(MATCH(J168,Deltagarlista!$E$5:$E$64,0))))</f>
        <v/>
      </c>
      <c r="BG168" s="162" t="str">
        <f>IF(ISBLANK(K168),"",NOT(ISERROR(MATCH(K168,Deltagarlista!$E$5:$E$64,0))))</f>
        <v/>
      </c>
      <c r="BH168" s="162" t="str">
        <f>IF(ISBLANK(L168),"",NOT(ISERROR(MATCH(L168,Deltagarlista!$E$5:$E$64,0))))</f>
        <v/>
      </c>
      <c r="BI168" s="162" t="str">
        <f>IF(ISBLANK(M168),"",NOT(ISERROR(MATCH(M168,Deltagarlista!$E$5:$E$64,0))))</f>
        <v/>
      </c>
      <c r="BJ168" s="162" t="str">
        <f>IF(ISBLANK(N168),"",NOT(ISERROR(MATCH(N168,Deltagarlista!$E$5:$E$64,0))))</f>
        <v/>
      </c>
      <c r="BK168" s="162" t="str">
        <f>IF(ISBLANK(O168),"",NOT(ISERROR(MATCH(O168,Deltagarlista!$E$5:$E$64,0))))</f>
        <v/>
      </c>
      <c r="BL168" s="162" t="str">
        <f>IF(ISBLANK(P168),"",NOT(ISERROR(MATCH(P168,Deltagarlista!$E$5:$E$64,0))))</f>
        <v/>
      </c>
      <c r="BM168" s="162" t="str">
        <f>IF(ISBLANK(Q168),"",NOT(ISERROR(MATCH(Q168,Deltagarlista!$E$5:$E$64,0))))</f>
        <v/>
      </c>
      <c r="BN168" s="167"/>
    </row>
    <row r="169" spans="2:66" x14ac:dyDescent="0.3">
      <c r="B169" s="186">
        <v>27</v>
      </c>
      <c r="C169" s="27"/>
      <c r="D169" s="28"/>
      <c r="E169" s="38"/>
      <c r="F169" s="27"/>
      <c r="G169" s="28"/>
      <c r="H169" s="29"/>
      <c r="I169" s="41"/>
      <c r="J169" s="28"/>
      <c r="K169" s="38"/>
      <c r="L169" s="27"/>
      <c r="M169" s="28"/>
      <c r="N169" s="29"/>
      <c r="O169" s="41"/>
      <c r="P169" s="28"/>
      <c r="Q169" s="29"/>
      <c r="R169" s="187">
        <v>27</v>
      </c>
      <c r="S169" s="188">
        <v>27</v>
      </c>
      <c r="T169" s="188">
        <v>27</v>
      </c>
      <c r="U169" s="188">
        <v>27</v>
      </c>
      <c r="V169" s="188">
        <v>27</v>
      </c>
      <c r="W169" s="188">
        <v>27</v>
      </c>
      <c r="X169" s="188">
        <v>27</v>
      </c>
      <c r="Y169" s="188">
        <v>27</v>
      </c>
      <c r="Z169" s="188">
        <v>27</v>
      </c>
      <c r="AA169" s="188">
        <v>27</v>
      </c>
      <c r="AB169" s="188">
        <v>27</v>
      </c>
      <c r="AC169" s="188">
        <v>27</v>
      </c>
      <c r="AD169" s="188">
        <v>27</v>
      </c>
      <c r="AE169" s="188">
        <v>27</v>
      </c>
      <c r="AF169" s="188">
        <v>27</v>
      </c>
      <c r="AG169" s="188">
        <v>27</v>
      </c>
      <c r="AH169" s="166"/>
      <c r="AI169" s="129">
        <f t="shared" si="125"/>
        <v>0</v>
      </c>
      <c r="AJ169" s="129">
        <f t="shared" si="126"/>
        <v>0</v>
      </c>
      <c r="AK169" s="129">
        <f t="shared" si="127"/>
        <v>0</v>
      </c>
      <c r="AL169" s="129">
        <f t="shared" si="128"/>
        <v>0</v>
      </c>
      <c r="AM169" s="129">
        <f t="shared" si="129"/>
        <v>0</v>
      </c>
      <c r="AN169" s="129">
        <f t="shared" si="130"/>
        <v>0</v>
      </c>
      <c r="AO169" s="129">
        <f t="shared" si="131"/>
        <v>0</v>
      </c>
      <c r="AP169" s="129">
        <f t="shared" si="132"/>
        <v>0</v>
      </c>
      <c r="AQ169" s="129">
        <f t="shared" si="133"/>
        <v>0</v>
      </c>
      <c r="AR169" s="129">
        <f t="shared" si="134"/>
        <v>0</v>
      </c>
      <c r="AS169" s="129">
        <f t="shared" si="135"/>
        <v>0</v>
      </c>
      <c r="AT169" s="129">
        <f t="shared" si="136"/>
        <v>0</v>
      </c>
      <c r="AU169" s="129">
        <f t="shared" si="137"/>
        <v>0</v>
      </c>
      <c r="AV169" s="129">
        <f t="shared" si="138"/>
        <v>0</v>
      </c>
      <c r="AW169" s="129">
        <f t="shared" si="139"/>
        <v>0</v>
      </c>
      <c r="AY169" s="162" t="str">
        <f>IF(ISBLANK(C169),"",NOT(ISERROR(MATCH(C169,Deltagarlista!$E$5:$E$64,0))))</f>
        <v/>
      </c>
      <c r="AZ169" s="162" t="str">
        <f>IF(ISBLANK(D169),"",NOT(ISERROR(MATCH(D169,Deltagarlista!$E$5:$E$64,0))))</f>
        <v/>
      </c>
      <c r="BA169" s="162" t="str">
        <f>IF(ISBLANK(E169),"",NOT(ISERROR(MATCH(E169,Deltagarlista!$E$5:$E$64,0))))</f>
        <v/>
      </c>
      <c r="BB169" s="162" t="str">
        <f>IF(ISBLANK(F169),"",NOT(ISERROR(MATCH(F169,Deltagarlista!$E$5:$E$64,0))))</f>
        <v/>
      </c>
      <c r="BC169" s="162" t="str">
        <f>IF(ISBLANK(G169),"",NOT(ISERROR(MATCH(G169,Deltagarlista!$E$5:$E$64,0))))</f>
        <v/>
      </c>
      <c r="BD169" s="162" t="str">
        <f>IF(ISBLANK(H169),"",NOT(ISERROR(MATCH(H169,Deltagarlista!$E$5:$E$64,0))))</f>
        <v/>
      </c>
      <c r="BE169" s="162" t="str">
        <f>IF(ISBLANK(I169),"",NOT(ISERROR(MATCH(I169,Deltagarlista!$E$5:$E$64,0))))</f>
        <v/>
      </c>
      <c r="BF169" s="162" t="str">
        <f>IF(ISBLANK(J169),"",NOT(ISERROR(MATCH(J169,Deltagarlista!$E$5:$E$64,0))))</f>
        <v/>
      </c>
      <c r="BG169" s="162" t="str">
        <f>IF(ISBLANK(K169),"",NOT(ISERROR(MATCH(K169,Deltagarlista!$E$5:$E$64,0))))</f>
        <v/>
      </c>
      <c r="BH169" s="162" t="str">
        <f>IF(ISBLANK(L169),"",NOT(ISERROR(MATCH(L169,Deltagarlista!$E$5:$E$64,0))))</f>
        <v/>
      </c>
      <c r="BI169" s="162" t="str">
        <f>IF(ISBLANK(M169),"",NOT(ISERROR(MATCH(M169,Deltagarlista!$E$5:$E$64,0))))</f>
        <v/>
      </c>
      <c r="BJ169" s="162" t="str">
        <f>IF(ISBLANK(N169),"",NOT(ISERROR(MATCH(N169,Deltagarlista!$E$5:$E$64,0))))</f>
        <v/>
      </c>
      <c r="BK169" s="162" t="str">
        <f>IF(ISBLANK(O169),"",NOT(ISERROR(MATCH(O169,Deltagarlista!$E$5:$E$64,0))))</f>
        <v/>
      </c>
      <c r="BL169" s="162" t="str">
        <f>IF(ISBLANK(P169),"",NOT(ISERROR(MATCH(P169,Deltagarlista!$E$5:$E$64,0))))</f>
        <v/>
      </c>
      <c r="BM169" s="162" t="str">
        <f>IF(ISBLANK(Q169),"",NOT(ISERROR(MATCH(Q169,Deltagarlista!$E$5:$E$64,0))))</f>
        <v/>
      </c>
      <c r="BN169" s="167"/>
    </row>
    <row r="170" spans="2:66" x14ac:dyDescent="0.3">
      <c r="B170" s="186">
        <v>28</v>
      </c>
      <c r="C170" s="27"/>
      <c r="D170" s="28"/>
      <c r="E170" s="38"/>
      <c r="F170" s="27"/>
      <c r="G170" s="28"/>
      <c r="H170" s="29"/>
      <c r="I170" s="41"/>
      <c r="J170" s="28"/>
      <c r="K170" s="38"/>
      <c r="L170" s="27"/>
      <c r="M170" s="28"/>
      <c r="N170" s="29"/>
      <c r="O170" s="41"/>
      <c r="P170" s="28"/>
      <c r="Q170" s="29"/>
      <c r="R170" s="187">
        <v>28</v>
      </c>
      <c r="S170" s="188">
        <v>28</v>
      </c>
      <c r="T170" s="188">
        <v>28</v>
      </c>
      <c r="U170" s="188">
        <v>28</v>
      </c>
      <c r="V170" s="188">
        <v>28</v>
      </c>
      <c r="W170" s="188">
        <v>28</v>
      </c>
      <c r="X170" s="188">
        <v>28</v>
      </c>
      <c r="Y170" s="188">
        <v>28</v>
      </c>
      <c r="Z170" s="188">
        <v>28</v>
      </c>
      <c r="AA170" s="188">
        <v>28</v>
      </c>
      <c r="AB170" s="188">
        <v>28</v>
      </c>
      <c r="AC170" s="188">
        <v>28</v>
      </c>
      <c r="AD170" s="188">
        <v>28</v>
      </c>
      <c r="AE170" s="188">
        <v>28</v>
      </c>
      <c r="AF170" s="188">
        <v>28</v>
      </c>
      <c r="AG170" s="188">
        <v>28</v>
      </c>
      <c r="AH170" s="166"/>
      <c r="AI170" s="129">
        <f t="shared" si="125"/>
        <v>0</v>
      </c>
      <c r="AJ170" s="129">
        <f t="shared" si="126"/>
        <v>0</v>
      </c>
      <c r="AK170" s="129">
        <f t="shared" si="127"/>
        <v>0</v>
      </c>
      <c r="AL170" s="129">
        <f t="shared" si="128"/>
        <v>0</v>
      </c>
      <c r="AM170" s="129">
        <f t="shared" si="129"/>
        <v>0</v>
      </c>
      <c r="AN170" s="129">
        <f t="shared" si="130"/>
        <v>0</v>
      </c>
      <c r="AO170" s="129">
        <f t="shared" si="131"/>
        <v>0</v>
      </c>
      <c r="AP170" s="129">
        <f t="shared" si="132"/>
        <v>0</v>
      </c>
      <c r="AQ170" s="129">
        <f t="shared" si="133"/>
        <v>0</v>
      </c>
      <c r="AR170" s="129">
        <f t="shared" si="134"/>
        <v>0</v>
      </c>
      <c r="AS170" s="129">
        <f t="shared" si="135"/>
        <v>0</v>
      </c>
      <c r="AT170" s="129">
        <f t="shared" si="136"/>
        <v>0</v>
      </c>
      <c r="AU170" s="129">
        <f t="shared" si="137"/>
        <v>0</v>
      </c>
      <c r="AV170" s="129">
        <f t="shared" si="138"/>
        <v>0</v>
      </c>
      <c r="AW170" s="129">
        <f t="shared" si="139"/>
        <v>0</v>
      </c>
      <c r="AY170" s="162" t="str">
        <f>IF(ISBLANK(C170),"",NOT(ISERROR(MATCH(C170,Deltagarlista!$E$5:$E$64,0))))</f>
        <v/>
      </c>
      <c r="AZ170" s="162" t="str">
        <f>IF(ISBLANK(D170),"",NOT(ISERROR(MATCH(D170,Deltagarlista!$E$5:$E$64,0))))</f>
        <v/>
      </c>
      <c r="BA170" s="162" t="str">
        <f>IF(ISBLANK(E170),"",NOT(ISERROR(MATCH(E170,Deltagarlista!$E$5:$E$64,0))))</f>
        <v/>
      </c>
      <c r="BB170" s="162" t="str">
        <f>IF(ISBLANK(F170),"",NOT(ISERROR(MATCH(F170,Deltagarlista!$E$5:$E$64,0))))</f>
        <v/>
      </c>
      <c r="BC170" s="162" t="str">
        <f>IF(ISBLANK(G170),"",NOT(ISERROR(MATCH(G170,Deltagarlista!$E$5:$E$64,0))))</f>
        <v/>
      </c>
      <c r="BD170" s="162" t="str">
        <f>IF(ISBLANK(H170),"",NOT(ISERROR(MATCH(H170,Deltagarlista!$E$5:$E$64,0))))</f>
        <v/>
      </c>
      <c r="BE170" s="162" t="str">
        <f>IF(ISBLANK(I170),"",NOT(ISERROR(MATCH(I170,Deltagarlista!$E$5:$E$64,0))))</f>
        <v/>
      </c>
      <c r="BF170" s="162" t="str">
        <f>IF(ISBLANK(J170),"",NOT(ISERROR(MATCH(J170,Deltagarlista!$E$5:$E$64,0))))</f>
        <v/>
      </c>
      <c r="BG170" s="162" t="str">
        <f>IF(ISBLANK(K170),"",NOT(ISERROR(MATCH(K170,Deltagarlista!$E$5:$E$64,0))))</f>
        <v/>
      </c>
      <c r="BH170" s="162" t="str">
        <f>IF(ISBLANK(L170),"",NOT(ISERROR(MATCH(L170,Deltagarlista!$E$5:$E$64,0))))</f>
        <v/>
      </c>
      <c r="BI170" s="162" t="str">
        <f>IF(ISBLANK(M170),"",NOT(ISERROR(MATCH(M170,Deltagarlista!$E$5:$E$64,0))))</f>
        <v/>
      </c>
      <c r="BJ170" s="162" t="str">
        <f>IF(ISBLANK(N170),"",NOT(ISERROR(MATCH(N170,Deltagarlista!$E$5:$E$64,0))))</f>
        <v/>
      </c>
      <c r="BK170" s="162" t="str">
        <f>IF(ISBLANK(O170),"",NOT(ISERROR(MATCH(O170,Deltagarlista!$E$5:$E$64,0))))</f>
        <v/>
      </c>
      <c r="BL170" s="162" t="str">
        <f>IF(ISBLANK(P170),"",NOT(ISERROR(MATCH(P170,Deltagarlista!$E$5:$E$64,0))))</f>
        <v/>
      </c>
      <c r="BM170" s="162" t="str">
        <f>IF(ISBLANK(Q170),"",NOT(ISERROR(MATCH(Q170,Deltagarlista!$E$5:$E$64,0))))</f>
        <v/>
      </c>
      <c r="BN170" s="167"/>
    </row>
    <row r="171" spans="2:66" x14ac:dyDescent="0.3">
      <c r="B171" s="186">
        <v>29</v>
      </c>
      <c r="C171" s="27"/>
      <c r="D171" s="28"/>
      <c r="E171" s="38"/>
      <c r="F171" s="27"/>
      <c r="G171" s="28"/>
      <c r="H171" s="29"/>
      <c r="I171" s="41"/>
      <c r="J171" s="28"/>
      <c r="K171" s="38"/>
      <c r="L171" s="27"/>
      <c r="M171" s="28"/>
      <c r="N171" s="29"/>
      <c r="O171" s="41"/>
      <c r="P171" s="28"/>
      <c r="Q171" s="29"/>
      <c r="R171" s="187">
        <v>29</v>
      </c>
      <c r="S171" s="188">
        <v>29</v>
      </c>
      <c r="T171" s="188">
        <v>29</v>
      </c>
      <c r="U171" s="188">
        <v>29</v>
      </c>
      <c r="V171" s="188">
        <v>29</v>
      </c>
      <c r="W171" s="188">
        <v>29</v>
      </c>
      <c r="X171" s="188">
        <v>29</v>
      </c>
      <c r="Y171" s="188">
        <v>29</v>
      </c>
      <c r="Z171" s="188">
        <v>29</v>
      </c>
      <c r="AA171" s="188">
        <v>29</v>
      </c>
      <c r="AB171" s="188">
        <v>29</v>
      </c>
      <c r="AC171" s="188">
        <v>29</v>
      </c>
      <c r="AD171" s="188">
        <v>29</v>
      </c>
      <c r="AE171" s="188">
        <v>29</v>
      </c>
      <c r="AF171" s="188">
        <v>29</v>
      </c>
      <c r="AG171" s="188">
        <v>29</v>
      </c>
      <c r="AH171" s="166"/>
      <c r="AI171" s="129">
        <f t="shared" si="125"/>
        <v>0</v>
      </c>
      <c r="AJ171" s="129">
        <f t="shared" si="126"/>
        <v>0</v>
      </c>
      <c r="AK171" s="129">
        <f t="shared" si="127"/>
        <v>0</v>
      </c>
      <c r="AL171" s="129">
        <f t="shared" si="128"/>
        <v>0</v>
      </c>
      <c r="AM171" s="129">
        <f t="shared" si="129"/>
        <v>0</v>
      </c>
      <c r="AN171" s="129">
        <f t="shared" si="130"/>
        <v>0</v>
      </c>
      <c r="AO171" s="129">
        <f t="shared" si="131"/>
        <v>0</v>
      </c>
      <c r="AP171" s="129">
        <f t="shared" si="132"/>
        <v>0</v>
      </c>
      <c r="AQ171" s="129">
        <f t="shared" si="133"/>
        <v>0</v>
      </c>
      <c r="AR171" s="129">
        <f t="shared" si="134"/>
        <v>0</v>
      </c>
      <c r="AS171" s="129">
        <f t="shared" si="135"/>
        <v>0</v>
      </c>
      <c r="AT171" s="129">
        <f t="shared" si="136"/>
        <v>0</v>
      </c>
      <c r="AU171" s="129">
        <f t="shared" si="137"/>
        <v>0</v>
      </c>
      <c r="AV171" s="129">
        <f t="shared" si="138"/>
        <v>0</v>
      </c>
      <c r="AW171" s="129">
        <f t="shared" si="139"/>
        <v>0</v>
      </c>
      <c r="AY171" s="162" t="str">
        <f>IF(ISBLANK(C171),"",NOT(ISERROR(MATCH(C171,Deltagarlista!$E$5:$E$64,0))))</f>
        <v/>
      </c>
      <c r="AZ171" s="162" t="str">
        <f>IF(ISBLANK(D171),"",NOT(ISERROR(MATCH(D171,Deltagarlista!$E$5:$E$64,0))))</f>
        <v/>
      </c>
      <c r="BA171" s="162" t="str">
        <f>IF(ISBLANK(E171),"",NOT(ISERROR(MATCH(E171,Deltagarlista!$E$5:$E$64,0))))</f>
        <v/>
      </c>
      <c r="BB171" s="162" t="str">
        <f>IF(ISBLANK(F171),"",NOT(ISERROR(MATCH(F171,Deltagarlista!$E$5:$E$64,0))))</f>
        <v/>
      </c>
      <c r="BC171" s="162" t="str">
        <f>IF(ISBLANK(G171),"",NOT(ISERROR(MATCH(G171,Deltagarlista!$E$5:$E$64,0))))</f>
        <v/>
      </c>
      <c r="BD171" s="162" t="str">
        <f>IF(ISBLANK(H171),"",NOT(ISERROR(MATCH(H171,Deltagarlista!$E$5:$E$64,0))))</f>
        <v/>
      </c>
      <c r="BE171" s="162" t="str">
        <f>IF(ISBLANK(I171),"",NOT(ISERROR(MATCH(I171,Deltagarlista!$E$5:$E$64,0))))</f>
        <v/>
      </c>
      <c r="BF171" s="162" t="str">
        <f>IF(ISBLANK(J171),"",NOT(ISERROR(MATCH(J171,Deltagarlista!$E$5:$E$64,0))))</f>
        <v/>
      </c>
      <c r="BG171" s="162" t="str">
        <f>IF(ISBLANK(K171),"",NOT(ISERROR(MATCH(K171,Deltagarlista!$E$5:$E$64,0))))</f>
        <v/>
      </c>
      <c r="BH171" s="162" t="str">
        <f>IF(ISBLANK(L171),"",NOT(ISERROR(MATCH(L171,Deltagarlista!$E$5:$E$64,0))))</f>
        <v/>
      </c>
      <c r="BI171" s="162" t="str">
        <f>IF(ISBLANK(M171),"",NOT(ISERROR(MATCH(M171,Deltagarlista!$E$5:$E$64,0))))</f>
        <v/>
      </c>
      <c r="BJ171" s="162" t="str">
        <f>IF(ISBLANK(N171),"",NOT(ISERROR(MATCH(N171,Deltagarlista!$E$5:$E$64,0))))</f>
        <v/>
      </c>
      <c r="BK171" s="162" t="str">
        <f>IF(ISBLANK(O171),"",NOT(ISERROR(MATCH(O171,Deltagarlista!$E$5:$E$64,0))))</f>
        <v/>
      </c>
      <c r="BL171" s="162" t="str">
        <f>IF(ISBLANK(P171),"",NOT(ISERROR(MATCH(P171,Deltagarlista!$E$5:$E$64,0))))</f>
        <v/>
      </c>
      <c r="BM171" s="162" t="str">
        <f>IF(ISBLANK(Q171),"",NOT(ISERROR(MATCH(Q171,Deltagarlista!$E$5:$E$64,0))))</f>
        <v/>
      </c>
      <c r="BN171" s="167"/>
    </row>
    <row r="172" spans="2:66" x14ac:dyDescent="0.3">
      <c r="B172" s="186">
        <v>30</v>
      </c>
      <c r="C172" s="27"/>
      <c r="D172" s="28"/>
      <c r="E172" s="38"/>
      <c r="F172" s="27"/>
      <c r="G172" s="28"/>
      <c r="H172" s="29"/>
      <c r="I172" s="41"/>
      <c r="J172" s="28"/>
      <c r="K172" s="38"/>
      <c r="L172" s="27"/>
      <c r="M172" s="28"/>
      <c r="N172" s="29"/>
      <c r="O172" s="41"/>
      <c r="P172" s="28"/>
      <c r="Q172" s="29"/>
      <c r="R172" s="187">
        <v>30</v>
      </c>
      <c r="S172" s="188">
        <v>30</v>
      </c>
      <c r="T172" s="188">
        <v>30</v>
      </c>
      <c r="U172" s="188">
        <v>30</v>
      </c>
      <c r="V172" s="188">
        <v>30</v>
      </c>
      <c r="W172" s="188">
        <v>30</v>
      </c>
      <c r="X172" s="188">
        <v>30</v>
      </c>
      <c r="Y172" s="188">
        <v>30</v>
      </c>
      <c r="Z172" s="188">
        <v>30</v>
      </c>
      <c r="AA172" s="188">
        <v>30</v>
      </c>
      <c r="AB172" s="188">
        <v>30</v>
      </c>
      <c r="AC172" s="188">
        <v>30</v>
      </c>
      <c r="AD172" s="188">
        <v>30</v>
      </c>
      <c r="AE172" s="188">
        <v>30</v>
      </c>
      <c r="AF172" s="188">
        <v>30</v>
      </c>
      <c r="AG172" s="188">
        <v>30</v>
      </c>
      <c r="AH172" s="166"/>
      <c r="AI172" s="129">
        <f t="shared" si="125"/>
        <v>0</v>
      </c>
      <c r="AJ172" s="129">
        <f t="shared" si="126"/>
        <v>0</v>
      </c>
      <c r="AK172" s="129">
        <f t="shared" si="127"/>
        <v>0</v>
      </c>
      <c r="AL172" s="129">
        <f t="shared" si="128"/>
        <v>0</v>
      </c>
      <c r="AM172" s="129">
        <f t="shared" si="129"/>
        <v>0</v>
      </c>
      <c r="AN172" s="129">
        <f t="shared" si="130"/>
        <v>0</v>
      </c>
      <c r="AO172" s="129">
        <f t="shared" si="131"/>
        <v>0</v>
      </c>
      <c r="AP172" s="129">
        <f t="shared" si="132"/>
        <v>0</v>
      </c>
      <c r="AQ172" s="129">
        <f t="shared" si="133"/>
        <v>0</v>
      </c>
      <c r="AR172" s="129">
        <f t="shared" si="134"/>
        <v>0</v>
      </c>
      <c r="AS172" s="129">
        <f t="shared" si="135"/>
        <v>0</v>
      </c>
      <c r="AT172" s="129">
        <f t="shared" si="136"/>
        <v>0</v>
      </c>
      <c r="AU172" s="129">
        <f t="shared" si="137"/>
        <v>0</v>
      </c>
      <c r="AV172" s="129">
        <f t="shared" si="138"/>
        <v>0</v>
      </c>
      <c r="AW172" s="129">
        <f t="shared" si="139"/>
        <v>0</v>
      </c>
      <c r="AY172" s="162" t="str">
        <f>IF(ISBLANK(C172),"",NOT(ISERROR(MATCH(C172,Deltagarlista!$E$5:$E$64,0))))</f>
        <v/>
      </c>
      <c r="AZ172" s="162" t="str">
        <f>IF(ISBLANK(D172),"",NOT(ISERROR(MATCH(D172,Deltagarlista!$E$5:$E$64,0))))</f>
        <v/>
      </c>
      <c r="BA172" s="162" t="str">
        <f>IF(ISBLANK(E172),"",NOT(ISERROR(MATCH(E172,Deltagarlista!$E$5:$E$64,0))))</f>
        <v/>
      </c>
      <c r="BB172" s="162" t="str">
        <f>IF(ISBLANK(F172),"",NOT(ISERROR(MATCH(F172,Deltagarlista!$E$5:$E$64,0))))</f>
        <v/>
      </c>
      <c r="BC172" s="162" t="str">
        <f>IF(ISBLANK(G172),"",NOT(ISERROR(MATCH(G172,Deltagarlista!$E$5:$E$64,0))))</f>
        <v/>
      </c>
      <c r="BD172" s="162" t="str">
        <f>IF(ISBLANK(H172),"",NOT(ISERROR(MATCH(H172,Deltagarlista!$E$5:$E$64,0))))</f>
        <v/>
      </c>
      <c r="BE172" s="162" t="str">
        <f>IF(ISBLANK(I172),"",NOT(ISERROR(MATCH(I172,Deltagarlista!$E$5:$E$64,0))))</f>
        <v/>
      </c>
      <c r="BF172" s="162" t="str">
        <f>IF(ISBLANK(J172),"",NOT(ISERROR(MATCH(J172,Deltagarlista!$E$5:$E$64,0))))</f>
        <v/>
      </c>
      <c r="BG172" s="162" t="str">
        <f>IF(ISBLANK(K172),"",NOT(ISERROR(MATCH(K172,Deltagarlista!$E$5:$E$64,0))))</f>
        <v/>
      </c>
      <c r="BH172" s="162" t="str">
        <f>IF(ISBLANK(L172),"",NOT(ISERROR(MATCH(L172,Deltagarlista!$E$5:$E$64,0))))</f>
        <v/>
      </c>
      <c r="BI172" s="162" t="str">
        <f>IF(ISBLANK(M172),"",NOT(ISERROR(MATCH(M172,Deltagarlista!$E$5:$E$64,0))))</f>
        <v/>
      </c>
      <c r="BJ172" s="162" t="str">
        <f>IF(ISBLANK(N172),"",NOT(ISERROR(MATCH(N172,Deltagarlista!$E$5:$E$64,0))))</f>
        <v/>
      </c>
      <c r="BK172" s="162" t="str">
        <f>IF(ISBLANK(O172),"",NOT(ISERROR(MATCH(O172,Deltagarlista!$E$5:$E$64,0))))</f>
        <v/>
      </c>
      <c r="BL172" s="162" t="str">
        <f>IF(ISBLANK(P172),"",NOT(ISERROR(MATCH(P172,Deltagarlista!$E$5:$E$64,0))))</f>
        <v/>
      </c>
      <c r="BM172" s="162" t="str">
        <f>IF(ISBLANK(Q172),"",NOT(ISERROR(MATCH(Q172,Deltagarlista!$E$5:$E$64,0))))</f>
        <v/>
      </c>
      <c r="BN172" s="167"/>
    </row>
    <row r="173" spans="2:66" x14ac:dyDescent="0.3">
      <c r="B173" s="189" t="s">
        <v>5</v>
      </c>
      <c r="C173" s="27"/>
      <c r="D173" s="28"/>
      <c r="E173" s="38"/>
      <c r="F173" s="27"/>
      <c r="G173" s="28"/>
      <c r="H173" s="29"/>
      <c r="I173" s="41"/>
      <c r="J173" s="28"/>
      <c r="K173" s="38"/>
      <c r="L173" s="27"/>
      <c r="M173" s="28"/>
      <c r="N173" s="29"/>
      <c r="O173" s="41"/>
      <c r="P173" s="28"/>
      <c r="Q173" s="29"/>
      <c r="R173" s="190" t="s">
        <v>5</v>
      </c>
      <c r="S173" s="188" t="s">
        <v>5</v>
      </c>
      <c r="T173" s="188" t="s">
        <v>5</v>
      </c>
      <c r="U173" s="188" t="s">
        <v>5</v>
      </c>
      <c r="V173" s="188" t="s">
        <v>5</v>
      </c>
      <c r="W173" s="188" t="s">
        <v>5</v>
      </c>
      <c r="X173" s="188" t="s">
        <v>5</v>
      </c>
      <c r="Y173" s="188" t="s">
        <v>5</v>
      </c>
      <c r="Z173" s="188" t="s">
        <v>5</v>
      </c>
      <c r="AA173" s="188" t="s">
        <v>5</v>
      </c>
      <c r="AB173" s="188" t="s">
        <v>5</v>
      </c>
      <c r="AC173" s="188" t="s">
        <v>5</v>
      </c>
      <c r="AD173" s="188" t="s">
        <v>5</v>
      </c>
      <c r="AE173" s="188" t="s">
        <v>5</v>
      </c>
      <c r="AF173" s="188" t="s">
        <v>5</v>
      </c>
      <c r="AG173" s="188" t="s">
        <v>5</v>
      </c>
      <c r="AH173" s="166"/>
      <c r="AI173" s="129">
        <f t="shared" si="125"/>
        <v>0</v>
      </c>
      <c r="AJ173" s="129">
        <f t="shared" si="126"/>
        <v>0</v>
      </c>
      <c r="AK173" s="129">
        <f t="shared" si="127"/>
        <v>0</v>
      </c>
      <c r="AL173" s="129">
        <f t="shared" si="128"/>
        <v>0</v>
      </c>
      <c r="AM173" s="129">
        <f t="shared" si="129"/>
        <v>0</v>
      </c>
      <c r="AN173" s="129">
        <f t="shared" si="130"/>
        <v>0</v>
      </c>
      <c r="AO173" s="129">
        <f t="shared" si="131"/>
        <v>0</v>
      </c>
      <c r="AP173" s="129">
        <f t="shared" si="132"/>
        <v>0</v>
      </c>
      <c r="AQ173" s="129">
        <f t="shared" si="133"/>
        <v>0</v>
      </c>
      <c r="AR173" s="129">
        <f t="shared" si="134"/>
        <v>0</v>
      </c>
      <c r="AS173" s="129">
        <f t="shared" si="135"/>
        <v>0</v>
      </c>
      <c r="AT173" s="129">
        <f t="shared" si="136"/>
        <v>0</v>
      </c>
      <c r="AU173" s="129">
        <f t="shared" si="137"/>
        <v>0</v>
      </c>
      <c r="AV173" s="129">
        <f t="shared" si="138"/>
        <v>0</v>
      </c>
      <c r="AW173" s="129">
        <f t="shared" si="139"/>
        <v>0</v>
      </c>
      <c r="AY173" s="162" t="str">
        <f>IF(ISBLANK(C173),"",NOT(ISERROR(MATCH(C173,Deltagarlista!$E$5:$E$64,0))))</f>
        <v/>
      </c>
      <c r="AZ173" s="162" t="str">
        <f>IF(ISBLANK(D173),"",NOT(ISERROR(MATCH(D173,Deltagarlista!$E$5:$E$64,0))))</f>
        <v/>
      </c>
      <c r="BA173" s="162" t="str">
        <f>IF(ISBLANK(E173),"",NOT(ISERROR(MATCH(E173,Deltagarlista!$E$5:$E$64,0))))</f>
        <v/>
      </c>
      <c r="BB173" s="162" t="str">
        <f>IF(ISBLANK(F173),"",NOT(ISERROR(MATCH(F173,Deltagarlista!$E$5:$E$64,0))))</f>
        <v/>
      </c>
      <c r="BC173" s="162" t="str">
        <f>IF(ISBLANK(G173),"",NOT(ISERROR(MATCH(G173,Deltagarlista!$E$5:$E$64,0))))</f>
        <v/>
      </c>
      <c r="BD173" s="162" t="str">
        <f>IF(ISBLANK(H173),"",NOT(ISERROR(MATCH(H173,Deltagarlista!$E$5:$E$64,0))))</f>
        <v/>
      </c>
      <c r="BE173" s="162" t="str">
        <f>IF(ISBLANK(I173),"",NOT(ISERROR(MATCH(I173,Deltagarlista!$E$5:$E$64,0))))</f>
        <v/>
      </c>
      <c r="BF173" s="162" t="str">
        <f>IF(ISBLANK(J173),"",NOT(ISERROR(MATCH(J173,Deltagarlista!$E$5:$E$64,0))))</f>
        <v/>
      </c>
      <c r="BG173" s="162" t="str">
        <f>IF(ISBLANK(K173),"",NOT(ISERROR(MATCH(K173,Deltagarlista!$E$5:$E$64,0))))</f>
        <v/>
      </c>
      <c r="BH173" s="162" t="str">
        <f>IF(ISBLANK(L173),"",NOT(ISERROR(MATCH(L173,Deltagarlista!$E$5:$E$64,0))))</f>
        <v/>
      </c>
      <c r="BI173" s="162" t="str">
        <f>IF(ISBLANK(M173),"",NOT(ISERROR(MATCH(M173,Deltagarlista!$E$5:$E$64,0))))</f>
        <v/>
      </c>
      <c r="BJ173" s="162" t="str">
        <f>IF(ISBLANK(N173),"",NOT(ISERROR(MATCH(N173,Deltagarlista!$E$5:$E$64,0))))</f>
        <v/>
      </c>
      <c r="BK173" s="162" t="str">
        <f>IF(ISBLANK(O173),"",NOT(ISERROR(MATCH(O173,Deltagarlista!$E$5:$E$64,0))))</f>
        <v/>
      </c>
      <c r="BL173" s="162" t="str">
        <f>IF(ISBLANK(P173),"",NOT(ISERROR(MATCH(P173,Deltagarlista!$E$5:$E$64,0))))</f>
        <v/>
      </c>
      <c r="BM173" s="162" t="str">
        <f>IF(ISBLANK(Q173),"",NOT(ISERROR(MATCH(Q173,Deltagarlista!$E$5:$E$64,0))))</f>
        <v/>
      </c>
      <c r="BN173" s="167"/>
    </row>
    <row r="174" spans="2:66" x14ac:dyDescent="0.3">
      <c r="B174" s="189" t="s">
        <v>5</v>
      </c>
      <c r="C174" s="27"/>
      <c r="D174" s="28"/>
      <c r="E174" s="38"/>
      <c r="F174" s="27"/>
      <c r="G174" s="28"/>
      <c r="H174" s="29"/>
      <c r="I174" s="41"/>
      <c r="J174" s="28"/>
      <c r="K174" s="38"/>
      <c r="L174" s="27"/>
      <c r="M174" s="28"/>
      <c r="N174" s="29"/>
      <c r="O174" s="41"/>
      <c r="P174" s="28"/>
      <c r="Q174" s="29"/>
      <c r="R174" s="190" t="s">
        <v>5</v>
      </c>
      <c r="S174" s="188" t="s">
        <v>5</v>
      </c>
      <c r="T174" s="188" t="s">
        <v>5</v>
      </c>
      <c r="U174" s="188" t="s">
        <v>5</v>
      </c>
      <c r="V174" s="188" t="s">
        <v>5</v>
      </c>
      <c r="W174" s="188" t="s">
        <v>5</v>
      </c>
      <c r="X174" s="188" t="s">
        <v>5</v>
      </c>
      <c r="Y174" s="188" t="s">
        <v>5</v>
      </c>
      <c r="Z174" s="188" t="s">
        <v>5</v>
      </c>
      <c r="AA174" s="188" t="s">
        <v>5</v>
      </c>
      <c r="AB174" s="188" t="s">
        <v>5</v>
      </c>
      <c r="AC174" s="188" t="s">
        <v>5</v>
      </c>
      <c r="AD174" s="188" t="s">
        <v>5</v>
      </c>
      <c r="AE174" s="188" t="s">
        <v>5</v>
      </c>
      <c r="AF174" s="188" t="s">
        <v>5</v>
      </c>
      <c r="AG174" s="188" t="s">
        <v>5</v>
      </c>
      <c r="AH174" s="166"/>
      <c r="AI174" s="129">
        <f t="shared" si="125"/>
        <v>0</v>
      </c>
      <c r="AJ174" s="129">
        <f t="shared" si="126"/>
        <v>0</v>
      </c>
      <c r="AK174" s="129">
        <f t="shared" si="127"/>
        <v>0</v>
      </c>
      <c r="AL174" s="129">
        <f t="shared" si="128"/>
        <v>0</v>
      </c>
      <c r="AM174" s="129">
        <f t="shared" si="129"/>
        <v>0</v>
      </c>
      <c r="AN174" s="129">
        <f t="shared" si="130"/>
        <v>0</v>
      </c>
      <c r="AO174" s="129">
        <f t="shared" si="131"/>
        <v>0</v>
      </c>
      <c r="AP174" s="129">
        <f t="shared" si="132"/>
        <v>0</v>
      </c>
      <c r="AQ174" s="129">
        <f t="shared" si="133"/>
        <v>0</v>
      </c>
      <c r="AR174" s="129">
        <f t="shared" si="134"/>
        <v>0</v>
      </c>
      <c r="AS174" s="129">
        <f t="shared" si="135"/>
        <v>0</v>
      </c>
      <c r="AT174" s="129">
        <f t="shared" si="136"/>
        <v>0</v>
      </c>
      <c r="AU174" s="129">
        <f t="shared" si="137"/>
        <v>0</v>
      </c>
      <c r="AV174" s="129">
        <f t="shared" si="138"/>
        <v>0</v>
      </c>
      <c r="AW174" s="129">
        <f t="shared" si="139"/>
        <v>0</v>
      </c>
      <c r="AY174" s="162" t="str">
        <f>IF(ISBLANK(C174),"",NOT(ISERROR(MATCH(C174,Deltagarlista!$E$5:$E$64,0))))</f>
        <v/>
      </c>
      <c r="AZ174" s="162" t="str">
        <f>IF(ISBLANK(D174),"",NOT(ISERROR(MATCH(D174,Deltagarlista!$E$5:$E$64,0))))</f>
        <v/>
      </c>
      <c r="BA174" s="162" t="str">
        <f>IF(ISBLANK(E174),"",NOT(ISERROR(MATCH(E174,Deltagarlista!$E$5:$E$64,0))))</f>
        <v/>
      </c>
      <c r="BB174" s="162" t="str">
        <f>IF(ISBLANK(F174),"",NOT(ISERROR(MATCH(F174,Deltagarlista!$E$5:$E$64,0))))</f>
        <v/>
      </c>
      <c r="BC174" s="162" t="str">
        <f>IF(ISBLANK(G174),"",NOT(ISERROR(MATCH(G174,Deltagarlista!$E$5:$E$64,0))))</f>
        <v/>
      </c>
      <c r="BD174" s="162" t="str">
        <f>IF(ISBLANK(H174),"",NOT(ISERROR(MATCH(H174,Deltagarlista!$E$5:$E$64,0))))</f>
        <v/>
      </c>
      <c r="BE174" s="162" t="str">
        <f>IF(ISBLANK(I174),"",NOT(ISERROR(MATCH(I174,Deltagarlista!$E$5:$E$64,0))))</f>
        <v/>
      </c>
      <c r="BF174" s="162" t="str">
        <f>IF(ISBLANK(J174),"",NOT(ISERROR(MATCH(J174,Deltagarlista!$E$5:$E$64,0))))</f>
        <v/>
      </c>
      <c r="BG174" s="162" t="str">
        <f>IF(ISBLANK(K174),"",NOT(ISERROR(MATCH(K174,Deltagarlista!$E$5:$E$64,0))))</f>
        <v/>
      </c>
      <c r="BH174" s="162" t="str">
        <f>IF(ISBLANK(L174),"",NOT(ISERROR(MATCH(L174,Deltagarlista!$E$5:$E$64,0))))</f>
        <v/>
      </c>
      <c r="BI174" s="162" t="str">
        <f>IF(ISBLANK(M174),"",NOT(ISERROR(MATCH(M174,Deltagarlista!$E$5:$E$64,0))))</f>
        <v/>
      </c>
      <c r="BJ174" s="162" t="str">
        <f>IF(ISBLANK(N174),"",NOT(ISERROR(MATCH(N174,Deltagarlista!$E$5:$E$64,0))))</f>
        <v/>
      </c>
      <c r="BK174" s="162" t="str">
        <f>IF(ISBLANK(O174),"",NOT(ISERROR(MATCH(O174,Deltagarlista!$E$5:$E$64,0))))</f>
        <v/>
      </c>
      <c r="BL174" s="162" t="str">
        <f>IF(ISBLANK(P174),"",NOT(ISERROR(MATCH(P174,Deltagarlista!$E$5:$E$64,0))))</f>
        <v/>
      </c>
      <c r="BM174" s="162" t="str">
        <f>IF(ISBLANK(Q174),"",NOT(ISERROR(MATCH(Q174,Deltagarlista!$E$5:$E$64,0))))</f>
        <v/>
      </c>
      <c r="BN174" s="167"/>
    </row>
    <row r="175" spans="2:66" x14ac:dyDescent="0.3">
      <c r="B175" s="189" t="s">
        <v>5</v>
      </c>
      <c r="C175" s="27"/>
      <c r="D175" s="28"/>
      <c r="E175" s="38"/>
      <c r="F175" s="27"/>
      <c r="G175" s="28"/>
      <c r="H175" s="29"/>
      <c r="I175" s="41"/>
      <c r="J175" s="28"/>
      <c r="K175" s="38"/>
      <c r="L175" s="27"/>
      <c r="M175" s="28"/>
      <c r="N175" s="29"/>
      <c r="O175" s="41"/>
      <c r="P175" s="28"/>
      <c r="Q175" s="29"/>
      <c r="R175" s="190" t="s">
        <v>5</v>
      </c>
      <c r="S175" s="188" t="s">
        <v>5</v>
      </c>
      <c r="T175" s="188" t="s">
        <v>5</v>
      </c>
      <c r="U175" s="188" t="s">
        <v>5</v>
      </c>
      <c r="V175" s="188" t="s">
        <v>5</v>
      </c>
      <c r="W175" s="188" t="s">
        <v>5</v>
      </c>
      <c r="X175" s="188" t="s">
        <v>5</v>
      </c>
      <c r="Y175" s="188" t="s">
        <v>5</v>
      </c>
      <c r="Z175" s="188" t="s">
        <v>5</v>
      </c>
      <c r="AA175" s="188" t="s">
        <v>5</v>
      </c>
      <c r="AB175" s="188" t="s">
        <v>5</v>
      </c>
      <c r="AC175" s="188" t="s">
        <v>5</v>
      </c>
      <c r="AD175" s="188" t="s">
        <v>5</v>
      </c>
      <c r="AE175" s="188" t="s">
        <v>5</v>
      </c>
      <c r="AF175" s="188" t="s">
        <v>5</v>
      </c>
      <c r="AG175" s="188" t="s">
        <v>5</v>
      </c>
      <c r="AH175" s="166"/>
      <c r="AI175" s="129">
        <f t="shared" si="125"/>
        <v>0</v>
      </c>
      <c r="AJ175" s="129">
        <f t="shared" si="126"/>
        <v>0</v>
      </c>
      <c r="AK175" s="129">
        <f t="shared" si="127"/>
        <v>0</v>
      </c>
      <c r="AL175" s="129">
        <f t="shared" si="128"/>
        <v>0</v>
      </c>
      <c r="AM175" s="129">
        <f t="shared" si="129"/>
        <v>0</v>
      </c>
      <c r="AN175" s="129">
        <f t="shared" si="130"/>
        <v>0</v>
      </c>
      <c r="AO175" s="129">
        <f t="shared" si="131"/>
        <v>0</v>
      </c>
      <c r="AP175" s="129">
        <f t="shared" si="132"/>
        <v>0</v>
      </c>
      <c r="AQ175" s="129">
        <f t="shared" si="133"/>
        <v>0</v>
      </c>
      <c r="AR175" s="129">
        <f t="shared" si="134"/>
        <v>0</v>
      </c>
      <c r="AS175" s="129">
        <f t="shared" si="135"/>
        <v>0</v>
      </c>
      <c r="AT175" s="129">
        <f t="shared" si="136"/>
        <v>0</v>
      </c>
      <c r="AU175" s="129">
        <f t="shared" si="137"/>
        <v>0</v>
      </c>
      <c r="AV175" s="129">
        <f t="shared" si="138"/>
        <v>0</v>
      </c>
      <c r="AW175" s="129">
        <f t="shared" si="139"/>
        <v>0</v>
      </c>
      <c r="AY175" s="162" t="str">
        <f>IF(ISBLANK(C175),"",NOT(ISERROR(MATCH(C175,Deltagarlista!$E$5:$E$64,0))))</f>
        <v/>
      </c>
      <c r="AZ175" s="162" t="str">
        <f>IF(ISBLANK(D175),"",NOT(ISERROR(MATCH(D175,Deltagarlista!$E$5:$E$64,0))))</f>
        <v/>
      </c>
      <c r="BA175" s="162" t="str">
        <f>IF(ISBLANK(E175),"",NOT(ISERROR(MATCH(E175,Deltagarlista!$E$5:$E$64,0))))</f>
        <v/>
      </c>
      <c r="BB175" s="162" t="str">
        <f>IF(ISBLANK(F175),"",NOT(ISERROR(MATCH(F175,Deltagarlista!$E$5:$E$64,0))))</f>
        <v/>
      </c>
      <c r="BC175" s="162" t="str">
        <f>IF(ISBLANK(G175),"",NOT(ISERROR(MATCH(G175,Deltagarlista!$E$5:$E$64,0))))</f>
        <v/>
      </c>
      <c r="BD175" s="162" t="str">
        <f>IF(ISBLANK(H175),"",NOT(ISERROR(MATCH(H175,Deltagarlista!$E$5:$E$64,0))))</f>
        <v/>
      </c>
      <c r="BE175" s="162" t="str">
        <f>IF(ISBLANK(I175),"",NOT(ISERROR(MATCH(I175,Deltagarlista!$E$5:$E$64,0))))</f>
        <v/>
      </c>
      <c r="BF175" s="162" t="str">
        <f>IF(ISBLANK(J175),"",NOT(ISERROR(MATCH(J175,Deltagarlista!$E$5:$E$64,0))))</f>
        <v/>
      </c>
      <c r="BG175" s="162" t="str">
        <f>IF(ISBLANK(K175),"",NOT(ISERROR(MATCH(K175,Deltagarlista!$E$5:$E$64,0))))</f>
        <v/>
      </c>
      <c r="BH175" s="162" t="str">
        <f>IF(ISBLANK(L175),"",NOT(ISERROR(MATCH(L175,Deltagarlista!$E$5:$E$64,0))))</f>
        <v/>
      </c>
      <c r="BI175" s="162" t="str">
        <f>IF(ISBLANK(M175),"",NOT(ISERROR(MATCH(M175,Deltagarlista!$E$5:$E$64,0))))</f>
        <v/>
      </c>
      <c r="BJ175" s="162" t="str">
        <f>IF(ISBLANK(N175),"",NOT(ISERROR(MATCH(N175,Deltagarlista!$E$5:$E$64,0))))</f>
        <v/>
      </c>
      <c r="BK175" s="162" t="str">
        <f>IF(ISBLANK(O175),"",NOT(ISERROR(MATCH(O175,Deltagarlista!$E$5:$E$64,0))))</f>
        <v/>
      </c>
      <c r="BL175" s="162" t="str">
        <f>IF(ISBLANK(P175),"",NOT(ISERROR(MATCH(P175,Deltagarlista!$E$5:$E$64,0))))</f>
        <v/>
      </c>
      <c r="BM175" s="162" t="str">
        <f>IF(ISBLANK(Q175),"",NOT(ISERROR(MATCH(Q175,Deltagarlista!$E$5:$E$64,0))))</f>
        <v/>
      </c>
      <c r="BN175" s="167"/>
    </row>
    <row r="176" spans="2:66" x14ac:dyDescent="0.3">
      <c r="B176" s="189" t="s">
        <v>5</v>
      </c>
      <c r="C176" s="27"/>
      <c r="D176" s="28"/>
      <c r="E176" s="38"/>
      <c r="F176" s="27"/>
      <c r="G176" s="28"/>
      <c r="H176" s="29"/>
      <c r="I176" s="41"/>
      <c r="J176" s="28"/>
      <c r="K176" s="38"/>
      <c r="L176" s="27"/>
      <c r="M176" s="28"/>
      <c r="N176" s="29"/>
      <c r="O176" s="41"/>
      <c r="P176" s="28"/>
      <c r="Q176" s="29"/>
      <c r="R176" s="190" t="s">
        <v>5</v>
      </c>
      <c r="S176" s="188" t="s">
        <v>5</v>
      </c>
      <c r="T176" s="188" t="s">
        <v>5</v>
      </c>
      <c r="U176" s="188" t="s">
        <v>5</v>
      </c>
      <c r="V176" s="188" t="s">
        <v>5</v>
      </c>
      <c r="W176" s="188" t="s">
        <v>5</v>
      </c>
      <c r="X176" s="188" t="s">
        <v>5</v>
      </c>
      <c r="Y176" s="188" t="s">
        <v>5</v>
      </c>
      <c r="Z176" s="188" t="s">
        <v>5</v>
      </c>
      <c r="AA176" s="188" t="s">
        <v>5</v>
      </c>
      <c r="AB176" s="188" t="s">
        <v>5</v>
      </c>
      <c r="AC176" s="188" t="s">
        <v>5</v>
      </c>
      <c r="AD176" s="188" t="s">
        <v>5</v>
      </c>
      <c r="AE176" s="188" t="s">
        <v>5</v>
      </c>
      <c r="AF176" s="188" t="s">
        <v>5</v>
      </c>
      <c r="AG176" s="188" t="s">
        <v>5</v>
      </c>
      <c r="AH176" s="166"/>
      <c r="AI176" s="129">
        <f t="shared" si="125"/>
        <v>0</v>
      </c>
      <c r="AJ176" s="129">
        <f t="shared" si="126"/>
        <v>0</v>
      </c>
      <c r="AK176" s="129">
        <f t="shared" si="127"/>
        <v>0</v>
      </c>
      <c r="AL176" s="129">
        <f t="shared" si="128"/>
        <v>0</v>
      </c>
      <c r="AM176" s="129">
        <f t="shared" si="129"/>
        <v>0</v>
      </c>
      <c r="AN176" s="129">
        <f t="shared" si="130"/>
        <v>0</v>
      </c>
      <c r="AO176" s="129">
        <f t="shared" si="131"/>
        <v>0</v>
      </c>
      <c r="AP176" s="129">
        <f t="shared" si="132"/>
        <v>0</v>
      </c>
      <c r="AQ176" s="129">
        <f t="shared" si="133"/>
        <v>0</v>
      </c>
      <c r="AR176" s="129">
        <f t="shared" si="134"/>
        <v>0</v>
      </c>
      <c r="AS176" s="129">
        <f t="shared" si="135"/>
        <v>0</v>
      </c>
      <c r="AT176" s="129">
        <f t="shared" si="136"/>
        <v>0</v>
      </c>
      <c r="AU176" s="129">
        <f t="shared" si="137"/>
        <v>0</v>
      </c>
      <c r="AV176" s="129">
        <f t="shared" si="138"/>
        <v>0</v>
      </c>
      <c r="AW176" s="129">
        <f t="shared" si="139"/>
        <v>0</v>
      </c>
      <c r="AY176" s="162" t="str">
        <f>IF(ISBLANK(C176),"",NOT(ISERROR(MATCH(C176,Deltagarlista!$E$5:$E$64,0))))</f>
        <v/>
      </c>
      <c r="AZ176" s="162" t="str">
        <f>IF(ISBLANK(D176),"",NOT(ISERROR(MATCH(D176,Deltagarlista!$E$5:$E$64,0))))</f>
        <v/>
      </c>
      <c r="BA176" s="162" t="str">
        <f>IF(ISBLANK(E176),"",NOT(ISERROR(MATCH(E176,Deltagarlista!$E$5:$E$64,0))))</f>
        <v/>
      </c>
      <c r="BB176" s="162" t="str">
        <f>IF(ISBLANK(F176),"",NOT(ISERROR(MATCH(F176,Deltagarlista!$E$5:$E$64,0))))</f>
        <v/>
      </c>
      <c r="BC176" s="162" t="str">
        <f>IF(ISBLANK(G176),"",NOT(ISERROR(MATCH(G176,Deltagarlista!$E$5:$E$64,0))))</f>
        <v/>
      </c>
      <c r="BD176" s="162" t="str">
        <f>IF(ISBLANK(H176),"",NOT(ISERROR(MATCH(H176,Deltagarlista!$E$5:$E$64,0))))</f>
        <v/>
      </c>
      <c r="BE176" s="162" t="str">
        <f>IF(ISBLANK(I176),"",NOT(ISERROR(MATCH(I176,Deltagarlista!$E$5:$E$64,0))))</f>
        <v/>
      </c>
      <c r="BF176" s="162" t="str">
        <f>IF(ISBLANK(J176),"",NOT(ISERROR(MATCH(J176,Deltagarlista!$E$5:$E$64,0))))</f>
        <v/>
      </c>
      <c r="BG176" s="162" t="str">
        <f>IF(ISBLANK(K176),"",NOT(ISERROR(MATCH(K176,Deltagarlista!$E$5:$E$64,0))))</f>
        <v/>
      </c>
      <c r="BH176" s="162" t="str">
        <f>IF(ISBLANK(L176),"",NOT(ISERROR(MATCH(L176,Deltagarlista!$E$5:$E$64,0))))</f>
        <v/>
      </c>
      <c r="BI176" s="162" t="str">
        <f>IF(ISBLANK(M176),"",NOT(ISERROR(MATCH(M176,Deltagarlista!$E$5:$E$64,0))))</f>
        <v/>
      </c>
      <c r="BJ176" s="162" t="str">
        <f>IF(ISBLANK(N176),"",NOT(ISERROR(MATCH(N176,Deltagarlista!$E$5:$E$64,0))))</f>
        <v/>
      </c>
      <c r="BK176" s="162" t="str">
        <f>IF(ISBLANK(O176),"",NOT(ISERROR(MATCH(O176,Deltagarlista!$E$5:$E$64,0))))</f>
        <v/>
      </c>
      <c r="BL176" s="162" t="str">
        <f>IF(ISBLANK(P176),"",NOT(ISERROR(MATCH(P176,Deltagarlista!$E$5:$E$64,0))))</f>
        <v/>
      </c>
      <c r="BM176" s="162" t="str">
        <f>IF(ISBLANK(Q176),"",NOT(ISERROR(MATCH(Q176,Deltagarlista!$E$5:$E$64,0))))</f>
        <v/>
      </c>
      <c r="BN176" s="167"/>
    </row>
    <row r="177" spans="2:66" x14ac:dyDescent="0.3">
      <c r="B177" s="189" t="s">
        <v>5</v>
      </c>
      <c r="C177" s="27"/>
      <c r="D177" s="28"/>
      <c r="E177" s="38"/>
      <c r="F177" s="27"/>
      <c r="G177" s="28"/>
      <c r="H177" s="29"/>
      <c r="I177" s="41"/>
      <c r="J177" s="28"/>
      <c r="K177" s="38"/>
      <c r="L177" s="27"/>
      <c r="M177" s="28"/>
      <c r="N177" s="29"/>
      <c r="O177" s="41"/>
      <c r="P177" s="28"/>
      <c r="Q177" s="29"/>
      <c r="R177" s="190" t="s">
        <v>5</v>
      </c>
      <c r="S177" s="188" t="s">
        <v>5</v>
      </c>
      <c r="T177" s="188" t="s">
        <v>5</v>
      </c>
      <c r="U177" s="188" t="s">
        <v>5</v>
      </c>
      <c r="V177" s="188" t="s">
        <v>5</v>
      </c>
      <c r="W177" s="188" t="s">
        <v>5</v>
      </c>
      <c r="X177" s="188" t="s">
        <v>5</v>
      </c>
      <c r="Y177" s="188" t="s">
        <v>5</v>
      </c>
      <c r="Z177" s="188" t="s">
        <v>5</v>
      </c>
      <c r="AA177" s="188" t="s">
        <v>5</v>
      </c>
      <c r="AB177" s="188" t="s">
        <v>5</v>
      </c>
      <c r="AC177" s="188" t="s">
        <v>5</v>
      </c>
      <c r="AD177" s="188" t="s">
        <v>5</v>
      </c>
      <c r="AE177" s="188" t="s">
        <v>5</v>
      </c>
      <c r="AF177" s="188" t="s">
        <v>5</v>
      </c>
      <c r="AG177" s="188" t="s">
        <v>5</v>
      </c>
      <c r="AH177" s="166"/>
      <c r="AI177" s="129">
        <f t="shared" si="125"/>
        <v>0</v>
      </c>
      <c r="AJ177" s="129">
        <f t="shared" si="126"/>
        <v>0</v>
      </c>
      <c r="AK177" s="129">
        <f t="shared" si="127"/>
        <v>0</v>
      </c>
      <c r="AL177" s="129">
        <f t="shared" si="128"/>
        <v>0</v>
      </c>
      <c r="AM177" s="129">
        <f t="shared" si="129"/>
        <v>0</v>
      </c>
      <c r="AN177" s="129">
        <f t="shared" si="130"/>
        <v>0</v>
      </c>
      <c r="AO177" s="129">
        <f t="shared" si="131"/>
        <v>0</v>
      </c>
      <c r="AP177" s="129">
        <f t="shared" si="132"/>
        <v>0</v>
      </c>
      <c r="AQ177" s="129">
        <f t="shared" si="133"/>
        <v>0</v>
      </c>
      <c r="AR177" s="129">
        <f t="shared" si="134"/>
        <v>0</v>
      </c>
      <c r="AS177" s="129">
        <f t="shared" si="135"/>
        <v>0</v>
      </c>
      <c r="AT177" s="129">
        <f t="shared" si="136"/>
        <v>0</v>
      </c>
      <c r="AU177" s="129">
        <f t="shared" si="137"/>
        <v>0</v>
      </c>
      <c r="AV177" s="129">
        <f t="shared" si="138"/>
        <v>0</v>
      </c>
      <c r="AW177" s="129">
        <f t="shared" si="139"/>
        <v>0</v>
      </c>
      <c r="AY177" s="162" t="str">
        <f>IF(ISBLANK(C177),"",NOT(ISERROR(MATCH(C177,Deltagarlista!$E$5:$E$64,0))))</f>
        <v/>
      </c>
      <c r="AZ177" s="162" t="str">
        <f>IF(ISBLANK(D177),"",NOT(ISERROR(MATCH(D177,Deltagarlista!$E$5:$E$64,0))))</f>
        <v/>
      </c>
      <c r="BA177" s="162" t="str">
        <f>IF(ISBLANK(E177),"",NOT(ISERROR(MATCH(E177,Deltagarlista!$E$5:$E$64,0))))</f>
        <v/>
      </c>
      <c r="BB177" s="162" t="str">
        <f>IF(ISBLANK(F177),"",NOT(ISERROR(MATCH(F177,Deltagarlista!$E$5:$E$64,0))))</f>
        <v/>
      </c>
      <c r="BC177" s="162" t="str">
        <f>IF(ISBLANK(G177),"",NOT(ISERROR(MATCH(G177,Deltagarlista!$E$5:$E$64,0))))</f>
        <v/>
      </c>
      <c r="BD177" s="162" t="str">
        <f>IF(ISBLANK(H177),"",NOT(ISERROR(MATCH(H177,Deltagarlista!$E$5:$E$64,0))))</f>
        <v/>
      </c>
      <c r="BE177" s="162" t="str">
        <f>IF(ISBLANK(I177),"",NOT(ISERROR(MATCH(I177,Deltagarlista!$E$5:$E$64,0))))</f>
        <v/>
      </c>
      <c r="BF177" s="162" t="str">
        <f>IF(ISBLANK(J177),"",NOT(ISERROR(MATCH(J177,Deltagarlista!$E$5:$E$64,0))))</f>
        <v/>
      </c>
      <c r="BG177" s="162" t="str">
        <f>IF(ISBLANK(K177),"",NOT(ISERROR(MATCH(K177,Deltagarlista!$E$5:$E$64,0))))</f>
        <v/>
      </c>
      <c r="BH177" s="162" t="str">
        <f>IF(ISBLANK(L177),"",NOT(ISERROR(MATCH(L177,Deltagarlista!$E$5:$E$64,0))))</f>
        <v/>
      </c>
      <c r="BI177" s="162" t="str">
        <f>IF(ISBLANK(M177),"",NOT(ISERROR(MATCH(M177,Deltagarlista!$E$5:$E$64,0))))</f>
        <v/>
      </c>
      <c r="BJ177" s="162" t="str">
        <f>IF(ISBLANK(N177),"",NOT(ISERROR(MATCH(N177,Deltagarlista!$E$5:$E$64,0))))</f>
        <v/>
      </c>
      <c r="BK177" s="162" t="str">
        <f>IF(ISBLANK(O177),"",NOT(ISERROR(MATCH(O177,Deltagarlista!$E$5:$E$64,0))))</f>
        <v/>
      </c>
      <c r="BL177" s="162" t="str">
        <f>IF(ISBLANK(P177),"",NOT(ISERROR(MATCH(P177,Deltagarlista!$E$5:$E$64,0))))</f>
        <v/>
      </c>
      <c r="BM177" s="162" t="str">
        <f>IF(ISBLANK(Q177),"",NOT(ISERROR(MATCH(Q177,Deltagarlista!$E$5:$E$64,0))))</f>
        <v/>
      </c>
      <c r="BN177" s="167"/>
    </row>
    <row r="178" spans="2:66" x14ac:dyDescent="0.3">
      <c r="B178" s="189" t="s">
        <v>5</v>
      </c>
      <c r="C178" s="27"/>
      <c r="D178" s="28"/>
      <c r="E178" s="38"/>
      <c r="F178" s="27"/>
      <c r="G178" s="28"/>
      <c r="H178" s="29"/>
      <c r="I178" s="41"/>
      <c r="J178" s="28"/>
      <c r="K178" s="38"/>
      <c r="L178" s="27"/>
      <c r="M178" s="28"/>
      <c r="N178" s="29"/>
      <c r="O178" s="41"/>
      <c r="P178" s="28"/>
      <c r="Q178" s="29"/>
      <c r="R178" s="190" t="s">
        <v>5</v>
      </c>
      <c r="S178" s="188" t="s">
        <v>5</v>
      </c>
      <c r="T178" s="188" t="s">
        <v>5</v>
      </c>
      <c r="U178" s="188" t="s">
        <v>5</v>
      </c>
      <c r="V178" s="188" t="s">
        <v>5</v>
      </c>
      <c r="W178" s="188" t="s">
        <v>5</v>
      </c>
      <c r="X178" s="188" t="s">
        <v>5</v>
      </c>
      <c r="Y178" s="188" t="s">
        <v>5</v>
      </c>
      <c r="Z178" s="188" t="s">
        <v>5</v>
      </c>
      <c r="AA178" s="188" t="s">
        <v>5</v>
      </c>
      <c r="AB178" s="188" t="s">
        <v>5</v>
      </c>
      <c r="AC178" s="188" t="s">
        <v>5</v>
      </c>
      <c r="AD178" s="188" t="s">
        <v>5</v>
      </c>
      <c r="AE178" s="188" t="s">
        <v>5</v>
      </c>
      <c r="AF178" s="188" t="s">
        <v>5</v>
      </c>
      <c r="AG178" s="188" t="s">
        <v>5</v>
      </c>
      <c r="AH178" s="166"/>
      <c r="AI178" s="129">
        <f t="shared" si="125"/>
        <v>0</v>
      </c>
      <c r="AJ178" s="129">
        <f t="shared" si="126"/>
        <v>0</v>
      </c>
      <c r="AK178" s="129">
        <f t="shared" si="127"/>
        <v>0</v>
      </c>
      <c r="AL178" s="129">
        <f t="shared" si="128"/>
        <v>0</v>
      </c>
      <c r="AM178" s="129">
        <f t="shared" si="129"/>
        <v>0</v>
      </c>
      <c r="AN178" s="129">
        <f t="shared" si="130"/>
        <v>0</v>
      </c>
      <c r="AO178" s="129">
        <f t="shared" si="131"/>
        <v>0</v>
      </c>
      <c r="AP178" s="129">
        <f t="shared" si="132"/>
        <v>0</v>
      </c>
      <c r="AQ178" s="129">
        <f t="shared" si="133"/>
        <v>0</v>
      </c>
      <c r="AR178" s="129">
        <f t="shared" si="134"/>
        <v>0</v>
      </c>
      <c r="AS178" s="129">
        <f t="shared" si="135"/>
        <v>0</v>
      </c>
      <c r="AT178" s="129">
        <f t="shared" si="136"/>
        <v>0</v>
      </c>
      <c r="AU178" s="129">
        <f t="shared" si="137"/>
        <v>0</v>
      </c>
      <c r="AV178" s="129">
        <f t="shared" si="138"/>
        <v>0</v>
      </c>
      <c r="AW178" s="129">
        <f t="shared" si="139"/>
        <v>0</v>
      </c>
      <c r="AY178" s="162" t="str">
        <f>IF(ISBLANK(C178),"",NOT(ISERROR(MATCH(C178,Deltagarlista!$E$5:$E$64,0))))</f>
        <v/>
      </c>
      <c r="AZ178" s="162" t="str">
        <f>IF(ISBLANK(D178),"",NOT(ISERROR(MATCH(D178,Deltagarlista!$E$5:$E$64,0))))</f>
        <v/>
      </c>
      <c r="BA178" s="162" t="str">
        <f>IF(ISBLANK(E178),"",NOT(ISERROR(MATCH(E178,Deltagarlista!$E$5:$E$64,0))))</f>
        <v/>
      </c>
      <c r="BB178" s="162" t="str">
        <f>IF(ISBLANK(F178),"",NOT(ISERROR(MATCH(F178,Deltagarlista!$E$5:$E$64,0))))</f>
        <v/>
      </c>
      <c r="BC178" s="162" t="str">
        <f>IF(ISBLANK(G178),"",NOT(ISERROR(MATCH(G178,Deltagarlista!$E$5:$E$64,0))))</f>
        <v/>
      </c>
      <c r="BD178" s="162" t="str">
        <f>IF(ISBLANK(H178),"",NOT(ISERROR(MATCH(H178,Deltagarlista!$E$5:$E$64,0))))</f>
        <v/>
      </c>
      <c r="BE178" s="162" t="str">
        <f>IF(ISBLANK(I178),"",NOT(ISERROR(MATCH(I178,Deltagarlista!$E$5:$E$64,0))))</f>
        <v/>
      </c>
      <c r="BF178" s="162" t="str">
        <f>IF(ISBLANK(J178),"",NOT(ISERROR(MATCH(J178,Deltagarlista!$E$5:$E$64,0))))</f>
        <v/>
      </c>
      <c r="BG178" s="162" t="str">
        <f>IF(ISBLANK(K178),"",NOT(ISERROR(MATCH(K178,Deltagarlista!$E$5:$E$64,0))))</f>
        <v/>
      </c>
      <c r="BH178" s="162" t="str">
        <f>IF(ISBLANK(L178),"",NOT(ISERROR(MATCH(L178,Deltagarlista!$E$5:$E$64,0))))</f>
        <v/>
      </c>
      <c r="BI178" s="162" t="str">
        <f>IF(ISBLANK(M178),"",NOT(ISERROR(MATCH(M178,Deltagarlista!$E$5:$E$64,0))))</f>
        <v/>
      </c>
      <c r="BJ178" s="162" t="str">
        <f>IF(ISBLANK(N178),"",NOT(ISERROR(MATCH(N178,Deltagarlista!$E$5:$E$64,0))))</f>
        <v/>
      </c>
      <c r="BK178" s="162" t="str">
        <f>IF(ISBLANK(O178),"",NOT(ISERROR(MATCH(O178,Deltagarlista!$E$5:$E$64,0))))</f>
        <v/>
      </c>
      <c r="BL178" s="162" t="str">
        <f>IF(ISBLANK(P178),"",NOT(ISERROR(MATCH(P178,Deltagarlista!$E$5:$E$64,0))))</f>
        <v/>
      </c>
      <c r="BM178" s="162" t="str">
        <f>IF(ISBLANK(Q178),"",NOT(ISERROR(MATCH(Q178,Deltagarlista!$E$5:$E$64,0))))</f>
        <v/>
      </c>
      <c r="BN178" s="167"/>
    </row>
    <row r="179" spans="2:66" x14ac:dyDescent="0.3">
      <c r="B179" s="189" t="s">
        <v>6</v>
      </c>
      <c r="C179" s="27"/>
      <c r="D179" s="28"/>
      <c r="E179" s="38"/>
      <c r="F179" s="27"/>
      <c r="G179" s="28"/>
      <c r="H179" s="29"/>
      <c r="I179" s="41"/>
      <c r="J179" s="28"/>
      <c r="K179" s="38"/>
      <c r="L179" s="27"/>
      <c r="M179" s="28"/>
      <c r="N179" s="29"/>
      <c r="O179" s="41"/>
      <c r="P179" s="28"/>
      <c r="Q179" s="29"/>
      <c r="R179" s="190" t="s">
        <v>6</v>
      </c>
      <c r="S179" s="188" t="s">
        <v>6</v>
      </c>
      <c r="T179" s="188" t="s">
        <v>6</v>
      </c>
      <c r="U179" s="188" t="s">
        <v>6</v>
      </c>
      <c r="V179" s="188" t="s">
        <v>6</v>
      </c>
      <c r="W179" s="188" t="s">
        <v>6</v>
      </c>
      <c r="X179" s="188" t="s">
        <v>6</v>
      </c>
      <c r="Y179" s="188" t="s">
        <v>6</v>
      </c>
      <c r="Z179" s="188" t="s">
        <v>6</v>
      </c>
      <c r="AA179" s="188" t="s">
        <v>6</v>
      </c>
      <c r="AB179" s="188" t="s">
        <v>6</v>
      </c>
      <c r="AC179" s="188" t="s">
        <v>6</v>
      </c>
      <c r="AD179" s="188" t="s">
        <v>6</v>
      </c>
      <c r="AE179" s="188" t="s">
        <v>6</v>
      </c>
      <c r="AF179" s="188" t="s">
        <v>6</v>
      </c>
      <c r="AG179" s="188" t="s">
        <v>6</v>
      </c>
      <c r="AH179" s="166"/>
      <c r="AI179" s="129">
        <f t="shared" si="125"/>
        <v>0</v>
      </c>
      <c r="AJ179" s="129">
        <f t="shared" si="126"/>
        <v>0</v>
      </c>
      <c r="AK179" s="129">
        <f t="shared" si="127"/>
        <v>0</v>
      </c>
      <c r="AL179" s="129">
        <f t="shared" si="128"/>
        <v>0</v>
      </c>
      <c r="AM179" s="129">
        <f t="shared" si="129"/>
        <v>0</v>
      </c>
      <c r="AN179" s="129">
        <f t="shared" si="130"/>
        <v>0</v>
      </c>
      <c r="AO179" s="129">
        <f t="shared" si="131"/>
        <v>0</v>
      </c>
      <c r="AP179" s="129">
        <f t="shared" si="132"/>
        <v>0</v>
      </c>
      <c r="AQ179" s="129">
        <f t="shared" si="133"/>
        <v>0</v>
      </c>
      <c r="AR179" s="129">
        <f t="shared" si="134"/>
        <v>0</v>
      </c>
      <c r="AS179" s="129">
        <f t="shared" si="135"/>
        <v>0</v>
      </c>
      <c r="AT179" s="129">
        <f t="shared" si="136"/>
        <v>0</v>
      </c>
      <c r="AU179" s="129">
        <f t="shared" si="137"/>
        <v>0</v>
      </c>
      <c r="AV179" s="129">
        <f t="shared" si="138"/>
        <v>0</v>
      </c>
      <c r="AW179" s="129">
        <f t="shared" si="139"/>
        <v>0</v>
      </c>
      <c r="AY179" s="162" t="str">
        <f>IF(ISBLANK(C179),"",NOT(ISERROR(MATCH(C179,Deltagarlista!$E$5:$E$64,0))))</f>
        <v/>
      </c>
      <c r="AZ179" s="162" t="str">
        <f>IF(ISBLANK(D179),"",NOT(ISERROR(MATCH(D179,Deltagarlista!$E$5:$E$64,0))))</f>
        <v/>
      </c>
      <c r="BA179" s="162" t="str">
        <f>IF(ISBLANK(E179),"",NOT(ISERROR(MATCH(E179,Deltagarlista!$E$5:$E$64,0))))</f>
        <v/>
      </c>
      <c r="BB179" s="162" t="str">
        <f>IF(ISBLANK(F179),"",NOT(ISERROR(MATCH(F179,Deltagarlista!$E$5:$E$64,0))))</f>
        <v/>
      </c>
      <c r="BC179" s="162" t="str">
        <f>IF(ISBLANK(G179),"",NOT(ISERROR(MATCH(G179,Deltagarlista!$E$5:$E$64,0))))</f>
        <v/>
      </c>
      <c r="BD179" s="162" t="str">
        <f>IF(ISBLANK(H179),"",NOT(ISERROR(MATCH(H179,Deltagarlista!$E$5:$E$64,0))))</f>
        <v/>
      </c>
      <c r="BE179" s="162" t="str">
        <f>IF(ISBLANK(I179),"",NOT(ISERROR(MATCH(I179,Deltagarlista!$E$5:$E$64,0))))</f>
        <v/>
      </c>
      <c r="BF179" s="162" t="str">
        <f>IF(ISBLANK(J179),"",NOT(ISERROR(MATCH(J179,Deltagarlista!$E$5:$E$64,0))))</f>
        <v/>
      </c>
      <c r="BG179" s="162" t="str">
        <f>IF(ISBLANK(K179),"",NOT(ISERROR(MATCH(K179,Deltagarlista!$E$5:$E$64,0))))</f>
        <v/>
      </c>
      <c r="BH179" s="162" t="str">
        <f>IF(ISBLANK(L179),"",NOT(ISERROR(MATCH(L179,Deltagarlista!$E$5:$E$64,0))))</f>
        <v/>
      </c>
      <c r="BI179" s="162" t="str">
        <f>IF(ISBLANK(M179),"",NOT(ISERROR(MATCH(M179,Deltagarlista!$E$5:$E$64,0))))</f>
        <v/>
      </c>
      <c r="BJ179" s="162" t="str">
        <f>IF(ISBLANK(N179),"",NOT(ISERROR(MATCH(N179,Deltagarlista!$E$5:$E$64,0))))</f>
        <v/>
      </c>
      <c r="BK179" s="162" t="str">
        <f>IF(ISBLANK(O179),"",NOT(ISERROR(MATCH(O179,Deltagarlista!$E$5:$E$64,0))))</f>
        <v/>
      </c>
      <c r="BL179" s="162" t="str">
        <f>IF(ISBLANK(P179),"",NOT(ISERROR(MATCH(P179,Deltagarlista!$E$5:$E$64,0))))</f>
        <v/>
      </c>
      <c r="BM179" s="162" t="str">
        <f>IF(ISBLANK(Q179),"",NOT(ISERROR(MATCH(Q179,Deltagarlista!$E$5:$E$64,0))))</f>
        <v/>
      </c>
      <c r="BN179" s="167"/>
    </row>
    <row r="180" spans="2:66" ht="16.2" thickBot="1" x14ac:dyDescent="0.35">
      <c r="B180" s="191" t="s">
        <v>6</v>
      </c>
      <c r="C180" s="30"/>
      <c r="D180" s="31"/>
      <c r="E180" s="39"/>
      <c r="F180" s="30"/>
      <c r="G180" s="31"/>
      <c r="H180" s="32"/>
      <c r="I180" s="42"/>
      <c r="J180" s="31"/>
      <c r="K180" s="39"/>
      <c r="L180" s="30"/>
      <c r="M180" s="31"/>
      <c r="N180" s="32"/>
      <c r="O180" s="42"/>
      <c r="P180" s="31"/>
      <c r="Q180" s="32"/>
      <c r="R180" s="192" t="s">
        <v>6</v>
      </c>
      <c r="S180" s="188" t="s">
        <v>6</v>
      </c>
      <c r="T180" s="188" t="s">
        <v>6</v>
      </c>
      <c r="U180" s="188" t="s">
        <v>6</v>
      </c>
      <c r="V180" s="188" t="s">
        <v>6</v>
      </c>
      <c r="W180" s="188" t="s">
        <v>6</v>
      </c>
      <c r="X180" s="188" t="s">
        <v>6</v>
      </c>
      <c r="Y180" s="188" t="s">
        <v>6</v>
      </c>
      <c r="Z180" s="188" t="s">
        <v>6</v>
      </c>
      <c r="AA180" s="188" t="s">
        <v>6</v>
      </c>
      <c r="AB180" s="188" t="s">
        <v>6</v>
      </c>
      <c r="AC180" s="188" t="s">
        <v>6</v>
      </c>
      <c r="AD180" s="188" t="s">
        <v>6</v>
      </c>
      <c r="AE180" s="188" t="s">
        <v>6</v>
      </c>
      <c r="AF180" s="188" t="s">
        <v>6</v>
      </c>
      <c r="AG180" s="188" t="s">
        <v>6</v>
      </c>
      <c r="AH180" s="166"/>
      <c r="AI180" s="129">
        <f t="shared" si="125"/>
        <v>0</v>
      </c>
      <c r="AJ180" s="129">
        <f t="shared" si="126"/>
        <v>0</v>
      </c>
      <c r="AK180" s="129">
        <f t="shared" si="127"/>
        <v>0</v>
      </c>
      <c r="AL180" s="129">
        <f t="shared" si="128"/>
        <v>0</v>
      </c>
      <c r="AM180" s="129">
        <f t="shared" si="129"/>
        <v>0</v>
      </c>
      <c r="AN180" s="129">
        <f t="shared" si="130"/>
        <v>0</v>
      </c>
      <c r="AO180" s="129">
        <f t="shared" si="131"/>
        <v>0</v>
      </c>
      <c r="AP180" s="129">
        <f t="shared" si="132"/>
        <v>0</v>
      </c>
      <c r="AQ180" s="129">
        <f t="shared" si="133"/>
        <v>0</v>
      </c>
      <c r="AR180" s="129">
        <f t="shared" si="134"/>
        <v>0</v>
      </c>
      <c r="AS180" s="129">
        <f t="shared" si="135"/>
        <v>0</v>
      </c>
      <c r="AT180" s="129">
        <f t="shared" si="136"/>
        <v>0</v>
      </c>
      <c r="AU180" s="129">
        <f t="shared" si="137"/>
        <v>0</v>
      </c>
      <c r="AV180" s="129">
        <f t="shared" si="138"/>
        <v>0</v>
      </c>
      <c r="AW180" s="129">
        <f t="shared" si="139"/>
        <v>0</v>
      </c>
      <c r="AY180" s="162" t="str">
        <f>IF(ISBLANK(C180),"",NOT(ISERROR(MATCH(C180,Deltagarlista!$E$5:$E$64,0))))</f>
        <v/>
      </c>
      <c r="AZ180" s="162" t="str">
        <f>IF(ISBLANK(D180),"",NOT(ISERROR(MATCH(D180,Deltagarlista!$E$5:$E$64,0))))</f>
        <v/>
      </c>
      <c r="BA180" s="162" t="str">
        <f>IF(ISBLANK(E180),"",NOT(ISERROR(MATCH(E180,Deltagarlista!$E$5:$E$64,0))))</f>
        <v/>
      </c>
      <c r="BB180" s="162" t="str">
        <f>IF(ISBLANK(F180),"",NOT(ISERROR(MATCH(F180,Deltagarlista!$E$5:$E$64,0))))</f>
        <v/>
      </c>
      <c r="BC180" s="162" t="str">
        <f>IF(ISBLANK(G180),"",NOT(ISERROR(MATCH(G180,Deltagarlista!$E$5:$E$64,0))))</f>
        <v/>
      </c>
      <c r="BD180" s="162" t="str">
        <f>IF(ISBLANK(H180),"",NOT(ISERROR(MATCH(H180,Deltagarlista!$E$5:$E$64,0))))</f>
        <v/>
      </c>
      <c r="BE180" s="162" t="str">
        <f>IF(ISBLANK(I180),"",NOT(ISERROR(MATCH(I180,Deltagarlista!$E$5:$E$64,0))))</f>
        <v/>
      </c>
      <c r="BF180" s="162" t="str">
        <f>IF(ISBLANK(J180),"",NOT(ISERROR(MATCH(J180,Deltagarlista!$E$5:$E$64,0))))</f>
        <v/>
      </c>
      <c r="BG180" s="162" t="str">
        <f>IF(ISBLANK(K180),"",NOT(ISERROR(MATCH(K180,Deltagarlista!$E$5:$E$64,0))))</f>
        <v/>
      </c>
      <c r="BH180" s="162" t="str">
        <f>IF(ISBLANK(L180),"",NOT(ISERROR(MATCH(L180,Deltagarlista!$E$5:$E$64,0))))</f>
        <v/>
      </c>
      <c r="BI180" s="162" t="str">
        <f>IF(ISBLANK(M180),"",NOT(ISERROR(MATCH(M180,Deltagarlista!$E$5:$E$64,0))))</f>
        <v/>
      </c>
      <c r="BJ180" s="162" t="str">
        <f>IF(ISBLANK(N180),"",NOT(ISERROR(MATCH(N180,Deltagarlista!$E$5:$E$64,0))))</f>
        <v/>
      </c>
      <c r="BK180" s="162" t="str">
        <f>IF(ISBLANK(O180),"",NOT(ISERROR(MATCH(O180,Deltagarlista!$E$5:$E$64,0))))</f>
        <v/>
      </c>
      <c r="BL180" s="162" t="str">
        <f>IF(ISBLANK(P180),"",NOT(ISERROR(MATCH(P180,Deltagarlista!$E$5:$E$64,0))))</f>
        <v/>
      </c>
      <c r="BM180" s="162" t="str">
        <f>IF(ISBLANK(Q180),"",NOT(ISERROR(MATCH(Q180,Deltagarlista!$E$5:$E$64,0))))</f>
        <v/>
      </c>
      <c r="BN180" s="167"/>
    </row>
    <row r="181" spans="2:66" x14ac:dyDescent="0.3">
      <c r="B181" s="198"/>
      <c r="C181" s="197"/>
      <c r="D181" s="197"/>
      <c r="E181" s="197"/>
      <c r="F181" s="197"/>
      <c r="G181" s="197"/>
      <c r="H181" s="197"/>
      <c r="I181" s="197"/>
      <c r="J181" s="197"/>
      <c r="K181" s="197"/>
      <c r="L181" s="197"/>
      <c r="M181" s="197"/>
      <c r="N181" s="197"/>
      <c r="O181" s="197"/>
      <c r="P181" s="197"/>
      <c r="Q181" s="197"/>
      <c r="R181" s="198"/>
      <c r="S181" s="188"/>
      <c r="T181" s="188"/>
      <c r="U181" s="188"/>
      <c r="V181" s="188"/>
      <c r="W181" s="188"/>
      <c r="X181" s="188"/>
      <c r="Y181" s="188"/>
      <c r="Z181" s="188"/>
      <c r="AA181" s="188"/>
      <c r="AB181" s="188"/>
      <c r="AC181" s="188"/>
      <c r="AD181" s="188"/>
      <c r="AE181" s="188"/>
      <c r="AF181" s="188"/>
      <c r="AG181" s="188"/>
      <c r="AH181" s="166"/>
      <c r="AI181" s="129"/>
      <c r="AJ181" s="129"/>
      <c r="AK181" s="129"/>
      <c r="AL181" s="129"/>
      <c r="AM181" s="129"/>
      <c r="AN181" s="129"/>
      <c r="AO181" s="129"/>
      <c r="AP181" s="129"/>
      <c r="AQ181" s="129"/>
      <c r="AR181" s="129"/>
      <c r="AS181" s="129"/>
      <c r="AT181" s="129"/>
      <c r="AU181" s="129"/>
      <c r="AV181" s="129"/>
      <c r="AW181" s="129"/>
      <c r="BN181" s="167"/>
    </row>
    <row r="182" spans="2:66" x14ac:dyDescent="0.3">
      <c r="B182" s="47"/>
      <c r="C182" s="47"/>
      <c r="D182" s="47"/>
      <c r="E182" s="47"/>
      <c r="F182" s="47"/>
      <c r="G182" s="47"/>
      <c r="H182" s="47"/>
      <c r="I182" s="47"/>
      <c r="J182" s="47"/>
      <c r="K182" s="47"/>
      <c r="L182" s="47"/>
      <c r="M182" s="47"/>
      <c r="N182" s="47"/>
      <c r="O182" s="47"/>
      <c r="P182" s="47"/>
      <c r="Q182" s="47"/>
      <c r="R182" s="47"/>
      <c r="AH182" s="167"/>
      <c r="BN182" s="167"/>
    </row>
    <row r="183" spans="2:66" x14ac:dyDescent="0.3">
      <c r="B183" s="47"/>
      <c r="C183" s="47"/>
      <c r="D183" s="47"/>
      <c r="E183" s="47"/>
      <c r="F183" s="47"/>
      <c r="G183" s="47"/>
      <c r="H183" s="47"/>
      <c r="I183" s="47"/>
      <c r="J183" s="47"/>
      <c r="K183" s="47"/>
      <c r="L183" s="47"/>
      <c r="M183" s="47"/>
      <c r="N183" s="47"/>
      <c r="O183" s="47"/>
      <c r="P183" s="47"/>
      <c r="Q183" s="47"/>
      <c r="R183" s="47"/>
      <c r="AH183" s="167"/>
      <c r="BN183" s="167"/>
    </row>
    <row r="184" spans="2:66" x14ac:dyDescent="0.3">
      <c r="B184" s="47"/>
      <c r="C184" s="47"/>
      <c r="D184" s="47"/>
      <c r="E184" s="47"/>
      <c r="F184" s="47"/>
      <c r="G184" s="47"/>
      <c r="H184" s="47"/>
      <c r="I184" s="47"/>
      <c r="J184" s="47"/>
      <c r="K184" s="47"/>
      <c r="L184" s="47"/>
      <c r="M184" s="47"/>
      <c r="N184" s="47"/>
      <c r="O184" s="47"/>
      <c r="P184" s="47"/>
      <c r="Q184" s="47"/>
      <c r="R184" s="47"/>
      <c r="AH184" s="167"/>
      <c r="BN184" s="167"/>
    </row>
    <row r="185" spans="2:66" x14ac:dyDescent="0.3">
      <c r="B185" s="47"/>
      <c r="C185" s="47"/>
      <c r="D185" s="47"/>
      <c r="E185" s="47"/>
      <c r="F185" s="47"/>
      <c r="G185" s="47"/>
      <c r="H185" s="47"/>
      <c r="I185" s="47"/>
      <c r="J185" s="47"/>
      <c r="K185" s="47"/>
      <c r="L185" s="47"/>
      <c r="M185" s="47"/>
      <c r="N185" s="47"/>
      <c r="O185" s="47"/>
      <c r="P185" s="47"/>
      <c r="Q185" s="47"/>
      <c r="R185" s="47"/>
      <c r="AH185" s="167"/>
      <c r="BN185" s="167"/>
    </row>
    <row r="186" spans="2:66" x14ac:dyDescent="0.3">
      <c r="B186" s="47"/>
      <c r="C186" s="47"/>
      <c r="D186" s="47"/>
      <c r="E186" s="47"/>
      <c r="F186" s="47"/>
      <c r="G186" s="47"/>
      <c r="H186" s="47"/>
      <c r="I186" s="47"/>
      <c r="J186" s="47"/>
      <c r="K186" s="47"/>
      <c r="L186" s="47"/>
      <c r="M186" s="47"/>
      <c r="N186" s="47"/>
      <c r="O186" s="47"/>
      <c r="P186" s="47"/>
      <c r="Q186" s="47"/>
      <c r="R186" s="47"/>
      <c r="BN186" s="167"/>
    </row>
    <row r="187" spans="2:66" x14ac:dyDescent="0.3">
      <c r="B187" s="47"/>
      <c r="C187" s="47"/>
      <c r="D187" s="47"/>
      <c r="E187" s="47"/>
      <c r="F187" s="47"/>
      <c r="G187" s="47"/>
      <c r="H187" s="47"/>
      <c r="I187" s="47"/>
      <c r="J187" s="47"/>
      <c r="K187" s="47"/>
      <c r="L187" s="47"/>
      <c r="M187" s="47"/>
      <c r="N187" s="47"/>
      <c r="O187" s="47"/>
      <c r="P187" s="47"/>
      <c r="Q187" s="47"/>
      <c r="R187" s="47"/>
      <c r="BN187" s="167"/>
    </row>
    <row r="188" spans="2:66" x14ac:dyDescent="0.3">
      <c r="B188" s="47"/>
      <c r="C188" s="47"/>
      <c r="D188" s="47"/>
      <c r="E188" s="47"/>
      <c r="F188" s="47"/>
      <c r="G188" s="47"/>
      <c r="H188" s="47"/>
      <c r="I188" s="47"/>
      <c r="J188" s="47"/>
      <c r="K188" s="47"/>
      <c r="L188" s="47"/>
      <c r="M188" s="47"/>
      <c r="N188" s="47"/>
      <c r="O188" s="47"/>
      <c r="P188" s="47"/>
      <c r="Q188" s="47"/>
      <c r="R188" s="47"/>
      <c r="BN188" s="167"/>
    </row>
    <row r="189" spans="2:66" x14ac:dyDescent="0.3">
      <c r="B189" s="47"/>
      <c r="C189" s="47"/>
      <c r="D189" s="47"/>
      <c r="E189" s="47"/>
      <c r="F189" s="47"/>
      <c r="G189" s="47"/>
      <c r="H189" s="47"/>
      <c r="I189" s="47"/>
      <c r="J189" s="47"/>
      <c r="K189" s="47"/>
      <c r="L189" s="47"/>
      <c r="M189" s="47"/>
      <c r="N189" s="47"/>
      <c r="O189" s="47"/>
      <c r="P189" s="47"/>
      <c r="Q189" s="47"/>
      <c r="R189" s="47"/>
      <c r="BN189" s="167"/>
    </row>
    <row r="190" spans="2:66" x14ac:dyDescent="0.3">
      <c r="B190" s="47"/>
      <c r="C190" s="47"/>
      <c r="D190" s="47"/>
      <c r="E190" s="47"/>
      <c r="F190" s="47"/>
      <c r="G190" s="47"/>
      <c r="H190" s="47"/>
      <c r="I190" s="47"/>
      <c r="J190" s="47"/>
      <c r="K190" s="47"/>
      <c r="L190" s="47"/>
      <c r="M190" s="47"/>
      <c r="N190" s="47"/>
      <c r="O190" s="47"/>
      <c r="P190" s="47"/>
      <c r="Q190" s="47"/>
      <c r="R190" s="47"/>
      <c r="BN190" s="167"/>
    </row>
    <row r="191" spans="2:66" x14ac:dyDescent="0.3">
      <c r="B191" s="47"/>
      <c r="C191" s="47"/>
      <c r="D191" s="47"/>
      <c r="E191" s="47"/>
      <c r="F191" s="47"/>
      <c r="G191" s="47"/>
      <c r="H191" s="47"/>
      <c r="I191" s="47"/>
      <c r="J191" s="47"/>
      <c r="K191" s="47"/>
      <c r="L191" s="47"/>
      <c r="M191" s="47"/>
      <c r="N191" s="47"/>
      <c r="O191" s="47"/>
      <c r="P191" s="47"/>
      <c r="Q191" s="47"/>
      <c r="R191" s="47"/>
      <c r="BN191" s="167"/>
    </row>
    <row r="192" spans="2:66" x14ac:dyDescent="0.3">
      <c r="B192" s="47"/>
      <c r="C192" s="47"/>
      <c r="D192" s="47"/>
      <c r="E192" s="47"/>
      <c r="F192" s="47"/>
      <c r="G192" s="47"/>
      <c r="H192" s="47"/>
      <c r="I192" s="47"/>
      <c r="J192" s="47"/>
      <c r="K192" s="47"/>
      <c r="L192" s="47"/>
      <c r="M192" s="47"/>
      <c r="N192" s="47"/>
      <c r="O192" s="47"/>
      <c r="P192" s="47"/>
      <c r="Q192" s="47"/>
      <c r="R192" s="47"/>
      <c r="BN192" s="167"/>
    </row>
    <row r="193" spans="2:66" x14ac:dyDescent="0.3">
      <c r="B193" s="47"/>
      <c r="C193" s="47"/>
      <c r="D193" s="47"/>
      <c r="E193" s="47"/>
      <c r="F193" s="47"/>
      <c r="G193" s="47"/>
      <c r="H193" s="47"/>
      <c r="I193" s="47"/>
      <c r="J193" s="47"/>
      <c r="K193" s="47"/>
      <c r="L193" s="47"/>
      <c r="M193" s="47"/>
      <c r="N193" s="47"/>
      <c r="O193" s="47"/>
      <c r="P193" s="47"/>
      <c r="Q193" s="47"/>
      <c r="R193" s="47"/>
      <c r="BN193" s="167"/>
    </row>
    <row r="194" spans="2:66" x14ac:dyDescent="0.3">
      <c r="B194" s="47"/>
      <c r="C194" s="47"/>
      <c r="D194" s="47"/>
      <c r="E194" s="47"/>
      <c r="F194" s="47"/>
      <c r="G194" s="47"/>
      <c r="H194" s="47"/>
      <c r="I194" s="47"/>
      <c r="J194" s="47"/>
      <c r="K194" s="47"/>
      <c r="L194" s="47"/>
      <c r="M194" s="47"/>
      <c r="N194" s="47"/>
      <c r="O194" s="47"/>
      <c r="P194" s="47"/>
      <c r="Q194" s="47"/>
      <c r="R194" s="47"/>
      <c r="BN194" s="167"/>
    </row>
    <row r="195" spans="2:66" x14ac:dyDescent="0.3">
      <c r="B195" s="47"/>
      <c r="C195" s="47"/>
      <c r="D195" s="47"/>
      <c r="E195" s="47"/>
      <c r="F195" s="47"/>
      <c r="G195" s="47"/>
      <c r="H195" s="47"/>
      <c r="I195" s="47"/>
      <c r="J195" s="47"/>
      <c r="K195" s="47"/>
      <c r="L195" s="47"/>
      <c r="M195" s="47"/>
      <c r="N195" s="47"/>
      <c r="O195" s="47"/>
      <c r="P195" s="47"/>
      <c r="Q195" s="47"/>
      <c r="R195" s="47"/>
      <c r="BN195" s="167"/>
    </row>
    <row r="196" spans="2:66" x14ac:dyDescent="0.3">
      <c r="B196" s="47"/>
      <c r="C196" s="47"/>
      <c r="D196" s="47"/>
      <c r="E196" s="47"/>
      <c r="F196" s="47"/>
      <c r="G196" s="47"/>
      <c r="H196" s="47"/>
      <c r="I196" s="47"/>
      <c r="J196" s="47"/>
      <c r="K196" s="47"/>
      <c r="L196" s="47"/>
      <c r="M196" s="47"/>
      <c r="N196" s="47"/>
      <c r="O196" s="47"/>
      <c r="P196" s="47"/>
      <c r="Q196" s="47"/>
      <c r="R196" s="47"/>
      <c r="BN196" s="167"/>
    </row>
    <row r="197" spans="2:66" x14ac:dyDescent="0.3">
      <c r="B197" s="47"/>
      <c r="C197" s="47"/>
      <c r="D197" s="47"/>
      <c r="E197" s="47"/>
      <c r="F197" s="47"/>
      <c r="G197" s="47"/>
      <c r="H197" s="47"/>
      <c r="I197" s="47"/>
      <c r="J197" s="47"/>
      <c r="K197" s="47"/>
      <c r="L197" s="47"/>
      <c r="M197" s="47"/>
      <c r="N197" s="47"/>
      <c r="O197" s="47"/>
      <c r="P197" s="47"/>
      <c r="Q197" s="47"/>
      <c r="R197" s="47"/>
    </row>
    <row r="198" spans="2:66" x14ac:dyDescent="0.3">
      <c r="B198" s="47"/>
      <c r="C198" s="47"/>
      <c r="D198" s="47"/>
      <c r="E198" s="47"/>
      <c r="F198" s="47"/>
      <c r="G198" s="47"/>
      <c r="H198" s="47"/>
      <c r="I198" s="47"/>
      <c r="J198" s="47"/>
      <c r="K198" s="47"/>
      <c r="L198" s="47"/>
      <c r="M198" s="47"/>
      <c r="N198" s="47"/>
      <c r="O198" s="47"/>
      <c r="P198" s="47"/>
      <c r="Q198" s="47"/>
      <c r="R198" s="47"/>
    </row>
    <row r="199" spans="2:66" x14ac:dyDescent="0.3">
      <c r="B199" s="47"/>
      <c r="C199" s="47"/>
      <c r="D199" s="47"/>
      <c r="E199" s="47"/>
      <c r="F199" s="47"/>
      <c r="G199" s="47"/>
      <c r="H199" s="47"/>
      <c r="I199" s="47"/>
      <c r="J199" s="47"/>
      <c r="K199" s="47"/>
      <c r="L199" s="47"/>
      <c r="M199" s="47"/>
      <c r="N199" s="47"/>
      <c r="O199" s="47"/>
      <c r="P199" s="47"/>
      <c r="Q199" s="47"/>
      <c r="R199" s="47"/>
    </row>
    <row r="200" spans="2:66" x14ac:dyDescent="0.3">
      <c r="B200" s="47"/>
      <c r="C200" s="47"/>
      <c r="D200" s="47"/>
      <c r="E200" s="47"/>
      <c r="F200" s="47"/>
      <c r="G200" s="47"/>
      <c r="H200" s="47"/>
      <c r="I200" s="47"/>
      <c r="J200" s="47"/>
      <c r="K200" s="47"/>
      <c r="L200" s="47"/>
      <c r="M200" s="47"/>
      <c r="N200" s="47"/>
      <c r="O200" s="47"/>
      <c r="P200" s="47"/>
      <c r="Q200" s="47"/>
      <c r="R200" s="47"/>
    </row>
    <row r="201" spans="2:66" x14ac:dyDescent="0.3">
      <c r="B201" s="47"/>
      <c r="C201" s="47"/>
      <c r="D201" s="47"/>
      <c r="E201" s="47"/>
      <c r="F201" s="47"/>
      <c r="G201" s="47"/>
      <c r="H201" s="47"/>
      <c r="I201" s="47"/>
      <c r="J201" s="47"/>
      <c r="K201" s="47"/>
      <c r="L201" s="47"/>
      <c r="M201" s="47"/>
      <c r="N201" s="47"/>
      <c r="O201" s="47"/>
      <c r="P201" s="47"/>
      <c r="Q201" s="47"/>
      <c r="R201" s="47"/>
    </row>
    <row r="202" spans="2:66" x14ac:dyDescent="0.3">
      <c r="B202" s="47"/>
      <c r="C202" s="47"/>
      <c r="D202" s="47"/>
      <c r="E202" s="47"/>
      <c r="F202" s="47"/>
      <c r="G202" s="47"/>
      <c r="H202" s="47"/>
      <c r="I202" s="47"/>
      <c r="J202" s="47"/>
      <c r="K202" s="47"/>
      <c r="L202" s="47"/>
      <c r="M202" s="47"/>
      <c r="N202" s="47"/>
      <c r="O202" s="47"/>
      <c r="P202" s="47"/>
      <c r="Q202" s="47"/>
      <c r="R202" s="47"/>
    </row>
    <row r="203" spans="2:66" x14ac:dyDescent="0.3">
      <c r="B203" s="47"/>
      <c r="C203" s="47"/>
      <c r="D203" s="47"/>
      <c r="E203" s="47"/>
      <c r="F203" s="47"/>
      <c r="G203" s="47"/>
      <c r="H203" s="47"/>
      <c r="I203" s="47"/>
      <c r="J203" s="47"/>
      <c r="K203" s="47"/>
      <c r="L203" s="47"/>
      <c r="M203" s="47"/>
      <c r="N203" s="47"/>
      <c r="O203" s="47"/>
      <c r="P203" s="47"/>
      <c r="Q203" s="47"/>
      <c r="R203" s="47"/>
    </row>
    <row r="204" spans="2:66" x14ac:dyDescent="0.3">
      <c r="B204" s="47"/>
      <c r="C204" s="47"/>
      <c r="D204" s="47"/>
      <c r="E204" s="47"/>
      <c r="F204" s="47"/>
      <c r="G204" s="47"/>
      <c r="H204" s="47"/>
      <c r="I204" s="47"/>
      <c r="J204" s="47"/>
      <c r="K204" s="47"/>
      <c r="L204" s="47"/>
      <c r="M204" s="47"/>
      <c r="N204" s="47"/>
      <c r="O204" s="47"/>
      <c r="P204" s="47"/>
      <c r="Q204" s="47"/>
      <c r="R204" s="47"/>
    </row>
    <row r="205" spans="2:66" x14ac:dyDescent="0.3">
      <c r="B205" s="47"/>
      <c r="C205" s="47"/>
      <c r="D205" s="47"/>
      <c r="E205" s="47"/>
      <c r="F205" s="47"/>
      <c r="G205" s="47"/>
      <c r="H205" s="47"/>
      <c r="I205" s="47"/>
      <c r="J205" s="47"/>
      <c r="K205" s="47"/>
      <c r="L205" s="47"/>
      <c r="M205" s="47"/>
      <c r="N205" s="47"/>
      <c r="O205" s="47"/>
      <c r="P205" s="47"/>
      <c r="Q205" s="47"/>
      <c r="R205" s="47"/>
    </row>
    <row r="206" spans="2:66" x14ac:dyDescent="0.3">
      <c r="B206" s="47"/>
      <c r="C206" s="47"/>
      <c r="D206" s="47"/>
      <c r="E206" s="47"/>
      <c r="F206" s="47"/>
      <c r="G206" s="47"/>
      <c r="H206" s="47"/>
      <c r="I206" s="47"/>
      <c r="J206" s="47"/>
      <c r="K206" s="47"/>
      <c r="L206" s="47"/>
      <c r="M206" s="47"/>
      <c r="N206" s="47"/>
      <c r="O206" s="47"/>
      <c r="P206" s="47"/>
      <c r="Q206" s="47"/>
      <c r="R206" s="47"/>
    </row>
    <row r="207" spans="2:66" x14ac:dyDescent="0.3">
      <c r="B207" s="47"/>
      <c r="C207" s="47"/>
      <c r="D207" s="47"/>
      <c r="E207" s="47"/>
      <c r="F207" s="47"/>
      <c r="G207" s="47"/>
      <c r="H207" s="47"/>
      <c r="I207" s="47"/>
      <c r="J207" s="47"/>
      <c r="K207" s="47"/>
      <c r="L207" s="47"/>
      <c r="M207" s="47"/>
      <c r="N207" s="47"/>
      <c r="O207" s="47"/>
      <c r="P207" s="47"/>
      <c r="Q207" s="47"/>
      <c r="R207" s="47"/>
    </row>
    <row r="208" spans="2:66" x14ac:dyDescent="0.3">
      <c r="B208" s="47"/>
      <c r="C208" s="47"/>
      <c r="D208" s="47"/>
      <c r="E208" s="47"/>
      <c r="F208" s="47"/>
      <c r="G208" s="47"/>
      <c r="H208" s="47"/>
      <c r="I208" s="47"/>
      <c r="J208" s="47"/>
      <c r="K208" s="47"/>
      <c r="L208" s="47"/>
      <c r="M208" s="47"/>
      <c r="N208" s="47"/>
      <c r="O208" s="47"/>
      <c r="P208" s="47"/>
      <c r="Q208" s="47"/>
      <c r="R208" s="47"/>
    </row>
    <row r="209" spans="2:18" x14ac:dyDescent="0.3">
      <c r="B209" s="47"/>
      <c r="C209" s="47"/>
      <c r="D209" s="47"/>
      <c r="E209" s="47"/>
      <c r="F209" s="47"/>
      <c r="G209" s="47"/>
      <c r="H209" s="47"/>
      <c r="I209" s="47"/>
      <c r="J209" s="47"/>
      <c r="K209" s="47"/>
      <c r="L209" s="47"/>
      <c r="M209" s="47"/>
      <c r="N209" s="47"/>
      <c r="O209" s="47"/>
      <c r="P209" s="47"/>
      <c r="Q209" s="47"/>
      <c r="R209" s="47"/>
    </row>
    <row r="210" spans="2:18" x14ac:dyDescent="0.3">
      <c r="B210" s="47"/>
      <c r="C210" s="47"/>
      <c r="D210" s="47"/>
      <c r="E210" s="47"/>
      <c r="F210" s="47"/>
      <c r="G210" s="47"/>
      <c r="H210" s="47"/>
      <c r="I210" s="47"/>
      <c r="J210" s="47"/>
      <c r="K210" s="47"/>
      <c r="L210" s="47"/>
      <c r="M210" s="47"/>
      <c r="N210" s="47"/>
      <c r="O210" s="47"/>
      <c r="P210" s="47"/>
      <c r="Q210" s="47"/>
      <c r="R210" s="47"/>
    </row>
    <row r="211" spans="2:18" x14ac:dyDescent="0.3">
      <c r="B211" s="47"/>
      <c r="C211" s="47"/>
      <c r="D211" s="47"/>
      <c r="E211" s="47"/>
      <c r="F211" s="47"/>
      <c r="G211" s="47"/>
      <c r="H211" s="47"/>
      <c r="I211" s="47"/>
      <c r="J211" s="47"/>
      <c r="K211" s="47"/>
      <c r="L211" s="47"/>
      <c r="M211" s="47"/>
      <c r="N211" s="47"/>
      <c r="O211" s="47"/>
      <c r="P211" s="47"/>
      <c r="Q211" s="47"/>
      <c r="R211" s="47"/>
    </row>
  </sheetData>
  <sheetProtection password="CA51" sheet="1" objects="1" scenarios="1" formatCells="0"/>
  <mergeCells count="8">
    <mergeCell ref="B95:I95"/>
    <mergeCell ref="J95:R95"/>
    <mergeCell ref="B140:I140"/>
    <mergeCell ref="J140:R140"/>
    <mergeCell ref="B5:I5"/>
    <mergeCell ref="J5:R5"/>
    <mergeCell ref="B50:I50"/>
    <mergeCell ref="J50:R50"/>
  </mergeCells>
  <conditionalFormatting sqref="C8:C45">
    <cfRule type="duplicateValues" dxfId="140" priority="121"/>
  </conditionalFormatting>
  <conditionalFormatting sqref="E8:E45">
    <cfRule type="duplicateValues" dxfId="139" priority="118"/>
  </conditionalFormatting>
  <conditionalFormatting sqref="F8:F45">
    <cfRule type="duplicateValues" dxfId="138" priority="117"/>
  </conditionalFormatting>
  <conditionalFormatting sqref="G8:G45">
    <cfRule type="duplicateValues" dxfId="137" priority="116"/>
  </conditionalFormatting>
  <conditionalFormatting sqref="H8:H45">
    <cfRule type="duplicateValues" dxfId="136" priority="115"/>
  </conditionalFormatting>
  <conditionalFormatting sqref="I8:I45">
    <cfRule type="duplicateValues" dxfId="135" priority="114"/>
  </conditionalFormatting>
  <conditionalFormatting sqref="J8:J45">
    <cfRule type="duplicateValues" dxfId="134" priority="113"/>
  </conditionalFormatting>
  <conditionalFormatting sqref="K8:K45">
    <cfRule type="duplicateValues" dxfId="133" priority="112"/>
  </conditionalFormatting>
  <conditionalFormatting sqref="L8:L45">
    <cfRule type="duplicateValues" dxfId="132" priority="111"/>
  </conditionalFormatting>
  <conditionalFormatting sqref="M8:M45">
    <cfRule type="duplicateValues" dxfId="131" priority="110"/>
  </conditionalFormatting>
  <conditionalFormatting sqref="N8:N45">
    <cfRule type="duplicateValues" dxfId="130" priority="109"/>
  </conditionalFormatting>
  <conditionalFormatting sqref="O8:O45">
    <cfRule type="duplicateValues" dxfId="129" priority="108"/>
  </conditionalFormatting>
  <conditionalFormatting sqref="P8:P45">
    <cfRule type="duplicateValues" dxfId="128" priority="107"/>
  </conditionalFormatting>
  <conditionalFormatting sqref="Q8:Q45">
    <cfRule type="duplicateValues" dxfId="127" priority="106"/>
  </conditionalFormatting>
  <conditionalFormatting sqref="C53:C90">
    <cfRule type="duplicateValues" dxfId="126" priority="102"/>
  </conditionalFormatting>
  <conditionalFormatting sqref="D53:D90">
    <cfRule type="duplicateValues" dxfId="125" priority="101"/>
  </conditionalFormatting>
  <conditionalFormatting sqref="E53:E90">
    <cfRule type="duplicateValues" dxfId="124" priority="100"/>
  </conditionalFormatting>
  <conditionalFormatting sqref="F53:F90">
    <cfRule type="duplicateValues" dxfId="123" priority="99"/>
  </conditionalFormatting>
  <conditionalFormatting sqref="G53:G90">
    <cfRule type="duplicateValues" dxfId="122" priority="98"/>
  </conditionalFormatting>
  <conditionalFormatting sqref="H53:H90">
    <cfRule type="duplicateValues" dxfId="121" priority="97"/>
  </conditionalFormatting>
  <conditionalFormatting sqref="I53:I90">
    <cfRule type="duplicateValues" dxfId="120" priority="96"/>
  </conditionalFormatting>
  <conditionalFormatting sqref="J53:J90">
    <cfRule type="duplicateValues" dxfId="119" priority="95"/>
  </conditionalFormatting>
  <conditionalFormatting sqref="K53:K90">
    <cfRule type="duplicateValues" dxfId="118" priority="94"/>
  </conditionalFormatting>
  <conditionalFormatting sqref="L53:L90">
    <cfRule type="duplicateValues" dxfId="117" priority="93"/>
  </conditionalFormatting>
  <conditionalFormatting sqref="M53:M90">
    <cfRule type="duplicateValues" dxfId="116" priority="92"/>
  </conditionalFormatting>
  <conditionalFormatting sqref="N53:N90">
    <cfRule type="duplicateValues" dxfId="115" priority="91"/>
  </conditionalFormatting>
  <conditionalFormatting sqref="O53:O90">
    <cfRule type="duplicateValues" dxfId="114" priority="90"/>
  </conditionalFormatting>
  <conditionalFormatting sqref="P53:P90">
    <cfRule type="duplicateValues" dxfId="113" priority="89"/>
  </conditionalFormatting>
  <conditionalFormatting sqref="Q53:Q90">
    <cfRule type="duplicateValues" dxfId="112" priority="88"/>
  </conditionalFormatting>
  <conditionalFormatting sqref="C102:C135">
    <cfRule type="duplicateValues" dxfId="111" priority="87"/>
  </conditionalFormatting>
  <conditionalFormatting sqref="D102:D135">
    <cfRule type="duplicateValues" dxfId="110" priority="86"/>
  </conditionalFormatting>
  <conditionalFormatting sqref="E102:E135">
    <cfRule type="duplicateValues" dxfId="109" priority="85"/>
  </conditionalFormatting>
  <conditionalFormatting sqref="F102:F135">
    <cfRule type="duplicateValues" dxfId="108" priority="84"/>
  </conditionalFormatting>
  <conditionalFormatting sqref="G102:G135">
    <cfRule type="duplicateValues" dxfId="107" priority="83"/>
  </conditionalFormatting>
  <conditionalFormatting sqref="H102:H135">
    <cfRule type="duplicateValues" dxfId="106" priority="82"/>
  </conditionalFormatting>
  <conditionalFormatting sqref="I102:I135">
    <cfRule type="duplicateValues" dxfId="105" priority="81"/>
  </conditionalFormatting>
  <conditionalFormatting sqref="J102:J135">
    <cfRule type="duplicateValues" dxfId="104" priority="80"/>
  </conditionalFormatting>
  <conditionalFormatting sqref="K102:K135">
    <cfRule type="duplicateValues" dxfId="103" priority="79"/>
  </conditionalFormatting>
  <conditionalFormatting sqref="L102:L135">
    <cfRule type="duplicateValues" dxfId="102" priority="78"/>
  </conditionalFormatting>
  <conditionalFormatting sqref="M102:M135">
    <cfRule type="duplicateValues" dxfId="101" priority="77"/>
  </conditionalFormatting>
  <conditionalFormatting sqref="N102:N135">
    <cfRule type="duplicateValues" dxfId="100" priority="76"/>
  </conditionalFormatting>
  <conditionalFormatting sqref="O98:O135">
    <cfRule type="duplicateValues" dxfId="99" priority="75"/>
  </conditionalFormatting>
  <conditionalFormatting sqref="P98:P135">
    <cfRule type="duplicateValues" dxfId="98" priority="74"/>
  </conditionalFormatting>
  <conditionalFormatting sqref="Q98:Q135">
    <cfRule type="duplicateValues" dxfId="97" priority="73"/>
  </conditionalFormatting>
  <conditionalFormatting sqref="C143:C180">
    <cfRule type="duplicateValues" dxfId="96" priority="72"/>
  </conditionalFormatting>
  <conditionalFormatting sqref="D143:D180">
    <cfRule type="duplicateValues" dxfId="95" priority="71"/>
  </conditionalFormatting>
  <conditionalFormatting sqref="E143:E180">
    <cfRule type="duplicateValues" dxfId="94" priority="70"/>
  </conditionalFormatting>
  <conditionalFormatting sqref="F143:F180">
    <cfRule type="duplicateValues" dxfId="93" priority="69"/>
  </conditionalFormatting>
  <conditionalFormatting sqref="G143:G180">
    <cfRule type="duplicateValues" dxfId="92" priority="68"/>
  </conditionalFormatting>
  <conditionalFormatting sqref="H143:H180">
    <cfRule type="duplicateValues" dxfId="91" priority="67"/>
  </conditionalFormatting>
  <conditionalFormatting sqref="I143:I180">
    <cfRule type="duplicateValues" dxfId="90" priority="66"/>
  </conditionalFormatting>
  <conditionalFormatting sqref="J143:J180">
    <cfRule type="duplicateValues" dxfId="89" priority="65"/>
  </conditionalFormatting>
  <conditionalFormatting sqref="K143:K180">
    <cfRule type="duplicateValues" dxfId="88" priority="64"/>
  </conditionalFormatting>
  <conditionalFormatting sqref="L143:L180">
    <cfRule type="duplicateValues" dxfId="87" priority="63"/>
  </conditionalFormatting>
  <conditionalFormatting sqref="M143:M180">
    <cfRule type="duplicateValues" dxfId="86" priority="62"/>
  </conditionalFormatting>
  <conditionalFormatting sqref="N143:N180">
    <cfRule type="duplicateValues" dxfId="85" priority="61"/>
  </conditionalFormatting>
  <conditionalFormatting sqref="O143:O180">
    <cfRule type="duplicateValues" dxfId="84" priority="60"/>
  </conditionalFormatting>
  <conditionalFormatting sqref="P143:P180">
    <cfRule type="duplicateValues" dxfId="83" priority="59"/>
  </conditionalFormatting>
  <conditionalFormatting sqref="Q143:Q180">
    <cfRule type="duplicateValues" dxfId="82" priority="58"/>
  </conditionalFormatting>
  <conditionalFormatting sqref="H8:H14">
    <cfRule type="duplicateValues" dxfId="81" priority="45"/>
  </conditionalFormatting>
  <conditionalFormatting sqref="I8:I14">
    <cfRule type="duplicateValues" dxfId="80" priority="44"/>
  </conditionalFormatting>
  <conditionalFormatting sqref="F8:F11">
    <cfRule type="duplicateValues" dxfId="79" priority="43"/>
  </conditionalFormatting>
  <conditionalFormatting sqref="H8:H11">
    <cfRule type="duplicateValues" dxfId="78" priority="40"/>
  </conditionalFormatting>
  <conditionalFormatting sqref="G8:G11">
    <cfRule type="duplicateValues" dxfId="77" priority="39"/>
    <cfRule type="duplicateValues" dxfId="76" priority="41"/>
    <cfRule type="duplicateValues" dxfId="75" priority="42"/>
  </conditionalFormatting>
  <conditionalFormatting sqref="I8:I11">
    <cfRule type="duplicateValues" dxfId="74" priority="38"/>
  </conditionalFormatting>
  <conditionalFormatting sqref="K8:K11">
    <cfRule type="duplicateValues" dxfId="73" priority="35"/>
  </conditionalFormatting>
  <conditionalFormatting sqref="J8:J11">
    <cfRule type="duplicateValues" dxfId="72" priority="34"/>
    <cfRule type="duplicateValues" dxfId="71" priority="36"/>
    <cfRule type="duplicateValues" dxfId="70" priority="37"/>
  </conditionalFormatting>
  <conditionalFormatting sqref="F8:F11">
    <cfRule type="duplicateValues" dxfId="69" priority="33"/>
  </conditionalFormatting>
  <conditionalFormatting sqref="H8:H11">
    <cfRule type="duplicateValues" dxfId="68" priority="30"/>
  </conditionalFormatting>
  <conditionalFormatting sqref="G8:G11">
    <cfRule type="duplicateValues" dxfId="67" priority="29"/>
    <cfRule type="duplicateValues" dxfId="66" priority="31"/>
    <cfRule type="duplicateValues" dxfId="65" priority="32"/>
  </conditionalFormatting>
  <conditionalFormatting sqref="C98:C101">
    <cfRule type="duplicateValues" dxfId="64" priority="28"/>
  </conditionalFormatting>
  <conditionalFormatting sqref="D98:D101">
    <cfRule type="duplicateValues" dxfId="63" priority="27"/>
  </conditionalFormatting>
  <conditionalFormatting sqref="E98:E101">
    <cfRule type="duplicateValues" dxfId="62" priority="26"/>
  </conditionalFormatting>
  <conditionalFormatting sqref="F98:F101">
    <cfRule type="duplicateValues" dxfId="61" priority="25"/>
  </conditionalFormatting>
  <conditionalFormatting sqref="G98:G101">
    <cfRule type="duplicateValues" dxfId="60" priority="24"/>
  </conditionalFormatting>
  <conditionalFormatting sqref="H98:H101">
    <cfRule type="duplicateValues" dxfId="59" priority="23"/>
  </conditionalFormatting>
  <conditionalFormatting sqref="I98:I101">
    <cfRule type="duplicateValues" dxfId="58" priority="22"/>
  </conditionalFormatting>
  <conditionalFormatting sqref="J98:J101">
    <cfRule type="duplicateValues" dxfId="57" priority="21"/>
  </conditionalFormatting>
  <conditionalFormatting sqref="K98:K101">
    <cfRule type="duplicateValues" dxfId="56" priority="20"/>
  </conditionalFormatting>
  <conditionalFormatting sqref="L98:L101">
    <cfRule type="duplicateValues" dxfId="55" priority="19"/>
  </conditionalFormatting>
  <conditionalFormatting sqref="M98:M101">
    <cfRule type="duplicateValues" dxfId="54" priority="18"/>
  </conditionalFormatting>
  <conditionalFormatting sqref="N98:N101">
    <cfRule type="duplicateValues" dxfId="53" priority="17"/>
  </conditionalFormatting>
  <conditionalFormatting sqref="C98:N101">
    <cfRule type="expression" dxfId="52" priority="15">
      <formula>$BB$4=1</formula>
    </cfRule>
    <cfRule type="expression" dxfId="51" priority="16">
      <formula>$AY$4&lt;&gt;60</formula>
    </cfRule>
  </conditionalFormatting>
  <conditionalFormatting sqref="C98:Q135">
    <cfRule type="expression" dxfId="50" priority="12">
      <formula>$CQ$5=1</formula>
    </cfRule>
  </conditionalFormatting>
  <conditionalFormatting sqref="F8:F20">
    <cfRule type="duplicateValues" dxfId="49" priority="10"/>
  </conditionalFormatting>
  <conditionalFormatting sqref="H8:H20">
    <cfRule type="duplicateValues" dxfId="48" priority="7"/>
  </conditionalFormatting>
  <conditionalFormatting sqref="G8:G20">
    <cfRule type="duplicateValues" dxfId="47" priority="6"/>
    <cfRule type="duplicateValues" dxfId="46" priority="8"/>
    <cfRule type="duplicateValues" dxfId="45" priority="9"/>
  </conditionalFormatting>
  <conditionalFormatting sqref="I8:I20">
    <cfRule type="duplicateValues" dxfId="44" priority="5"/>
  </conditionalFormatting>
  <conditionalFormatting sqref="K8:K20">
    <cfRule type="duplicateValues" dxfId="43" priority="2"/>
  </conditionalFormatting>
  <conditionalFormatting sqref="J8:J20">
    <cfRule type="duplicateValues" dxfId="42" priority="1"/>
    <cfRule type="duplicateValues" dxfId="41" priority="3"/>
    <cfRule type="duplicateValues" dxfId="40" priority="4"/>
  </conditionalFormatting>
  <conditionalFormatting sqref="C8:Q45">
    <cfRule type="expression" dxfId="39" priority="14">
      <formula>$CQ$5=1</formula>
    </cfRule>
    <cfRule type="expression" dxfId="38" priority="52">
      <formula>$BB$4=1</formula>
    </cfRule>
    <cfRule type="expression" dxfId="37" priority="56">
      <formula>$AY$4&lt;&gt;60</formula>
    </cfRule>
  </conditionalFormatting>
  <conditionalFormatting sqref="D8:D45">
    <cfRule type="duplicateValues" dxfId="36" priority="103"/>
    <cfRule type="duplicateValues" dxfId="35" priority="119"/>
    <cfRule type="duplicateValues" dxfId="34" priority="120"/>
  </conditionalFormatting>
  <conditionalFormatting sqref="C53:Q90">
    <cfRule type="expression" dxfId="33" priority="13">
      <formula>$CQ$5=1</formula>
    </cfRule>
    <cfRule type="expression" dxfId="32" priority="51">
      <formula>$BB$4=1</formula>
    </cfRule>
    <cfRule type="expression" dxfId="31" priority="55">
      <formula>$AY$4&lt;&gt;60</formula>
    </cfRule>
  </conditionalFormatting>
  <conditionalFormatting sqref="C143:Q180">
    <cfRule type="expression" dxfId="30" priority="11">
      <formula>$CQ$5=1</formula>
    </cfRule>
    <cfRule type="expression" dxfId="29" priority="50">
      <formula>$BB$4=1</formula>
    </cfRule>
    <cfRule type="expression" dxfId="28" priority="53">
      <formula>$AY$4&lt;&gt;60</formula>
    </cfRule>
  </conditionalFormatting>
  <conditionalFormatting sqref="C102:Q135 O98:Q101">
    <cfRule type="expression" dxfId="27" priority="49">
      <formula>$BB$4=1</formula>
    </cfRule>
    <cfRule type="expression" dxfId="26" priority="54">
      <formula>$AY$4&lt;&gt;60</formula>
    </cfRule>
  </conditionalFormatting>
  <dataValidations count="2">
    <dataValidation type="whole" operator="lessThan" allowBlank="1" showErrorMessage="1" errorTitle="Felaktigt segelnummer!" sqref="C53:Q92 C143:Q181 C98:Q137 C8:Q45 C47:Q47">
      <formula1>10000</formula1>
    </dataValidation>
    <dataValidation operator="lessThan" allowBlank="1" showErrorMessage="1" errorTitle="Felaktigt segelnummer!" sqref="C46:Q46"/>
  </dataValidations>
  <printOptions horizontalCentered="1" verticalCentered="1" gridLines="1" gridLinesSet="0"/>
  <pageMargins left="0" right="0" top="0.59055118110236227" bottom="0" header="0" footer="0"/>
  <pageSetup paperSize="9" scale="94" orientation="portrait" r:id="rId1"/>
  <headerFooter scaleWithDoc="0" alignWithMargins="0"/>
  <ignoredErrors>
    <ignoredError sqref="AY7 BG7:BM7 BG52:BH52 AY52 U5:U6"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Resultatlista">
    <tabColor theme="0"/>
  </sheetPr>
  <dimension ref="A1:HY141"/>
  <sheetViews>
    <sheetView zoomScale="90" zoomScaleNormal="90" workbookViewId="0"/>
  </sheetViews>
  <sheetFormatPr defaultColWidth="8.90625" defaultRowHeight="15.6" x14ac:dyDescent="0.3"/>
  <cols>
    <col min="1" max="1" width="3.81640625" style="1" customWidth="1"/>
    <col min="2" max="2" width="3.7265625" style="1" customWidth="1"/>
    <col min="3" max="3" width="14.54296875" style="1" customWidth="1"/>
    <col min="4" max="4" width="3.6328125" style="1" hidden="1" customWidth="1"/>
    <col min="5" max="5" width="3.81640625" style="1" customWidth="1"/>
    <col min="6" max="6" width="4.08984375" style="89" customWidth="1"/>
    <col min="7" max="7" width="8.36328125" style="1" customWidth="1"/>
    <col min="8" max="8" width="5.54296875" style="1" customWidth="1"/>
    <col min="9" max="9" width="5.81640625" style="1" customWidth="1"/>
    <col min="10" max="69" width="4.81640625" style="1" customWidth="1"/>
    <col min="70" max="72" width="7" style="47" customWidth="1"/>
    <col min="73" max="73" width="7" style="62" hidden="1" customWidth="1"/>
    <col min="74" max="74" width="5" style="61" hidden="1" customWidth="1"/>
    <col min="75" max="137" width="4.81640625" style="61" hidden="1" customWidth="1"/>
    <col min="138" max="206" width="8.90625" style="62" hidden="1" customWidth="1"/>
    <col min="207" max="207" width="8.90625" style="1" customWidth="1"/>
    <col min="208" max="16384" width="8.90625" style="1"/>
  </cols>
  <sheetData>
    <row r="1" spans="1:206" ht="21" customHeight="1" thickBot="1" x14ac:dyDescent="0.35">
      <c r="A1" s="1" t="s">
        <v>55</v>
      </c>
      <c r="C1" s="4" t="s">
        <v>16</v>
      </c>
      <c r="D1" s="4"/>
      <c r="L1" s="4">
        <f>SUM(SUM(BV4:EC4)-(ROUNDDOWN(Arrangörslista!U5/3,1))*($BW$3+1))</f>
        <v>0</v>
      </c>
      <c r="M1" s="4"/>
      <c r="N1" s="4">
        <f>SUM(BV4:EC4)</f>
        <v>0</v>
      </c>
      <c r="O1" s="4">
        <f>ROUNDDOWN(Arrangörslista!U5/3,1)</f>
        <v>0</v>
      </c>
      <c r="P1" s="4">
        <f>$BW$3+1</f>
        <v>1</v>
      </c>
      <c r="GV1" s="65" t="s">
        <v>56</v>
      </c>
    </row>
    <row r="2" spans="1:206" ht="42" customHeight="1" thickBot="1" x14ac:dyDescent="0.7">
      <c r="B2" s="206" t="s">
        <v>29</v>
      </c>
      <c r="C2" s="205"/>
      <c r="D2" s="98"/>
      <c r="E2" s="99"/>
      <c r="F2" s="100"/>
      <c r="G2" s="99"/>
      <c r="H2" s="99"/>
      <c r="I2" s="207"/>
      <c r="J2" s="208" t="str">
        <f>IF(ISBLANK(Deltagarlista!P7),"",Deltagarlista!P7)</f>
        <v/>
      </c>
      <c r="K2" s="212"/>
      <c r="L2" s="212"/>
      <c r="M2" s="212"/>
      <c r="N2" s="210"/>
      <c r="O2" s="210"/>
      <c r="P2" s="210" t="str">
        <f>IF(Arrangörslista!$U$5&lt;13,CONCATENATE(IF(ISBLANK(Deltagarlista!P11),"  ",Deltagarlista!P11),"  ",IF(ISBLANK(Deltagarlista!P13),"  ",Deltagarlista!P13)),"")</f>
        <v xml:space="preserve">      </v>
      </c>
      <c r="Q2" s="210"/>
      <c r="R2" s="210"/>
      <c r="S2" s="210"/>
      <c r="T2" s="210" t="str">
        <f>IF(AND(Arrangörslista!$U$5&gt;13,Arrangörslista!$U$5&lt;17),CONCATENATE(IF(ISBLANK(Deltagarlista!P11),"  ",Deltagarlista!P11),"  ",IF(ISBLANK(Deltagarlista!P13),"  ",Deltagarlista!P13)),"")</f>
        <v/>
      </c>
      <c r="U2" s="210"/>
      <c r="V2" s="210"/>
      <c r="W2" s="210"/>
      <c r="X2" s="210"/>
      <c r="Y2" s="210"/>
      <c r="Z2" s="210" t="str">
        <f>IF(AND(Arrangörslista!$U$5&gt;16,Arrangörslista!$U$5&lt;24),CONCATENATE(IF(ISBLANK(Deltagarlista!P11),"  ",Deltagarlista!P11),"  ",IF(ISBLANK(Deltagarlista!P13),"  ",Deltagarlista!P13)),"")</f>
        <v/>
      </c>
      <c r="AA2" s="212"/>
      <c r="AB2" s="213"/>
      <c r="AC2" s="213"/>
      <c r="AD2" s="213"/>
      <c r="AE2" s="259"/>
      <c r="AF2" s="259"/>
      <c r="AG2" s="259"/>
      <c r="AH2" s="211" t="str">
        <f>IF(Arrangörslista!$U$5&gt;24,CONCATENATE(IF(ISBLANK(Deltagarlista!P11),"  ",Deltagarlista!P11),"  ",IF(ISBLANK(Deltagarlista!P13),"  ",Deltagarlista!P13)),"")</f>
        <v/>
      </c>
      <c r="AI2" s="211"/>
      <c r="AJ2" s="211"/>
      <c r="AK2" s="211"/>
      <c r="AL2" s="211"/>
      <c r="AM2" s="211"/>
      <c r="AN2" s="211"/>
      <c r="AO2" s="211"/>
      <c r="AP2" s="211"/>
      <c r="AQ2" s="211"/>
      <c r="AR2" s="211"/>
      <c r="AS2" s="211"/>
      <c r="AT2" s="211"/>
      <c r="AU2" s="211"/>
      <c r="AV2" s="211"/>
      <c r="AW2" s="211"/>
      <c r="AX2" s="211"/>
      <c r="AY2" s="211"/>
      <c r="AZ2" s="211"/>
      <c r="BA2" s="211"/>
      <c r="BB2" s="211"/>
      <c r="BC2" s="211"/>
      <c r="BD2" s="211"/>
      <c r="BE2" s="211"/>
      <c r="BF2" s="211"/>
      <c r="BG2" s="211"/>
      <c r="BH2" s="211"/>
      <c r="BI2" s="211"/>
      <c r="BJ2" s="211"/>
      <c r="BK2" s="211"/>
      <c r="BL2" s="119"/>
      <c r="BM2" s="119"/>
      <c r="BN2" s="119"/>
      <c r="BO2" s="119"/>
      <c r="BP2" s="119"/>
      <c r="BQ2" s="84"/>
      <c r="BR2" s="48"/>
      <c r="BS2" s="48"/>
      <c r="BW2" s="61" t="s">
        <v>35</v>
      </c>
      <c r="GV2" s="65" t="s">
        <v>53</v>
      </c>
      <c r="GX2" s="62">
        <f>IF(Arrangörslista!$U$5=1,Arrangörslista!C6,IF(Arrangörslista!$U$5=2,Arrangörslista!D6,IF(Arrangörslista!$U$5=3,Arrangörslista!E6,IF(Arrangörslista!$U$5=4,Arrangörslista!F6,IF(Arrangörslista!$U$5=5,Arrangörslista!G6,IF(Arrangörslista!$U$5=6,Arrangörslista!H6,IF(Arrangörslista!$U$5=7,Arrangörslista!I6,IF(Arrangörslista!$U$5=8,Arrangörslista!J6,IF(Arrangörslista!$U$5=9,Arrangörslista!K6,IF(Arrangörslista!$U$5=10,Arrangörslista!L6,IF(Arrangörslista!$U$5=11,Arrangörslista!M6,IF(Arrangörslista!$U$5=12,Arrangörslista!N6,IF(Arrangörslista!$U$5=13,Arrangörslista!O6,IF(Arrangörslista!$U$5=14,Arrangörslista!P6,IF(Arrangörslista!$U$5=15,Arrangörslista!Q6,IF(Arrangörslista!$U$5=16,Arrangörslista!C51,IF(Arrangörslista!$U$5=17,Arrangörslista!D51,IF(Arrangörslista!$U$5=18,Arrangörslista!E51,IF(Arrangörslista!$U$5=19,Arrangörslista!F51,IF(Arrangörslista!$U$5=20,Arrangörslista!G51,IF(Arrangörslista!$U$5=21,Arrangörslista!H51,IF(Arrangörslista!$U$5=22,Arrangörslista!I51,IF(Arrangörslista!$U$5=23,Arrangörslista!J51, IF(Arrangörslista!$U$5=24,Arrangörslista!K51, IF(Arrangörslista!$U$5=25,Arrangörslista!L51, IF(Arrangörslista!$U$5=26,Arrangörslista!M51, IF(Arrangörslista!$U$5=27,Arrangörslista!N51, IF(Arrangörslista!$U$5=28,Arrangörslista!O51, IF(Arrangörslista!$U$5=29,Arrangörslista!P51, IF(Arrangörslista!$U$5=30,Arrangörslista!Q51, IF(Arrangörslista!$U$5=31,Arrangörslista!C96, IF(Arrangörslista!$U$5=32,Arrangörslista!D96, IF(Arrangörslista!$U$5=33,Arrangörslista!E96, IF(Arrangörslista!$U$5=34,Arrangörslista!F96, IF(Arrangörslista!$U$5=35,Arrangörslista!G96, IF(Arrangörslista!$U$5=36,Arrangörslista!H96, IF(Arrangörslista!$U$5=37,Arrangörslista!I96, IF(Arrangörslista!$U$5=38,Arrangörslista!J96, IF(Arrangörslista!$U$5=39,Arrangörslista!K96, IF(Arrangörslista!$U$5=40,Arrangörslista!L96, IF(Arrangörslista!$U$5=41,Arrangörslista!M96, IF(Arrangörslista!$U$5=42,Arrangörslista!N96, IF(Arrangörslista!$U$5=43,Arrangörslista!O96, IF(Arrangörslista!$U$5=44,Arrangörslista!P96, IF(Arrangörslista!$U$5=45,Arrangörslista!Q96, IF(Arrangörslista!$U$5=46,Arrangörslista!C141, IF(Arrangörslista!$U$5=47,Arrangörslista!D141, IF(Arrangörslista!$U$5=48,Arrangörslista!E141, IF(Arrangörslista!$U$5=49,Arrangörslista!F141, IF(Arrangörslista!$U$5=50,Arrangörslista!G141, IF(Arrangörslista!$U$5=51,Arrangörslista!H141, IF(Arrangörslista!$U$5=52,Arrangörslista!I141, IF(Arrangörslista!$U$5=53,Arrangörslista!J141, IF(Arrangörslista!$U$5=54,Arrangörslista!K141, IF(Arrangörslista!$U$5=55,Arrangörslista!L141, IF(Arrangörslista!$U$5=56,Arrangörslista!M141, IF(Arrangörslista!$U$5=57,Arrangörslista!N141, IF(Arrangörslista!$U$5=58,Arrangörslista!O141, IF(Arrangörslista!$U$5=59,Arrangörslista!P141, IF(Arrangörslista!$U$5=60,Arrangörslista!Q141,0))))))))))))))))))))))))))))))))))))))))))))))))))))))))))))</f>
        <v>0</v>
      </c>
    </row>
    <row r="3" spans="1:206" ht="78" customHeight="1" thickBot="1" x14ac:dyDescent="0.35">
      <c r="B3" s="16" t="s">
        <v>44</v>
      </c>
      <c r="C3" s="14" t="s">
        <v>1</v>
      </c>
      <c r="D3" s="105" t="s">
        <v>88</v>
      </c>
      <c r="E3" s="11" t="s">
        <v>11</v>
      </c>
      <c r="F3" s="11" t="s">
        <v>4</v>
      </c>
      <c r="G3" s="15" t="s">
        <v>3</v>
      </c>
      <c r="H3" s="6" t="s">
        <v>13</v>
      </c>
      <c r="I3" s="6" t="s">
        <v>14</v>
      </c>
      <c r="J3" s="55" t="str">
        <f>IF(Arrangörslista!$U$5&gt;0,1,"")</f>
        <v/>
      </c>
      <c r="K3" s="55" t="str">
        <f>IF(Deltagarlista!$K$3=4,IF(Arrangörslista!$U$5&gt;2,2,""),IF(Arrangörslista!$U$5&gt;1,2,""))</f>
        <v/>
      </c>
      <c r="L3" s="55" t="str">
        <f>IF(Deltagarlista!$K$3=4,IF(Arrangörslista!$U$5&gt;4,3,""),IF(Arrangörslista!$U$5&gt;2,3,""))</f>
        <v/>
      </c>
      <c r="M3" s="55" t="str">
        <f>IF(Deltagarlista!$K$3=4,IF(Arrangörslista!$U$5&gt;6,4,""),IF(Arrangörslista!$U$5&gt;3,4,""))</f>
        <v/>
      </c>
      <c r="N3" s="55" t="str">
        <f>IF(Deltagarlista!$K$3=4,IF(Arrangörslista!$U$5&gt;8,5,""),IF(Arrangörslista!$U$5&gt;4,5,""))</f>
        <v/>
      </c>
      <c r="O3" s="55" t="str">
        <f>IF(Deltagarlista!$K$3=4,IF(Arrangörslista!$U$5&gt;10,6,""),IF(Arrangörslista!$U$5&gt;5,6,""))</f>
        <v/>
      </c>
      <c r="P3" s="55" t="str">
        <f>IF(Deltagarlista!$K$3=4,IF(Arrangörslista!$U$5&gt;12,7,""),IF(Arrangörslista!$U$5&gt;6,7,""))</f>
        <v/>
      </c>
      <c r="Q3" s="55" t="str">
        <f>IF(Deltagarlista!$K$3=4,IF(Arrangörslista!$U$5&gt;14,8,""),IF(Arrangörslista!$U$5&gt;7,8,""))</f>
        <v/>
      </c>
      <c r="R3" s="55" t="str">
        <f>IF(Deltagarlista!$K$3=4,IF(Arrangörslista!$U$5&gt;16,9,""),IF(Arrangörslista!$U$5&gt;8,9,""))</f>
        <v/>
      </c>
      <c r="S3" s="55" t="str">
        <f>IF(Deltagarlista!$K$3=4,IF(Arrangörslista!$U$5&gt;18,10,""),IF(Arrangörslista!$U$5&gt;9,10,""))</f>
        <v/>
      </c>
      <c r="T3" s="55" t="str">
        <f>IF(Deltagarlista!$K$3=4,IF(Arrangörslista!$U$5&gt;20,11,""),IF(Arrangörslista!$U$5&gt;10,11,""))</f>
        <v/>
      </c>
      <c r="U3" s="55" t="str">
        <f>IF(Deltagarlista!$K$3=4,IF(Arrangörslista!$U$5&gt;22,12,""),IF(Arrangörslista!$U$5&gt;11,12,""))</f>
        <v/>
      </c>
      <c r="V3" s="55" t="str">
        <f>IF(Deltagarlista!$K$3=4,IF(Arrangörslista!$U$5&gt;24,13,""),IF(Arrangörslista!$U$5&gt;12,13,""))</f>
        <v/>
      </c>
      <c r="W3" s="55" t="str">
        <f>IF(Deltagarlista!$K$3=4,IF(Arrangörslista!$U$5&gt;26,14,""),IF(Arrangörslista!$U$5&gt;13,14,""))</f>
        <v/>
      </c>
      <c r="X3" s="55" t="str">
        <f>IF(Deltagarlista!$K$3=4,IF(Arrangörslista!$U$5&gt;28,15,""),IF(Arrangörslista!$U$5&gt;14,15,""))</f>
        <v/>
      </c>
      <c r="Y3" s="55" t="str">
        <f>IF(Deltagarlista!$K$3=4,IF(Arrangörslista!$U$5&gt;30,16,""),IF(Arrangörslista!$U$5&gt;15,16,""))</f>
        <v/>
      </c>
      <c r="Z3" s="55" t="str">
        <f>IF(Deltagarlista!$K$3=4,IF(Arrangörslista!$U$5&gt;32,17,""),IF(Arrangörslista!$U$5&gt;16,17,""))</f>
        <v/>
      </c>
      <c r="AA3" s="55" t="str">
        <f>IF(Deltagarlista!$K$3=4,IF(Arrangörslista!$U$5&gt;34,18,""),IF(Arrangörslista!$U$5&gt;17,18,""))</f>
        <v/>
      </c>
      <c r="AB3" s="55" t="str">
        <f>IF(Deltagarlista!$K$3=4,IF(Arrangörslista!$U$5&gt;36,19,""),IF(Arrangörslista!$U$5&gt;18,19,""))</f>
        <v/>
      </c>
      <c r="AC3" s="55" t="str">
        <f>IF(Deltagarlista!$K$3=4,IF(Arrangörslista!$U$5&gt;38,20,""),IF(Arrangörslista!$U$5&gt;19,20,""))</f>
        <v/>
      </c>
      <c r="AD3" s="55" t="str">
        <f>IF(Deltagarlista!$K$3=4,IF(Arrangörslista!$U$5&gt;40,21,""),IF(Arrangörslista!$U$5&gt;20,21,""))</f>
        <v/>
      </c>
      <c r="AE3" s="55" t="str">
        <f>IF(Deltagarlista!$K$3=4,IF(Arrangörslista!$U$5&gt;42,22,""),IF(Arrangörslista!$U$5&gt;21,22,""))</f>
        <v/>
      </c>
      <c r="AF3" s="55" t="str">
        <f>IF(Deltagarlista!$K$3=4,IF(Arrangörslista!$U$5&gt;44,23,""),IF(Arrangörslista!$U$5&gt;22,23,""))</f>
        <v/>
      </c>
      <c r="AG3" s="55" t="str">
        <f>IF(Deltagarlista!$K$3=4,IF(Arrangörslista!$U$5&gt;46,24,""),IF(Arrangörslista!$U$5&gt;23,24,""))</f>
        <v/>
      </c>
      <c r="AH3" s="55" t="str">
        <f>IF(Deltagarlista!$K$3=4,IF(Arrangörslista!$U$5&gt;48,25,""),IF(Arrangörslista!$U$5&gt;24,25,""))</f>
        <v/>
      </c>
      <c r="AI3" s="55" t="str">
        <f>IF(Deltagarlista!$K$3=4,IF(Arrangörslista!$U$5&gt;50,26,""),IF(Arrangörslista!$U$5&gt;25,26,""))</f>
        <v/>
      </c>
      <c r="AJ3" s="55" t="str">
        <f>IF(Deltagarlista!$K$3=4,IF(Arrangörslista!$U$5&gt;52,27,""),IF(Arrangörslista!$U$5&gt;26,27,""))</f>
        <v/>
      </c>
      <c r="AK3" s="55" t="str">
        <f>IF(Deltagarlista!$K$3=4,IF(Arrangörslista!$U$5&gt;54,28,""),IF(Arrangörslista!$U$5&gt;27,28,""))</f>
        <v/>
      </c>
      <c r="AL3" s="55" t="str">
        <f>IF(Deltagarlista!$K$3=4,IF(Arrangörslista!$U$5&gt;56,29,""),IF(Arrangörslista!$U$5&gt;28,29,""))</f>
        <v/>
      </c>
      <c r="AM3" s="55" t="str">
        <f>IF(Deltagarlista!$K$3=4,IF(Arrangörslista!$U$5&gt;58,30,""),IF(Arrangörslista!$U$5&gt;29,30,""))</f>
        <v/>
      </c>
      <c r="AN3" s="55" t="str">
        <f>IF(Deltagarlista!$K$3&lt;&gt;4,IF(Arrangörslista!$U$5&gt;30,31,""),"")</f>
        <v/>
      </c>
      <c r="AO3" s="55" t="str">
        <f>IF(Deltagarlista!$K$3&lt;&gt;4,IF(Arrangörslista!$U$5&gt;31,32,""),"")</f>
        <v/>
      </c>
      <c r="AP3" s="55" t="str">
        <f>IF(Deltagarlista!$K$3&lt;&gt;4,IF(Arrangörslista!$U$5&gt;32,33,""),"")</f>
        <v/>
      </c>
      <c r="AQ3" s="55" t="str">
        <f>IF(Deltagarlista!$K$3&lt;&gt;4,IF(Arrangörslista!$U$5&gt;33,34,""),"")</f>
        <v/>
      </c>
      <c r="AR3" s="55" t="str">
        <f>IF(Deltagarlista!$K$3&lt;&gt;4,IF(Arrangörslista!$U$5&gt;34,35,""),"")</f>
        <v/>
      </c>
      <c r="AS3" s="55" t="str">
        <f>IF(Deltagarlista!$K$3&lt;&gt;4,IF(Arrangörslista!$U$5&gt;35,36,""),"")</f>
        <v/>
      </c>
      <c r="AT3" s="55" t="str">
        <f>IF(Deltagarlista!$K$3&lt;&gt;4,IF(Arrangörslista!$U$5&gt;36,37,""),"")</f>
        <v/>
      </c>
      <c r="AU3" s="55" t="str">
        <f>IF(Deltagarlista!$K$3&lt;&gt;4,IF(Arrangörslista!$U$5&gt;37,38,""),"")</f>
        <v/>
      </c>
      <c r="AV3" s="55" t="str">
        <f>IF(Deltagarlista!$K$3&lt;&gt;4,IF(Arrangörslista!$U$5&gt;38,39,""),"")</f>
        <v/>
      </c>
      <c r="AW3" s="55" t="str">
        <f>IF(Deltagarlista!$K$3&lt;&gt;4,IF(Arrangörslista!$U$5&gt;39,40,""),"")</f>
        <v/>
      </c>
      <c r="AX3" s="55" t="str">
        <f>IF(Deltagarlista!$K$3&lt;&gt;4,IF(Arrangörslista!$U$5&gt;40,41,""),"")</f>
        <v/>
      </c>
      <c r="AY3" s="55" t="str">
        <f>IF(Deltagarlista!$K$3&lt;&gt;4,IF(Arrangörslista!$U$5&gt;41,42,""),"")</f>
        <v/>
      </c>
      <c r="AZ3" s="55" t="str">
        <f>IF(Deltagarlista!$K$3&lt;&gt;4,IF(Arrangörslista!$U$5&gt;42,43,""),"")</f>
        <v/>
      </c>
      <c r="BA3" s="55" t="str">
        <f>IF(Deltagarlista!$K$3&lt;&gt;4,IF(Arrangörslista!$U$5&gt;43,44,""),"")</f>
        <v/>
      </c>
      <c r="BB3" s="55" t="str">
        <f>IF(Deltagarlista!$K$3&lt;&gt;4,IF(Arrangörslista!$U$5&gt;44,45,""),"")</f>
        <v/>
      </c>
      <c r="BC3" s="55" t="str">
        <f>IF(Deltagarlista!$K$3&lt;&gt;4,IF(Arrangörslista!$U$5&gt;45,46,""),"")</f>
        <v/>
      </c>
      <c r="BD3" s="55" t="str">
        <f>IF(Deltagarlista!$K$3&lt;&gt;4,IF(Arrangörslista!$U$5&gt;46,47,""),"")</f>
        <v/>
      </c>
      <c r="BE3" s="55" t="str">
        <f>IF(Deltagarlista!$K$3&lt;&gt;4,IF(Arrangörslista!$U$5&gt;47,48,""),"")</f>
        <v/>
      </c>
      <c r="BF3" s="55" t="str">
        <f>IF(Deltagarlista!$K$3&lt;&gt;4,IF(Arrangörslista!$U$5&gt;48,49,""),"")</f>
        <v/>
      </c>
      <c r="BG3" s="55" t="str">
        <f>IF(Deltagarlista!$K$3&lt;&gt;4,IF(Arrangörslista!$U$5&gt;49,50,""),"")</f>
        <v/>
      </c>
      <c r="BH3" s="55" t="str">
        <f>IF(Deltagarlista!$K$3&lt;&gt;4,IF(Arrangörslista!$U$5&gt;50,51,""),"")</f>
        <v/>
      </c>
      <c r="BI3" s="55" t="str">
        <f>IF(Deltagarlista!$K$3&lt;&gt;4,IF(Arrangörslista!$U$5&gt;51,52,""),"")</f>
        <v/>
      </c>
      <c r="BJ3" s="55" t="str">
        <f>IF(Deltagarlista!$K$3&lt;&gt;4,IF(Arrangörslista!$U$5&gt;52,53,""),"")</f>
        <v/>
      </c>
      <c r="BK3" s="55" t="str">
        <f>IF(Deltagarlista!$K$3&lt;&gt;4,IF(Arrangörslista!$U$5&gt;53,54,""),"")</f>
        <v/>
      </c>
      <c r="BL3" s="55" t="str">
        <f>IF(Deltagarlista!$K$3&lt;&gt;4,IF(Arrangörslista!$U$5&gt;54,55,""),"")</f>
        <v/>
      </c>
      <c r="BM3" s="55" t="str">
        <f>IF(Deltagarlista!$K$3&lt;&gt;4,IF(Arrangörslista!$U$5&gt;55,56,""),"")</f>
        <v/>
      </c>
      <c r="BN3" s="55" t="str">
        <f>IF(Deltagarlista!$K$3&lt;&gt;4,IF(Arrangörslista!$U$5&gt;56,57,""),"")</f>
        <v/>
      </c>
      <c r="BO3" s="55" t="str">
        <f>IF(Deltagarlista!$K$3&lt;&gt;4,IF(Arrangörslista!$U$5&gt;57,58,""),"")</f>
        <v/>
      </c>
      <c r="BP3" s="55" t="str">
        <f>IF(Deltagarlista!$K$3&lt;&gt;4,IF(Arrangörslista!$U$5&gt;58,59,""),"")</f>
        <v/>
      </c>
      <c r="BQ3" s="22" t="str">
        <f>IF(Deltagarlista!$K$3&lt;&gt;4,IF(Arrangörslista!$U$5&gt;59,60,""),"")</f>
        <v/>
      </c>
      <c r="BR3" s="49"/>
      <c r="BS3" s="49"/>
      <c r="BT3" s="50"/>
      <c r="BU3" s="61" t="s">
        <v>73</v>
      </c>
      <c r="BW3" s="68">
        <f>SUM(EG4:EG63)</f>
        <v>0</v>
      </c>
      <c r="CA3" s="61" t="s">
        <v>36</v>
      </c>
      <c r="EE3" s="61" t="s">
        <v>37</v>
      </c>
      <c r="EG3" s="61" t="s">
        <v>38</v>
      </c>
      <c r="EH3" s="61"/>
      <c r="EI3" s="61"/>
      <c r="EK3" s="62" t="s">
        <v>32</v>
      </c>
      <c r="EL3" s="62" t="s">
        <v>33</v>
      </c>
      <c r="EM3" s="62" t="s">
        <v>34</v>
      </c>
      <c r="GT3" s="62" t="s">
        <v>43</v>
      </c>
      <c r="GV3" s="65" t="s">
        <v>7</v>
      </c>
      <c r="GW3" s="62" t="s">
        <v>54</v>
      </c>
    </row>
    <row r="4" spans="1:206" x14ac:dyDescent="0.3">
      <c r="B4" s="22" t="str">
        <f>IF($BW$3&gt;0,1,"")</f>
        <v/>
      </c>
      <c r="C4" s="91" t="str">
        <f>IF(ISBLANK(Deltagarlista!C5),"",Deltagarlista!C5)</f>
        <v/>
      </c>
      <c r="D4" s="107" t="str">
        <f>CONCATENATE(IF(AND(Deltagarlista!H5="GM",Deltagarlista!$S$14=TRUE),"GM   ",""), IF(OR(Deltagarlista!$K$3=4,Deltagarlista!$K$3=2),Deltagarlista!I5,""))</f>
        <v/>
      </c>
      <c r="E4" s="7" t="str">
        <f>IF(ISBLANK(Deltagarlista!D5),"",Deltagarlista!D5)</f>
        <v/>
      </c>
      <c r="F4" s="7" t="str">
        <f>IF(ISBLANK(Deltagarlista!E5),"",Deltagarlista!E5)</f>
        <v/>
      </c>
      <c r="G4" s="94" t="str">
        <f>IF(ISBLANK(Deltagarlista!F5),"",Deltagarlista!F5)</f>
        <v/>
      </c>
      <c r="H4" s="12" t="str">
        <f>IF(ISBLANK(Deltagarlista!C5),"",BU4-EE4)</f>
        <v/>
      </c>
      <c r="I4" s="76" t="str">
        <f>IF(ISBLANK(Deltagarlista!C5),"",IF(AND(Deltagarlista!$K$3=2,Deltagarlista!$L$3&lt;37),SUM(SUM(BV4:EC4)-(ROUNDDOWN(Arrangörslista!$U$5/3,1))*($BW$3+1)),SUM(BV4:EC4)))</f>
        <v/>
      </c>
      <c r="J4" s="77" t="str">
        <f>IF(Deltagarlista!$K$3=4,IF(ISBLANK(Deltagarlista!$C5),"",IF(ISBLANK(Arrangörslista!C$8),"",IFERROR(VLOOKUP($F4,Arrangörslista!C$8:$AG$45,16,FALSE),IF(ISBLANK(Deltagarlista!$C5),"",IF(ISBLANK(Arrangörslista!C$8),"",IFERROR(VLOOKUP($F4,Arrangörslista!D$8:$AG$45,16,FALSE),"DNS")))))),IF(Deltagarlista!$K$3=2,
IF(ISBLANK(Deltagarlista!$C5),"",IF(ISBLANK(Arrangörslista!C$8),"",IF($GV4=J$64," DNS ",IFERROR(VLOOKUP($F4,Arrangörslista!C$8:$AG$45,16,FALSE),"DNS")))),IF(ISBLANK(Deltagarlista!$C5),"",IF(ISBLANK(Arrangörslista!C$8),"",IFERROR(VLOOKUP($F4,Arrangörslista!C$8:$AG$45,16,FALSE),"DNS")))))</f>
        <v/>
      </c>
      <c r="K4" s="56" t="str">
        <f>IF(Deltagarlista!$K$3=4,IF(ISBLANK(Deltagarlista!$C5),"",IF(ISBLANK(Arrangörslista!E$8),"",IFERROR(VLOOKUP($F4,Arrangörslista!E$8:$AG$45,16,FALSE),IF(ISBLANK(Deltagarlista!$C5),"",IF(ISBLANK(Arrangörslista!E$8),"",IFERROR(VLOOKUP($F4,Arrangörslista!F$8:$AG$45,16,FALSE),"DNS")))))),IF(Deltagarlista!$K$3=2,
IF(ISBLANK(Deltagarlista!$C5),"",IF(ISBLANK(Arrangörslista!D$8),"",IF($GV4=K$64," DNS ",IFERROR(VLOOKUP($F4,Arrangörslista!D$8:$AG$45,16,FALSE),"DNS")))),IF(ISBLANK(Deltagarlista!$C5),"",IF(ISBLANK(Arrangörslista!D$8),"",IFERROR(VLOOKUP($F4,Arrangörslista!D$8:$AG$45,16,FALSE),"DNS")))))</f>
        <v/>
      </c>
      <c r="L4" s="56" t="str">
        <f>IF(Deltagarlista!$K$3=4,IF(ISBLANK(Deltagarlista!$C5),"",IF(ISBLANK(Arrangörslista!G$8),"",IFERROR(VLOOKUP($F4,Arrangörslista!G$8:$AG$45,16,FALSE),IF(ISBLANK(Deltagarlista!$C5),"",IF(ISBLANK(Arrangörslista!G$8),"",IFERROR(VLOOKUP($F4,Arrangörslista!H$8:$AG$45,16,FALSE),"DNS")))))),IF(Deltagarlista!$K$3=2,
IF(ISBLANK(Deltagarlista!$C5),"",IF(ISBLANK(Arrangörslista!E$8),"",IF($GV4=L$64," DNS ",IFERROR(VLOOKUP($F4,Arrangörslista!E$8:$AG$45,16,FALSE),"DNS")))),IF(ISBLANK(Deltagarlista!$C5),"",IF(ISBLANK(Arrangörslista!E$8),"",IFERROR(VLOOKUP($F4,Arrangörslista!E$8:$AG$45,16,FALSE),"DNS")))))</f>
        <v/>
      </c>
      <c r="M4" s="56" t="str">
        <f>IF(Deltagarlista!$K$3=4,IF(ISBLANK(Deltagarlista!$C5),"",IF(ISBLANK(Arrangörslista!I$8),"",IFERROR(VLOOKUP($F4,Arrangörslista!I$8:$AG$45,16,FALSE),IF(ISBLANK(Deltagarlista!$C5),"",IF(ISBLANK(Arrangörslista!I$8),"",IFERROR(VLOOKUP($F4,Arrangörslista!J$8:$AG$45,16,FALSE),"DNS")))))),IF(Deltagarlista!$K$3=2,
IF(ISBLANK(Deltagarlista!$C5),"",IF(ISBLANK(Arrangörslista!F$8),"",IF($GV4=M$64," DNS ",IFERROR(VLOOKUP($F4,Arrangörslista!F$8:$AG$45,16,FALSE),"DNS")))),IF(ISBLANK(Deltagarlista!$C5),"",IF(ISBLANK(Arrangörslista!F$8),"",IFERROR(VLOOKUP($F4,Arrangörslista!F$8:$AG$45,16,FALSE),"DNS")))))</f>
        <v/>
      </c>
      <c r="N4" s="56" t="str">
        <f>IF(Deltagarlista!$K$3=4,IF(ISBLANK(Deltagarlista!$C5),"",IF(ISBLANK(Arrangörslista!K$8),"",IFERROR(VLOOKUP($F4,Arrangörslista!K$8:$AG$45,16,FALSE),IF(ISBLANK(Deltagarlista!$C5),"",IF(ISBLANK(Arrangörslista!K$8),"",IFERROR(VLOOKUP($F4,Arrangörslista!L$8:$AG$45,16,FALSE),"DNS")))))),IF(Deltagarlista!$K$3=2,
IF(ISBLANK(Deltagarlista!$C5),"",IF(ISBLANK(Arrangörslista!G$8),"",IF($GV4=N$64," DNS ",IFERROR(VLOOKUP($F4,Arrangörslista!G$8:$AG$45,16,FALSE),"DNS")))),IF(ISBLANK(Deltagarlista!$C5),"",IF(ISBLANK(Arrangörslista!G$8),"",IFERROR(VLOOKUP($F4,Arrangörslista!G$8:$AG$45,16,FALSE),"DNS")))))</f>
        <v/>
      </c>
      <c r="O4" s="56" t="str">
        <f>IF(Deltagarlista!$K$3=4,IF(ISBLANK(Deltagarlista!$C5),"",IF(ISBLANK(Arrangörslista!M$8),"",IFERROR(VLOOKUP($F4,Arrangörslista!M$8:$AG$45,16,FALSE),IF(ISBLANK(Deltagarlista!$C5),"",IF(ISBLANK(Arrangörslista!M$8),"",IFERROR(VLOOKUP($F4,Arrangörslista!N$8:$AG$45,16,FALSE),"DNS")))))),IF(Deltagarlista!$K$3=2,
IF(ISBLANK(Deltagarlista!$C5),"",IF(ISBLANK(Arrangörslista!H$8),"",IF($GV4=O$64," DNS ",IFERROR(VLOOKUP($F4,Arrangörslista!H$8:$AG$45,16,FALSE),"DNS")))),IF(ISBLANK(Deltagarlista!$C5),"",IF(ISBLANK(Arrangörslista!H$8),"",IFERROR(VLOOKUP($F4,Arrangörslista!H$8:$AG$45,16,FALSE),"DNS")))))</f>
        <v/>
      </c>
      <c r="P4" s="56" t="str">
        <f>IF(Deltagarlista!$K$3=4,IF(ISBLANK(Deltagarlista!$C5),"",IF(ISBLANK(Arrangörslista!O$8),"",IFERROR(VLOOKUP($F4,Arrangörslista!O$8:$AG$45,16,FALSE),IF(ISBLANK(Deltagarlista!$C5),"",IF(ISBLANK(Arrangörslista!O$8),"",IFERROR(VLOOKUP($F4,Arrangörslista!P$8:$AG$45,16,FALSE),"DNS")))))),IF(Deltagarlista!$K$3=2,
IF(ISBLANK(Deltagarlista!$C5),"",IF(ISBLANK(Arrangörslista!I$8),"",IF($GV4=P$64," DNS ",IFERROR(VLOOKUP($F4,Arrangörslista!I$8:$AG$45,16,FALSE),"DNS")))),IF(ISBLANK(Deltagarlista!$C5),"",IF(ISBLANK(Arrangörslista!I$8),"",IFERROR(VLOOKUP($F4,Arrangörslista!I$8:$AG$45,16,FALSE),"DNS")))))</f>
        <v/>
      </c>
      <c r="Q4" s="56" t="str">
        <f>IF(Deltagarlista!$K$3=4,IF(ISBLANK(Deltagarlista!$C5),"",IF(ISBLANK(Arrangörslista!Q$8),"",IFERROR(VLOOKUP($F4,Arrangörslista!Q$8:$AG$45,16,FALSE),IF(ISBLANK(Deltagarlista!$C5),"",IF(ISBLANK(Arrangörslista!Q$8),"",IFERROR(VLOOKUP($F4,Arrangörslista!C$53:$AG$90,16,FALSE),"DNS")))))),IF(Deltagarlista!$K$3=2,
IF(ISBLANK(Deltagarlista!$C5),"",IF(ISBLANK(Arrangörslista!J$8),"",IF($GV4=Q$64," DNS ",IFERROR(VLOOKUP($F4,Arrangörslista!J$8:$AG$45,16,FALSE),"DNS")))),IF(ISBLANK(Deltagarlista!$C5),"",IF(ISBLANK(Arrangörslista!J$8),"",IFERROR(VLOOKUP($F4,Arrangörslista!J$8:$AG$45,16,FALSE),"DNS")))))</f>
        <v/>
      </c>
      <c r="R4" s="56" t="str">
        <f>IF(Deltagarlista!$K$3=4,IF(ISBLANK(Deltagarlista!$C5),"",IF(ISBLANK(Arrangörslista!D$53),"",IFERROR(VLOOKUP($F4,Arrangörslista!D$53:$AG$90,16,FALSE),IF(ISBLANK(Deltagarlista!$C5),"",IF(ISBLANK(Arrangörslista!D$53),"",IFERROR(VLOOKUP($F4,Arrangörslista!E$53:$AG$90,16,FALSE),"DNS")))))),IF(Deltagarlista!$K$3=2,
IF(ISBLANK(Deltagarlista!$C5),"",IF(ISBLANK(Arrangörslista!K$8),"",IF($GV4=R$64," DNS ",IFERROR(VLOOKUP($F4,Arrangörslista!K$8:$AG$45,16,FALSE),"DNS")))),IF(ISBLANK(Deltagarlista!$C5),"",IF(ISBLANK(Arrangörslista!K$8),"",IFERROR(VLOOKUP($F4,Arrangörslista!K$8:$AG$45,16,FALSE),"DNS")))))</f>
        <v/>
      </c>
      <c r="S4" s="56" t="str">
        <f>IF(Deltagarlista!$K$3=4,IF(ISBLANK(Deltagarlista!$C5),"",IF(ISBLANK(Arrangörslista!F$53),"",IFERROR(VLOOKUP($F4,Arrangörslista!F$53:$AG$90,16,FALSE),IF(ISBLANK(Deltagarlista!$C5),"",IF(ISBLANK(Arrangörslista!F$53),"",IFERROR(VLOOKUP($F4,Arrangörslista!G$53:$AG$90,16,FALSE),"DNS")))))),IF(Deltagarlista!$K$3=2,
IF(ISBLANK(Deltagarlista!$C5),"",IF(ISBLANK(Arrangörslista!L$8),"",IF($GV4=S$64," DNS ",IFERROR(VLOOKUP($F4,Arrangörslista!L$8:$AG$45,16,FALSE),"DNS")))),IF(ISBLANK(Deltagarlista!$C5),"",IF(ISBLANK(Arrangörslista!L$8),"",IFERROR(VLOOKUP($F4,Arrangörslista!L$8:$AG$45,16,FALSE),"DNS")))))</f>
        <v/>
      </c>
      <c r="T4" s="56" t="str">
        <f>IF(Deltagarlista!$K$3=4,IF(ISBLANK(Deltagarlista!$C5),"",IF(ISBLANK(Arrangörslista!H$53),"",IFERROR(VLOOKUP($F4,Arrangörslista!H$53:$AG$90,16,FALSE),IF(ISBLANK(Deltagarlista!$C5),"",IF(ISBLANK(Arrangörslista!H$53),"",IFERROR(VLOOKUP($F4,Arrangörslista!I$53:$AG$90,16,FALSE),"DNS")))))),IF(Deltagarlista!$K$3=2,
IF(ISBLANK(Deltagarlista!$C5),"",IF(ISBLANK(Arrangörslista!M$8),"",IF($GV4=T$64," DNS ",IFERROR(VLOOKUP($F4,Arrangörslista!M$8:$AG$45,16,FALSE),"DNS")))),IF(ISBLANK(Deltagarlista!$C5),"",IF(ISBLANK(Arrangörslista!M$8),"",IFERROR(VLOOKUP($F4,Arrangörslista!M$8:$AG$45,16,FALSE),"DNS")))))</f>
        <v/>
      </c>
      <c r="U4" s="56" t="str">
        <f>IF(Deltagarlista!$K$3=4,IF(ISBLANK(Deltagarlista!$C5),"",IF(ISBLANK(Arrangörslista!J$53),"",IFERROR(VLOOKUP($F4,Arrangörslista!J$53:$AG$90,16,FALSE),IF(ISBLANK(Deltagarlista!$C5),"",IF(ISBLANK(Arrangörslista!J$53),"",IFERROR(VLOOKUP($F4,Arrangörslista!K$53:$AG$90,16,FALSE),"DNS")))))),IF(Deltagarlista!$K$3=2,
IF(ISBLANK(Deltagarlista!$C5),"",IF(ISBLANK(Arrangörslista!N$8),"",IF($GV4=U$64," DNS ",IFERROR(VLOOKUP($F4,Arrangörslista!N$8:$AG$45,16,FALSE),"DNS")))),IF(ISBLANK(Deltagarlista!$C5),"",IF(ISBLANK(Arrangörslista!N$8),"",IFERROR(VLOOKUP($F4,Arrangörslista!N$8:$AG$45,16,FALSE),"DNS")))))</f>
        <v/>
      </c>
      <c r="V4" s="56" t="str">
        <f>IF(Deltagarlista!$K$3=4,IF(ISBLANK(Deltagarlista!$C5),"",IF(ISBLANK(Arrangörslista!L$53),"",IFERROR(VLOOKUP($F4,Arrangörslista!L$53:$AG$90,16,FALSE),IF(ISBLANK(Deltagarlista!$C5),"",IF(ISBLANK(Arrangörslista!L$53),"",IFERROR(VLOOKUP($F4,Arrangörslista!M$53:$AG$90,16,FALSE),"DNS")))))),IF(Deltagarlista!$K$3=2,
IF(ISBLANK(Deltagarlista!$C5),"",IF(ISBLANK(Arrangörslista!O$8),"",IF($GV4=V$64," DNS ",IFERROR(VLOOKUP($F4,Arrangörslista!O$8:$AG$45,16,FALSE),"DNS")))),IF(ISBLANK(Deltagarlista!$C5),"",IF(ISBLANK(Arrangörslista!O$8),"",IFERROR(VLOOKUP($F4,Arrangörslista!O$8:$AG$45,16,FALSE),"DNS")))))</f>
        <v/>
      </c>
      <c r="W4" s="56" t="str">
        <f>IF(Deltagarlista!$K$3=4,IF(ISBLANK(Deltagarlista!$C5),"",IF(ISBLANK(Arrangörslista!N$53),"",IFERROR(VLOOKUP($F4,Arrangörslista!N$53:$AG$90,16,FALSE),IF(ISBLANK(Deltagarlista!$C5),"",IF(ISBLANK(Arrangörslista!N$53),"",IFERROR(VLOOKUP($F4,Arrangörslista!O$53:$AG$90,16,FALSE),"DNS")))))),IF(Deltagarlista!$K$3=2,
IF(ISBLANK(Deltagarlista!$C5),"",IF(ISBLANK(Arrangörslista!P$8),"",IF($GV4=W$64," DNS ",IFERROR(VLOOKUP($F4,Arrangörslista!P$8:$AG$45,16,FALSE),"DNS")))),IF(ISBLANK(Deltagarlista!$C5),"",IF(ISBLANK(Arrangörslista!P$8),"",IFERROR(VLOOKUP($F4,Arrangörslista!P$8:$AG$45,16,FALSE),"DNS")))))</f>
        <v/>
      </c>
      <c r="X4" s="56" t="str">
        <f>IF(Deltagarlista!$K$3=4,IF(ISBLANK(Deltagarlista!$C5),"",IF(ISBLANK(Arrangörslista!P$53),"",IFERROR(VLOOKUP($F4,Arrangörslista!P$53:$AG$90,16,FALSE),IF(ISBLANK(Deltagarlista!$C5),"",IF(ISBLANK(Arrangörslista!P$53),"",IFERROR(VLOOKUP($F4,Arrangörslista!Q$53:$AG$90,16,FALSE),"DNS")))))),IF(Deltagarlista!$K$3=2,
IF(ISBLANK(Deltagarlista!$C5),"",IF(ISBLANK(Arrangörslista!Q$8),"",IF($GV4=X$64," DNS ",IFERROR(VLOOKUP($F4,Arrangörslista!Q$8:$AG$45,16,FALSE),"DNS")))),IF(ISBLANK(Deltagarlista!$C5),"",IF(ISBLANK(Arrangörslista!Q$8),"",IFERROR(VLOOKUP($F4,Arrangörslista!Q$8:$AG$45,16,FALSE),"DNS")))))</f>
        <v/>
      </c>
      <c r="Y4" s="56" t="str">
        <f>IF(Deltagarlista!$K$3=4,IF(ISBLANK(Deltagarlista!$C5),"",IF(ISBLANK(Arrangörslista!C$98),"",IFERROR(VLOOKUP($F4,Arrangörslista!C$98:$AG$135,16,FALSE),IF(ISBLANK(Deltagarlista!$C5),"",IF(ISBLANK(Arrangörslista!C$98),"",IFERROR(VLOOKUP($F4,Arrangörslista!D$98:$AG$135,16,FALSE),"DNS")))))),IF(Deltagarlista!$K$3=2,
IF(ISBLANK(Deltagarlista!$C5),"",IF(ISBLANK(Arrangörslista!C$53),"",IF($GV4=Y$64," DNS ",IFERROR(VLOOKUP($F4,Arrangörslista!C$53:$AG$90,16,FALSE),"DNS")))),IF(ISBLANK(Deltagarlista!$C5),"",IF(ISBLANK(Arrangörslista!C$53),"",IFERROR(VLOOKUP($F4,Arrangörslista!C$53:$AG$90,16,FALSE),"DNS")))))</f>
        <v/>
      </c>
      <c r="Z4" s="56" t="str">
        <f>IF(Deltagarlista!$K$3=4,IF(ISBLANK(Deltagarlista!$C5),"",IF(ISBLANK(Arrangörslista!E$98),"",IFERROR(VLOOKUP($F4,Arrangörslista!E$98:$AG$135,16,FALSE),IF(ISBLANK(Deltagarlista!$C5),"",IF(ISBLANK(Arrangörslista!E$98),"",IFERROR(VLOOKUP($F4,Arrangörslista!F$98:$AG$135,16,FALSE),"DNS")))))),IF(Deltagarlista!$K$3=2,
IF(ISBLANK(Deltagarlista!$C5),"",IF(ISBLANK(Arrangörslista!D$53),"",IF($GV4=Z$64," DNS ",IFERROR(VLOOKUP($F4,Arrangörslista!D$53:$AG$90,16,FALSE),"DNS")))),IF(ISBLANK(Deltagarlista!$C5),"",IF(ISBLANK(Arrangörslista!D$53),"",IFERROR(VLOOKUP($F4,Arrangörslista!D$53:$AG$90,16,FALSE),"DNS")))))</f>
        <v/>
      </c>
      <c r="AA4" s="56" t="str">
        <f>IF(Deltagarlista!$K$3=4,IF(ISBLANK(Deltagarlista!$C5),"",IF(ISBLANK(Arrangörslista!G$98),"",IFERROR(VLOOKUP($F4,Arrangörslista!G$98:$AG$135,16,FALSE),IF(ISBLANK(Deltagarlista!$C5),"",IF(ISBLANK(Arrangörslista!G$98),"",IFERROR(VLOOKUP($F4,Arrangörslista!H$98:$AG$135,16,FALSE),"DNS")))))),IF(Deltagarlista!$K$3=2,
IF(ISBLANK(Deltagarlista!$C5),"",IF(ISBLANK(Arrangörslista!E$53),"",IF($GV4=AA$64," DNS ",IFERROR(VLOOKUP($F4,Arrangörslista!E$53:$AG$90,16,FALSE),"DNS")))),IF(ISBLANK(Deltagarlista!$C5),"",IF(ISBLANK(Arrangörslista!E$53),"",IFERROR(VLOOKUP($F4,Arrangörslista!E$53:$AG$90,16,FALSE),"DNS")))))</f>
        <v/>
      </c>
      <c r="AB4" s="56" t="str">
        <f>IF(Deltagarlista!$K$3=4,IF(ISBLANK(Deltagarlista!$C5),"",IF(ISBLANK(Arrangörslista!I$98),"",IFERROR(VLOOKUP($F4,Arrangörslista!I$98:$AG$135,16,FALSE),IF(ISBLANK(Deltagarlista!$C5),"",IF(ISBLANK(Arrangörslista!I$98),"",IFERROR(VLOOKUP($F4,Arrangörslista!J$98:$AG$135,16,FALSE),"DNS")))))),IF(Deltagarlista!$K$3=2,
IF(ISBLANK(Deltagarlista!$C5),"",IF(ISBLANK(Arrangörslista!F$53),"",IF($GV4=AB$64," DNS ",IFERROR(VLOOKUP($F4,Arrangörslista!F$53:$AG$90,16,FALSE),"DNS")))),IF(ISBLANK(Deltagarlista!$C5),"",IF(ISBLANK(Arrangörslista!F$53),"",IFERROR(VLOOKUP($F4,Arrangörslista!F$53:$AG$90,16,FALSE),"DNS")))))</f>
        <v/>
      </c>
      <c r="AC4" s="56" t="str">
        <f>IF(Deltagarlista!$K$3=4,IF(ISBLANK(Deltagarlista!$C5),"",IF(ISBLANK(Arrangörslista!K$98),"",IFERROR(VLOOKUP($F4,Arrangörslista!K$98:$AG$135,16,FALSE),IF(ISBLANK(Deltagarlista!$C5),"",IF(ISBLANK(Arrangörslista!K$98),"",IFERROR(VLOOKUP($F4,Arrangörslista!L$98:$AG$135,16,FALSE),"DNS")))))),IF(Deltagarlista!$K$3=2,
IF(ISBLANK(Deltagarlista!$C5),"",IF(ISBLANK(Arrangörslista!G$53),"",IF($GV4=AC$64," DNS ",IFERROR(VLOOKUP($F4,Arrangörslista!G$53:$AG$90,16,FALSE),"DNS")))),IF(ISBLANK(Deltagarlista!$C5),"",IF(ISBLANK(Arrangörslista!G$53),"",IFERROR(VLOOKUP($F4,Arrangörslista!G$53:$AG$90,16,FALSE),"DNS")))))</f>
        <v/>
      </c>
      <c r="AD4" s="56" t="str">
        <f>IF(Deltagarlista!$K$3=4,IF(ISBLANK(Deltagarlista!$C5),"",IF(ISBLANK(Arrangörslista!M$98),"",IFERROR(VLOOKUP($F4,Arrangörslista!M$98:$AG$135,16,FALSE),IF(ISBLANK(Deltagarlista!$C5),"",IF(ISBLANK(Arrangörslista!M$98),"",IFERROR(VLOOKUP($F4,Arrangörslista!N$98:$AG$135,16,FALSE),"DNS")))))),IF(Deltagarlista!$K$3=2,
IF(ISBLANK(Deltagarlista!$C5),"",IF(ISBLANK(Arrangörslista!H$53),"",IF($GV4=AD$64," DNS ",IFERROR(VLOOKUP($F4,Arrangörslista!H$53:$AG$90,16,FALSE),"DNS")))),IF(ISBLANK(Deltagarlista!$C5),"",IF(ISBLANK(Arrangörslista!H$53),"",IFERROR(VLOOKUP($F4,Arrangörslista!H$53:$AG$90,16,FALSE),"DNS")))))</f>
        <v/>
      </c>
      <c r="AE4" s="56" t="str">
        <f>IF(Deltagarlista!$K$3=4,IF(ISBLANK(Deltagarlista!$C5),"",IF(ISBLANK(Arrangörslista!O$98),"",IFERROR(VLOOKUP($F4,Arrangörslista!O$98:$AG$135,16,FALSE),IF(ISBLANK(Deltagarlista!$C5),"",IF(ISBLANK(Arrangörslista!O$98),"",IFERROR(VLOOKUP($F4,Arrangörslista!P$98:$AG$135,16,FALSE),"DNS")))))),IF(Deltagarlista!$K$3=2,
IF(ISBLANK(Deltagarlista!$C5),"",IF(ISBLANK(Arrangörslista!I$53),"",IF($GV4=AE$64," DNS ",IFERROR(VLOOKUP($F4,Arrangörslista!I$53:$AG$90,16,FALSE),"DNS")))),IF(ISBLANK(Deltagarlista!$C5),"",IF(ISBLANK(Arrangörslista!I$53),"",IFERROR(VLOOKUP($F4,Arrangörslista!I$53:$AG$90,16,FALSE),"DNS")))))</f>
        <v/>
      </c>
      <c r="AF4" s="56" t="str">
        <f>IF(Deltagarlista!$K$3=4,IF(ISBLANK(Deltagarlista!$C5),"",IF(ISBLANK(Arrangörslista!Q$98),"",IFERROR(VLOOKUP($F4,Arrangörslista!Q$98:$AG$135,16,FALSE),IF(ISBLANK(Deltagarlista!$C5),"",IF(ISBLANK(Arrangörslista!Q$98),"",IFERROR(VLOOKUP($F4,Arrangörslista!C$143:$AG$180,16,FALSE),"DNS")))))),IF(Deltagarlista!$K$3=2,
IF(ISBLANK(Deltagarlista!$C5),"",IF(ISBLANK(Arrangörslista!J$53),"",IF($GV4=AF$64," DNS ",IFERROR(VLOOKUP($F4,Arrangörslista!J$53:$AG$90,16,FALSE),"DNS")))),IF(ISBLANK(Deltagarlista!$C5),"",IF(ISBLANK(Arrangörslista!J$53),"",IFERROR(VLOOKUP($F4,Arrangörslista!J$53:$AG$90,16,FALSE),"DNS")))))</f>
        <v/>
      </c>
      <c r="AG4" s="56" t="str">
        <f>IF(Deltagarlista!$K$3=4,IF(ISBLANK(Deltagarlista!$C5),"",IF(ISBLANK(Arrangörslista!D$143),"",IFERROR(VLOOKUP($F4,Arrangörslista!D$143:$AG$180,16,FALSE),IF(ISBLANK(Deltagarlista!$C5),"",IF(ISBLANK(Arrangörslista!D$143),"",IFERROR(VLOOKUP($F4,Arrangörslista!E$143:$AG$180,16,FALSE),"DNS")))))),IF(Deltagarlista!$K$3=2,
IF(ISBLANK(Deltagarlista!$C5),"",IF(ISBLANK(Arrangörslista!K$53),"",IF($GV4=AG$64," DNS ",IFERROR(VLOOKUP($F4,Arrangörslista!K$53:$AG$90,16,FALSE),"DNS")))),IF(ISBLANK(Deltagarlista!$C5),"",IF(ISBLANK(Arrangörslista!K$53),"",IFERROR(VLOOKUP($F4,Arrangörslista!K$53:$AG$90,16,FALSE),"DNS")))))</f>
        <v/>
      </c>
      <c r="AH4" s="56" t="str">
        <f>IF(Deltagarlista!$K$3=4,IF(ISBLANK(Deltagarlista!$C5),"",IF(ISBLANK(Arrangörslista!F$143),"",IFERROR(VLOOKUP($F4,Arrangörslista!F$143:$AG$180,16,FALSE),IF(ISBLANK(Deltagarlista!$C5),"",IF(ISBLANK(Arrangörslista!F$143),"",IFERROR(VLOOKUP($F4,Arrangörslista!G$143:$AG$180,16,FALSE),"DNS")))))),IF(Deltagarlista!$K$3=2,
IF(ISBLANK(Deltagarlista!$C5),"",IF(ISBLANK(Arrangörslista!L$53),"",IF($GV4=AH$64," DNS ",IFERROR(VLOOKUP($F4,Arrangörslista!L$53:$AG$90,16,FALSE),"DNS")))),IF(ISBLANK(Deltagarlista!$C5),"",IF(ISBLANK(Arrangörslista!L$53),"",IFERROR(VLOOKUP($F4,Arrangörslista!L$53:$AG$90,16,FALSE),"DNS")))))</f>
        <v/>
      </c>
      <c r="AI4" s="56" t="str">
        <f>IF(Deltagarlista!$K$3=4,IF(ISBLANK(Deltagarlista!$C5),"",IF(ISBLANK(Arrangörslista!H$143),"",IFERROR(VLOOKUP($F4,Arrangörslista!H$143:$AG$180,16,FALSE),IF(ISBLANK(Deltagarlista!$C5),"",IF(ISBLANK(Arrangörslista!H$143),"",IFERROR(VLOOKUP($F4,Arrangörslista!I$143:$AG$180,16,FALSE),"DNS")))))),IF(Deltagarlista!$K$3=2,
IF(ISBLANK(Deltagarlista!$C5),"",IF(ISBLANK(Arrangörslista!M$53),"",IF($GV4=AI$64," DNS ",IFERROR(VLOOKUP($F4,Arrangörslista!M$53:$AG$90,16,FALSE),"DNS")))),IF(ISBLANK(Deltagarlista!$C5),"",IF(ISBLANK(Arrangörslista!M$53),"",IFERROR(VLOOKUP($F4,Arrangörslista!M$53:$AG$90,16,FALSE),"DNS")))))</f>
        <v/>
      </c>
      <c r="AJ4" s="56" t="str">
        <f>IF(Deltagarlista!$K$3=4,IF(ISBLANK(Deltagarlista!$C5),"",IF(ISBLANK(Arrangörslista!J$143),"",IFERROR(VLOOKUP($F4,Arrangörslista!J$143:$AG$180,16,FALSE),IF(ISBLANK(Deltagarlista!$C5),"",IF(ISBLANK(Arrangörslista!J$143),"",IFERROR(VLOOKUP($F4,Arrangörslista!K$143:$AG$180,16,FALSE),"DNS")))))),IF(Deltagarlista!$K$3=2,
IF(ISBLANK(Deltagarlista!$C5),"",IF(ISBLANK(Arrangörslista!N$53),"",IF($GV4=AJ$64," DNS ",IFERROR(VLOOKUP($F4,Arrangörslista!N$53:$AG$90,16,FALSE),"DNS")))),IF(ISBLANK(Deltagarlista!$C5),"",IF(ISBLANK(Arrangörslista!N$53),"",IFERROR(VLOOKUP($F4,Arrangörslista!N$53:$AG$90,16,FALSE),"DNS")))))</f>
        <v/>
      </c>
      <c r="AK4" s="56" t="str">
        <f>IF(Deltagarlista!$K$3=4,IF(ISBLANK(Deltagarlista!$C5),"",IF(ISBLANK(Arrangörslista!L$143),"",IFERROR(VLOOKUP($F4,Arrangörslista!L$143:$AG$180,16,FALSE),IF(ISBLANK(Deltagarlista!$C5),"",IF(ISBLANK(Arrangörslista!L$143),"",IFERROR(VLOOKUP($F4,Arrangörslista!M$143:$AG$180,16,FALSE),"DNS")))))),IF(Deltagarlista!$K$3=2,
IF(ISBLANK(Deltagarlista!$C5),"",IF(ISBLANK(Arrangörslista!O$53),"",IF($GV4=AK$64," DNS ",IFERROR(VLOOKUP($F4,Arrangörslista!O$53:$AG$90,16,FALSE),"DNS")))),IF(ISBLANK(Deltagarlista!$C5),"",IF(ISBLANK(Arrangörslista!O$53),"",IFERROR(VLOOKUP($F4,Arrangörslista!O$53:$AG$90,16,FALSE),"DNS")))))</f>
        <v/>
      </c>
      <c r="AL4" s="56" t="str">
        <f>IF(Deltagarlista!$K$3=4,IF(ISBLANK(Deltagarlista!$C5),"",IF(ISBLANK(Arrangörslista!N$143),"",IFERROR(VLOOKUP($F4,Arrangörslista!N$143:$AG$180,16,FALSE),IF(ISBLANK(Deltagarlista!$C5),"",IF(ISBLANK(Arrangörslista!N$143),"",IFERROR(VLOOKUP($F4,Arrangörslista!O$143:$AG$180,16,FALSE),"DNS")))))),IF(Deltagarlista!$K$3=2,
IF(ISBLANK(Deltagarlista!$C5),"",IF(ISBLANK(Arrangörslista!P$53),"",IF($GV4=AL$64," DNS ",IFERROR(VLOOKUP($F4,Arrangörslista!P$53:$AG$90,16,FALSE),"DNS")))),IF(ISBLANK(Deltagarlista!$C5),"",IF(ISBLANK(Arrangörslista!P$53),"",IFERROR(VLOOKUP($F4,Arrangörslista!P$53:$AG$90,16,FALSE),"DNS")))))</f>
        <v/>
      </c>
      <c r="AM4" s="56" t="str">
        <f>IF(Deltagarlista!$K$3=4,IF(ISBLANK(Deltagarlista!$C5),"",IF(ISBLANK(Arrangörslista!P$143),"",IFERROR(VLOOKUP($F4,Arrangörslista!P$143:$AG$180,16,FALSE),IF(ISBLANK(Deltagarlista!$C5),"",IF(ISBLANK(Arrangörslista!P$143),"",IFERROR(VLOOKUP($F4,Arrangörslista!Q$143:$AG$180,16,FALSE),"DNS")))))),IF(Deltagarlista!$K$3=2,
IF(ISBLANK(Deltagarlista!$C5),"",IF(ISBLANK(Arrangörslista!Q$53),"",IF($GV4=AM$64," DNS ",IFERROR(VLOOKUP($F4,Arrangörslista!Q$53:$AG$90,16,FALSE),"DNS")))),IF(ISBLANK(Deltagarlista!$C5),"",IF(ISBLANK(Arrangörslista!Q$53),"",IFERROR(VLOOKUP($F4,Arrangörslista!Q$53:$AG$90,16,FALSE),"DNS")))))</f>
        <v/>
      </c>
      <c r="AN4" s="56" t="str">
        <f>IF(Deltagarlista!$K$3=2,
IF(ISBLANK(Deltagarlista!$C5),"",IF(ISBLANK(Arrangörslista!C$98),"",IF($GV4=AN$64," DNS ",IFERROR(VLOOKUP($F4,Arrangörslista!C$98:$AG$135,16,FALSE), "DNS")))), IF(Deltagarlista!$K$3=1,IF(ISBLANK(Deltagarlista!$C5),"",IF(ISBLANK(Arrangörslista!C$98),"",IFERROR(VLOOKUP($F4,Arrangörslista!C$98:$AG$135,16,FALSE), "DNS"))),""))</f>
        <v/>
      </c>
      <c r="AO4" s="56" t="str">
        <f>IF(Deltagarlista!$K$3=2,
IF(ISBLANK(Deltagarlista!$C5),"",IF(ISBLANK(Arrangörslista!D$98),"",IF($GV4=AO$64," DNS ",IFERROR(VLOOKUP($F4,Arrangörslista!D$98:$AG$135,16,FALSE), "DNS")))), IF(Deltagarlista!$K$3=1,IF(ISBLANK(Deltagarlista!$C5),"",IF(ISBLANK(Arrangörslista!D$98),"",IFERROR(VLOOKUP($F4,Arrangörslista!D$98:$AG$135,16,FALSE), "DNS"))),""))</f>
        <v/>
      </c>
      <c r="AP4" s="56" t="str">
        <f>IF(Deltagarlista!$K$3=2,
IF(ISBLANK(Deltagarlista!$C5),"",IF(ISBLANK(Arrangörslista!E$98),"",IF($GV4=AP$64," DNS ",IFERROR(VLOOKUP($F4,Arrangörslista!E$98:$AG$135,16,FALSE), "DNS")))), IF(Deltagarlista!$K$3=1,IF(ISBLANK(Deltagarlista!$C5),"",IF(ISBLANK(Arrangörslista!E$98),"",IFERROR(VLOOKUP($F4,Arrangörslista!E$98:$AG$135,16,FALSE), "DNS"))),""))</f>
        <v/>
      </c>
      <c r="AQ4" s="56" t="str">
        <f>IF(Deltagarlista!$K$3=2,
IF(ISBLANK(Deltagarlista!$C5),"",IF(ISBLANK(Arrangörslista!F$98),"",IF($GV4=AQ$64," DNS ",IFERROR(VLOOKUP($F4,Arrangörslista!F$98:$AG$135,16,FALSE), "DNS")))), IF(Deltagarlista!$K$3=1,IF(ISBLANK(Deltagarlista!$C5),"",IF(ISBLANK(Arrangörslista!F$98),"",IFERROR(VLOOKUP($F4,Arrangörslista!F$98:$AG$135,16,FALSE), "DNS"))),""))</f>
        <v/>
      </c>
      <c r="AR4" s="56" t="str">
        <f>IF(Deltagarlista!$K$3=2,
IF(ISBLANK(Deltagarlista!$C5),"",IF(ISBLANK(Arrangörslista!G$98),"",IF($GV4=AR$64," DNS ",IFERROR(VLOOKUP($F4,Arrangörslista!G$98:$AG$135,16,FALSE), "DNS")))), IF(Deltagarlista!$K$3=1,IF(ISBLANK(Deltagarlista!$C5),"",IF(ISBLANK(Arrangörslista!G$98),"",IFERROR(VLOOKUP($F4,Arrangörslista!G$98:$AG$135,16,FALSE), "DNS"))),""))</f>
        <v/>
      </c>
      <c r="AS4" s="56" t="str">
        <f>IF(Deltagarlista!$K$3=2,
IF(ISBLANK(Deltagarlista!$C5),"",IF(ISBLANK(Arrangörslista!H$98),"",IF($GV4=AS$64," DNS ",IFERROR(VLOOKUP($F4,Arrangörslista!H$98:$AG$135,16,FALSE), "DNS")))), IF(Deltagarlista!$K$3=1,IF(ISBLANK(Deltagarlista!$C5),"",IF(ISBLANK(Arrangörslista!H$98),"",IFERROR(VLOOKUP($F4,Arrangörslista!H$98:$AG$135,16,FALSE), "DNS"))),""))</f>
        <v/>
      </c>
      <c r="AT4" s="56" t="str">
        <f>IF(Deltagarlista!$K$3=2,
IF(ISBLANK(Deltagarlista!$C5),"",IF(ISBLANK(Arrangörslista!I$98),"",IF($GV4=AT$64," DNS ",IFERROR(VLOOKUP($F4,Arrangörslista!I$98:$AG$135,16,FALSE), "DNS")))), IF(Deltagarlista!$K$3=1,IF(ISBLANK(Deltagarlista!$C5),"",IF(ISBLANK(Arrangörslista!I$98),"",IFERROR(VLOOKUP($F4,Arrangörslista!I$98:$AG$135,16,FALSE), "DNS"))),""))</f>
        <v/>
      </c>
      <c r="AU4" s="56" t="str">
        <f>IF(Deltagarlista!$K$3=2,
IF(ISBLANK(Deltagarlista!$C5),"",IF(ISBLANK(Arrangörslista!J$98),"",IF($GV4=AU$64," DNS ",IFERROR(VLOOKUP($F4,Arrangörslista!J$98:$AG$135,16,FALSE), "DNS")))), IF(Deltagarlista!$K$3=1,IF(ISBLANK(Deltagarlista!$C5),"",IF(ISBLANK(Arrangörslista!J$98),"",IFERROR(VLOOKUP($F4,Arrangörslista!J$98:$AG$135,16,FALSE), "DNS"))),""))</f>
        <v/>
      </c>
      <c r="AV4" s="56" t="str">
        <f>IF(Deltagarlista!$K$3=2,
IF(ISBLANK(Deltagarlista!$C5),"",IF(ISBLANK(Arrangörslista!K$98),"",IF($GV4=AV$64," DNS ",IFERROR(VLOOKUP($F4,Arrangörslista!K$98:$AG$135,16,FALSE), "DNS")))), IF(Deltagarlista!$K$3=1,IF(ISBLANK(Deltagarlista!$C5),"",IF(ISBLANK(Arrangörslista!K$98),"",IFERROR(VLOOKUP($F4,Arrangörslista!K$98:$AG$135,16,FALSE), "DNS"))),""))</f>
        <v/>
      </c>
      <c r="AW4" s="56" t="str">
        <f>IF(Deltagarlista!$K$3=2,
IF(ISBLANK(Deltagarlista!$C5),"",IF(ISBLANK(Arrangörslista!L$98),"",IF($GV4=AW$64," DNS ",IFERROR(VLOOKUP($F4,Arrangörslista!L$98:$AG$135,16,FALSE), "DNS")))), IF(Deltagarlista!$K$3=1,IF(ISBLANK(Deltagarlista!$C5),"",IF(ISBLANK(Arrangörslista!L$98),"",IFERROR(VLOOKUP($F4,Arrangörslista!L$98:$AG$135,16,FALSE), "DNS"))),""))</f>
        <v/>
      </c>
      <c r="AX4" s="56" t="str">
        <f>IF(Deltagarlista!$K$3=2,
IF(ISBLANK(Deltagarlista!$C5),"",IF(ISBLANK(Arrangörslista!M$98),"",IF($GV4=AX$64," DNS ",IFERROR(VLOOKUP($F4,Arrangörslista!M$98:$AG$135,16,FALSE), "DNS")))), IF(Deltagarlista!$K$3=1,IF(ISBLANK(Deltagarlista!$C5),"",IF(ISBLANK(Arrangörslista!M$98),"",IFERROR(VLOOKUP($F4,Arrangörslista!M$98:$AG$135,16,FALSE), "DNS"))),""))</f>
        <v/>
      </c>
      <c r="AY4" s="56" t="str">
        <f>IF(Deltagarlista!$K$3=2,
IF(ISBLANK(Deltagarlista!$C5),"",IF(ISBLANK(Arrangörslista!N$98),"",IF($GV4=AY$64," DNS ",IFERROR(VLOOKUP($F4,Arrangörslista!N$98:$AG$135,16,FALSE), "DNS")))), IF(Deltagarlista!$K$3=1,IF(ISBLANK(Deltagarlista!$C5),"",IF(ISBLANK(Arrangörslista!N$98),"",IFERROR(VLOOKUP($F4,Arrangörslista!N$98:$AG$135,16,FALSE), "DNS"))),""))</f>
        <v/>
      </c>
      <c r="AZ4" s="56" t="str">
        <f>IF(Deltagarlista!$K$3=2,
IF(ISBLANK(Deltagarlista!$C5),"",IF(ISBLANK(Arrangörslista!O$98),"",IF($GV4=AZ$64," DNS ",IFERROR(VLOOKUP($F4,Arrangörslista!O$98:$AG$135,16,FALSE), "DNS")))), IF(Deltagarlista!$K$3=1,IF(ISBLANK(Deltagarlista!$C5),"",IF(ISBLANK(Arrangörslista!O$98),"",IFERROR(VLOOKUP($F4,Arrangörslista!O$98:$AG$135,16,FALSE), "DNS"))),""))</f>
        <v/>
      </c>
      <c r="BA4" s="56" t="str">
        <f>IF(Deltagarlista!$K$3=2,
IF(ISBLANK(Deltagarlista!$C5),"",IF(ISBLANK(Arrangörslista!P$98),"",IF($GV4=BA$64," DNS ",IFERROR(VLOOKUP($F4,Arrangörslista!P$98:$AG$135,16,FALSE), "DNS")))), IF(Deltagarlista!$K$3=1,IF(ISBLANK(Deltagarlista!$C5),"",IF(ISBLANK(Arrangörslista!P$98),"",IFERROR(VLOOKUP($F4,Arrangörslista!P$98:$AG$135,16,FALSE), "DNS"))),""))</f>
        <v/>
      </c>
      <c r="BB4" s="56" t="str">
        <f>IF(Deltagarlista!$K$3=2,
IF(ISBLANK(Deltagarlista!$C5),"",IF(ISBLANK(Arrangörslista!Q$98),"",IF($GV4=BB$64," DNS ",IFERROR(VLOOKUP($F4,Arrangörslista!Q$98:$AG$135,16,FALSE), "DNS")))), IF(Deltagarlista!$K$3=1,IF(ISBLANK(Deltagarlista!$C5),"",IF(ISBLANK(Arrangörslista!Q$98),"",IFERROR(VLOOKUP($F4,Arrangörslista!Q$98:$AG$135,16,FALSE), "DNS"))),""))</f>
        <v/>
      </c>
      <c r="BC4" s="56" t="str">
        <f>IF(Deltagarlista!$K$3=2,
IF(ISBLANK(Deltagarlista!$C5),"",IF(ISBLANK(Arrangörslista!C$143),"",IF($GV4=BC$64," DNS ",IFERROR(VLOOKUP($F4,Arrangörslista!C$143:$AG$180,16,FALSE), "DNS")))), IF(Deltagarlista!$K$3=1,IF(ISBLANK(Deltagarlista!$C5),"",IF(ISBLANK(Arrangörslista!C$143),"",IFERROR(VLOOKUP($F4,Arrangörslista!C$143:$AG$180,16,FALSE), "DNS"))),""))</f>
        <v/>
      </c>
      <c r="BD4" s="56" t="str">
        <f>IF(Deltagarlista!$K$3=2,
IF(ISBLANK(Deltagarlista!$C5),"",IF(ISBLANK(Arrangörslista!D$143),"",IF($GV4=BD$64," DNS ",IFERROR(VLOOKUP($F4,Arrangörslista!D$143:$AG$180,16,FALSE), "DNS")))), IF(Deltagarlista!$K$3=1,IF(ISBLANK(Deltagarlista!$C5),"",IF(ISBLANK(Arrangörslista!D$143),"",IFERROR(VLOOKUP($F4,Arrangörslista!D$143:$AG$180,16,FALSE), "DNS"))),""))</f>
        <v/>
      </c>
      <c r="BE4" s="56" t="str">
        <f>IF(Deltagarlista!$K$3=2,
IF(ISBLANK(Deltagarlista!$C5),"",IF(ISBLANK(Arrangörslista!E$143),"",IF($GV4=BE$64," DNS ",IFERROR(VLOOKUP($F4,Arrangörslista!E$143:$AG$180,16,FALSE), "DNS")))), IF(Deltagarlista!$K$3=1,IF(ISBLANK(Deltagarlista!$C5),"",IF(ISBLANK(Arrangörslista!E$143),"",IFERROR(VLOOKUP($F4,Arrangörslista!E$143:$AG$180,16,FALSE), "DNS"))),""))</f>
        <v/>
      </c>
      <c r="BF4" s="56" t="str">
        <f>IF(Deltagarlista!$K$3=2,
IF(ISBLANK(Deltagarlista!$C5),"",IF(ISBLANK(Arrangörslista!F$143),"",IF($GV4=BF$64," DNS ",IFERROR(VLOOKUP($F4,Arrangörslista!F$143:$AG$180,16,FALSE), "DNS")))), IF(Deltagarlista!$K$3=1,IF(ISBLANK(Deltagarlista!$C5),"",IF(ISBLANK(Arrangörslista!F$143),"",IFERROR(VLOOKUP($F4,Arrangörslista!F$143:$AG$180,16,FALSE), "DNS"))),""))</f>
        <v/>
      </c>
      <c r="BG4" s="56" t="str">
        <f>IF(Deltagarlista!$K$3=2,
IF(ISBLANK(Deltagarlista!$C5),"",IF(ISBLANK(Arrangörslista!G$143),"",IF($GV4=BG$64," DNS ",IFERROR(VLOOKUP($F4,Arrangörslista!G$143:$AG$180,16,FALSE), "DNS")))), IF(Deltagarlista!$K$3=1,IF(ISBLANK(Deltagarlista!$C5),"",IF(ISBLANK(Arrangörslista!G$143),"",IFERROR(VLOOKUP($F4,Arrangörslista!G$143:$AG$180,16,FALSE), "DNS"))),""))</f>
        <v/>
      </c>
      <c r="BH4" s="56" t="str">
        <f>IF(Deltagarlista!$K$3=2,
IF(ISBLANK(Deltagarlista!$C5),"",IF(ISBLANK(Arrangörslista!H$143),"",IF($GV4=BH$64," DNS ",IFERROR(VLOOKUP($F4,Arrangörslista!H$143:$AG$180,16,FALSE), "DNS")))), IF(Deltagarlista!$K$3=1,IF(ISBLANK(Deltagarlista!$C5),"",IF(ISBLANK(Arrangörslista!H$143),"",IFERROR(VLOOKUP($F4,Arrangörslista!H$143:$AG$180,16,FALSE), "DNS"))),""))</f>
        <v/>
      </c>
      <c r="BI4" s="56" t="str">
        <f>IF(Deltagarlista!$K$3=2,
IF(ISBLANK(Deltagarlista!$C5),"",IF(ISBLANK(Arrangörslista!I$143),"",IF($GV4=BI$64," DNS ",IFERROR(VLOOKUP($F4,Arrangörslista!I$143:$AG$180,16,FALSE), "DNS")))), IF(Deltagarlista!$K$3=1,IF(ISBLANK(Deltagarlista!$C5),"",IF(ISBLANK(Arrangörslista!I$143),"",IFERROR(VLOOKUP($F4,Arrangörslista!I$143:$AG$180,16,FALSE), "DNS"))),""))</f>
        <v/>
      </c>
      <c r="BJ4" s="56" t="str">
        <f>IF(Deltagarlista!$K$3=2,
IF(ISBLANK(Deltagarlista!$C5),"",IF(ISBLANK(Arrangörslista!J$143),"",IF($GV4=BJ$64," DNS ",IFERROR(VLOOKUP($F4,Arrangörslista!J$143:$AG$180,16,FALSE), "DNS")))), IF(Deltagarlista!$K$3=1,IF(ISBLANK(Deltagarlista!$C5),"",IF(ISBLANK(Arrangörslista!J$143),"",IFERROR(VLOOKUP($F4,Arrangörslista!J$143:$AG$180,16,FALSE), "DNS"))),""))</f>
        <v/>
      </c>
      <c r="BK4" s="56" t="str">
        <f>IF(Deltagarlista!$K$3=2,
IF(ISBLANK(Deltagarlista!$C5),"",IF(ISBLANK(Arrangörslista!K$143),"",IF($GV4=BK$64," DNS ",IFERROR(VLOOKUP($F4,Arrangörslista!K$143:$AG$180,16,FALSE), "DNS")))), IF(Deltagarlista!$K$3=1,IF(ISBLANK(Deltagarlista!$C5),"",IF(ISBLANK(Arrangörslista!K$143),"",IFERROR(VLOOKUP($F4,Arrangörslista!K$143:$AG$180,16,FALSE), "DNS"))),""))</f>
        <v/>
      </c>
      <c r="BL4" s="56" t="str">
        <f>IF(Deltagarlista!$K$3=2,
IF(ISBLANK(Deltagarlista!$C5),"",IF(ISBLANK(Arrangörslista!L$143),"",IF($GV4=BL$64," DNS ",IFERROR(VLOOKUP($F4,Arrangörslista!L$143:$AG$180,16,FALSE), "DNS")))), IF(Deltagarlista!$K$3=1,IF(ISBLANK(Deltagarlista!$C5),"",IF(ISBLANK(Arrangörslista!L$143),"",IFERROR(VLOOKUP($F4,Arrangörslista!L$143:$AG$180,16,FALSE), "DNS"))),""))</f>
        <v/>
      </c>
      <c r="BM4" s="56" t="str">
        <f>IF(Deltagarlista!$K$3=2,
IF(ISBLANK(Deltagarlista!$C5),"",IF(ISBLANK(Arrangörslista!M$143),"",IF($GV4=BM$64," DNS ",IFERROR(VLOOKUP($F4,Arrangörslista!M$143:$AG$180,16,FALSE), "DNS")))), IF(Deltagarlista!$K$3=1,IF(ISBLANK(Deltagarlista!$C5),"",IF(ISBLANK(Arrangörslista!M$143),"",IFERROR(VLOOKUP($F4,Arrangörslista!M$143:$AG$180,16,FALSE), "DNS"))),""))</f>
        <v/>
      </c>
      <c r="BN4" s="56" t="str">
        <f>IF(Deltagarlista!$K$3=2,
IF(ISBLANK(Deltagarlista!$C5),"",IF(ISBLANK(Arrangörslista!N$143),"",IF($GV4=BN$64," DNS ",IFERROR(VLOOKUP($F4,Arrangörslista!N$143:$AG$180,16,FALSE), "DNS")))), IF(Deltagarlista!$K$3=1,IF(ISBLANK(Deltagarlista!$C5),"",IF(ISBLANK(Arrangörslista!N$143),"",IFERROR(VLOOKUP($F4,Arrangörslista!N$143:$AG$180,16,FALSE), "DNS"))),""))</f>
        <v/>
      </c>
      <c r="BO4" s="56" t="str">
        <f>IF(Deltagarlista!$K$3=2,
IF(ISBLANK(Deltagarlista!$C5),"",IF(ISBLANK(Arrangörslista!O$143),"",IF($GV4=BO$64," DNS ",IFERROR(VLOOKUP($F4,Arrangörslista!O$143:$AG$180,16,FALSE), "DNS")))), IF(Deltagarlista!$K$3=1,IF(ISBLANK(Deltagarlista!$C5),"",IF(ISBLANK(Arrangörslista!O$143),"",IFERROR(VLOOKUP($F4,Arrangörslista!O$143:$AG$180,16,FALSE), "DNS"))),""))</f>
        <v/>
      </c>
      <c r="BP4" s="56" t="str">
        <f>IF(Deltagarlista!$K$3=2,
IF(ISBLANK(Deltagarlista!$C5),"",IF(ISBLANK(Arrangörslista!P$143),"",IF($GV4=BP$64," DNS ",IFERROR(VLOOKUP($F4,Arrangörslista!P$143:$AG$180,16,FALSE), "DNS")))), IF(Deltagarlista!$K$3=1,IF(ISBLANK(Deltagarlista!$C5),"",IF(ISBLANK(Arrangörslista!P$143),"",IFERROR(VLOOKUP($F4,Arrangörslista!P$143:$AG$180,16,FALSE), "DNS"))),""))</f>
        <v/>
      </c>
      <c r="BQ4" s="78" t="str">
        <f>IF(Deltagarlista!$K$3=2,
IF(ISBLANK(Deltagarlista!$C5),"",IF(ISBLANK(Arrangörslista!Q$143),"",IF($GV4=BQ$64," DNS ",IFERROR(VLOOKUP($F4,Arrangörslista!Q$143:$AG$180,16,FALSE), "DNS")))), IF(Deltagarlista!$K$3=1,IF(ISBLANK(Deltagarlista!$C5),"",IF(ISBLANK(Arrangörslista!Q$143),"",IFERROR(VLOOKUP($F4,Arrangörslista!Q$143:$AG$180,16,FALSE), "DNS"))),""))</f>
        <v/>
      </c>
      <c r="BR4" s="51"/>
      <c r="BS4" s="51"/>
      <c r="BT4" s="51"/>
      <c r="BU4" s="71">
        <f>SUM(BV4:EC4)</f>
        <v>0</v>
      </c>
      <c r="BV4" s="61">
        <f>IF(J4="",0,IF(OR(J4="DNF",J4="OCS",J4="DSQ",J4="DNS",J4=" DNS "),$BW$3+1,J4))</f>
        <v>0</v>
      </c>
      <c r="BW4" s="61">
        <f>IF(K4="",0,IF(OR(K4="DNF",K4="OCS",K4="DSQ",K4="DNS",K4=" DNS "),$BW$3+1,K4))</f>
        <v>0</v>
      </c>
      <c r="BX4" s="61">
        <f>IF(L4="",0,IF(OR(L4="DNF",L4="OCS",L4="DSQ",L4="DNS",L4=" DNS "),$BW$3+1,L4))</f>
        <v>0</v>
      </c>
      <c r="BY4" s="61">
        <f>IF(M4="",0,IF(OR(M4="DNF",M4="OCS",M4="DSQ",M4="DNS",M4=" DNS "),$BW$3+1,M4))</f>
        <v>0</v>
      </c>
      <c r="BZ4" s="61">
        <f>IF(N4="",0,IF(OR(N4="DNF",N4="OCS",N4="DSQ",N4="DNS",N4=" DNS "),$BW$3+1,N4))</f>
        <v>0</v>
      </c>
      <c r="CA4" s="61">
        <f>IF(O4="",0,IF(OR(O4="DNF",O4="OCS",O4="DSQ",O4="DNS",O4=" DNS "),$BW$3+1,O4))</f>
        <v>0</v>
      </c>
      <c r="CB4" s="61">
        <f>IF(P4="",0,IF(OR(P4="DNF",P4="OCS",P4="DSQ",P4="DNS",P4=" DNS "),$BW$3+1,P4))</f>
        <v>0</v>
      </c>
      <c r="CC4" s="61">
        <f>IF(Q4="",0,IF(OR(Q4="DNF",Q4="OCS",Q4="DSQ",Q4="DNS",Q4=" DNS "),$BW$3+1,Q4))</f>
        <v>0</v>
      </c>
      <c r="CD4" s="61">
        <f>IF(R4="",0,IF(OR(R4="DNF",R4="OCS",R4="DSQ",R4="DNS",R4=" DNS "),$BW$3+1,R4))</f>
        <v>0</v>
      </c>
      <c r="CE4" s="61">
        <f>IF(S4="",0,IF(OR(S4="DNF",S4="OCS",S4="DSQ",S4="DNS",S4=" DNS "),$BW$3+1,S4))</f>
        <v>0</v>
      </c>
      <c r="CF4" s="61">
        <f>IF(T4="",0,IF(OR(T4="DNF",T4="OCS",T4="DSQ",T4="DNS",T4=" DNS "),$BW$3+1,T4))</f>
        <v>0</v>
      </c>
      <c r="CG4" s="61">
        <f>IF(U4="",0,IF(OR(U4="DNF",U4="OCS",U4="DSQ",U4="DNS",U4=" DNS "),$BW$3+1,U4))</f>
        <v>0</v>
      </c>
      <c r="CH4" s="61">
        <f>IF(V4="",0,IF(OR(V4="DNF",V4="OCS",V4="DSQ",V4="DNS",V4=" DNS "),$BW$3+1,V4))</f>
        <v>0</v>
      </c>
      <c r="CI4" s="61">
        <f>IF(W4="",0,IF(OR(W4="DNF",W4="OCS",W4="DSQ",W4="DNS",W4=" DNS "),$BW$3+1,W4))</f>
        <v>0</v>
      </c>
      <c r="CJ4" s="61">
        <f>IF(X4="",0,IF(OR(X4="DNF",X4="OCS",X4="DSQ",X4="DNS",X4=" DNS "),$BW$3+1,X4))</f>
        <v>0</v>
      </c>
      <c r="CK4" s="61">
        <f>IF(Y4="",0,IF(OR(Y4="DNF",Y4="OCS",Y4="DSQ",Y4="DNS",Y4=" DNS "),$BW$3+1,Y4))</f>
        <v>0</v>
      </c>
      <c r="CL4" s="61">
        <f>IF(Z4="",0,IF(OR(Z4="DNF",Z4="OCS",Z4="DSQ",Z4="DNS",Z4=" DNS "),$BW$3+1,Z4))</f>
        <v>0</v>
      </c>
      <c r="CM4" s="61">
        <f>IF(AA4="",0,IF(OR(AA4="DNF",AA4="OCS",AA4="DSQ",AA4="DNS",AA4=" DNS "),$BW$3+1,AA4))</f>
        <v>0</v>
      </c>
      <c r="CN4" s="61">
        <f>IF(AB4="",0,IF(OR(AB4="DNF",AB4="OCS",AB4="DSQ",AB4="DNS",AB4=" DNS "),$BW$3+1,AB4))</f>
        <v>0</v>
      </c>
      <c r="CO4" s="61">
        <f>IF(AC4="",0,IF(OR(AC4="DNF",AC4="OCS",AC4="DSQ",AC4="DNS",AC4=" DNS "),$BW$3+1,AC4))</f>
        <v>0</v>
      </c>
      <c r="CP4" s="61">
        <f>IF(AD4="",0,IF(OR(AD4="DNF",AD4="OCS",AD4="DSQ",AD4="DNS",AD4=" DNS "),$BW$3+1,AD4))</f>
        <v>0</v>
      </c>
      <c r="CQ4" s="61">
        <f>IF(AE4="",0,IF(OR(AE4="DNF",AE4="OCS",AE4="DSQ",AE4="DNS",AE4=" DNS "),$BW$3+1,AE4))</f>
        <v>0</v>
      </c>
      <c r="CR4" s="61">
        <f>IF(AF4="",0,IF(OR(AF4="DNF",AF4="OCS",AF4="DSQ",AF4="DNS",AF4=" DNS "),$BW$3+1,AF4))</f>
        <v>0</v>
      </c>
      <c r="CS4" s="61">
        <f>IF(AG4="",0,IF(OR(AG4="DNF",AG4="OCS",AG4="DSQ",AG4="DNS",AG4=" DNS "),$BW$3+1,AG4))</f>
        <v>0</v>
      </c>
      <c r="CT4" s="61">
        <f>IF(AH4="",0,IF(OR(AH4="DNF",AH4="OCS",AH4="DSQ",AH4="DNS",AH4=" DNS "),$BW$3+1,AH4))</f>
        <v>0</v>
      </c>
      <c r="CU4" s="61">
        <f>IF(AI4="",0,IF(OR(AI4="DNF",AI4="OCS",AI4="DSQ",AI4="DNS",AI4=" DNS "),$BW$3+1,AI4))</f>
        <v>0</v>
      </c>
      <c r="CV4" s="61">
        <f>IF(AJ4="",0,IF(OR(AJ4="DNF",AJ4="OCS",AJ4="DSQ",AJ4="DNS",AJ4=" DNS "),$BW$3+1,AJ4))</f>
        <v>0</v>
      </c>
      <c r="CW4" s="61">
        <f>IF(AK4="",0,IF(OR(AK4="DNF",AK4="OCS",AK4="DSQ",AK4="DNS",AK4=" DNS "),$BW$3+1,AK4))</f>
        <v>0</v>
      </c>
      <c r="CX4" s="61">
        <f>IF(AL4="",0,IF(OR(AL4="DNF",AL4="OCS",AL4="DSQ",AL4="DNS",AL4=" DNS "),$BW$3+1,AL4))</f>
        <v>0</v>
      </c>
      <c r="CY4" s="61">
        <f>IF(AM4="",0,IF(OR(AM4="DNF",AM4="OCS",AM4="DSQ",AM4="DNS",AM4=" DNS "),$BW$3+1,AM4))</f>
        <v>0</v>
      </c>
      <c r="CZ4" s="61">
        <f>IF(AN4="",0,IF(OR(AN4="DNF",AN4="OCS",AN4="DSQ",AN4="DNS",AN4=" DNS "),$BW$3+1,AN4))</f>
        <v>0</v>
      </c>
      <c r="DA4" s="61">
        <f>IF(AO4="",0,IF(OR(AO4="DNF",AO4="OCS",AO4="DSQ",AO4="DNS",AO4=" DNS "),$BW$3+1,AO4))</f>
        <v>0</v>
      </c>
      <c r="DB4" s="61">
        <f>IF(AP4="",0,IF(OR(AP4="DNF",AP4="OCS",AP4="DSQ",AP4="DNS",AP4=" DNS "),$BW$3+1,AP4))</f>
        <v>0</v>
      </c>
      <c r="DC4" s="61">
        <f>IF(AQ4="",0,IF(OR(AQ4="DNF",AQ4="OCS",AQ4="DSQ",AQ4="DNS",AQ4=" DNS "),$BW$3+1,AQ4))</f>
        <v>0</v>
      </c>
      <c r="DD4" s="61">
        <f>IF(AR4="",0,IF(OR(AR4="DNF",AR4="OCS",AR4="DSQ",AR4="DNS",AR4=" DNS "),$BW$3+1,AR4))</f>
        <v>0</v>
      </c>
      <c r="DE4" s="61">
        <f>IF(AS4="",0,IF(OR(AS4="DNF",AS4="OCS",AS4="DSQ",AS4="DNS",AS4=" DNS "),$BW$3+1,AS4))</f>
        <v>0</v>
      </c>
      <c r="DF4" s="61">
        <f>IF(AT4="",0,IF(OR(AT4="DNF",AT4="OCS",AT4="DSQ",AT4="DNS",AT4=" DNS "),$BW$3+1,AT4))</f>
        <v>0</v>
      </c>
      <c r="DG4" s="61">
        <f>IF(AU4="",0,IF(OR(AU4="DNF",AU4="OCS",AU4="DSQ",AU4="DNS",AU4=" DNS "),$BW$3+1,AU4))</f>
        <v>0</v>
      </c>
      <c r="DH4" s="61">
        <f>IF(AV4="",0,IF(OR(AV4="DNF",AV4="OCS",AV4="DSQ",AV4="DNS",AV4=" DNS "),$BW$3+1,AV4))</f>
        <v>0</v>
      </c>
      <c r="DI4" s="61">
        <f>IF(AW4="",0,IF(OR(AW4="DNF",AW4="OCS",AW4="DSQ",AW4="DNS",AW4=" DNS "),$BW$3+1,AW4))</f>
        <v>0</v>
      </c>
      <c r="DJ4" s="61">
        <f>IF(AX4="",0,IF(OR(AX4="DNF",AX4="OCS",AX4="DSQ",AX4="DNS",AX4=" DNS "),$BW$3+1,AX4))</f>
        <v>0</v>
      </c>
      <c r="DK4" s="61">
        <f>IF(AY4="",0,IF(OR(AY4="DNF",AY4="OCS",AY4="DSQ",AY4="DNS",AY4=" DNS "),$BW$3+1,AY4))</f>
        <v>0</v>
      </c>
      <c r="DL4" s="61">
        <f>IF(AZ4="",0,IF(OR(AZ4="DNF",AZ4="OCS",AZ4="DSQ",AZ4="DNS",AZ4=" DNS "),$BW$3+1,AZ4))</f>
        <v>0</v>
      </c>
      <c r="DM4" s="61">
        <f>IF(BA4="",0,IF(OR(BA4="DNF",BA4="OCS",BA4="DSQ",BA4="DNS",BA4=" DNS "),$BW$3+1,BA4))</f>
        <v>0</v>
      </c>
      <c r="DN4" s="61">
        <f>IF(BB4="",0,IF(OR(BB4="DNF",BB4="OCS",BB4="DSQ",BB4="DNS",BB4=" DNS "),$BW$3+1,BB4))</f>
        <v>0</v>
      </c>
      <c r="DO4" s="61">
        <f>IF(BC4="",0,IF(OR(BC4="DNF",BC4="OCS",BC4="DSQ",BC4="DNS",BC4=" DNS "),$BW$3+1,BC4))</f>
        <v>0</v>
      </c>
      <c r="DP4" s="61">
        <f>IF(BD4="",0,IF(OR(BD4="DNF",BD4="OCS",BD4="DSQ",BD4="DNS",BD4=" DNS "),$BW$3+1,BD4))</f>
        <v>0</v>
      </c>
      <c r="DQ4" s="61">
        <f>IF(BE4="",0,IF(OR(BE4="DNF",BE4="OCS",BE4="DSQ",BE4="DNS",BE4=" DNS "),$BW$3+1,BE4))</f>
        <v>0</v>
      </c>
      <c r="DR4" s="61">
        <f>IF(BF4="",0,IF(OR(BF4="DNF",BF4="OCS",BF4="DSQ",BF4="DNS",BF4=" DNS "),$BW$3+1,BF4))</f>
        <v>0</v>
      </c>
      <c r="DS4" s="61">
        <f>IF(BG4="",0,IF(OR(BG4="DNF",BG4="OCS",BG4="DSQ",BG4="DNS",BG4=" DNS "),$BW$3+1,BG4))</f>
        <v>0</v>
      </c>
      <c r="DT4" s="61">
        <f>IF(BH4="",0,IF(OR(BH4="DNF",BH4="OCS",BH4="DSQ",BH4="DNS",BH4=" DNS "),$BW$3+1,BH4))</f>
        <v>0</v>
      </c>
      <c r="DU4" s="61">
        <f>IF(BI4="",0,IF(OR(BI4="DNF",BI4="OCS",BI4="DSQ",BI4="DNS",BI4=" DNS "),$BW$3+1,BI4))</f>
        <v>0</v>
      </c>
      <c r="DV4" s="61">
        <f>IF(BJ4="",0,IF(OR(BJ4="DNF",BJ4="OCS",BJ4="DSQ",BJ4="DNS",BJ4=" DNS "),$BW$3+1,BJ4))</f>
        <v>0</v>
      </c>
      <c r="DW4" s="61">
        <f>IF(BK4="",0,IF(OR(BK4="DNF",BK4="OCS",BK4="DSQ",BK4="DNS",BK4=" DNS "),$BW$3+1,BK4))</f>
        <v>0</v>
      </c>
      <c r="DX4" s="61">
        <f>IF(BL4="",0,IF(OR(BL4="DNF",BL4="OCS",BL4="DSQ",BL4="DNS",BL4=" DNS "),$BW$3+1,BL4))</f>
        <v>0</v>
      </c>
      <c r="DY4" s="61">
        <f>IF(BM4="",0,IF(OR(BM4="DNF",BM4="OCS",BM4="DSQ",BM4="DNS",BM4=" DNS "),$BW$3+1,BM4))</f>
        <v>0</v>
      </c>
      <c r="DZ4" s="61">
        <f>IF(BN4="",0,IF(OR(BN4="DNF",BN4="OCS",BN4="DSQ",BN4="DNS",BN4=" DNS "),$BW$3+1,BN4))</f>
        <v>0</v>
      </c>
      <c r="EA4" s="61">
        <f>IF(BO4="",0,IF(OR(BO4="DNF",BO4="OCS",BO4="DSQ",BO4="DNS",BO4=" DNS "),$BW$3+1,BO4))</f>
        <v>0</v>
      </c>
      <c r="EB4" s="61">
        <f>IF(BP4="",0,IF(OR(BP4="DNF",BP4="OCS",BP4="DSQ",BP4="DNS",BP4=" DNS "),$BW$3+1,BP4))</f>
        <v>0</v>
      </c>
      <c r="EC4" s="61">
        <f>IF(BQ4="",0,IF(OR(BQ4="DNF",BQ4="OCS",BQ4="DSQ",BQ4="DNS",BQ4=" DNS "),$BW$3+1,BQ4))</f>
        <v>0</v>
      </c>
      <c r="EE4" s="61">
        <f xml:space="preserve">
IF(OR(Deltagarlista!$K$3=3,Deltagarlista!$K$3=4),
IF(Arrangörslista!$U$5&lt;8,0,
IF(Arrangörslista!$U$5&lt;16,SUM(LARGE(BV4:CJ4,1)),
IF(Arrangörslista!$U$5&lt;24,SUM(LARGE(BV4:CR4,{1;2})),
IF(Arrangörslista!$U$5&lt;32,SUM(LARGE(BV4:CZ4,{1;2;3})),
IF(Arrangörslista!$U$5&lt;40,SUM(LARGE(BV4:DH4,{1;2;3;4})),
IF(Arrangörslista!$U$5&lt;48,SUM(LARGE(BV4:DP4,{1;2;3;4;5})),
IF(Arrangörslista!$U$5&lt;56,SUM(LARGE(BV4:DX4,{1;2;3;4;5;6})),
IF(Arrangörslista!$U$5&lt;64,SUM(LARGE(BV4:EC4,{1;2;3;4;5;6;7})),0)))))))),
IF(Deltagarlista!$K$3=2,
IF(Arrangörslista!$U$5&lt;4,LARGE(BV4:BX4,1),
IF(Arrangörslista!$U$5&lt;7,SUM(LARGE(BV4:CA4,{1;2;3})),
IF(Arrangörslista!$U$5&lt;10,SUM(LARGE(BV4:CD4,{1;2;3;4})),
IF(Arrangörslista!$U$5&lt;13,SUM(LARGE(BV4:CG4,{1;2;3;4;5;6})),
IF(Arrangörslista!$U$5&lt;16,SUM(LARGE(BV4:CJ4,{1;2;3;4;5;6;7})),
IF(Arrangörslista!$U$5&lt;19,SUM(LARGE(BV4:CM4,{1;2;3;4;5;6;7;8;9})),
IF(Arrangörslista!$U$5&lt;22,SUM(LARGE(BV4:CP4,{1;2;3;4;5;6;7;8;9;10})),
IF(Arrangörslista!$U$5&lt;25,SUM(LARGE(BV4:CS4,{1;2;3;4;5;6;7;8;9;10;11;12})),
IF(Arrangörslista!$U$5&lt;28,SUM(LARGE(BV4:CV4,{1;2;3;4;5;6;7;8;9;10;11;12;13})),
IF(Arrangörslista!$U$5&lt;31,SUM(LARGE(BV4:CY4,{1;2;3;4;5;6;7;8;9;10;11;12;13;14;15})),
IF(Arrangörslista!$U$5&lt;34,SUM(LARGE(BV4:DB4,{1;2;3;4;5;6;7;8;9;10;11;12;13;14;15;16})),
IF(Arrangörslista!$U$5&lt;37,SUM(LARGE(BV4:DE4,{1;2;3;4;5;6;7;8;9;10;11;12;13;14;15;16;17;18})),
IF(Arrangörslista!$U$5&lt;40,SUM(LARGE(BV4:DH4,{1;2;3;4;5;6;7;8;9;10;11;12;13;14;15;16;17;18;19})),
IF(Arrangörslista!$U$5&lt;43,SUM(LARGE(BV4:DK4,{1;2;3;4;5;6;7;8;9;10;11;12;13;14;15;16;17;18;19;20;21})),
IF(Arrangörslista!$U$5&lt;46,SUM(LARGE(BV4:DN4,{1;2;3;4;5;6;7;8;9;10;11;12;13;14;15;16;17;18;19;20;21;22})),
IF(Arrangörslista!$U$5&lt;49,SUM(LARGE(BV4:DQ4,{1;2;3;4;5;6;7;8;9;10;11;12;13;14;15;16;17;18;19;20;21;22;23;24})),
IF(Arrangörslista!$U$5&lt;52,SUM(LARGE(BV4:DT4,{1;2;3;4;5;6;7;8;9;10;11;12;13;14;15;16;17;18;19;20;21;22;23;24;25})),
IF(Arrangörslista!$U$5&lt;55,SUM(LARGE(BV4:DW4,{1;2;3;4;5;6;7;8;9;10;11;12;13;14;15;16;17;18;19;20;21;22;23;24;25;26;27})),
IF(Arrangörslista!$U$5&lt;58,SUM(LARGE(BV4:DZ4,{1;2;3;4;5;6;7;8;9;10;11;12;13;14;15;16;17;18;19;20;21;22;23;24;25;26;27;28})),
IF(Arrangörslista!$U$5&lt;61,SUM(LARGE(BV4:EC4,{1;2;3;4;5;6;7;8;9;10;11;12;13;14;15;16;17;18;19;20;21;22;23;24;25;26;27;28;29;30})),0)))))))))))))))))))),
IF(Arrangörslista!$U$5&lt;4,0,
IF(Arrangörslista!$U$5&lt;8,SUM(LARGE(BV4:CB4,1)),
IF(Arrangörslista!$U$5&lt;12,SUM(LARGE(BV4:CF4,{1;2})),
IF(Arrangörslista!$U$5&lt;16,SUM(LARGE(BV4:CJ4,{1;2;3})),
IF(Arrangörslista!$U$5&lt;20,SUM(LARGE(BV4:CN4,{1;2;3;4})),
IF(Arrangörslista!$U$5&lt;24,SUM(LARGE(BV4:CR4,{1;2;3;4;5})),
IF(Arrangörslista!$U$5&lt;28,SUM(LARGE(BV4:CV4,{1;2;3;4;5;6})),
IF(Arrangörslista!$U$5&lt;32,SUM(LARGE(BV4:CZ4,{1;2;3;4;5;6;7})),
IF(Arrangörslista!$U$5&lt;36,SUM(LARGE(BV4:DD4,{1;2;3;4;5;6;7;8})),
IF(Arrangörslista!$U$5&lt;40,SUM(LARGE(BV4:DH4,{1;2;3;4;5;6;7;8;9})),
IF(Arrangörslista!$U$5&lt;44,SUM(LARGE(BV4:DL4,{1;2;3;4;5;6;7;8;9;10})),
IF(Arrangörslista!$U$5&lt;48,SUM(LARGE(BV4:DP4,{1;2;3;4;5;6;7;8;9;10;11})),
IF(Arrangörslista!$U$5&lt;52,SUM(LARGE(BV4:DT4,{1;2;3;4;5;6;7;8;9;10;11;12})),
IF(Arrangörslista!$U$5&lt;56,SUM(LARGE(BV4:DX4,{1;2;3;4;5;6;7;8;9;10;11;12;13})),
IF(Arrangörslista!$U$5&lt;60,SUM(LARGE(BV4:EB4,{1;2;3;4;5;6;7;8;9;10;11;12;13;14})),
IF(Arrangörslista!$U$5=60,SUM(LARGE(BV4:EC4,{1;2;3;4;5;6;7;8;9;10;11;12;13;14;15})),0))))))))))))))))))</f>
        <v>0</v>
      </c>
      <c r="EG4" s="67">
        <f>IF(F4="",,1)</f>
        <v>0</v>
      </c>
      <c r="EH4" s="61"/>
      <c r="EI4" s="61"/>
      <c r="EK4" s="62">
        <f>SMALL($J67:$BQ67,1)</f>
        <v>61</v>
      </c>
      <c r="EL4" s="62">
        <f>SMALL($J67:$BQ67,2)</f>
        <v>61</v>
      </c>
      <c r="EM4" s="62">
        <f>SMALL($J67:$BQ67,3)</f>
        <v>61</v>
      </c>
      <c r="EN4" s="62">
        <f>SMALL($J67:$BQ67,4)</f>
        <v>61</v>
      </c>
      <c r="EO4" s="62">
        <f>SMALL($J67:$BQ67,5)</f>
        <v>61</v>
      </c>
      <c r="EP4" s="62">
        <f>SMALL($J67:$BQ67,6)</f>
        <v>61</v>
      </c>
      <c r="EQ4" s="62">
        <f>SMALL($J67:$BQ67,7)</f>
        <v>61</v>
      </c>
      <c r="ER4" s="62">
        <f>SMALL($J67:$BQ67,8)</f>
        <v>61</v>
      </c>
      <c r="ES4" s="62">
        <f>SMALL($J67:$BQ67,9)</f>
        <v>61</v>
      </c>
      <c r="ET4" s="62">
        <f>SMALL($J67:$BQ67,10)</f>
        <v>61</v>
      </c>
      <c r="EU4" s="62">
        <f>SMALL($J67:$BQ67,11)</f>
        <v>61</v>
      </c>
      <c r="EV4" s="62">
        <f>SMALL($J67:$BQ67,12)</f>
        <v>61</v>
      </c>
      <c r="EW4" s="62">
        <f>SMALL($J67:$BQ67,13)</f>
        <v>61</v>
      </c>
      <c r="EX4" s="62">
        <f>SMALL($J67:$BQ67,14)</f>
        <v>61</v>
      </c>
      <c r="EY4" s="62">
        <f>SMALL($J67:$BQ67,15)</f>
        <v>61</v>
      </c>
      <c r="EZ4" s="62">
        <f>SMALL($J67:$BQ67,16)</f>
        <v>61</v>
      </c>
      <c r="FA4" s="62">
        <f>SMALL($J67:$BQ67,17)</f>
        <v>61</v>
      </c>
      <c r="FB4" s="62">
        <f>SMALL($J67:$BQ67,18)</f>
        <v>61</v>
      </c>
      <c r="FC4" s="62">
        <f>SMALL($J67:$BQ67,19)</f>
        <v>61</v>
      </c>
      <c r="FD4" s="62">
        <f>SMALL($J67:$BQ67,20)</f>
        <v>61</v>
      </c>
      <c r="FE4" s="62">
        <f>SMALL($J67:$BQ67,21)</f>
        <v>61</v>
      </c>
      <c r="FF4" s="62">
        <f>SMALL($J67:$BQ67,22)</f>
        <v>61</v>
      </c>
      <c r="FG4" s="62">
        <f>SMALL($J67:$BQ67,23)</f>
        <v>61</v>
      </c>
      <c r="FH4" s="62">
        <f>SMALL($J67:$BQ67,24)</f>
        <v>61</v>
      </c>
      <c r="FI4" s="62">
        <f>SMALL($J67:$BQ67,25)</f>
        <v>61</v>
      </c>
      <c r="FJ4" s="62">
        <f>SMALL($J67:$BQ67,26)</f>
        <v>61</v>
      </c>
      <c r="FK4" s="62">
        <f>SMALL($J67:$BQ67,27)</f>
        <v>61</v>
      </c>
      <c r="FL4" s="62">
        <f>SMALL($J67:$BQ67,28)</f>
        <v>61</v>
      </c>
      <c r="FM4" s="62">
        <f>SMALL($J67:$BQ67,29)</f>
        <v>61</v>
      </c>
      <c r="FN4" s="62">
        <f>SMALL($J67:$BQ67,30)</f>
        <v>61</v>
      </c>
      <c r="FO4" s="62">
        <f>SMALL($J67:$BQ67,31)</f>
        <v>61</v>
      </c>
      <c r="FP4" s="62">
        <f>SMALL($J67:$BQ67,32)</f>
        <v>61</v>
      </c>
      <c r="FQ4" s="62">
        <f>SMALL($J67:$BQ67,33)</f>
        <v>61</v>
      </c>
      <c r="FR4" s="62">
        <f>SMALL($J67:$BQ67,34)</f>
        <v>61</v>
      </c>
      <c r="FS4" s="62">
        <f>SMALL($J67:$BQ67,35)</f>
        <v>61</v>
      </c>
      <c r="FT4" s="62">
        <f>SMALL($J67:$BQ67,36)</f>
        <v>61</v>
      </c>
      <c r="FU4" s="62">
        <f>SMALL($J67:$BQ67,37)</f>
        <v>61</v>
      </c>
      <c r="FV4" s="62">
        <f>SMALL($J67:$BQ67,38)</f>
        <v>61</v>
      </c>
      <c r="FW4" s="62">
        <f>SMALL($J67:$BQ67,39)</f>
        <v>61</v>
      </c>
      <c r="FX4" s="62">
        <f>SMALL($J67:$BQ67,40)</f>
        <v>61</v>
      </c>
      <c r="FY4" s="62">
        <f>SMALL($J67:$BQ67,41)</f>
        <v>61</v>
      </c>
      <c r="FZ4" s="62">
        <f>SMALL($J67:$BQ67,42)</f>
        <v>61</v>
      </c>
      <c r="GA4" s="62">
        <f>SMALL($J67:$BQ67,43)</f>
        <v>61</v>
      </c>
      <c r="GB4" s="62">
        <f>SMALL($J67:$BQ67,44)</f>
        <v>61</v>
      </c>
      <c r="GC4" s="62">
        <f>SMALL($J67:$BQ67,45)</f>
        <v>61</v>
      </c>
      <c r="GD4" s="62">
        <f>SMALL($J67:$BQ67,46)</f>
        <v>61</v>
      </c>
      <c r="GE4" s="62">
        <f>SMALL($J67:$BQ67,47)</f>
        <v>61</v>
      </c>
      <c r="GF4" s="62">
        <f>SMALL($J67:$BQ67,48)</f>
        <v>61</v>
      </c>
      <c r="GG4" s="62">
        <f>SMALL($J67:$BQ67,49)</f>
        <v>61</v>
      </c>
      <c r="GH4" s="62">
        <f>SMALL($J67:$BQ67,50)</f>
        <v>61</v>
      </c>
      <c r="GI4" s="62">
        <f>SMALL($J67:$BQ67,51)</f>
        <v>61</v>
      </c>
      <c r="GJ4" s="62">
        <f>SMALL($J67:$BQ67,52)</f>
        <v>61</v>
      </c>
      <c r="GK4" s="62">
        <f>SMALL($J67:$BQ67,53)</f>
        <v>61</v>
      </c>
      <c r="GL4" s="62">
        <f>SMALL($J67:$BQ67,54)</f>
        <v>61</v>
      </c>
      <c r="GM4" s="62">
        <f>SMALL($J67:$BQ67,55)</f>
        <v>61</v>
      </c>
      <c r="GN4" s="62">
        <f>SMALL($J67:$BQ67,56)</f>
        <v>61</v>
      </c>
      <c r="GO4" s="62">
        <f>SMALL($J67:$BQ67,57)</f>
        <v>61</v>
      </c>
      <c r="GP4" s="62">
        <f>SMALL($J67:$BQ67,58)</f>
        <v>61</v>
      </c>
      <c r="GQ4" s="62">
        <f>SMALL($J67:$BQ67,59)</f>
        <v>61</v>
      </c>
      <c r="GR4" s="62">
        <f>SMALL($J67:$BQ67,60)</f>
        <v>61</v>
      </c>
      <c r="GT4" s="62">
        <f>IF(Deltagarlista!$K$3=2,
IF(GW4="1",
      IF(Arrangörslista!$U$5=1,J67,
IF(Arrangörslista!$U$5=2,K67,
IF(Arrangörslista!$U$5=3,L67,
IF(Arrangörslista!$U$5=4,M67,
IF(Arrangörslista!$U$5=5,N67,
IF(Arrangörslista!$U$5=6,O67,
IF(Arrangörslista!$U$5=7,P67,
IF(Arrangörslista!$U$5=8,Q67,
IF(Arrangörslista!$U$5=9,R67,
IF(Arrangörslista!$U$5=10,S67,
IF(Arrangörslista!$U$5=11,T67,
IF(Arrangörslista!$U$5=12,U67,
IF(Arrangörslista!$U$5=13,V67,
IF(Arrangörslista!$U$5=14,W67,
IF(Arrangörslista!$U$5=15,X67,
IF(Arrangörslista!$U$5=16,Y67,IF(Arrangörslista!$U$5=17,Z67,IF(Arrangörslista!$U$5=18,AA67,IF(Arrangörslista!$U$5=19,AB67,IF(Arrangörslista!$U$5=20,AC67,IF(Arrangörslista!$U$5=21,AD67,IF(Arrangörslista!$U$5=22,AE67,IF(Arrangörslista!$U$5=23,AF67, IF(Arrangörslista!$U$5=24,AG67, IF(Arrangörslista!$U$5=25,AH67, IF(Arrangörslista!$U$5=26,AI67, IF(Arrangörslista!$U$5=27,AJ67, IF(Arrangörslista!$U$5=28,AK67, IF(Arrangörslista!$U$5=29,AL67, IF(Arrangörslista!$U$5=30,AM67, IF(Arrangörslista!$U$5=31,AN67, IF(Arrangörslista!$U$5=32,AO67, IF(Arrangörslista!$U$5=33,AP67, IF(Arrangörslista!$U$5=34,AQ67, IF(Arrangörslista!$U$5=35,AR67, IF(Arrangörslista!$U$5=36,AS67, IF(Arrangörslista!$U$5=37,AT67, IF(Arrangörslista!$U$5=38,AU67, IF(Arrangörslista!$U$5=39,AV67, IF(Arrangörslista!$U$5=40,AW67, IF(Arrangörslista!$U$5=41,AX67, IF(Arrangörslista!$U$5=42,AY67, IF(Arrangörslista!$U$5=43,AZ67, IF(Arrangörslista!$U$5=44,BA67, IF(Arrangörslista!$U$5=45,BB67, IF(Arrangörslista!$U$5=46,BC67, IF(Arrangörslista!$U$5=47,BD67, IF(Arrangörslista!$U$5=48,BE67, IF(Arrangörslista!$U$5=49,BF67, IF(Arrangörslista!$U$5=50,BG67, IF(Arrangörslista!$U$5=51,BH67, IF(Arrangörslista!$U$5=52,BI67, IF(Arrangörslista!$U$5=53,BJ67, IF(Arrangörslista!$U$5=54,BK67, IF(Arrangörslista!$U$5=55,BL67, IF(Arrangörslista!$U$5=56,BM67, IF(Arrangörslista!$U$5=57,BN67, IF(Arrangörslista!$U$5=58,BO67, IF(Arrangörslista!$U$5=59,BP67, IF(Arrangörslista!$U$5=60,BQ67,0))))))))))))))))))))))))))))))))))))))))))))))))))))))))))))),IF(Deltagarlista!$K$3=4, IF(Arrangörslista!$U$5=1,J67,
IF(Arrangörslista!$U$5=2,J67,
IF(Arrangörslista!$U$5=3,K67,
IF(Arrangörslista!$U$5=4,K67,
IF(Arrangörslista!$U$5=5,L67,
IF(Arrangörslista!$U$5=6,L67,
IF(Arrangörslista!$U$5=7,M67,
IF(Arrangörslista!$U$5=8,M67,
IF(Arrangörslista!$U$5=9,N67,
IF(Arrangörslista!$U$5=10,N67,
IF(Arrangörslista!$U$5=11,O67,
IF(Arrangörslista!$U$5=12,O67,
IF(Arrangörslista!$U$5=13,P67,
IF(Arrangörslista!$U$5=14,P67,
IF(Arrangörslista!$U$5=15,Q67,
IF(Arrangörslista!$U$5=16,Q67,
IF(Arrangörslista!$U$5=17,R67,
IF(Arrangörslista!$U$5=18,R67,
IF(Arrangörslista!$U$5=19,S67,
IF(Arrangörslista!$U$5=20,S67,
IF(Arrangörslista!$U$5=21,T67,
IF(Arrangörslista!$U$5=22,T67,IF(Arrangörslista!$U$5=23,U67, IF(Arrangörslista!$U$5=24,U67, IF(Arrangörslista!$U$5=25,V67, IF(Arrangörslista!$U$5=26,V67, IF(Arrangörslista!$U$5=27,W67, IF(Arrangörslista!$U$5=28,W67, IF(Arrangörslista!$U$5=29,X67, IF(Arrangörslista!$U$5=30,X67, IF(Arrangörslista!$U$5=31,X67, IF(Arrangörslista!$U$5=32,Y67, IF(Arrangörslista!$U$5=33,AO67, IF(Arrangörslista!$U$5=34,Y67, IF(Arrangörslista!$U$5=35,Z67, IF(Arrangörslista!$U$5=36,AR67, IF(Arrangörslista!$U$5=37,Z67, IF(Arrangörslista!$U$5=38,AA67, IF(Arrangörslista!$U$5=39,AU67, IF(Arrangörslista!$U$5=40,AA67, IF(Arrangörslista!$U$5=41,AB67, IF(Arrangörslista!$U$5=42,AX67, IF(Arrangörslista!$U$5=43,AB67, IF(Arrangörslista!$U$5=44,AC67, IF(Arrangörslista!$U$5=45,BA67, IF(Arrangörslista!$U$5=46,AC67, IF(Arrangörslista!$U$5=47,AD67, IF(Arrangörslista!$U$5=48,BD67, IF(Arrangörslista!$U$5=49,AD67, IF(Arrangörslista!$U$5=50,AE67, IF(Arrangörslista!$U$5=51,BG67, IF(Arrangörslista!$U$5=52,AE67, IF(Arrangörslista!$U$5=53,AF67, IF(Arrangörslista!$U$5=54,BJ67, IF(Arrangörslista!$U$5=55,AF67, IF(Arrangörslista!$U$5=56,AG67, IF(Arrangörslista!$U$5=57,BM67, IF(Arrangörslista!$U$5=58,AG67, IF(Arrangörslista!$U$5=59,AH67, IF(Arrangörslista!$U$5=60,AH67,0)))))))))))))))))))))))))))))))))))))))))))))))))))))))))))),IF(Arrangörslista!$U$5=1,J67,
IF(Arrangörslista!$U$5=2,K67,
IF(Arrangörslista!$U$5=3,L67,
IF(Arrangörslista!$U$5=4,M67,
IF(Arrangörslista!$U$5=5,N67,
IF(Arrangörslista!$U$5=6,O67,
IF(Arrangörslista!$U$5=7,P67,
IF(Arrangörslista!$U$5=8,Q67,
IF(Arrangörslista!$U$5=9,R67,
IF(Arrangörslista!$U$5=10,S67,
IF(Arrangörslista!$U$5=11,T67,
IF(Arrangörslista!$U$5=12,U67,
IF(Arrangörslista!$U$5=13,V67,
IF(Arrangörslista!$U$5=14,W67,
IF(Arrangörslista!$U$5=15,X67,
IF(Arrangörslista!$U$5=16,Y67,IF(Arrangörslista!$U$5=17,Z67,IF(Arrangörslista!$U$5=18,AA67,IF(Arrangörslista!$U$5=19,AB67,IF(Arrangörslista!$U$5=20,AC67,IF(Arrangörslista!$U$5=21,AD67,IF(Arrangörslista!$U$5=22,AE67,IF(Arrangörslista!$U$5=23,AF67, IF(Arrangörslista!$U$5=24,AG67, IF(Arrangörslista!$U$5=25,AH67, IF(Arrangörslista!$U$5=26,AI67, IF(Arrangörslista!$U$5=27,AJ67, IF(Arrangörslista!$U$5=28,AK67, IF(Arrangörslista!$U$5=29,AL67, IF(Arrangörslista!$U$5=30,AM67, IF(Arrangörslista!$U$5=31,AN67, IF(Arrangörslista!$U$5=32,AO67, IF(Arrangörslista!$U$5=33,AP67, IF(Arrangörslista!$U$5=34,AQ67, IF(Arrangörslista!$U$5=35,AR67, IF(Arrangörslista!$U$5=36,AS67, IF(Arrangörslista!$U$5=37,AT67, IF(Arrangörslista!$U$5=38,AU67, IF(Arrangörslista!$U$5=39,AV67, IF(Arrangörslista!$U$5=40,AW67, IF(Arrangörslista!$U$5=41,AX67, IF(Arrangörslista!$U$5=42,AY67, IF(Arrangörslista!$U$5=43,AZ67, IF(Arrangörslista!$U$5=44,BA67, IF(Arrangörslista!$U$5=45,BB67, IF(Arrangörslista!$U$5=46,BC67, IF(Arrangörslista!$U$5=47,BD67, IF(Arrangörslista!$U$5=48,BE67, IF(Arrangörslista!$U$5=49,BF67, IF(Arrangörslista!$U$5=50,BG67, IF(Arrangörslista!$U$5=51,BH67, IF(Arrangörslista!$U$5=52,BI67, IF(Arrangörslista!$U$5=53,BJ67, IF(Arrangörslista!$U$5=54,BK67, IF(Arrangörslista!$U$5=55,BL67, IF(Arrangörslista!$U$5=56,BM67, IF(Arrangörslista!$U$5=57,BN67, IF(Arrangörslista!$U$5=58,BO67, IF(Arrangörslista!$U$5=59,BP67, IF(Arrangörslista!$U$5=60,BQ67,0))))))))))))))))))))))))))))))))))))))))))))))))))))))))))))
))</f>
        <v>0</v>
      </c>
      <c r="GV4" s="65" t="str">
        <f>IFERROR(IF(VLOOKUP(F4,Deltagarlista!$E$5:$I$64,5,FALSE)="Grön","Gr",IF(VLOOKUP(F4,Deltagarlista!$E$5:$I$64,5,FALSE)="Röd","R",IF(VLOOKUP(F4,Deltagarlista!$E$5:$I$64,5,FALSE)="Blå","B","Gu"))),"")</f>
        <v/>
      </c>
      <c r="GW4" s="62" t="str">
        <f>IF(GV4="","",IF(AND($GX$2="R/B",OR(GV4="R",GV4="B")),"1",IF(AND($GX$2="G/R",OR(GV4="R",GV4="G")),"1",IF(AND($GX$2="G/B",OR(GV4="B",GV4="G")),"1","2"))))</f>
        <v/>
      </c>
    </row>
    <row r="5" spans="1:206" x14ac:dyDescent="0.3">
      <c r="B5" s="23" t="str">
        <f>IF($BW$3&gt;1,2,"")</f>
        <v/>
      </c>
      <c r="C5" s="92" t="str">
        <f>IF(ISBLANK(Deltagarlista!C15),"",Deltagarlista!C15)</f>
        <v/>
      </c>
      <c r="D5" s="109" t="str">
        <f>CONCATENATE(IF(AND(Deltagarlista!H15="GM",Deltagarlista!$S$14=TRUE),"GM   ",""), IF(OR(Deltagarlista!$K$3=4,Deltagarlista!$K$3=2),Deltagarlista!I15,""))</f>
        <v/>
      </c>
      <c r="E5" s="8" t="str">
        <f>IF(ISBLANK(Deltagarlista!D15),"",Deltagarlista!D15)</f>
        <v/>
      </c>
      <c r="F5" s="8" t="str">
        <f>IF(ISBLANK(Deltagarlista!E15),"",Deltagarlista!E15)</f>
        <v/>
      </c>
      <c r="G5" s="95" t="str">
        <f>IF(ISBLANK(Deltagarlista!F15),"",Deltagarlista!F15)</f>
        <v/>
      </c>
      <c r="H5" s="72" t="str">
        <f>IF(ISBLANK(Deltagarlista!C15),"",BU5-EE5)</f>
        <v/>
      </c>
      <c r="I5" s="13" t="str">
        <f>IF(ISBLANK(Deltagarlista!C15),"",IF(AND(Deltagarlista!$K$3=2,Deltagarlista!$L$3&lt;37),SUM(SUM(BV5:EC5)-(ROUNDDOWN(Arrangörslista!$U$5/3,1))*($BW$3+1)),SUM(BV5:EC5)))</f>
        <v/>
      </c>
      <c r="J5" s="79" t="str">
        <f>IF(Deltagarlista!$K$3=4,IF(ISBLANK(Deltagarlista!$C15),"",IF(ISBLANK(Arrangörslista!C$8),"",IFERROR(VLOOKUP($F5,Arrangörslista!C$8:$AG$45,16,FALSE),IF(ISBLANK(Deltagarlista!$C15),"",IF(ISBLANK(Arrangörslista!C$8),"",IFERROR(VLOOKUP($F5,Arrangörslista!D$8:$AG$45,16,FALSE),"DNS")))))),IF(Deltagarlista!$K$3=2,
IF(ISBLANK(Deltagarlista!$C15),"",IF(ISBLANK(Arrangörslista!C$8),"",IF($GV5=J$64," DNS ",IFERROR(VLOOKUP($F5,Arrangörslista!C$8:$AG$45,16,FALSE),"DNS")))),IF(ISBLANK(Deltagarlista!$C15),"",IF(ISBLANK(Arrangörslista!C$8),"",IFERROR(VLOOKUP($F5,Arrangörslista!C$8:$AG$45,16,FALSE),"DNS")))))</f>
        <v/>
      </c>
      <c r="K5" s="5" t="str">
        <f>IF(Deltagarlista!$K$3=4,IF(ISBLANK(Deltagarlista!$C15),"",IF(ISBLANK(Arrangörslista!E$8),"",IFERROR(VLOOKUP($F5,Arrangörslista!E$8:$AG$45,16,FALSE),IF(ISBLANK(Deltagarlista!$C15),"",IF(ISBLANK(Arrangörslista!E$8),"",IFERROR(VLOOKUP($F5,Arrangörslista!F$8:$AG$45,16,FALSE),"DNS")))))),IF(Deltagarlista!$K$3=2,
IF(ISBLANK(Deltagarlista!$C15),"",IF(ISBLANK(Arrangörslista!D$8),"",IF($GV5=K$64," DNS ",IFERROR(VLOOKUP($F5,Arrangörslista!D$8:$AG$45,16,FALSE),"DNS")))),IF(ISBLANK(Deltagarlista!$C15),"",IF(ISBLANK(Arrangörslista!D$8),"",IFERROR(VLOOKUP($F5,Arrangörslista!D$8:$AG$45,16,FALSE),"DNS")))))</f>
        <v/>
      </c>
      <c r="L5" s="5" t="str">
        <f>IF(Deltagarlista!$K$3=4,IF(ISBLANK(Deltagarlista!$C15),"",IF(ISBLANK(Arrangörslista!G$8),"",IFERROR(VLOOKUP($F5,Arrangörslista!G$8:$AG$45,16,FALSE),IF(ISBLANK(Deltagarlista!$C15),"",IF(ISBLANK(Arrangörslista!G$8),"",IFERROR(VLOOKUP($F5,Arrangörslista!H$8:$AG$45,16,FALSE),"DNS")))))),IF(Deltagarlista!$K$3=2,
IF(ISBLANK(Deltagarlista!$C15),"",IF(ISBLANK(Arrangörslista!E$8),"",IF($GV5=L$64," DNS ",IFERROR(VLOOKUP($F5,Arrangörslista!E$8:$AG$45,16,FALSE),"DNS")))),IF(ISBLANK(Deltagarlista!$C15),"",IF(ISBLANK(Arrangörslista!E$8),"",IFERROR(VLOOKUP($F5,Arrangörslista!E$8:$AG$45,16,FALSE),"DNS")))))</f>
        <v/>
      </c>
      <c r="M5" s="5" t="str">
        <f>IF(Deltagarlista!$K$3=4,IF(ISBLANK(Deltagarlista!$C15),"",IF(ISBLANK(Arrangörslista!I$8),"",IFERROR(VLOOKUP($F5,Arrangörslista!I$8:$AG$45,16,FALSE),IF(ISBLANK(Deltagarlista!$C15),"",IF(ISBLANK(Arrangörslista!I$8),"",IFERROR(VLOOKUP($F5,Arrangörslista!J$8:$AG$45,16,FALSE),"DNS")))))),IF(Deltagarlista!$K$3=2,
IF(ISBLANK(Deltagarlista!$C15),"",IF(ISBLANK(Arrangörslista!F$8),"",IF($GV5=M$64," DNS ",IFERROR(VLOOKUP($F5,Arrangörslista!F$8:$AG$45,16,FALSE),"DNS")))),IF(ISBLANK(Deltagarlista!$C15),"",IF(ISBLANK(Arrangörslista!F$8),"",IFERROR(VLOOKUP($F5,Arrangörslista!F$8:$AG$45,16,FALSE),"DNS")))))</f>
        <v/>
      </c>
      <c r="N5" s="5" t="str">
        <f>IF(Deltagarlista!$K$3=4,IF(ISBLANK(Deltagarlista!$C15),"",IF(ISBLANK(Arrangörslista!K$8),"",IFERROR(VLOOKUP($F5,Arrangörslista!K$8:$AG$45,16,FALSE),IF(ISBLANK(Deltagarlista!$C15),"",IF(ISBLANK(Arrangörslista!K$8),"",IFERROR(VLOOKUP($F5,Arrangörslista!L$8:$AG$45,16,FALSE),"DNS")))))),IF(Deltagarlista!$K$3=2,
IF(ISBLANK(Deltagarlista!$C15),"",IF(ISBLANK(Arrangörslista!G$8),"",IF($GV5=N$64," DNS ",IFERROR(VLOOKUP($F5,Arrangörslista!G$8:$AG$45,16,FALSE),"DNS")))),IF(ISBLANK(Deltagarlista!$C15),"",IF(ISBLANK(Arrangörslista!G$8),"",IFERROR(VLOOKUP($F5,Arrangörslista!G$8:$AG$45,16,FALSE),"DNS")))))</f>
        <v/>
      </c>
      <c r="O5" s="5" t="str">
        <f>IF(Deltagarlista!$K$3=4,IF(ISBLANK(Deltagarlista!$C15),"",IF(ISBLANK(Arrangörslista!M$8),"",IFERROR(VLOOKUP($F5,Arrangörslista!M$8:$AG$45,16,FALSE),IF(ISBLANK(Deltagarlista!$C15),"",IF(ISBLANK(Arrangörslista!M$8),"",IFERROR(VLOOKUP($F5,Arrangörslista!N$8:$AG$45,16,FALSE),"DNS")))))),IF(Deltagarlista!$K$3=2,
IF(ISBLANK(Deltagarlista!$C15),"",IF(ISBLANK(Arrangörslista!H$8),"",IF($GV5=O$64," DNS ",IFERROR(VLOOKUP($F5,Arrangörslista!H$8:$AG$45,16,FALSE),"DNS")))),IF(ISBLANK(Deltagarlista!$C15),"",IF(ISBLANK(Arrangörslista!H$8),"",IFERROR(VLOOKUP($F5,Arrangörslista!H$8:$AG$45,16,FALSE),"DNS")))))</f>
        <v/>
      </c>
      <c r="P5" s="5" t="str">
        <f>IF(Deltagarlista!$K$3=4,IF(ISBLANK(Deltagarlista!$C15),"",IF(ISBLANK(Arrangörslista!O$8),"",IFERROR(VLOOKUP($F5,Arrangörslista!O$8:$AG$45,16,FALSE),IF(ISBLANK(Deltagarlista!$C15),"",IF(ISBLANK(Arrangörslista!O$8),"",IFERROR(VLOOKUP($F5,Arrangörslista!P$8:$AG$45,16,FALSE),"DNS")))))),IF(Deltagarlista!$K$3=2,
IF(ISBLANK(Deltagarlista!$C15),"",IF(ISBLANK(Arrangörslista!I$8),"",IF($GV5=P$64," DNS ",IFERROR(VLOOKUP($F5,Arrangörslista!I$8:$AG$45,16,FALSE),"DNS")))),IF(ISBLANK(Deltagarlista!$C15),"",IF(ISBLANK(Arrangörslista!I$8),"",IFERROR(VLOOKUP($F5,Arrangörslista!I$8:$AG$45,16,FALSE),"DNS")))))</f>
        <v/>
      </c>
      <c r="Q5" s="5" t="str">
        <f>IF(Deltagarlista!$K$3=4,IF(ISBLANK(Deltagarlista!$C15),"",IF(ISBLANK(Arrangörslista!Q$8),"",IFERROR(VLOOKUP($F5,Arrangörslista!Q$8:$AG$45,16,FALSE),IF(ISBLANK(Deltagarlista!$C15),"",IF(ISBLANK(Arrangörslista!Q$8),"",IFERROR(VLOOKUP($F5,Arrangörslista!C$53:$AG$90,16,FALSE),"DNS")))))),IF(Deltagarlista!$K$3=2,
IF(ISBLANK(Deltagarlista!$C15),"",IF(ISBLANK(Arrangörslista!J$8),"",IF($GV5=Q$64," DNS ",IFERROR(VLOOKUP($F5,Arrangörslista!J$8:$AG$45,16,FALSE),"DNS")))),IF(ISBLANK(Deltagarlista!$C15),"",IF(ISBLANK(Arrangörslista!J$8),"",IFERROR(VLOOKUP($F5,Arrangörslista!J$8:$AG$45,16,FALSE),"DNS")))))</f>
        <v/>
      </c>
      <c r="R5" s="5" t="str">
        <f>IF(Deltagarlista!$K$3=4,IF(ISBLANK(Deltagarlista!$C15),"",IF(ISBLANK(Arrangörslista!D$53),"",IFERROR(VLOOKUP($F5,Arrangörslista!D$53:$AG$90,16,FALSE),IF(ISBLANK(Deltagarlista!$C15),"",IF(ISBLANK(Arrangörslista!D$53),"",IFERROR(VLOOKUP($F5,Arrangörslista!E$53:$AG$90,16,FALSE),"DNS")))))),IF(Deltagarlista!$K$3=2,
IF(ISBLANK(Deltagarlista!$C15),"",IF(ISBLANK(Arrangörslista!K$8),"",IF($GV5=R$64," DNS ",IFERROR(VLOOKUP($F5,Arrangörslista!K$8:$AG$45,16,FALSE),"DNS")))),IF(ISBLANK(Deltagarlista!$C15),"",IF(ISBLANK(Arrangörslista!K$8),"",IFERROR(VLOOKUP($F5,Arrangörslista!K$8:$AG$45,16,FALSE),"DNS")))))</f>
        <v/>
      </c>
      <c r="S5" s="5" t="str">
        <f>IF(Deltagarlista!$K$3=4,IF(ISBLANK(Deltagarlista!$C15),"",IF(ISBLANK(Arrangörslista!F$53),"",IFERROR(VLOOKUP($F5,Arrangörslista!F$53:$AG$90,16,FALSE),IF(ISBLANK(Deltagarlista!$C15),"",IF(ISBLANK(Arrangörslista!F$53),"",IFERROR(VLOOKUP($F5,Arrangörslista!G$53:$AG$90,16,FALSE),"DNS")))))),IF(Deltagarlista!$K$3=2,
IF(ISBLANK(Deltagarlista!$C15),"",IF(ISBLANK(Arrangörslista!L$8),"",IF($GV5=S$64," DNS ",IFERROR(VLOOKUP($F5,Arrangörslista!L$8:$AG$45,16,FALSE),"DNS")))),IF(ISBLANK(Deltagarlista!$C15),"",IF(ISBLANK(Arrangörslista!L$8),"",IFERROR(VLOOKUP($F5,Arrangörslista!L$8:$AG$45,16,FALSE),"DNS")))))</f>
        <v/>
      </c>
      <c r="T5" s="5" t="str">
        <f>IF(Deltagarlista!$K$3=4,IF(ISBLANK(Deltagarlista!$C15),"",IF(ISBLANK(Arrangörslista!H$53),"",IFERROR(VLOOKUP($F5,Arrangörslista!H$53:$AG$90,16,FALSE),IF(ISBLANK(Deltagarlista!$C15),"",IF(ISBLANK(Arrangörslista!H$53),"",IFERROR(VLOOKUP($F5,Arrangörslista!I$53:$AG$90,16,FALSE),"DNS")))))),IF(Deltagarlista!$K$3=2,
IF(ISBLANK(Deltagarlista!$C15),"",IF(ISBLANK(Arrangörslista!M$8),"",IF($GV5=T$64," DNS ",IFERROR(VLOOKUP($F5,Arrangörslista!M$8:$AG$45,16,FALSE),"DNS")))),IF(ISBLANK(Deltagarlista!$C15),"",IF(ISBLANK(Arrangörslista!M$8),"",IFERROR(VLOOKUP($F5,Arrangörslista!M$8:$AG$45,16,FALSE),"DNS")))))</f>
        <v/>
      </c>
      <c r="U5" s="5" t="str">
        <f>IF(Deltagarlista!$K$3=4,IF(ISBLANK(Deltagarlista!$C15),"",IF(ISBLANK(Arrangörslista!J$53),"",IFERROR(VLOOKUP($F5,Arrangörslista!J$53:$AG$90,16,FALSE),IF(ISBLANK(Deltagarlista!$C15),"",IF(ISBLANK(Arrangörslista!J$53),"",IFERROR(VLOOKUP($F5,Arrangörslista!K$53:$AG$90,16,FALSE),"DNS")))))),IF(Deltagarlista!$K$3=2,
IF(ISBLANK(Deltagarlista!$C15),"",IF(ISBLANK(Arrangörslista!N$8),"",IF($GV5=U$64," DNS ",IFERROR(VLOOKUP($F5,Arrangörslista!N$8:$AG$45,16,FALSE),"DNS")))),IF(ISBLANK(Deltagarlista!$C15),"",IF(ISBLANK(Arrangörslista!N$8),"",IFERROR(VLOOKUP($F5,Arrangörslista!N$8:$AG$45,16,FALSE),"DNS")))))</f>
        <v/>
      </c>
      <c r="V5" s="5" t="str">
        <f>IF(Deltagarlista!$K$3=4,IF(ISBLANK(Deltagarlista!$C15),"",IF(ISBLANK(Arrangörslista!L$53),"",IFERROR(VLOOKUP($F5,Arrangörslista!L$53:$AG$90,16,FALSE),IF(ISBLANK(Deltagarlista!$C15),"",IF(ISBLANK(Arrangörslista!L$53),"",IFERROR(VLOOKUP($F5,Arrangörslista!M$53:$AG$90,16,FALSE),"DNS")))))),IF(Deltagarlista!$K$3=2,
IF(ISBLANK(Deltagarlista!$C15),"",IF(ISBLANK(Arrangörslista!O$8),"",IF($GV5=V$64," DNS ",IFERROR(VLOOKUP($F5,Arrangörslista!O$8:$AG$45,16,FALSE),"DNS")))),IF(ISBLANK(Deltagarlista!$C15),"",IF(ISBLANK(Arrangörslista!O$8),"",IFERROR(VLOOKUP($F5,Arrangörslista!O$8:$AG$45,16,FALSE),"DNS")))))</f>
        <v/>
      </c>
      <c r="W5" s="5" t="str">
        <f>IF(Deltagarlista!$K$3=4,IF(ISBLANK(Deltagarlista!$C15),"",IF(ISBLANK(Arrangörslista!N$53),"",IFERROR(VLOOKUP($F5,Arrangörslista!N$53:$AG$90,16,FALSE),IF(ISBLANK(Deltagarlista!$C15),"",IF(ISBLANK(Arrangörslista!N$53),"",IFERROR(VLOOKUP($F5,Arrangörslista!O$53:$AG$90,16,FALSE),"DNS")))))),IF(Deltagarlista!$K$3=2,
IF(ISBLANK(Deltagarlista!$C15),"",IF(ISBLANK(Arrangörslista!P$8),"",IF($GV5=W$64," DNS ",IFERROR(VLOOKUP($F5,Arrangörslista!P$8:$AG$45,16,FALSE),"DNS")))),IF(ISBLANK(Deltagarlista!$C15),"",IF(ISBLANK(Arrangörslista!P$8),"",IFERROR(VLOOKUP($F5,Arrangörslista!P$8:$AG$45,16,FALSE),"DNS")))))</f>
        <v/>
      </c>
      <c r="X5" s="5" t="str">
        <f>IF(Deltagarlista!$K$3=4,IF(ISBLANK(Deltagarlista!$C15),"",IF(ISBLANK(Arrangörslista!P$53),"",IFERROR(VLOOKUP($F5,Arrangörslista!P$53:$AG$90,16,FALSE),IF(ISBLANK(Deltagarlista!$C15),"",IF(ISBLANK(Arrangörslista!P$53),"",IFERROR(VLOOKUP($F5,Arrangörslista!Q$53:$AG$90,16,FALSE),"DNS")))))),IF(Deltagarlista!$K$3=2,
IF(ISBLANK(Deltagarlista!$C15),"",IF(ISBLANK(Arrangörslista!Q$8),"",IF($GV5=X$64," DNS ",IFERROR(VLOOKUP($F5,Arrangörslista!Q$8:$AG$45,16,FALSE),"DNS")))),IF(ISBLANK(Deltagarlista!$C15),"",IF(ISBLANK(Arrangörslista!Q$8),"",IFERROR(VLOOKUP($F5,Arrangörslista!Q$8:$AG$45,16,FALSE),"DNS")))))</f>
        <v/>
      </c>
      <c r="Y5" s="5" t="str">
        <f>IF(Deltagarlista!$K$3=4,IF(ISBLANK(Deltagarlista!$C15),"",IF(ISBLANK(Arrangörslista!C$98),"",IFERROR(VLOOKUP($F5,Arrangörslista!C$98:$AG$135,16,FALSE),IF(ISBLANK(Deltagarlista!$C15),"",IF(ISBLANK(Arrangörslista!C$98),"",IFERROR(VLOOKUP($F5,Arrangörslista!D$98:$AG$135,16,FALSE),"DNS")))))),IF(Deltagarlista!$K$3=2,
IF(ISBLANK(Deltagarlista!$C15),"",IF(ISBLANK(Arrangörslista!C$53),"",IF($GV5=Y$64," DNS ",IFERROR(VLOOKUP($F5,Arrangörslista!C$53:$AG$90,16,FALSE),"DNS")))),IF(ISBLANK(Deltagarlista!$C15),"",IF(ISBLANK(Arrangörslista!C$53),"",IFERROR(VLOOKUP($F5,Arrangörslista!C$53:$AG$90,16,FALSE),"DNS")))))</f>
        <v/>
      </c>
      <c r="Z5" s="5" t="str">
        <f>IF(Deltagarlista!$K$3=4,IF(ISBLANK(Deltagarlista!$C15),"",IF(ISBLANK(Arrangörslista!E$98),"",IFERROR(VLOOKUP($F5,Arrangörslista!E$98:$AG$135,16,FALSE),IF(ISBLANK(Deltagarlista!$C15),"",IF(ISBLANK(Arrangörslista!E$98),"",IFERROR(VLOOKUP($F5,Arrangörslista!F$98:$AG$135,16,FALSE),"DNS")))))),IF(Deltagarlista!$K$3=2,
IF(ISBLANK(Deltagarlista!$C15),"",IF(ISBLANK(Arrangörslista!D$53),"",IF($GV5=Z$64," DNS ",IFERROR(VLOOKUP($F5,Arrangörslista!D$53:$AG$90,16,FALSE),"DNS")))),IF(ISBLANK(Deltagarlista!$C15),"",IF(ISBLANK(Arrangörslista!D$53),"",IFERROR(VLOOKUP($F5,Arrangörslista!D$53:$AG$90,16,FALSE),"DNS")))))</f>
        <v/>
      </c>
      <c r="AA5" s="5" t="str">
        <f>IF(Deltagarlista!$K$3=4,IF(ISBLANK(Deltagarlista!$C15),"",IF(ISBLANK(Arrangörslista!G$98),"",IFERROR(VLOOKUP($F5,Arrangörslista!G$98:$AG$135,16,FALSE),IF(ISBLANK(Deltagarlista!$C15),"",IF(ISBLANK(Arrangörslista!G$98),"",IFERROR(VLOOKUP($F5,Arrangörslista!H$98:$AG$135,16,FALSE),"DNS")))))),IF(Deltagarlista!$K$3=2,
IF(ISBLANK(Deltagarlista!$C15),"",IF(ISBLANK(Arrangörslista!E$53),"",IF($GV5=AA$64," DNS ",IFERROR(VLOOKUP($F5,Arrangörslista!E$53:$AG$90,16,FALSE),"DNS")))),IF(ISBLANK(Deltagarlista!$C15),"",IF(ISBLANK(Arrangörslista!E$53),"",IFERROR(VLOOKUP($F5,Arrangörslista!E$53:$AG$90,16,FALSE),"DNS")))))</f>
        <v/>
      </c>
      <c r="AB5" s="5" t="str">
        <f>IF(Deltagarlista!$K$3=4,IF(ISBLANK(Deltagarlista!$C15),"",IF(ISBLANK(Arrangörslista!I$98),"",IFERROR(VLOOKUP($F5,Arrangörslista!I$98:$AG$135,16,FALSE),IF(ISBLANK(Deltagarlista!$C15),"",IF(ISBLANK(Arrangörslista!I$98),"",IFERROR(VLOOKUP($F5,Arrangörslista!J$98:$AG$135,16,FALSE),"DNS")))))),IF(Deltagarlista!$K$3=2,
IF(ISBLANK(Deltagarlista!$C15),"",IF(ISBLANK(Arrangörslista!F$53),"",IF($GV5=AB$64," DNS ",IFERROR(VLOOKUP($F5,Arrangörslista!F$53:$AG$90,16,FALSE),"DNS")))),IF(ISBLANK(Deltagarlista!$C15),"",IF(ISBLANK(Arrangörslista!F$53),"",IFERROR(VLOOKUP($F5,Arrangörslista!F$53:$AG$90,16,FALSE),"DNS")))))</f>
        <v/>
      </c>
      <c r="AC5" s="5" t="str">
        <f>IF(Deltagarlista!$K$3=4,IF(ISBLANK(Deltagarlista!$C15),"",IF(ISBLANK(Arrangörslista!K$98),"",IFERROR(VLOOKUP($F5,Arrangörslista!K$98:$AG$135,16,FALSE),IF(ISBLANK(Deltagarlista!$C15),"",IF(ISBLANK(Arrangörslista!K$98),"",IFERROR(VLOOKUP($F5,Arrangörslista!L$98:$AG$135,16,FALSE),"DNS")))))),IF(Deltagarlista!$K$3=2,
IF(ISBLANK(Deltagarlista!$C15),"",IF(ISBLANK(Arrangörslista!G$53),"",IF($GV5=AC$64," DNS ",IFERROR(VLOOKUP($F5,Arrangörslista!G$53:$AG$90,16,FALSE),"DNS")))),IF(ISBLANK(Deltagarlista!$C15),"",IF(ISBLANK(Arrangörslista!G$53),"",IFERROR(VLOOKUP($F5,Arrangörslista!G$53:$AG$90,16,FALSE),"DNS")))))</f>
        <v/>
      </c>
      <c r="AD5" s="5" t="str">
        <f>IF(Deltagarlista!$K$3=4,IF(ISBLANK(Deltagarlista!$C15),"",IF(ISBLANK(Arrangörslista!M$98),"",IFERROR(VLOOKUP($F5,Arrangörslista!M$98:$AG$135,16,FALSE),IF(ISBLANK(Deltagarlista!$C15),"",IF(ISBLANK(Arrangörslista!M$98),"",IFERROR(VLOOKUP($F5,Arrangörslista!N$98:$AG$135,16,FALSE),"DNS")))))),IF(Deltagarlista!$K$3=2,
IF(ISBLANK(Deltagarlista!$C15),"",IF(ISBLANK(Arrangörslista!H$53),"",IF($GV5=AD$64," DNS ",IFERROR(VLOOKUP($F5,Arrangörslista!H$53:$AG$90,16,FALSE),"DNS")))),IF(ISBLANK(Deltagarlista!$C15),"",IF(ISBLANK(Arrangörslista!H$53),"",IFERROR(VLOOKUP($F5,Arrangörslista!H$53:$AG$90,16,FALSE),"DNS")))))</f>
        <v/>
      </c>
      <c r="AE5" s="5" t="str">
        <f>IF(Deltagarlista!$K$3=4,IF(ISBLANK(Deltagarlista!$C15),"",IF(ISBLANK(Arrangörslista!O$98),"",IFERROR(VLOOKUP($F5,Arrangörslista!O$98:$AG$135,16,FALSE),IF(ISBLANK(Deltagarlista!$C15),"",IF(ISBLANK(Arrangörslista!O$98),"",IFERROR(VLOOKUP($F5,Arrangörslista!P$98:$AG$135,16,FALSE),"DNS")))))),IF(Deltagarlista!$K$3=2,
IF(ISBLANK(Deltagarlista!$C15),"",IF(ISBLANK(Arrangörslista!I$53),"",IF($GV5=AE$64," DNS ",IFERROR(VLOOKUP($F5,Arrangörslista!I$53:$AG$90,16,FALSE),"DNS")))),IF(ISBLANK(Deltagarlista!$C15),"",IF(ISBLANK(Arrangörslista!I$53),"",IFERROR(VLOOKUP($F5,Arrangörslista!I$53:$AG$90,16,FALSE),"DNS")))))</f>
        <v/>
      </c>
      <c r="AF5" s="5" t="str">
        <f>IF(Deltagarlista!$K$3=4,IF(ISBLANK(Deltagarlista!$C15),"",IF(ISBLANK(Arrangörslista!Q$98),"",IFERROR(VLOOKUP($F5,Arrangörslista!Q$98:$AG$135,16,FALSE),IF(ISBLANK(Deltagarlista!$C15),"",IF(ISBLANK(Arrangörslista!Q$98),"",IFERROR(VLOOKUP($F5,Arrangörslista!C$143:$AG$180,16,FALSE),"DNS")))))),IF(Deltagarlista!$K$3=2,
IF(ISBLANK(Deltagarlista!$C15),"",IF(ISBLANK(Arrangörslista!J$53),"",IF($GV5=AF$64," DNS ",IFERROR(VLOOKUP($F5,Arrangörslista!J$53:$AG$90,16,FALSE),"DNS")))),IF(ISBLANK(Deltagarlista!$C15),"",IF(ISBLANK(Arrangörslista!J$53),"",IFERROR(VLOOKUP($F5,Arrangörslista!J$53:$AG$90,16,FALSE),"DNS")))))</f>
        <v/>
      </c>
      <c r="AG5" s="5" t="str">
        <f>IF(Deltagarlista!$K$3=4,IF(ISBLANK(Deltagarlista!$C15),"",IF(ISBLANK(Arrangörslista!D$143),"",IFERROR(VLOOKUP($F5,Arrangörslista!D$143:$AG$180,16,FALSE),IF(ISBLANK(Deltagarlista!$C15),"",IF(ISBLANK(Arrangörslista!D$143),"",IFERROR(VLOOKUP($F5,Arrangörslista!E$143:$AG$180,16,FALSE),"DNS")))))),IF(Deltagarlista!$K$3=2,
IF(ISBLANK(Deltagarlista!$C15),"",IF(ISBLANK(Arrangörslista!K$53),"",IF($GV5=AG$64," DNS ",IFERROR(VLOOKUP($F5,Arrangörslista!K$53:$AG$90,16,FALSE),"DNS")))),IF(ISBLANK(Deltagarlista!$C15),"",IF(ISBLANK(Arrangörslista!K$53),"",IFERROR(VLOOKUP($F5,Arrangörslista!K$53:$AG$90,16,FALSE),"DNS")))))</f>
        <v/>
      </c>
      <c r="AH5" s="5" t="str">
        <f>IF(Deltagarlista!$K$3=4,IF(ISBLANK(Deltagarlista!$C15),"",IF(ISBLANK(Arrangörslista!F$143),"",IFERROR(VLOOKUP($F5,Arrangörslista!F$143:$AG$180,16,FALSE),IF(ISBLANK(Deltagarlista!$C15),"",IF(ISBLANK(Arrangörslista!F$143),"",IFERROR(VLOOKUP($F5,Arrangörslista!G$143:$AG$180,16,FALSE),"DNS")))))),IF(Deltagarlista!$K$3=2,
IF(ISBLANK(Deltagarlista!$C15),"",IF(ISBLANK(Arrangörslista!L$53),"",IF($GV5=AH$64," DNS ",IFERROR(VLOOKUP($F5,Arrangörslista!L$53:$AG$90,16,FALSE),"DNS")))),IF(ISBLANK(Deltagarlista!$C15),"",IF(ISBLANK(Arrangörslista!L$53),"",IFERROR(VLOOKUP($F5,Arrangörslista!L$53:$AG$90,16,FALSE),"DNS")))))</f>
        <v/>
      </c>
      <c r="AI5" s="5" t="str">
        <f>IF(Deltagarlista!$K$3=4,IF(ISBLANK(Deltagarlista!$C15),"",IF(ISBLANK(Arrangörslista!H$143),"",IFERROR(VLOOKUP($F5,Arrangörslista!H$143:$AG$180,16,FALSE),IF(ISBLANK(Deltagarlista!$C15),"",IF(ISBLANK(Arrangörslista!H$143),"",IFERROR(VLOOKUP($F5,Arrangörslista!I$143:$AG$180,16,FALSE),"DNS")))))),IF(Deltagarlista!$K$3=2,
IF(ISBLANK(Deltagarlista!$C15),"",IF(ISBLANK(Arrangörslista!M$53),"",IF($GV5=AI$64," DNS ",IFERROR(VLOOKUP($F5,Arrangörslista!M$53:$AG$90,16,FALSE),"DNS")))),IF(ISBLANK(Deltagarlista!$C15),"",IF(ISBLANK(Arrangörslista!M$53),"",IFERROR(VLOOKUP($F5,Arrangörslista!M$53:$AG$90,16,FALSE),"DNS")))))</f>
        <v/>
      </c>
      <c r="AJ5" s="5" t="str">
        <f>IF(Deltagarlista!$K$3=4,IF(ISBLANK(Deltagarlista!$C15),"",IF(ISBLANK(Arrangörslista!J$143),"",IFERROR(VLOOKUP($F5,Arrangörslista!J$143:$AG$180,16,FALSE),IF(ISBLANK(Deltagarlista!$C15),"",IF(ISBLANK(Arrangörslista!J$143),"",IFERROR(VLOOKUP($F5,Arrangörslista!K$143:$AG$180,16,FALSE),"DNS")))))),IF(Deltagarlista!$K$3=2,
IF(ISBLANK(Deltagarlista!$C15),"",IF(ISBLANK(Arrangörslista!N$53),"",IF($GV5=AJ$64," DNS ",IFERROR(VLOOKUP($F5,Arrangörslista!N$53:$AG$90,16,FALSE),"DNS")))),IF(ISBLANK(Deltagarlista!$C15),"",IF(ISBLANK(Arrangörslista!N$53),"",IFERROR(VLOOKUP($F5,Arrangörslista!N$53:$AG$90,16,FALSE),"DNS")))))</f>
        <v/>
      </c>
      <c r="AK5" s="5" t="str">
        <f>IF(Deltagarlista!$K$3=4,IF(ISBLANK(Deltagarlista!$C15),"",IF(ISBLANK(Arrangörslista!L$143),"",IFERROR(VLOOKUP($F5,Arrangörslista!L$143:$AG$180,16,FALSE),IF(ISBLANK(Deltagarlista!$C15),"",IF(ISBLANK(Arrangörslista!L$143),"",IFERROR(VLOOKUP($F5,Arrangörslista!M$143:$AG$180,16,FALSE),"DNS")))))),IF(Deltagarlista!$K$3=2,
IF(ISBLANK(Deltagarlista!$C15),"",IF(ISBLANK(Arrangörslista!O$53),"",IF($GV5=AK$64," DNS ",IFERROR(VLOOKUP($F5,Arrangörslista!O$53:$AG$90,16,FALSE),"DNS")))),IF(ISBLANK(Deltagarlista!$C15),"",IF(ISBLANK(Arrangörslista!O$53),"",IFERROR(VLOOKUP($F5,Arrangörslista!O$53:$AG$90,16,FALSE),"DNS")))))</f>
        <v/>
      </c>
      <c r="AL5" s="5" t="str">
        <f>IF(Deltagarlista!$K$3=4,IF(ISBLANK(Deltagarlista!$C15),"",IF(ISBLANK(Arrangörslista!N$143),"",IFERROR(VLOOKUP($F5,Arrangörslista!N$143:$AG$180,16,FALSE),IF(ISBLANK(Deltagarlista!$C15),"",IF(ISBLANK(Arrangörslista!N$143),"",IFERROR(VLOOKUP($F5,Arrangörslista!O$143:$AG$180,16,FALSE),"DNS")))))),IF(Deltagarlista!$K$3=2,
IF(ISBLANK(Deltagarlista!$C15),"",IF(ISBLANK(Arrangörslista!P$53),"",IF($GV5=AL$64," DNS ",IFERROR(VLOOKUP($F5,Arrangörslista!P$53:$AG$90,16,FALSE),"DNS")))),IF(ISBLANK(Deltagarlista!$C15),"",IF(ISBLANK(Arrangörslista!P$53),"",IFERROR(VLOOKUP($F5,Arrangörslista!P$53:$AG$90,16,FALSE),"DNS")))))</f>
        <v/>
      </c>
      <c r="AM5" s="5" t="str">
        <f>IF(Deltagarlista!$K$3=4,IF(ISBLANK(Deltagarlista!$C15),"",IF(ISBLANK(Arrangörslista!P$143),"",IFERROR(VLOOKUP($F5,Arrangörslista!P$143:$AG$180,16,FALSE),IF(ISBLANK(Deltagarlista!$C15),"",IF(ISBLANK(Arrangörslista!P$143),"",IFERROR(VLOOKUP($F5,Arrangörslista!Q$143:$AG$180,16,FALSE),"DNS")))))),IF(Deltagarlista!$K$3=2,
IF(ISBLANK(Deltagarlista!$C15),"",IF(ISBLANK(Arrangörslista!Q$53),"",IF($GV5=AM$64," DNS ",IFERROR(VLOOKUP($F5,Arrangörslista!Q$53:$AG$90,16,FALSE),"DNS")))),IF(ISBLANK(Deltagarlista!$C15),"",IF(ISBLANK(Arrangörslista!Q$53),"",IFERROR(VLOOKUP($F5,Arrangörslista!Q$53:$AG$90,16,FALSE),"DNS")))))</f>
        <v/>
      </c>
      <c r="AN5" s="5" t="str">
        <f>IF(Deltagarlista!$K$3=2,
IF(ISBLANK(Deltagarlista!$C15),"",IF(ISBLANK(Arrangörslista!C$98),"",IF($GV5=AN$64," DNS ",IFERROR(VLOOKUP($F5,Arrangörslista!C$98:$AG$135,16,FALSE), "DNS")))), IF(Deltagarlista!$K$3=1,IF(ISBLANK(Deltagarlista!$C15),"",IF(ISBLANK(Arrangörslista!C$98),"",IFERROR(VLOOKUP($F5,Arrangörslista!C$98:$AG$135,16,FALSE), "DNS"))),""))</f>
        <v/>
      </c>
      <c r="AO5" s="5" t="str">
        <f>IF(Deltagarlista!$K$3=2,
IF(ISBLANK(Deltagarlista!$C15),"",IF(ISBLANK(Arrangörslista!D$98),"",IF($GV5=AO$64," DNS ",IFERROR(VLOOKUP($F5,Arrangörslista!D$98:$AG$135,16,FALSE), "DNS")))), IF(Deltagarlista!$K$3=1,IF(ISBLANK(Deltagarlista!$C15),"",IF(ISBLANK(Arrangörslista!D$98),"",IFERROR(VLOOKUP($F5,Arrangörslista!D$98:$AG$135,16,FALSE), "DNS"))),""))</f>
        <v/>
      </c>
      <c r="AP5" s="5" t="str">
        <f>IF(Deltagarlista!$K$3=2,
IF(ISBLANK(Deltagarlista!$C15),"",IF(ISBLANK(Arrangörslista!E$98),"",IF($GV5=AP$64," DNS ",IFERROR(VLOOKUP($F5,Arrangörslista!E$98:$AG$135,16,FALSE), "DNS")))), IF(Deltagarlista!$K$3=1,IF(ISBLANK(Deltagarlista!$C15),"",IF(ISBLANK(Arrangörslista!E$98),"",IFERROR(VLOOKUP($F5,Arrangörslista!E$98:$AG$135,16,FALSE), "DNS"))),""))</f>
        <v/>
      </c>
      <c r="AQ5" s="5" t="str">
        <f>IF(Deltagarlista!$K$3=2,
IF(ISBLANK(Deltagarlista!$C15),"",IF(ISBLANK(Arrangörslista!F$98),"",IF($GV5=AQ$64," DNS ",IFERROR(VLOOKUP($F5,Arrangörslista!F$98:$AG$135,16,FALSE), "DNS")))), IF(Deltagarlista!$K$3=1,IF(ISBLANK(Deltagarlista!$C15),"",IF(ISBLANK(Arrangörslista!F$98),"",IFERROR(VLOOKUP($F5,Arrangörslista!F$98:$AG$135,16,FALSE), "DNS"))),""))</f>
        <v/>
      </c>
      <c r="AR5" s="5" t="str">
        <f>IF(Deltagarlista!$K$3=2,
IF(ISBLANK(Deltagarlista!$C15),"",IF(ISBLANK(Arrangörslista!G$98),"",IF($GV5=AR$64," DNS ",IFERROR(VLOOKUP($F5,Arrangörslista!G$98:$AG$135,16,FALSE), "DNS")))), IF(Deltagarlista!$K$3=1,IF(ISBLANK(Deltagarlista!$C15),"",IF(ISBLANK(Arrangörslista!G$98),"",IFERROR(VLOOKUP($F5,Arrangörslista!G$98:$AG$135,16,FALSE), "DNS"))),""))</f>
        <v/>
      </c>
      <c r="AS5" s="5" t="str">
        <f>IF(Deltagarlista!$K$3=2,
IF(ISBLANK(Deltagarlista!$C15),"",IF(ISBLANK(Arrangörslista!H$98),"",IF($GV5=AS$64," DNS ",IFERROR(VLOOKUP($F5,Arrangörslista!H$98:$AG$135,16,FALSE), "DNS")))), IF(Deltagarlista!$K$3=1,IF(ISBLANK(Deltagarlista!$C15),"",IF(ISBLANK(Arrangörslista!H$98),"",IFERROR(VLOOKUP($F5,Arrangörslista!H$98:$AG$135,16,FALSE), "DNS"))),""))</f>
        <v/>
      </c>
      <c r="AT5" s="5" t="str">
        <f>IF(Deltagarlista!$K$3=2,
IF(ISBLANK(Deltagarlista!$C15),"",IF(ISBLANK(Arrangörslista!I$98),"",IF($GV5=AT$64," DNS ",IFERROR(VLOOKUP($F5,Arrangörslista!I$98:$AG$135,16,FALSE), "DNS")))), IF(Deltagarlista!$K$3=1,IF(ISBLANK(Deltagarlista!$C15),"",IF(ISBLANK(Arrangörslista!I$98),"",IFERROR(VLOOKUP($F5,Arrangörslista!I$98:$AG$135,16,FALSE), "DNS"))),""))</f>
        <v/>
      </c>
      <c r="AU5" s="5" t="str">
        <f>IF(Deltagarlista!$K$3=2,
IF(ISBLANK(Deltagarlista!$C15),"",IF(ISBLANK(Arrangörslista!J$98),"",IF($GV5=AU$64," DNS ",IFERROR(VLOOKUP($F5,Arrangörslista!J$98:$AG$135,16,FALSE), "DNS")))), IF(Deltagarlista!$K$3=1,IF(ISBLANK(Deltagarlista!$C15),"",IF(ISBLANK(Arrangörslista!J$98),"",IFERROR(VLOOKUP($F5,Arrangörslista!J$98:$AG$135,16,FALSE), "DNS"))),""))</f>
        <v/>
      </c>
      <c r="AV5" s="5" t="str">
        <f>IF(Deltagarlista!$K$3=2,
IF(ISBLANK(Deltagarlista!$C15),"",IF(ISBLANK(Arrangörslista!K$98),"",IF($GV5=AV$64," DNS ",IFERROR(VLOOKUP($F5,Arrangörslista!K$98:$AG$135,16,FALSE), "DNS")))), IF(Deltagarlista!$K$3=1,IF(ISBLANK(Deltagarlista!$C15),"",IF(ISBLANK(Arrangörslista!K$98),"",IFERROR(VLOOKUP($F5,Arrangörslista!K$98:$AG$135,16,FALSE), "DNS"))),""))</f>
        <v/>
      </c>
      <c r="AW5" s="5" t="str">
        <f>IF(Deltagarlista!$K$3=2,
IF(ISBLANK(Deltagarlista!$C15),"",IF(ISBLANK(Arrangörslista!L$98),"",IF($GV5=AW$64," DNS ",IFERROR(VLOOKUP($F5,Arrangörslista!L$98:$AG$135,16,FALSE), "DNS")))), IF(Deltagarlista!$K$3=1,IF(ISBLANK(Deltagarlista!$C15),"",IF(ISBLANK(Arrangörslista!L$98),"",IFERROR(VLOOKUP($F5,Arrangörslista!L$98:$AG$135,16,FALSE), "DNS"))),""))</f>
        <v/>
      </c>
      <c r="AX5" s="5" t="str">
        <f>IF(Deltagarlista!$K$3=2,
IF(ISBLANK(Deltagarlista!$C15),"",IF(ISBLANK(Arrangörslista!M$98),"",IF($GV5=AX$64," DNS ",IFERROR(VLOOKUP($F5,Arrangörslista!M$98:$AG$135,16,FALSE), "DNS")))), IF(Deltagarlista!$K$3=1,IF(ISBLANK(Deltagarlista!$C15),"",IF(ISBLANK(Arrangörslista!M$98),"",IFERROR(VLOOKUP($F5,Arrangörslista!M$98:$AG$135,16,FALSE), "DNS"))),""))</f>
        <v/>
      </c>
      <c r="AY5" s="5" t="str">
        <f>IF(Deltagarlista!$K$3=2,
IF(ISBLANK(Deltagarlista!$C15),"",IF(ISBLANK(Arrangörslista!N$98),"",IF($GV5=AY$64," DNS ",IFERROR(VLOOKUP($F5,Arrangörslista!N$98:$AG$135,16,FALSE), "DNS")))), IF(Deltagarlista!$K$3=1,IF(ISBLANK(Deltagarlista!$C15),"",IF(ISBLANK(Arrangörslista!N$98),"",IFERROR(VLOOKUP($F5,Arrangörslista!N$98:$AG$135,16,FALSE), "DNS"))),""))</f>
        <v/>
      </c>
      <c r="AZ5" s="5" t="str">
        <f>IF(Deltagarlista!$K$3=2,
IF(ISBLANK(Deltagarlista!$C15),"",IF(ISBLANK(Arrangörslista!O$98),"",IF($GV5=AZ$64," DNS ",IFERROR(VLOOKUP($F5,Arrangörslista!O$98:$AG$135,16,FALSE), "DNS")))), IF(Deltagarlista!$K$3=1,IF(ISBLANK(Deltagarlista!$C15),"",IF(ISBLANK(Arrangörslista!O$98),"",IFERROR(VLOOKUP($F5,Arrangörslista!O$98:$AG$135,16,FALSE), "DNS"))),""))</f>
        <v/>
      </c>
      <c r="BA5" s="5" t="str">
        <f>IF(Deltagarlista!$K$3=2,
IF(ISBLANK(Deltagarlista!$C15),"",IF(ISBLANK(Arrangörslista!P$98),"",IF($GV5=BA$64," DNS ",IFERROR(VLOOKUP($F5,Arrangörslista!P$98:$AG$135,16,FALSE), "DNS")))), IF(Deltagarlista!$K$3=1,IF(ISBLANK(Deltagarlista!$C15),"",IF(ISBLANK(Arrangörslista!P$98),"",IFERROR(VLOOKUP($F5,Arrangörslista!P$98:$AG$135,16,FALSE), "DNS"))),""))</f>
        <v/>
      </c>
      <c r="BB5" s="5" t="str">
        <f>IF(Deltagarlista!$K$3=2,
IF(ISBLANK(Deltagarlista!$C15),"",IF(ISBLANK(Arrangörslista!Q$98),"",IF($GV5=BB$64," DNS ",IFERROR(VLOOKUP($F5,Arrangörslista!Q$98:$AG$135,16,FALSE), "DNS")))), IF(Deltagarlista!$K$3=1,IF(ISBLANK(Deltagarlista!$C15),"",IF(ISBLANK(Arrangörslista!Q$98),"",IFERROR(VLOOKUP($F5,Arrangörslista!Q$98:$AG$135,16,FALSE), "DNS"))),""))</f>
        <v/>
      </c>
      <c r="BC5" s="5" t="str">
        <f>IF(Deltagarlista!$K$3=2,
IF(ISBLANK(Deltagarlista!$C15),"",IF(ISBLANK(Arrangörslista!C$143),"",IF($GV5=BC$64," DNS ",IFERROR(VLOOKUP($F5,Arrangörslista!C$143:$AG$180,16,FALSE), "DNS")))), IF(Deltagarlista!$K$3=1,IF(ISBLANK(Deltagarlista!$C15),"",IF(ISBLANK(Arrangörslista!C$143),"",IFERROR(VLOOKUP($F5,Arrangörslista!C$143:$AG$180,16,FALSE), "DNS"))),""))</f>
        <v/>
      </c>
      <c r="BD5" s="5" t="str">
        <f>IF(Deltagarlista!$K$3=2,
IF(ISBLANK(Deltagarlista!$C15),"",IF(ISBLANK(Arrangörslista!D$143),"",IF($GV5=BD$64," DNS ",IFERROR(VLOOKUP($F5,Arrangörslista!D$143:$AG$180,16,FALSE), "DNS")))), IF(Deltagarlista!$K$3=1,IF(ISBLANK(Deltagarlista!$C15),"",IF(ISBLANK(Arrangörslista!D$143),"",IFERROR(VLOOKUP($F5,Arrangörslista!D$143:$AG$180,16,FALSE), "DNS"))),""))</f>
        <v/>
      </c>
      <c r="BE5" s="5" t="str">
        <f>IF(Deltagarlista!$K$3=2,
IF(ISBLANK(Deltagarlista!$C15),"",IF(ISBLANK(Arrangörslista!E$143),"",IF($GV5=BE$64," DNS ",IFERROR(VLOOKUP($F5,Arrangörslista!E$143:$AG$180,16,FALSE), "DNS")))), IF(Deltagarlista!$K$3=1,IF(ISBLANK(Deltagarlista!$C15),"",IF(ISBLANK(Arrangörslista!E$143),"",IFERROR(VLOOKUP($F5,Arrangörslista!E$143:$AG$180,16,FALSE), "DNS"))),""))</f>
        <v/>
      </c>
      <c r="BF5" s="5" t="str">
        <f>IF(Deltagarlista!$K$3=2,
IF(ISBLANK(Deltagarlista!$C15),"",IF(ISBLANK(Arrangörslista!F$143),"",IF($GV5=BF$64," DNS ",IFERROR(VLOOKUP($F5,Arrangörslista!F$143:$AG$180,16,FALSE), "DNS")))), IF(Deltagarlista!$K$3=1,IF(ISBLANK(Deltagarlista!$C15),"",IF(ISBLANK(Arrangörslista!F$143),"",IFERROR(VLOOKUP($F5,Arrangörslista!F$143:$AG$180,16,FALSE), "DNS"))),""))</f>
        <v/>
      </c>
      <c r="BG5" s="5" t="str">
        <f>IF(Deltagarlista!$K$3=2,
IF(ISBLANK(Deltagarlista!$C15),"",IF(ISBLANK(Arrangörslista!G$143),"",IF($GV5=BG$64," DNS ",IFERROR(VLOOKUP($F5,Arrangörslista!G$143:$AG$180,16,FALSE), "DNS")))), IF(Deltagarlista!$K$3=1,IF(ISBLANK(Deltagarlista!$C15),"",IF(ISBLANK(Arrangörslista!G$143),"",IFERROR(VLOOKUP($F5,Arrangörslista!G$143:$AG$180,16,FALSE), "DNS"))),""))</f>
        <v/>
      </c>
      <c r="BH5" s="5" t="str">
        <f>IF(Deltagarlista!$K$3=2,
IF(ISBLANK(Deltagarlista!$C15),"",IF(ISBLANK(Arrangörslista!H$143),"",IF($GV5=BH$64," DNS ",IFERROR(VLOOKUP($F5,Arrangörslista!H$143:$AG$180,16,FALSE), "DNS")))), IF(Deltagarlista!$K$3=1,IF(ISBLANK(Deltagarlista!$C15),"",IF(ISBLANK(Arrangörslista!H$143),"",IFERROR(VLOOKUP($F5,Arrangörslista!H$143:$AG$180,16,FALSE), "DNS"))),""))</f>
        <v/>
      </c>
      <c r="BI5" s="5" t="str">
        <f>IF(Deltagarlista!$K$3=2,
IF(ISBLANK(Deltagarlista!$C15),"",IF(ISBLANK(Arrangörslista!I$143),"",IF($GV5=BI$64," DNS ",IFERROR(VLOOKUP($F5,Arrangörslista!I$143:$AG$180,16,FALSE), "DNS")))), IF(Deltagarlista!$K$3=1,IF(ISBLANK(Deltagarlista!$C15),"",IF(ISBLANK(Arrangörslista!I$143),"",IFERROR(VLOOKUP($F5,Arrangörslista!I$143:$AG$180,16,FALSE), "DNS"))),""))</f>
        <v/>
      </c>
      <c r="BJ5" s="5" t="str">
        <f>IF(Deltagarlista!$K$3=2,
IF(ISBLANK(Deltagarlista!$C15),"",IF(ISBLANK(Arrangörslista!J$143),"",IF($GV5=BJ$64," DNS ",IFERROR(VLOOKUP($F5,Arrangörslista!J$143:$AG$180,16,FALSE), "DNS")))), IF(Deltagarlista!$K$3=1,IF(ISBLANK(Deltagarlista!$C15),"",IF(ISBLANK(Arrangörslista!J$143),"",IFERROR(VLOOKUP($F5,Arrangörslista!J$143:$AG$180,16,FALSE), "DNS"))),""))</f>
        <v/>
      </c>
      <c r="BK5" s="5" t="str">
        <f>IF(Deltagarlista!$K$3=2,
IF(ISBLANK(Deltagarlista!$C15),"",IF(ISBLANK(Arrangörslista!K$143),"",IF($GV5=BK$64," DNS ",IFERROR(VLOOKUP($F5,Arrangörslista!K$143:$AG$180,16,FALSE), "DNS")))), IF(Deltagarlista!$K$3=1,IF(ISBLANK(Deltagarlista!$C15),"",IF(ISBLANK(Arrangörslista!K$143),"",IFERROR(VLOOKUP($F5,Arrangörslista!K$143:$AG$180,16,FALSE), "DNS"))),""))</f>
        <v/>
      </c>
      <c r="BL5" s="5" t="str">
        <f>IF(Deltagarlista!$K$3=2,
IF(ISBLANK(Deltagarlista!$C15),"",IF(ISBLANK(Arrangörslista!L$143),"",IF($GV5=BL$64," DNS ",IFERROR(VLOOKUP($F5,Arrangörslista!L$143:$AG$180,16,FALSE), "DNS")))), IF(Deltagarlista!$K$3=1,IF(ISBLANK(Deltagarlista!$C15),"",IF(ISBLANK(Arrangörslista!L$143),"",IFERROR(VLOOKUP($F5,Arrangörslista!L$143:$AG$180,16,FALSE), "DNS"))),""))</f>
        <v/>
      </c>
      <c r="BM5" s="5" t="str">
        <f>IF(Deltagarlista!$K$3=2,
IF(ISBLANK(Deltagarlista!$C15),"",IF(ISBLANK(Arrangörslista!M$143),"",IF($GV5=BM$64," DNS ",IFERROR(VLOOKUP($F5,Arrangörslista!M$143:$AG$180,16,FALSE), "DNS")))), IF(Deltagarlista!$K$3=1,IF(ISBLANK(Deltagarlista!$C15),"",IF(ISBLANK(Arrangörslista!M$143),"",IFERROR(VLOOKUP($F5,Arrangörslista!M$143:$AG$180,16,FALSE), "DNS"))),""))</f>
        <v/>
      </c>
      <c r="BN5" s="5" t="str">
        <f>IF(Deltagarlista!$K$3=2,
IF(ISBLANK(Deltagarlista!$C15),"",IF(ISBLANK(Arrangörslista!N$143),"",IF($GV5=BN$64," DNS ",IFERROR(VLOOKUP($F5,Arrangörslista!N$143:$AG$180,16,FALSE), "DNS")))), IF(Deltagarlista!$K$3=1,IF(ISBLANK(Deltagarlista!$C15),"",IF(ISBLANK(Arrangörslista!N$143),"",IFERROR(VLOOKUP($F5,Arrangörslista!N$143:$AG$180,16,FALSE), "DNS"))),""))</f>
        <v/>
      </c>
      <c r="BO5" s="5" t="str">
        <f>IF(Deltagarlista!$K$3=2,
IF(ISBLANK(Deltagarlista!$C15),"",IF(ISBLANK(Arrangörslista!O$143),"",IF($GV5=BO$64," DNS ",IFERROR(VLOOKUP($F5,Arrangörslista!O$143:$AG$180,16,FALSE), "DNS")))), IF(Deltagarlista!$K$3=1,IF(ISBLANK(Deltagarlista!$C15),"",IF(ISBLANK(Arrangörslista!O$143),"",IFERROR(VLOOKUP($F5,Arrangörslista!O$143:$AG$180,16,FALSE), "DNS"))),""))</f>
        <v/>
      </c>
      <c r="BP5" s="5" t="str">
        <f>IF(Deltagarlista!$K$3=2,
IF(ISBLANK(Deltagarlista!$C15),"",IF(ISBLANK(Arrangörslista!P$143),"",IF($GV5=BP$64," DNS ",IFERROR(VLOOKUP($F5,Arrangörslista!P$143:$AG$180,16,FALSE), "DNS")))), IF(Deltagarlista!$K$3=1,IF(ISBLANK(Deltagarlista!$C15),"",IF(ISBLANK(Arrangörslista!P$143),"",IFERROR(VLOOKUP($F5,Arrangörslista!P$143:$AG$180,16,FALSE), "DNS"))),""))</f>
        <v/>
      </c>
      <c r="BQ5" s="80" t="str">
        <f>IF(Deltagarlista!$K$3=2,
IF(ISBLANK(Deltagarlista!$C15),"",IF(ISBLANK(Arrangörslista!Q$143),"",IF($GV5=BQ$64," DNS ",IFERROR(VLOOKUP($F5,Arrangörslista!Q$143:$AG$180,16,FALSE), "DNS")))), IF(Deltagarlista!$K$3=1,IF(ISBLANK(Deltagarlista!$C15),"",IF(ISBLANK(Arrangörslista!Q$143),"",IFERROR(VLOOKUP($F5,Arrangörslista!Q$143:$AG$180,16,FALSE), "DNS"))),""))</f>
        <v/>
      </c>
      <c r="BR5" s="51"/>
      <c r="BS5" s="51"/>
      <c r="BT5" s="51"/>
      <c r="BU5" s="71">
        <f>SUM(BV5:EC5)</f>
        <v>0</v>
      </c>
      <c r="BV5" s="61">
        <f>IF(J5="",0,IF(OR(J5="DNF",J5="OCS",J5="DSQ",J5="DNS",J5=" DNS "),$BW$3+1,J5))</f>
        <v>0</v>
      </c>
      <c r="BW5" s="61">
        <f>IF(K5="",0,IF(OR(K5="DNF",K5="OCS",K5="DSQ",K5="DNS",K5=" DNS "),$BW$3+1,K5))</f>
        <v>0</v>
      </c>
      <c r="BX5" s="61">
        <f>IF(L5="",0,IF(OR(L5="DNF",L5="OCS",L5="DSQ",L5="DNS",L5=" DNS "),$BW$3+1,L5))</f>
        <v>0</v>
      </c>
      <c r="BY5" s="61">
        <f>IF(M5="",0,IF(OR(M5="DNF",M5="OCS",M5="DSQ",M5="DNS",M5=" DNS "),$BW$3+1,M5))</f>
        <v>0</v>
      </c>
      <c r="BZ5" s="61">
        <f>IF(N5="",0,IF(OR(N5="DNF",N5="OCS",N5="DSQ",N5="DNS",N5=" DNS "),$BW$3+1,N5))</f>
        <v>0</v>
      </c>
      <c r="CA5" s="61">
        <f>IF(O5="",0,IF(OR(O5="DNF",O5="OCS",O5="DSQ",O5="DNS",O5=" DNS "),$BW$3+1,O5))</f>
        <v>0</v>
      </c>
      <c r="CB5" s="61">
        <f>IF(P5="",0,IF(OR(P5="DNF",P5="OCS",P5="DSQ",P5="DNS",P5=" DNS "),$BW$3+1,P5))</f>
        <v>0</v>
      </c>
      <c r="CC5" s="61">
        <f>IF(Q5="",0,IF(OR(Q5="DNF",Q5="OCS",Q5="DSQ",Q5="DNS",Q5=" DNS "),$BW$3+1,Q5))</f>
        <v>0</v>
      </c>
      <c r="CD5" s="61">
        <f>IF(R5="",0,IF(OR(R5="DNF",R5="OCS",R5="DSQ",R5="DNS",R5=" DNS "),$BW$3+1,R5))</f>
        <v>0</v>
      </c>
      <c r="CE5" s="61">
        <f>IF(S5="",0,IF(OR(S5="DNF",S5="OCS",S5="DSQ",S5="DNS",S5=" DNS "),$BW$3+1,S5))</f>
        <v>0</v>
      </c>
      <c r="CF5" s="61">
        <f>IF(T5="",0,IF(OR(T5="DNF",T5="OCS",T5="DSQ",T5="DNS",T5=" DNS "),$BW$3+1,T5))</f>
        <v>0</v>
      </c>
      <c r="CG5" s="61">
        <f>IF(U5="",0,IF(OR(U5="DNF",U5="OCS",U5="DSQ",U5="DNS",U5=" DNS "),$BW$3+1,U5))</f>
        <v>0</v>
      </c>
      <c r="CH5" s="61">
        <f>IF(V5="",0,IF(OR(V5="DNF",V5="OCS",V5="DSQ",V5="DNS",V5=" DNS "),$BW$3+1,V5))</f>
        <v>0</v>
      </c>
      <c r="CI5" s="61">
        <f>IF(W5="",0,IF(OR(W5="DNF",W5="OCS",W5="DSQ",W5="DNS",W5=" DNS "),$BW$3+1,W5))</f>
        <v>0</v>
      </c>
      <c r="CJ5" s="61">
        <f>IF(X5="",0,IF(OR(X5="DNF",X5="OCS",X5="DSQ",X5="DNS",X5=" DNS "),$BW$3+1,X5))</f>
        <v>0</v>
      </c>
      <c r="CK5" s="61">
        <f>IF(Y5="",0,IF(OR(Y5="DNF",Y5="OCS",Y5="DSQ",Y5="DNS",Y5=" DNS "),$BW$3+1,Y5))</f>
        <v>0</v>
      </c>
      <c r="CL5" s="61">
        <f>IF(Z5="",0,IF(OR(Z5="DNF",Z5="OCS",Z5="DSQ",Z5="DNS",Z5=" DNS "),$BW$3+1,Z5))</f>
        <v>0</v>
      </c>
      <c r="CM5" s="61">
        <f>IF(AA5="",0,IF(OR(AA5="DNF",AA5="OCS",AA5="DSQ",AA5="DNS",AA5=" DNS "),$BW$3+1,AA5))</f>
        <v>0</v>
      </c>
      <c r="CN5" s="61">
        <f>IF(AB5="",0,IF(OR(AB5="DNF",AB5="OCS",AB5="DSQ",AB5="DNS",AB5=" DNS "),$BW$3+1,AB5))</f>
        <v>0</v>
      </c>
      <c r="CO5" s="61">
        <f>IF(AC5="",0,IF(OR(AC5="DNF",AC5="OCS",AC5="DSQ",AC5="DNS",AC5=" DNS "),$BW$3+1,AC5))</f>
        <v>0</v>
      </c>
      <c r="CP5" s="61">
        <f>IF(AD5="",0,IF(OR(AD5="DNF",AD5="OCS",AD5="DSQ",AD5="DNS",AD5=" DNS "),$BW$3+1,AD5))</f>
        <v>0</v>
      </c>
      <c r="CQ5" s="61">
        <f>IF(AE5="",0,IF(OR(AE5="DNF",AE5="OCS",AE5="DSQ",AE5="DNS",AE5=" DNS "),$BW$3+1,AE5))</f>
        <v>0</v>
      </c>
      <c r="CR5" s="61">
        <f>IF(AF5="",0,IF(OR(AF5="DNF",AF5="OCS",AF5="DSQ",AF5="DNS",AF5=" DNS "),$BW$3+1,AF5))</f>
        <v>0</v>
      </c>
      <c r="CS5" s="61">
        <f>IF(AG5="",0,IF(OR(AG5="DNF",AG5="OCS",AG5="DSQ",AG5="DNS",AG5=" DNS "),$BW$3+1,AG5))</f>
        <v>0</v>
      </c>
      <c r="CT5" s="61">
        <f>IF(AH5="",0,IF(OR(AH5="DNF",AH5="OCS",AH5="DSQ",AH5="DNS",AH5=" DNS "),$BW$3+1,AH5))</f>
        <v>0</v>
      </c>
      <c r="CU5" s="61">
        <f>IF(AI5="",0,IF(OR(AI5="DNF",AI5="OCS",AI5="DSQ",AI5="DNS",AI5=" DNS "),$BW$3+1,AI5))</f>
        <v>0</v>
      </c>
      <c r="CV5" s="61">
        <f>IF(AJ5="",0,IF(OR(AJ5="DNF",AJ5="OCS",AJ5="DSQ",AJ5="DNS",AJ5=" DNS "),$BW$3+1,AJ5))</f>
        <v>0</v>
      </c>
      <c r="CW5" s="61">
        <f>IF(AK5="",0,IF(OR(AK5="DNF",AK5="OCS",AK5="DSQ",AK5="DNS",AK5=" DNS "),$BW$3+1,AK5))</f>
        <v>0</v>
      </c>
      <c r="CX5" s="61">
        <f>IF(AL5="",0,IF(OR(AL5="DNF",AL5="OCS",AL5="DSQ",AL5="DNS",AL5=" DNS "),$BW$3+1,AL5))</f>
        <v>0</v>
      </c>
      <c r="CY5" s="61">
        <f>IF(AM5="",0,IF(OR(AM5="DNF",AM5="OCS",AM5="DSQ",AM5="DNS",AM5=" DNS "),$BW$3+1,AM5))</f>
        <v>0</v>
      </c>
      <c r="CZ5" s="61">
        <f>IF(AN5="",0,IF(OR(AN5="DNF",AN5="OCS",AN5="DSQ",AN5="DNS",AN5=" DNS "),$BW$3+1,AN5))</f>
        <v>0</v>
      </c>
      <c r="DA5" s="61">
        <f>IF(AO5="",0,IF(OR(AO5="DNF",AO5="OCS",AO5="DSQ",AO5="DNS",AO5=" DNS "),$BW$3+1,AO5))</f>
        <v>0</v>
      </c>
      <c r="DB5" s="61">
        <f>IF(AP5="",0,IF(OR(AP5="DNF",AP5="OCS",AP5="DSQ",AP5="DNS",AP5=" DNS "),$BW$3+1,AP5))</f>
        <v>0</v>
      </c>
      <c r="DC5" s="61">
        <f>IF(AQ5="",0,IF(OR(AQ5="DNF",AQ5="OCS",AQ5="DSQ",AQ5="DNS",AQ5=" DNS "),$BW$3+1,AQ5))</f>
        <v>0</v>
      </c>
      <c r="DD5" s="61">
        <f>IF(AR5="",0,IF(OR(AR5="DNF",AR5="OCS",AR5="DSQ",AR5="DNS",AR5=" DNS "),$BW$3+1,AR5))</f>
        <v>0</v>
      </c>
      <c r="DE5" s="61">
        <f>IF(AS5="",0,IF(OR(AS5="DNF",AS5="OCS",AS5="DSQ",AS5="DNS",AS5=" DNS "),$BW$3+1,AS5))</f>
        <v>0</v>
      </c>
      <c r="DF5" s="61">
        <f>IF(AT5="",0,IF(OR(AT5="DNF",AT5="OCS",AT5="DSQ",AT5="DNS",AT5=" DNS "),$BW$3+1,AT5))</f>
        <v>0</v>
      </c>
      <c r="DG5" s="61">
        <f>IF(AU5="",0,IF(OR(AU5="DNF",AU5="OCS",AU5="DSQ",AU5="DNS",AU5=" DNS "),$BW$3+1,AU5))</f>
        <v>0</v>
      </c>
      <c r="DH5" s="61">
        <f>IF(AV5="",0,IF(OR(AV5="DNF",AV5="OCS",AV5="DSQ",AV5="DNS",AV5=" DNS "),$BW$3+1,AV5))</f>
        <v>0</v>
      </c>
      <c r="DI5" s="61">
        <f>IF(AW5="",0,IF(OR(AW5="DNF",AW5="OCS",AW5="DSQ",AW5="DNS",AW5=" DNS "),$BW$3+1,AW5))</f>
        <v>0</v>
      </c>
      <c r="DJ5" s="61">
        <f>IF(AX5="",0,IF(OR(AX5="DNF",AX5="OCS",AX5="DSQ",AX5="DNS",AX5=" DNS "),$BW$3+1,AX5))</f>
        <v>0</v>
      </c>
      <c r="DK5" s="61">
        <f>IF(AY5="",0,IF(OR(AY5="DNF",AY5="OCS",AY5="DSQ",AY5="DNS",AY5=" DNS "),$BW$3+1,AY5))</f>
        <v>0</v>
      </c>
      <c r="DL5" s="61">
        <f>IF(AZ5="",0,IF(OR(AZ5="DNF",AZ5="OCS",AZ5="DSQ",AZ5="DNS",AZ5=" DNS "),$BW$3+1,AZ5))</f>
        <v>0</v>
      </c>
      <c r="DM5" s="61">
        <f>IF(BA5="",0,IF(OR(BA5="DNF",BA5="OCS",BA5="DSQ",BA5="DNS",BA5=" DNS "),$BW$3+1,BA5))</f>
        <v>0</v>
      </c>
      <c r="DN5" s="61">
        <f>IF(BB5="",0,IF(OR(BB5="DNF",BB5="OCS",BB5="DSQ",BB5="DNS",BB5=" DNS "),$BW$3+1,BB5))</f>
        <v>0</v>
      </c>
      <c r="DO5" s="61">
        <f>IF(BC5="",0,IF(OR(BC5="DNF",BC5="OCS",BC5="DSQ",BC5="DNS",BC5=" DNS "),$BW$3+1,BC5))</f>
        <v>0</v>
      </c>
      <c r="DP5" s="61">
        <f>IF(BD5="",0,IF(OR(BD5="DNF",BD5="OCS",BD5="DSQ",BD5="DNS",BD5=" DNS "),$BW$3+1,BD5))</f>
        <v>0</v>
      </c>
      <c r="DQ5" s="61">
        <f>IF(BE5="",0,IF(OR(BE5="DNF",BE5="OCS",BE5="DSQ",BE5="DNS",BE5=" DNS "),$BW$3+1,BE5))</f>
        <v>0</v>
      </c>
      <c r="DR5" s="61">
        <f>IF(BF5="",0,IF(OR(BF5="DNF",BF5="OCS",BF5="DSQ",BF5="DNS",BF5=" DNS "),$BW$3+1,BF5))</f>
        <v>0</v>
      </c>
      <c r="DS5" s="61">
        <f>IF(BG5="",0,IF(OR(BG5="DNF",BG5="OCS",BG5="DSQ",BG5="DNS",BG5=" DNS "),$BW$3+1,BG5))</f>
        <v>0</v>
      </c>
      <c r="DT5" s="61">
        <f>IF(BH5="",0,IF(OR(BH5="DNF",BH5="OCS",BH5="DSQ",BH5="DNS",BH5=" DNS "),$BW$3+1,BH5))</f>
        <v>0</v>
      </c>
      <c r="DU5" s="61">
        <f>IF(BI5="",0,IF(OR(BI5="DNF",BI5="OCS",BI5="DSQ",BI5="DNS",BI5=" DNS "),$BW$3+1,BI5))</f>
        <v>0</v>
      </c>
      <c r="DV5" s="61">
        <f>IF(BJ5="",0,IF(OR(BJ5="DNF",BJ5="OCS",BJ5="DSQ",BJ5="DNS",BJ5=" DNS "),$BW$3+1,BJ5))</f>
        <v>0</v>
      </c>
      <c r="DW5" s="61">
        <f>IF(BK5="",0,IF(OR(BK5="DNF",BK5="OCS",BK5="DSQ",BK5="DNS",BK5=" DNS "),$BW$3+1,BK5))</f>
        <v>0</v>
      </c>
      <c r="DX5" s="61">
        <f>IF(BL5="",0,IF(OR(BL5="DNF",BL5="OCS",BL5="DSQ",BL5="DNS",BL5=" DNS "),$BW$3+1,BL5))</f>
        <v>0</v>
      </c>
      <c r="DY5" s="61">
        <f>IF(BM5="",0,IF(OR(BM5="DNF",BM5="OCS",BM5="DSQ",BM5="DNS",BM5=" DNS "),$BW$3+1,BM5))</f>
        <v>0</v>
      </c>
      <c r="DZ5" s="61">
        <f>IF(BN5="",0,IF(OR(BN5="DNF",BN5="OCS",BN5="DSQ",BN5="DNS",BN5=" DNS "),$BW$3+1,BN5))</f>
        <v>0</v>
      </c>
      <c r="EA5" s="61">
        <f>IF(BO5="",0,IF(OR(BO5="DNF",BO5="OCS",BO5="DSQ",BO5="DNS",BO5=" DNS "),$BW$3+1,BO5))</f>
        <v>0</v>
      </c>
      <c r="EB5" s="61">
        <f>IF(BP5="",0,IF(OR(BP5="DNF",BP5="OCS",BP5="DSQ",BP5="DNS",BP5=" DNS "),$BW$3+1,BP5))</f>
        <v>0</v>
      </c>
      <c r="EC5" s="61">
        <f>IF(BQ5="",0,IF(OR(BQ5="DNF",BQ5="OCS",BQ5="DSQ",BQ5="DNS",BQ5=" DNS "),$BW$3+1,BQ5))</f>
        <v>0</v>
      </c>
      <c r="EE5" s="61">
        <f xml:space="preserve">
IF(OR(Deltagarlista!$K$3=3,Deltagarlista!$K$3=4),
IF(Arrangörslista!$U$5&lt;8,0,
IF(Arrangörslista!$U$5&lt;16,SUM(LARGE(BV5:CJ5,1)),
IF(Arrangörslista!$U$5&lt;24,SUM(LARGE(BV5:CR5,{1;2})),
IF(Arrangörslista!$U$5&lt;32,SUM(LARGE(BV5:CZ5,{1;2;3})),
IF(Arrangörslista!$U$5&lt;40,SUM(LARGE(BV5:DH5,{1;2;3;4})),
IF(Arrangörslista!$U$5&lt;48,SUM(LARGE(BV5:DP5,{1;2;3;4;5})),
IF(Arrangörslista!$U$5&lt;56,SUM(LARGE(BV5:DX5,{1;2;3;4;5;6})),
IF(Arrangörslista!$U$5&lt;64,SUM(LARGE(BV5:EC5,{1;2;3;4;5;6;7})),0)))))))),
IF(Deltagarlista!$K$3=2,
IF(Arrangörslista!$U$5&lt;4,LARGE(BV5:BX5,1),
IF(Arrangörslista!$U$5&lt;7,SUM(LARGE(BV5:CA5,{1;2;3})),
IF(Arrangörslista!$U$5&lt;10,SUM(LARGE(BV5:CD5,{1;2;3;4})),
IF(Arrangörslista!$U$5&lt;13,SUM(LARGE(BV5:CG5,{1;2;3;4;5;6})),
IF(Arrangörslista!$U$5&lt;16,SUM(LARGE(BV5:CJ5,{1;2;3;4;5;6;7})),
IF(Arrangörslista!$U$5&lt;19,SUM(LARGE(BV5:CM5,{1;2;3;4;5;6;7;8;9})),
IF(Arrangörslista!$U$5&lt;22,SUM(LARGE(BV5:CP5,{1;2;3;4;5;6;7;8;9;10})),
IF(Arrangörslista!$U$5&lt;25,SUM(LARGE(BV5:CS5,{1;2;3;4;5;6;7;8;9;10;11;12})),
IF(Arrangörslista!$U$5&lt;28,SUM(LARGE(BV5:CV5,{1;2;3;4;5;6;7;8;9;10;11;12;13})),
IF(Arrangörslista!$U$5&lt;31,SUM(LARGE(BV5:CY5,{1;2;3;4;5;6;7;8;9;10;11;12;13;14;15})),
IF(Arrangörslista!$U$5&lt;34,SUM(LARGE(BV5:DB5,{1;2;3;4;5;6;7;8;9;10;11;12;13;14;15;16})),
IF(Arrangörslista!$U$5&lt;37,SUM(LARGE(BV5:DE5,{1;2;3;4;5;6;7;8;9;10;11;12;13;14;15;16;17;18})),
IF(Arrangörslista!$U$5&lt;40,SUM(LARGE(BV5:DH5,{1;2;3;4;5;6;7;8;9;10;11;12;13;14;15;16;17;18;19})),
IF(Arrangörslista!$U$5&lt;43,SUM(LARGE(BV5:DK5,{1;2;3;4;5;6;7;8;9;10;11;12;13;14;15;16;17;18;19;20;21})),
IF(Arrangörslista!$U$5&lt;46,SUM(LARGE(BV5:DN5,{1;2;3;4;5;6;7;8;9;10;11;12;13;14;15;16;17;18;19;20;21;22})),
IF(Arrangörslista!$U$5&lt;49,SUM(LARGE(BV5:DQ5,{1;2;3;4;5;6;7;8;9;10;11;12;13;14;15;16;17;18;19;20;21;22;23;24})),
IF(Arrangörslista!$U$5&lt;52,SUM(LARGE(BV5:DT5,{1;2;3;4;5;6;7;8;9;10;11;12;13;14;15;16;17;18;19;20;21;22;23;24;25})),
IF(Arrangörslista!$U$5&lt;55,SUM(LARGE(BV5:DW5,{1;2;3;4;5;6;7;8;9;10;11;12;13;14;15;16;17;18;19;20;21;22;23;24;25;26;27})),
IF(Arrangörslista!$U$5&lt;58,SUM(LARGE(BV5:DZ5,{1;2;3;4;5;6;7;8;9;10;11;12;13;14;15;16;17;18;19;20;21;22;23;24;25;26;27;28})),
IF(Arrangörslista!$U$5&lt;61,SUM(LARGE(BV5:EC5,{1;2;3;4;5;6;7;8;9;10;11;12;13;14;15;16;17;18;19;20;21;22;23;24;25;26;27;28;29;30})),0)))))))))))))))))))),
IF(Arrangörslista!$U$5&lt;4,0,
IF(Arrangörslista!$U$5&lt;8,SUM(LARGE(BV5:CB5,1)),
IF(Arrangörslista!$U$5&lt;12,SUM(LARGE(BV5:CF5,{1;2})),
IF(Arrangörslista!$U$5&lt;16,SUM(LARGE(BV5:CJ5,{1;2;3})),
IF(Arrangörslista!$U$5&lt;20,SUM(LARGE(BV5:CN5,{1;2;3;4})),
IF(Arrangörslista!$U$5&lt;24,SUM(LARGE(BV5:CR5,{1;2;3;4;5})),
IF(Arrangörslista!$U$5&lt;28,SUM(LARGE(BV5:CV5,{1;2;3;4;5;6})),
IF(Arrangörslista!$U$5&lt;32,SUM(LARGE(BV5:CZ5,{1;2;3;4;5;6;7})),
IF(Arrangörslista!$U$5&lt;36,SUM(LARGE(BV5:DD5,{1;2;3;4;5;6;7;8})),
IF(Arrangörslista!$U$5&lt;40,SUM(LARGE(BV5:DH5,{1;2;3;4;5;6;7;8;9})),
IF(Arrangörslista!$U$5&lt;44,SUM(LARGE(BV5:DL5,{1;2;3;4;5;6;7;8;9;10})),
IF(Arrangörslista!$U$5&lt;48,SUM(LARGE(BV5:DP5,{1;2;3;4;5;6;7;8;9;10;11})),
IF(Arrangörslista!$U$5&lt;52,SUM(LARGE(BV5:DT5,{1;2;3;4;5;6;7;8;9;10;11;12})),
IF(Arrangörslista!$U$5&lt;56,SUM(LARGE(BV5:DX5,{1;2;3;4;5;6;7;8;9;10;11;12;13})),
IF(Arrangörslista!$U$5&lt;60,SUM(LARGE(BV5:EB5,{1;2;3;4;5;6;7;8;9;10;11;12;13;14})),
IF(Arrangörslista!$U$5=60,SUM(LARGE(BV5:EC5,{1;2;3;4;5;6;7;8;9;10;11;12;13;14;15})),0))))))))))))))))))</f>
        <v>0</v>
      </c>
      <c r="EG5" s="67">
        <f>IF(F5="",,1)</f>
        <v>0</v>
      </c>
      <c r="EH5" s="61"/>
      <c r="EI5" s="61"/>
      <c r="EK5" s="62">
        <f>SMALL($J68:$BQ68,1)</f>
        <v>61</v>
      </c>
      <c r="EL5" s="62">
        <f>SMALL($J68:$BQ68,2)</f>
        <v>61</v>
      </c>
      <c r="EM5" s="62">
        <f>SMALL($J68:$BQ68,3)</f>
        <v>61</v>
      </c>
      <c r="EN5" s="62">
        <f>SMALL($J68:$BQ68,4)</f>
        <v>61</v>
      </c>
      <c r="EO5" s="62">
        <f>SMALL($J68:$BQ68,5)</f>
        <v>61</v>
      </c>
      <c r="EP5" s="62">
        <f>SMALL($J68:$BQ68,6)</f>
        <v>61</v>
      </c>
      <c r="EQ5" s="62">
        <f>SMALL($J68:$BQ68,7)</f>
        <v>61</v>
      </c>
      <c r="ER5" s="62">
        <f>SMALL($J68:$BQ68,8)</f>
        <v>61</v>
      </c>
      <c r="ES5" s="62">
        <f>SMALL($J68:$BQ68,9)</f>
        <v>61</v>
      </c>
      <c r="ET5" s="62">
        <f>SMALL($J68:$BQ68,10)</f>
        <v>61</v>
      </c>
      <c r="EU5" s="62">
        <f>SMALL($J68:$BQ68,11)</f>
        <v>61</v>
      </c>
      <c r="EV5" s="62">
        <f>SMALL($J68:$BQ68,12)</f>
        <v>61</v>
      </c>
      <c r="EW5" s="62">
        <f>SMALL($J68:$BQ68,13)</f>
        <v>61</v>
      </c>
      <c r="EX5" s="62">
        <f>SMALL($J68:$BQ68,14)</f>
        <v>61</v>
      </c>
      <c r="EY5" s="62">
        <f>SMALL($J68:$BQ68,15)</f>
        <v>61</v>
      </c>
      <c r="EZ5" s="62">
        <f>SMALL($J68:$BQ68,16)</f>
        <v>61</v>
      </c>
      <c r="FA5" s="62">
        <f>SMALL($J68:$BQ68,17)</f>
        <v>61</v>
      </c>
      <c r="FB5" s="62">
        <f>SMALL($J68:$BQ68,18)</f>
        <v>61</v>
      </c>
      <c r="FC5" s="62">
        <f>SMALL($J68:$BQ68,19)</f>
        <v>61</v>
      </c>
      <c r="FD5" s="62">
        <f>SMALL($J68:$BQ68,20)</f>
        <v>61</v>
      </c>
      <c r="FE5" s="62">
        <f>SMALL($J68:$BQ68,21)</f>
        <v>61</v>
      </c>
      <c r="FF5" s="62">
        <f>SMALL($J68:$BQ68,22)</f>
        <v>61</v>
      </c>
      <c r="FG5" s="62">
        <f>SMALL($J68:$BQ68,23)</f>
        <v>61</v>
      </c>
      <c r="FH5" s="62">
        <f>SMALL($J68:$BQ68,24)</f>
        <v>61</v>
      </c>
      <c r="FI5" s="62">
        <f>SMALL($J68:$BQ68,25)</f>
        <v>61</v>
      </c>
      <c r="FJ5" s="62">
        <f>SMALL($J68:$BQ68,26)</f>
        <v>61</v>
      </c>
      <c r="FK5" s="62">
        <f>SMALL($J68:$BQ68,27)</f>
        <v>61</v>
      </c>
      <c r="FL5" s="62">
        <f>SMALL($J68:$BQ68,28)</f>
        <v>61</v>
      </c>
      <c r="FM5" s="62">
        <f>SMALL($J68:$BQ68,29)</f>
        <v>61</v>
      </c>
      <c r="FN5" s="62">
        <f>SMALL($J68:$BQ68,30)</f>
        <v>61</v>
      </c>
      <c r="FO5" s="62">
        <f>SMALL($J68:$BQ68,31)</f>
        <v>61</v>
      </c>
      <c r="FP5" s="62">
        <f>SMALL($J68:$BQ68,32)</f>
        <v>61</v>
      </c>
      <c r="FQ5" s="62">
        <f>SMALL($J68:$BQ68,33)</f>
        <v>61</v>
      </c>
      <c r="FR5" s="62">
        <f>SMALL($J68:$BQ68,34)</f>
        <v>61</v>
      </c>
      <c r="FS5" s="62">
        <f>SMALL($J68:$BQ68,35)</f>
        <v>61</v>
      </c>
      <c r="FT5" s="62">
        <f>SMALL($J68:$BQ68,36)</f>
        <v>61</v>
      </c>
      <c r="FU5" s="62">
        <f>SMALL($J68:$BQ68,37)</f>
        <v>61</v>
      </c>
      <c r="FV5" s="62">
        <f>SMALL($J68:$BQ68,38)</f>
        <v>61</v>
      </c>
      <c r="FW5" s="62">
        <f>SMALL($J68:$BQ68,39)</f>
        <v>61</v>
      </c>
      <c r="FX5" s="62">
        <f>SMALL($J68:$BQ68,40)</f>
        <v>61</v>
      </c>
      <c r="FY5" s="62">
        <f>SMALL($J68:$BQ68,41)</f>
        <v>61</v>
      </c>
      <c r="FZ5" s="62">
        <f>SMALL($J68:$BQ68,42)</f>
        <v>61</v>
      </c>
      <c r="GA5" s="62">
        <f>SMALL($J68:$BQ68,43)</f>
        <v>61</v>
      </c>
      <c r="GB5" s="62">
        <f>SMALL($J68:$BQ68,44)</f>
        <v>61</v>
      </c>
      <c r="GC5" s="62">
        <f>SMALL($J68:$BQ68,45)</f>
        <v>61</v>
      </c>
      <c r="GD5" s="62">
        <f>SMALL($J68:$BQ68,46)</f>
        <v>61</v>
      </c>
      <c r="GE5" s="62">
        <f>SMALL($J68:$BQ68,47)</f>
        <v>61</v>
      </c>
      <c r="GF5" s="62">
        <f>SMALL($J68:$BQ68,48)</f>
        <v>61</v>
      </c>
      <c r="GG5" s="62">
        <f>SMALL($J68:$BQ68,49)</f>
        <v>61</v>
      </c>
      <c r="GH5" s="62">
        <f>SMALL($J68:$BQ68,50)</f>
        <v>61</v>
      </c>
      <c r="GI5" s="62">
        <f>SMALL($J68:$BQ68,51)</f>
        <v>61</v>
      </c>
      <c r="GJ5" s="62">
        <f>SMALL($J68:$BQ68,52)</f>
        <v>61</v>
      </c>
      <c r="GK5" s="62">
        <f>SMALL($J68:$BQ68,53)</f>
        <v>61</v>
      </c>
      <c r="GL5" s="62">
        <f>SMALL($J68:$BQ68,54)</f>
        <v>61</v>
      </c>
      <c r="GM5" s="62">
        <f>SMALL($J68:$BQ68,55)</f>
        <v>61</v>
      </c>
      <c r="GN5" s="62">
        <f>SMALL($J68:$BQ68,56)</f>
        <v>61</v>
      </c>
      <c r="GO5" s="62">
        <f>SMALL($J68:$BQ68,57)</f>
        <v>61</v>
      </c>
      <c r="GP5" s="62">
        <f>SMALL($J68:$BQ68,58)</f>
        <v>61</v>
      </c>
      <c r="GQ5" s="62">
        <f>SMALL($J68:$BQ68,59)</f>
        <v>61</v>
      </c>
      <c r="GR5" s="62">
        <f>SMALL($J68:$BQ68,60)</f>
        <v>61</v>
      </c>
      <c r="GT5" s="62">
        <f>IF(Deltagarlista!$K$3=2,
IF(GW5="1",
      IF(Arrangörslista!$U$5=1,J68,
IF(Arrangörslista!$U$5=2,K68,
IF(Arrangörslista!$U$5=3,L68,
IF(Arrangörslista!$U$5=4,M68,
IF(Arrangörslista!$U$5=5,N68,
IF(Arrangörslista!$U$5=6,O68,
IF(Arrangörslista!$U$5=7,P68,
IF(Arrangörslista!$U$5=8,Q68,
IF(Arrangörslista!$U$5=9,R68,
IF(Arrangörslista!$U$5=10,S68,
IF(Arrangörslista!$U$5=11,T68,
IF(Arrangörslista!$U$5=12,U68,
IF(Arrangörslista!$U$5=13,V68,
IF(Arrangörslista!$U$5=14,W68,
IF(Arrangörslista!$U$5=15,X68,
IF(Arrangörslista!$U$5=16,Y68,IF(Arrangörslista!$U$5=17,Z68,IF(Arrangörslista!$U$5=18,AA68,IF(Arrangörslista!$U$5=19,AB68,IF(Arrangörslista!$U$5=20,AC68,IF(Arrangörslista!$U$5=21,AD68,IF(Arrangörslista!$U$5=22,AE68,IF(Arrangörslista!$U$5=23,AF68, IF(Arrangörslista!$U$5=24,AG68, IF(Arrangörslista!$U$5=25,AH68, IF(Arrangörslista!$U$5=26,AI68, IF(Arrangörslista!$U$5=27,AJ68, IF(Arrangörslista!$U$5=28,AK68, IF(Arrangörslista!$U$5=29,AL68, IF(Arrangörslista!$U$5=30,AM68, IF(Arrangörslista!$U$5=31,AN68, IF(Arrangörslista!$U$5=32,AO68, IF(Arrangörslista!$U$5=33,AP68, IF(Arrangörslista!$U$5=34,AQ68, IF(Arrangörslista!$U$5=35,AR68, IF(Arrangörslista!$U$5=36,AS68, IF(Arrangörslista!$U$5=37,AT68, IF(Arrangörslista!$U$5=38,AU68, IF(Arrangörslista!$U$5=39,AV68, IF(Arrangörslista!$U$5=40,AW68, IF(Arrangörslista!$U$5=41,AX68, IF(Arrangörslista!$U$5=42,AY68, IF(Arrangörslista!$U$5=43,AZ68, IF(Arrangörslista!$U$5=44,BA68, IF(Arrangörslista!$U$5=45,BB68, IF(Arrangörslista!$U$5=46,BC68, IF(Arrangörslista!$U$5=47,BD68, IF(Arrangörslista!$U$5=48,BE68, IF(Arrangörslista!$U$5=49,BF68, IF(Arrangörslista!$U$5=50,BG68, IF(Arrangörslista!$U$5=51,BH68, IF(Arrangörslista!$U$5=52,BI68, IF(Arrangörslista!$U$5=53,BJ68, IF(Arrangörslista!$U$5=54,BK68, IF(Arrangörslista!$U$5=55,BL68, IF(Arrangörslista!$U$5=56,BM68, IF(Arrangörslista!$U$5=57,BN68, IF(Arrangörslista!$U$5=58,BO68, IF(Arrangörslista!$U$5=59,BP68, IF(Arrangörslista!$U$5=60,BQ68,0))))))))))))))))))))))))))))))))))))))))))))))))))))))))))))),IF(Deltagarlista!$K$3=4, IF(Arrangörslista!$U$5=1,J68,
IF(Arrangörslista!$U$5=2,J68,
IF(Arrangörslista!$U$5=3,K68,
IF(Arrangörslista!$U$5=4,K68,
IF(Arrangörslista!$U$5=5,L68,
IF(Arrangörslista!$U$5=6,L68,
IF(Arrangörslista!$U$5=7,M68,
IF(Arrangörslista!$U$5=8,M68,
IF(Arrangörslista!$U$5=9,N68,
IF(Arrangörslista!$U$5=10,N68,
IF(Arrangörslista!$U$5=11,O68,
IF(Arrangörslista!$U$5=12,O68,
IF(Arrangörslista!$U$5=13,P68,
IF(Arrangörslista!$U$5=14,P68,
IF(Arrangörslista!$U$5=15,Q68,
IF(Arrangörslista!$U$5=16,Q68,
IF(Arrangörslista!$U$5=17,R68,
IF(Arrangörslista!$U$5=18,R68,
IF(Arrangörslista!$U$5=19,S68,
IF(Arrangörslista!$U$5=20,S68,
IF(Arrangörslista!$U$5=21,T68,
IF(Arrangörslista!$U$5=22,T68,IF(Arrangörslista!$U$5=23,U68, IF(Arrangörslista!$U$5=24,U68, IF(Arrangörslista!$U$5=25,V68, IF(Arrangörslista!$U$5=26,V68, IF(Arrangörslista!$U$5=27,W68, IF(Arrangörslista!$U$5=28,W68, IF(Arrangörslista!$U$5=29,X68, IF(Arrangörslista!$U$5=30,X68, IF(Arrangörslista!$U$5=31,X68, IF(Arrangörslista!$U$5=32,Y68, IF(Arrangörslista!$U$5=33,AO68, IF(Arrangörslista!$U$5=34,Y68, IF(Arrangörslista!$U$5=35,Z68, IF(Arrangörslista!$U$5=36,AR68, IF(Arrangörslista!$U$5=37,Z68, IF(Arrangörslista!$U$5=38,AA68, IF(Arrangörslista!$U$5=39,AU68, IF(Arrangörslista!$U$5=40,AA68, IF(Arrangörslista!$U$5=41,AB68, IF(Arrangörslista!$U$5=42,AX68, IF(Arrangörslista!$U$5=43,AB68, IF(Arrangörslista!$U$5=44,AC68, IF(Arrangörslista!$U$5=45,BA68, IF(Arrangörslista!$U$5=46,AC68, IF(Arrangörslista!$U$5=47,AD68, IF(Arrangörslista!$U$5=48,BD68, IF(Arrangörslista!$U$5=49,AD68, IF(Arrangörslista!$U$5=50,AE68, IF(Arrangörslista!$U$5=51,BG68, IF(Arrangörslista!$U$5=52,AE68, IF(Arrangörslista!$U$5=53,AF68, IF(Arrangörslista!$U$5=54,BJ68, IF(Arrangörslista!$U$5=55,AF68, IF(Arrangörslista!$U$5=56,AG68, IF(Arrangörslista!$U$5=57,BM68, IF(Arrangörslista!$U$5=58,AG68, IF(Arrangörslista!$U$5=59,AH68, IF(Arrangörslista!$U$5=60,AH68,0)))))))))))))))))))))))))))))))))))))))))))))))))))))))))))),IF(Arrangörslista!$U$5=1,J68,
IF(Arrangörslista!$U$5=2,K68,
IF(Arrangörslista!$U$5=3,L68,
IF(Arrangörslista!$U$5=4,M68,
IF(Arrangörslista!$U$5=5,N68,
IF(Arrangörslista!$U$5=6,O68,
IF(Arrangörslista!$U$5=7,P68,
IF(Arrangörslista!$U$5=8,Q68,
IF(Arrangörslista!$U$5=9,R68,
IF(Arrangörslista!$U$5=10,S68,
IF(Arrangörslista!$U$5=11,T68,
IF(Arrangörslista!$U$5=12,U68,
IF(Arrangörslista!$U$5=13,V68,
IF(Arrangörslista!$U$5=14,W68,
IF(Arrangörslista!$U$5=15,X68,
IF(Arrangörslista!$U$5=16,Y68,IF(Arrangörslista!$U$5=17,Z68,IF(Arrangörslista!$U$5=18,AA68,IF(Arrangörslista!$U$5=19,AB68,IF(Arrangörslista!$U$5=20,AC68,IF(Arrangörslista!$U$5=21,AD68,IF(Arrangörslista!$U$5=22,AE68,IF(Arrangörslista!$U$5=23,AF68, IF(Arrangörslista!$U$5=24,AG68, IF(Arrangörslista!$U$5=25,AH68, IF(Arrangörslista!$U$5=26,AI68, IF(Arrangörslista!$U$5=27,AJ68, IF(Arrangörslista!$U$5=28,AK68, IF(Arrangörslista!$U$5=29,AL68, IF(Arrangörslista!$U$5=30,AM68, IF(Arrangörslista!$U$5=31,AN68, IF(Arrangörslista!$U$5=32,AO68, IF(Arrangörslista!$U$5=33,AP68, IF(Arrangörslista!$U$5=34,AQ68, IF(Arrangörslista!$U$5=35,AR68, IF(Arrangörslista!$U$5=36,AS68, IF(Arrangörslista!$U$5=37,AT68, IF(Arrangörslista!$U$5=38,AU68, IF(Arrangörslista!$U$5=39,AV68, IF(Arrangörslista!$U$5=40,AW68, IF(Arrangörslista!$U$5=41,AX68, IF(Arrangörslista!$U$5=42,AY68, IF(Arrangörslista!$U$5=43,AZ68, IF(Arrangörslista!$U$5=44,BA68, IF(Arrangörslista!$U$5=45,BB68, IF(Arrangörslista!$U$5=46,BC68, IF(Arrangörslista!$U$5=47,BD68, IF(Arrangörslista!$U$5=48,BE68, IF(Arrangörslista!$U$5=49,BF68, IF(Arrangörslista!$U$5=50,BG68, IF(Arrangörslista!$U$5=51,BH68, IF(Arrangörslista!$U$5=52,BI68, IF(Arrangörslista!$U$5=53,BJ68, IF(Arrangörslista!$U$5=54,BK68, IF(Arrangörslista!$U$5=55,BL68, IF(Arrangörslista!$U$5=56,BM68, IF(Arrangörslista!$U$5=57,BN68, IF(Arrangörslista!$U$5=58,BO68, IF(Arrangörslista!$U$5=59,BP68, IF(Arrangörslista!$U$5=60,BQ68,0))))))))))))))))))))))))))))))))))))))))))))))))))))))))))))
))</f>
        <v>0</v>
      </c>
      <c r="GV5" s="65" t="str">
        <f>IFERROR(IF(VLOOKUP(F5,Deltagarlista!$E$5:$I$64,5,FALSE)="Grön","Gr",IF(VLOOKUP(F5,Deltagarlista!$E$5:$I$64,5,FALSE)="Röd","R",IF(VLOOKUP(F5,Deltagarlista!$E$5:$I$64,5,FALSE)="Blå","B","Gu"))),"")</f>
        <v/>
      </c>
      <c r="GW5" s="62" t="str">
        <f t="shared" ref="GW5:GW9" si="0">IF(GV5="","",IF(AND($GX$2="R/B",OR(GV5="R",GV5="B")),"1",IF(AND($GX$2="G/R",OR(GV5="R",GV5="G")),"1",IF(AND($GX$2="G/B",OR(GV5="B",GV5="G")),"1","2"))))</f>
        <v/>
      </c>
    </row>
    <row r="6" spans="1:206" x14ac:dyDescent="0.3">
      <c r="B6" s="23" t="str">
        <f>IF($BW$3&gt;2,3,"")</f>
        <v/>
      </c>
      <c r="C6" s="92" t="str">
        <f>IF(ISBLANK(Deltagarlista!C9),"",Deltagarlista!C9)</f>
        <v/>
      </c>
      <c r="D6" s="109" t="str">
        <f>CONCATENATE(IF(AND(Deltagarlista!H9="GM",Deltagarlista!$S$14=TRUE),"GM   ",""), IF(OR(Deltagarlista!$K$3=4,Deltagarlista!$K$3=2),Deltagarlista!I9,""))</f>
        <v/>
      </c>
      <c r="E6" s="8" t="str">
        <f>IF(ISBLANK(Deltagarlista!D9),"",Deltagarlista!D9)</f>
        <v/>
      </c>
      <c r="F6" s="8" t="str">
        <f>IF(ISBLANK(Deltagarlista!E9),"",Deltagarlista!E9)</f>
        <v/>
      </c>
      <c r="G6" s="95" t="str">
        <f>IF(ISBLANK(Deltagarlista!F9),"",Deltagarlista!F9)</f>
        <v/>
      </c>
      <c r="H6" s="72" t="str">
        <f>IF(ISBLANK(Deltagarlista!C9),"",BU6-EE6)</f>
        <v/>
      </c>
      <c r="I6" s="13" t="str">
        <f>IF(ISBLANK(Deltagarlista!C9),"",IF(AND(Deltagarlista!$K$3=2,Deltagarlista!$L$3&lt;37),SUM(SUM(BV6:EC6)-(ROUNDDOWN(Arrangörslista!$U$5/3,1))*($BW$3+1)),SUM(BV6:EC6)))</f>
        <v/>
      </c>
      <c r="J6" s="79" t="str">
        <f>IF(Deltagarlista!$K$3=4,IF(ISBLANK(Deltagarlista!$C9),"",IF(ISBLANK(Arrangörslista!C$8),"",IFERROR(VLOOKUP($F6,Arrangörslista!C$8:$AG$45,16,FALSE),IF(ISBLANK(Deltagarlista!$C9),"",IF(ISBLANK(Arrangörslista!C$8),"",IFERROR(VLOOKUP($F6,Arrangörslista!D$8:$AG$45,16,FALSE),"DNS")))))),IF(Deltagarlista!$K$3=2,
IF(ISBLANK(Deltagarlista!$C9),"",IF(ISBLANK(Arrangörslista!C$8),"",IF($GV6=J$64," DNS ",IFERROR(VLOOKUP($F6,Arrangörslista!C$8:$AG$45,16,FALSE),"DNS")))),IF(ISBLANK(Deltagarlista!$C9),"",IF(ISBLANK(Arrangörslista!C$8),"",IFERROR(VLOOKUP($F6,Arrangörslista!C$8:$AG$45,16,FALSE),"DNS")))))</f>
        <v/>
      </c>
      <c r="K6" s="5" t="str">
        <f>IF(Deltagarlista!$K$3=4,IF(ISBLANK(Deltagarlista!$C9),"",IF(ISBLANK(Arrangörslista!E$8),"",IFERROR(VLOOKUP($F6,Arrangörslista!E$8:$AG$45,16,FALSE),IF(ISBLANK(Deltagarlista!$C9),"",IF(ISBLANK(Arrangörslista!E$8),"",IFERROR(VLOOKUP($F6,Arrangörslista!F$8:$AG$45,16,FALSE),"DNS")))))),IF(Deltagarlista!$K$3=2,
IF(ISBLANK(Deltagarlista!$C9),"",IF(ISBLANK(Arrangörslista!D$8),"",IF($GV6=K$64," DNS ",IFERROR(VLOOKUP($F6,Arrangörslista!D$8:$AG$45,16,FALSE),"DNS")))),IF(ISBLANK(Deltagarlista!$C9),"",IF(ISBLANK(Arrangörslista!D$8),"",IFERROR(VLOOKUP($F6,Arrangörslista!D$8:$AG$45,16,FALSE),"DNS")))))</f>
        <v/>
      </c>
      <c r="L6" s="5" t="str">
        <f>IF(Deltagarlista!$K$3=4,IF(ISBLANK(Deltagarlista!$C9),"",IF(ISBLANK(Arrangörslista!G$8),"",IFERROR(VLOOKUP($F6,Arrangörslista!G$8:$AG$45,16,FALSE),IF(ISBLANK(Deltagarlista!$C9),"",IF(ISBLANK(Arrangörslista!G$8),"",IFERROR(VLOOKUP($F6,Arrangörslista!H$8:$AG$45,16,FALSE),"DNS")))))),IF(Deltagarlista!$K$3=2,
IF(ISBLANK(Deltagarlista!$C9),"",IF(ISBLANK(Arrangörslista!E$8),"",IF($GV6=L$64," DNS ",IFERROR(VLOOKUP($F6,Arrangörslista!E$8:$AG$45,16,FALSE),"DNS")))),IF(ISBLANK(Deltagarlista!$C9),"",IF(ISBLANK(Arrangörslista!E$8),"",IFERROR(VLOOKUP($F6,Arrangörslista!E$8:$AG$45,16,FALSE),"DNS")))))</f>
        <v/>
      </c>
      <c r="M6" s="5" t="str">
        <f>IF(Deltagarlista!$K$3=4,IF(ISBLANK(Deltagarlista!$C9),"",IF(ISBLANK(Arrangörslista!I$8),"",IFERROR(VLOOKUP($F6,Arrangörslista!I$8:$AG$45,16,FALSE),IF(ISBLANK(Deltagarlista!$C9),"",IF(ISBLANK(Arrangörslista!I$8),"",IFERROR(VLOOKUP($F6,Arrangörslista!J$8:$AG$45,16,FALSE),"DNS")))))),IF(Deltagarlista!$K$3=2,
IF(ISBLANK(Deltagarlista!$C9),"",IF(ISBLANK(Arrangörslista!F$8),"",IF($GV6=M$64," DNS ",IFERROR(VLOOKUP($F6,Arrangörslista!F$8:$AG$45,16,FALSE),"DNS")))),IF(ISBLANK(Deltagarlista!$C9),"",IF(ISBLANK(Arrangörslista!F$8),"",IFERROR(VLOOKUP($F6,Arrangörslista!F$8:$AG$45,16,FALSE),"DNS")))))</f>
        <v/>
      </c>
      <c r="N6" s="5" t="str">
        <f>IF(Deltagarlista!$K$3=4,IF(ISBLANK(Deltagarlista!$C9),"",IF(ISBLANK(Arrangörslista!K$8),"",IFERROR(VLOOKUP($F6,Arrangörslista!K$8:$AG$45,16,FALSE),IF(ISBLANK(Deltagarlista!$C9),"",IF(ISBLANK(Arrangörslista!K$8),"",IFERROR(VLOOKUP($F6,Arrangörslista!L$8:$AG$45,16,FALSE),"DNS")))))),IF(Deltagarlista!$K$3=2,
IF(ISBLANK(Deltagarlista!$C9),"",IF(ISBLANK(Arrangörslista!G$8),"",IF($GV6=N$64," DNS ",IFERROR(VLOOKUP($F6,Arrangörslista!G$8:$AG$45,16,FALSE),"DNS")))),IF(ISBLANK(Deltagarlista!$C9),"",IF(ISBLANK(Arrangörslista!G$8),"",IFERROR(VLOOKUP($F6,Arrangörslista!G$8:$AG$45,16,FALSE),"DNS")))))</f>
        <v/>
      </c>
      <c r="O6" s="5" t="str">
        <f>IF(Deltagarlista!$K$3=4,IF(ISBLANK(Deltagarlista!$C9),"",IF(ISBLANK(Arrangörslista!M$8),"",IFERROR(VLOOKUP($F6,Arrangörslista!M$8:$AG$45,16,FALSE),IF(ISBLANK(Deltagarlista!$C9),"",IF(ISBLANK(Arrangörslista!M$8),"",IFERROR(VLOOKUP($F6,Arrangörslista!N$8:$AG$45,16,FALSE),"DNS")))))),IF(Deltagarlista!$K$3=2,
IF(ISBLANK(Deltagarlista!$C9),"",IF(ISBLANK(Arrangörslista!H$8),"",IF($GV6=O$64," DNS ",IFERROR(VLOOKUP($F6,Arrangörslista!H$8:$AG$45,16,FALSE),"DNS")))),IF(ISBLANK(Deltagarlista!$C9),"",IF(ISBLANK(Arrangörslista!H$8),"",IFERROR(VLOOKUP($F6,Arrangörslista!H$8:$AG$45,16,FALSE),"DNS")))))</f>
        <v/>
      </c>
      <c r="P6" s="5" t="str">
        <f>IF(Deltagarlista!$K$3=4,IF(ISBLANK(Deltagarlista!$C9),"",IF(ISBLANK(Arrangörslista!O$8),"",IFERROR(VLOOKUP($F6,Arrangörslista!O$8:$AG$45,16,FALSE),IF(ISBLANK(Deltagarlista!$C9),"",IF(ISBLANK(Arrangörslista!O$8),"",IFERROR(VLOOKUP($F6,Arrangörslista!P$8:$AG$45,16,FALSE),"DNS")))))),IF(Deltagarlista!$K$3=2,
IF(ISBLANK(Deltagarlista!$C9),"",IF(ISBLANK(Arrangörslista!I$8),"",IF($GV6=P$64," DNS ",IFERROR(VLOOKUP($F6,Arrangörslista!I$8:$AG$45,16,FALSE),"DNS")))),IF(ISBLANK(Deltagarlista!$C9),"",IF(ISBLANK(Arrangörslista!I$8),"",IFERROR(VLOOKUP($F6,Arrangörslista!I$8:$AG$45,16,FALSE),"DNS")))))</f>
        <v/>
      </c>
      <c r="Q6" s="5" t="str">
        <f>IF(Deltagarlista!$K$3=4,IF(ISBLANK(Deltagarlista!$C9),"",IF(ISBLANK(Arrangörslista!Q$8),"",IFERROR(VLOOKUP($F6,Arrangörslista!Q$8:$AG$45,16,FALSE),IF(ISBLANK(Deltagarlista!$C9),"",IF(ISBLANK(Arrangörslista!Q$8),"",IFERROR(VLOOKUP($F6,Arrangörslista!C$53:$AG$90,16,FALSE),"DNS")))))),IF(Deltagarlista!$K$3=2,
IF(ISBLANK(Deltagarlista!$C9),"",IF(ISBLANK(Arrangörslista!J$8),"",IF($GV6=Q$64," DNS ",IFERROR(VLOOKUP($F6,Arrangörslista!J$8:$AG$45,16,FALSE),"DNS")))),IF(ISBLANK(Deltagarlista!$C9),"",IF(ISBLANK(Arrangörslista!J$8),"",IFERROR(VLOOKUP($F6,Arrangörslista!J$8:$AG$45,16,FALSE),"DNS")))))</f>
        <v/>
      </c>
      <c r="R6" s="5" t="str">
        <f>IF(Deltagarlista!$K$3=4,IF(ISBLANK(Deltagarlista!$C9),"",IF(ISBLANK(Arrangörslista!D$53),"",IFERROR(VLOOKUP($F6,Arrangörslista!D$53:$AG$90,16,FALSE),IF(ISBLANK(Deltagarlista!$C9),"",IF(ISBLANK(Arrangörslista!D$53),"",IFERROR(VLOOKUP($F6,Arrangörslista!E$53:$AG$90,16,FALSE),"DNS")))))),IF(Deltagarlista!$K$3=2,
IF(ISBLANK(Deltagarlista!$C9),"",IF(ISBLANK(Arrangörslista!K$8),"",IF($GV6=R$64," DNS ",IFERROR(VLOOKUP($F6,Arrangörslista!K$8:$AG$45,16,FALSE),"DNS")))),IF(ISBLANK(Deltagarlista!$C9),"",IF(ISBLANK(Arrangörslista!K$8),"",IFERROR(VLOOKUP($F6,Arrangörslista!K$8:$AG$45,16,FALSE),"DNS")))))</f>
        <v/>
      </c>
      <c r="S6" s="5" t="str">
        <f>IF(Deltagarlista!$K$3=4,IF(ISBLANK(Deltagarlista!$C9),"",IF(ISBLANK(Arrangörslista!F$53),"",IFERROR(VLOOKUP($F6,Arrangörslista!F$53:$AG$90,16,FALSE),IF(ISBLANK(Deltagarlista!$C9),"",IF(ISBLANK(Arrangörslista!F$53),"",IFERROR(VLOOKUP($F6,Arrangörslista!G$53:$AG$90,16,FALSE),"DNS")))))),IF(Deltagarlista!$K$3=2,
IF(ISBLANK(Deltagarlista!$C9),"",IF(ISBLANK(Arrangörslista!L$8),"",IF($GV6=S$64," DNS ",IFERROR(VLOOKUP($F6,Arrangörslista!L$8:$AG$45,16,FALSE),"DNS")))),IF(ISBLANK(Deltagarlista!$C9),"",IF(ISBLANK(Arrangörslista!L$8),"",IFERROR(VLOOKUP($F6,Arrangörslista!L$8:$AG$45,16,FALSE),"DNS")))))</f>
        <v/>
      </c>
      <c r="T6" s="5" t="str">
        <f>IF(Deltagarlista!$K$3=4,IF(ISBLANK(Deltagarlista!$C9),"",IF(ISBLANK(Arrangörslista!H$53),"",IFERROR(VLOOKUP($F6,Arrangörslista!H$53:$AG$90,16,FALSE),IF(ISBLANK(Deltagarlista!$C9),"",IF(ISBLANK(Arrangörslista!H$53),"",IFERROR(VLOOKUP($F6,Arrangörslista!I$53:$AG$90,16,FALSE),"DNS")))))),IF(Deltagarlista!$K$3=2,
IF(ISBLANK(Deltagarlista!$C9),"",IF(ISBLANK(Arrangörslista!M$8),"",IF($GV6=T$64," DNS ",IFERROR(VLOOKUP($F6,Arrangörslista!M$8:$AG$45,16,FALSE),"DNS")))),IF(ISBLANK(Deltagarlista!$C9),"",IF(ISBLANK(Arrangörslista!M$8),"",IFERROR(VLOOKUP($F6,Arrangörslista!M$8:$AG$45,16,FALSE),"DNS")))))</f>
        <v/>
      </c>
      <c r="U6" s="5" t="str">
        <f>IF(Deltagarlista!$K$3=4,IF(ISBLANK(Deltagarlista!$C9),"",IF(ISBLANK(Arrangörslista!J$53),"",IFERROR(VLOOKUP($F6,Arrangörslista!J$53:$AG$90,16,FALSE),IF(ISBLANK(Deltagarlista!$C9),"",IF(ISBLANK(Arrangörslista!J$53),"",IFERROR(VLOOKUP($F6,Arrangörslista!K$53:$AG$90,16,FALSE),"DNS")))))),IF(Deltagarlista!$K$3=2,
IF(ISBLANK(Deltagarlista!$C9),"",IF(ISBLANK(Arrangörslista!N$8),"",IF($GV6=U$64," DNS ",IFERROR(VLOOKUP($F6,Arrangörslista!N$8:$AG$45,16,FALSE),"DNS")))),IF(ISBLANK(Deltagarlista!$C9),"",IF(ISBLANK(Arrangörslista!N$8),"",IFERROR(VLOOKUP($F6,Arrangörslista!N$8:$AG$45,16,FALSE),"DNS")))))</f>
        <v/>
      </c>
      <c r="V6" s="5" t="str">
        <f>IF(Deltagarlista!$K$3=4,IF(ISBLANK(Deltagarlista!$C9),"",IF(ISBLANK(Arrangörslista!L$53),"",IFERROR(VLOOKUP($F6,Arrangörslista!L$53:$AG$90,16,FALSE),IF(ISBLANK(Deltagarlista!$C9),"",IF(ISBLANK(Arrangörslista!L$53),"",IFERROR(VLOOKUP($F6,Arrangörslista!M$53:$AG$90,16,FALSE),"DNS")))))),IF(Deltagarlista!$K$3=2,
IF(ISBLANK(Deltagarlista!$C9),"",IF(ISBLANK(Arrangörslista!O$8),"",IF($GV6=V$64," DNS ",IFERROR(VLOOKUP($F6,Arrangörslista!O$8:$AG$45,16,FALSE),"DNS")))),IF(ISBLANK(Deltagarlista!$C9),"",IF(ISBLANK(Arrangörslista!O$8),"",IFERROR(VLOOKUP($F6,Arrangörslista!O$8:$AG$45,16,FALSE),"DNS")))))</f>
        <v/>
      </c>
      <c r="W6" s="5" t="str">
        <f>IF(Deltagarlista!$K$3=4,IF(ISBLANK(Deltagarlista!$C9),"",IF(ISBLANK(Arrangörslista!N$53),"",IFERROR(VLOOKUP($F6,Arrangörslista!N$53:$AG$90,16,FALSE),IF(ISBLANK(Deltagarlista!$C9),"",IF(ISBLANK(Arrangörslista!N$53),"",IFERROR(VLOOKUP($F6,Arrangörslista!O$53:$AG$90,16,FALSE),"DNS")))))),IF(Deltagarlista!$K$3=2,
IF(ISBLANK(Deltagarlista!$C9),"",IF(ISBLANK(Arrangörslista!P$8),"",IF($GV6=W$64," DNS ",IFERROR(VLOOKUP($F6,Arrangörslista!P$8:$AG$45,16,FALSE),"DNS")))),IF(ISBLANK(Deltagarlista!$C9),"",IF(ISBLANK(Arrangörslista!P$8),"",IFERROR(VLOOKUP($F6,Arrangörslista!P$8:$AG$45,16,FALSE),"DNS")))))</f>
        <v/>
      </c>
      <c r="X6" s="5" t="str">
        <f>IF(Deltagarlista!$K$3=4,IF(ISBLANK(Deltagarlista!$C9),"",IF(ISBLANK(Arrangörslista!P$53),"",IFERROR(VLOOKUP($F6,Arrangörslista!P$53:$AG$90,16,FALSE),IF(ISBLANK(Deltagarlista!$C9),"",IF(ISBLANK(Arrangörslista!P$53),"",IFERROR(VLOOKUP($F6,Arrangörslista!Q$53:$AG$90,16,FALSE),"DNS")))))),IF(Deltagarlista!$K$3=2,
IF(ISBLANK(Deltagarlista!$C9),"",IF(ISBLANK(Arrangörslista!Q$8),"",IF($GV6=X$64," DNS ",IFERROR(VLOOKUP($F6,Arrangörslista!Q$8:$AG$45,16,FALSE),"DNS")))),IF(ISBLANK(Deltagarlista!$C9),"",IF(ISBLANK(Arrangörslista!Q$8),"",IFERROR(VLOOKUP($F6,Arrangörslista!Q$8:$AG$45,16,FALSE),"DNS")))))</f>
        <v/>
      </c>
      <c r="Y6" s="5" t="str">
        <f>IF(Deltagarlista!$K$3=4,IF(ISBLANK(Deltagarlista!$C9),"",IF(ISBLANK(Arrangörslista!C$98),"",IFERROR(VLOOKUP($F6,Arrangörslista!C$98:$AG$135,16,FALSE),IF(ISBLANK(Deltagarlista!$C9),"",IF(ISBLANK(Arrangörslista!C$98),"",IFERROR(VLOOKUP($F6,Arrangörslista!D$98:$AG$135,16,FALSE),"DNS")))))),IF(Deltagarlista!$K$3=2,
IF(ISBLANK(Deltagarlista!$C9),"",IF(ISBLANK(Arrangörslista!C$53),"",IF($GV6=Y$64," DNS ",IFERROR(VLOOKUP($F6,Arrangörslista!C$53:$AG$90,16,FALSE),"DNS")))),IF(ISBLANK(Deltagarlista!$C9),"",IF(ISBLANK(Arrangörslista!C$53),"",IFERROR(VLOOKUP($F6,Arrangörslista!C$53:$AG$90,16,FALSE),"DNS")))))</f>
        <v/>
      </c>
      <c r="Z6" s="5" t="str">
        <f>IF(Deltagarlista!$K$3=4,IF(ISBLANK(Deltagarlista!$C9),"",IF(ISBLANK(Arrangörslista!E$98),"",IFERROR(VLOOKUP($F6,Arrangörslista!E$98:$AG$135,16,FALSE),IF(ISBLANK(Deltagarlista!$C9),"",IF(ISBLANK(Arrangörslista!E$98),"",IFERROR(VLOOKUP($F6,Arrangörslista!F$98:$AG$135,16,FALSE),"DNS")))))),IF(Deltagarlista!$K$3=2,
IF(ISBLANK(Deltagarlista!$C9),"",IF(ISBLANK(Arrangörslista!D$53),"",IF($GV6=Z$64," DNS ",IFERROR(VLOOKUP($F6,Arrangörslista!D$53:$AG$90,16,FALSE),"DNS")))),IF(ISBLANK(Deltagarlista!$C9),"",IF(ISBLANK(Arrangörslista!D$53),"",IFERROR(VLOOKUP($F6,Arrangörslista!D$53:$AG$90,16,FALSE),"DNS")))))</f>
        <v/>
      </c>
      <c r="AA6" s="5" t="str">
        <f>IF(Deltagarlista!$K$3=4,IF(ISBLANK(Deltagarlista!$C9),"",IF(ISBLANK(Arrangörslista!G$98),"",IFERROR(VLOOKUP($F6,Arrangörslista!G$98:$AG$135,16,FALSE),IF(ISBLANK(Deltagarlista!$C9),"",IF(ISBLANK(Arrangörslista!G$98),"",IFERROR(VLOOKUP($F6,Arrangörslista!H$98:$AG$135,16,FALSE),"DNS")))))),IF(Deltagarlista!$K$3=2,
IF(ISBLANK(Deltagarlista!$C9),"",IF(ISBLANK(Arrangörslista!E$53),"",IF($GV6=AA$64," DNS ",IFERROR(VLOOKUP($F6,Arrangörslista!E$53:$AG$90,16,FALSE),"DNS")))),IF(ISBLANK(Deltagarlista!$C9),"",IF(ISBLANK(Arrangörslista!E$53),"",IFERROR(VLOOKUP($F6,Arrangörslista!E$53:$AG$90,16,FALSE),"DNS")))))</f>
        <v/>
      </c>
      <c r="AB6" s="5" t="str">
        <f>IF(Deltagarlista!$K$3=4,IF(ISBLANK(Deltagarlista!$C9),"",IF(ISBLANK(Arrangörslista!I$98),"",IFERROR(VLOOKUP($F6,Arrangörslista!I$98:$AG$135,16,FALSE),IF(ISBLANK(Deltagarlista!$C9),"",IF(ISBLANK(Arrangörslista!I$98),"",IFERROR(VLOOKUP($F6,Arrangörslista!J$98:$AG$135,16,FALSE),"DNS")))))),IF(Deltagarlista!$K$3=2,
IF(ISBLANK(Deltagarlista!$C9),"",IF(ISBLANK(Arrangörslista!F$53),"",IF($GV6=AB$64," DNS ",IFERROR(VLOOKUP($F6,Arrangörslista!F$53:$AG$90,16,FALSE),"DNS")))),IF(ISBLANK(Deltagarlista!$C9),"",IF(ISBLANK(Arrangörslista!F$53),"",IFERROR(VLOOKUP($F6,Arrangörslista!F$53:$AG$90,16,FALSE),"DNS")))))</f>
        <v/>
      </c>
      <c r="AC6" s="5" t="str">
        <f>IF(Deltagarlista!$K$3=4,IF(ISBLANK(Deltagarlista!$C9),"",IF(ISBLANK(Arrangörslista!K$98),"",IFERROR(VLOOKUP($F6,Arrangörslista!K$98:$AG$135,16,FALSE),IF(ISBLANK(Deltagarlista!$C9),"",IF(ISBLANK(Arrangörslista!K$98),"",IFERROR(VLOOKUP($F6,Arrangörslista!L$98:$AG$135,16,FALSE),"DNS")))))),IF(Deltagarlista!$K$3=2,
IF(ISBLANK(Deltagarlista!$C9),"",IF(ISBLANK(Arrangörslista!G$53),"",IF($GV6=AC$64," DNS ",IFERROR(VLOOKUP($F6,Arrangörslista!G$53:$AG$90,16,FALSE),"DNS")))),IF(ISBLANK(Deltagarlista!$C9),"",IF(ISBLANK(Arrangörslista!G$53),"",IFERROR(VLOOKUP($F6,Arrangörslista!G$53:$AG$90,16,FALSE),"DNS")))))</f>
        <v/>
      </c>
      <c r="AD6" s="5" t="str">
        <f>IF(Deltagarlista!$K$3=4,IF(ISBLANK(Deltagarlista!$C9),"",IF(ISBLANK(Arrangörslista!M$98),"",IFERROR(VLOOKUP($F6,Arrangörslista!M$98:$AG$135,16,FALSE),IF(ISBLANK(Deltagarlista!$C9),"",IF(ISBLANK(Arrangörslista!M$98),"",IFERROR(VLOOKUP($F6,Arrangörslista!N$98:$AG$135,16,FALSE),"DNS")))))),IF(Deltagarlista!$K$3=2,
IF(ISBLANK(Deltagarlista!$C9),"",IF(ISBLANK(Arrangörslista!H$53),"",IF($GV6=AD$64," DNS ",IFERROR(VLOOKUP($F6,Arrangörslista!H$53:$AG$90,16,FALSE),"DNS")))),IF(ISBLANK(Deltagarlista!$C9),"",IF(ISBLANK(Arrangörslista!H$53),"",IFERROR(VLOOKUP($F6,Arrangörslista!H$53:$AG$90,16,FALSE),"DNS")))))</f>
        <v/>
      </c>
      <c r="AE6" s="5" t="str">
        <f>IF(Deltagarlista!$K$3=4,IF(ISBLANK(Deltagarlista!$C9),"",IF(ISBLANK(Arrangörslista!O$98),"",IFERROR(VLOOKUP($F6,Arrangörslista!O$98:$AG$135,16,FALSE),IF(ISBLANK(Deltagarlista!$C9),"",IF(ISBLANK(Arrangörslista!O$98),"",IFERROR(VLOOKUP($F6,Arrangörslista!P$98:$AG$135,16,FALSE),"DNS")))))),IF(Deltagarlista!$K$3=2,
IF(ISBLANK(Deltagarlista!$C9),"",IF(ISBLANK(Arrangörslista!I$53),"",IF($GV6=AE$64," DNS ",IFERROR(VLOOKUP($F6,Arrangörslista!I$53:$AG$90,16,FALSE),"DNS")))),IF(ISBLANK(Deltagarlista!$C9),"",IF(ISBLANK(Arrangörslista!I$53),"",IFERROR(VLOOKUP($F6,Arrangörslista!I$53:$AG$90,16,FALSE),"DNS")))))</f>
        <v/>
      </c>
      <c r="AF6" s="5" t="str">
        <f>IF(Deltagarlista!$K$3=4,IF(ISBLANK(Deltagarlista!$C9),"",IF(ISBLANK(Arrangörslista!Q$98),"",IFERROR(VLOOKUP($F6,Arrangörslista!Q$98:$AG$135,16,FALSE),IF(ISBLANK(Deltagarlista!$C9),"",IF(ISBLANK(Arrangörslista!Q$98),"",IFERROR(VLOOKUP($F6,Arrangörslista!C$143:$AG$180,16,FALSE),"DNS")))))),IF(Deltagarlista!$K$3=2,
IF(ISBLANK(Deltagarlista!$C9),"",IF(ISBLANK(Arrangörslista!J$53),"",IF($GV6=AF$64," DNS ",IFERROR(VLOOKUP($F6,Arrangörslista!J$53:$AG$90,16,FALSE),"DNS")))),IF(ISBLANK(Deltagarlista!$C9),"",IF(ISBLANK(Arrangörslista!J$53),"",IFERROR(VLOOKUP($F6,Arrangörslista!J$53:$AG$90,16,FALSE),"DNS")))))</f>
        <v/>
      </c>
      <c r="AG6" s="5" t="str">
        <f>IF(Deltagarlista!$K$3=4,IF(ISBLANK(Deltagarlista!$C9),"",IF(ISBLANK(Arrangörslista!D$143),"",IFERROR(VLOOKUP($F6,Arrangörslista!D$143:$AG$180,16,FALSE),IF(ISBLANK(Deltagarlista!$C9),"",IF(ISBLANK(Arrangörslista!D$143),"",IFERROR(VLOOKUP($F6,Arrangörslista!E$143:$AG$180,16,FALSE),"DNS")))))),IF(Deltagarlista!$K$3=2,
IF(ISBLANK(Deltagarlista!$C9),"",IF(ISBLANK(Arrangörslista!K$53),"",IF($GV6=AG$64," DNS ",IFERROR(VLOOKUP($F6,Arrangörslista!K$53:$AG$90,16,FALSE),"DNS")))),IF(ISBLANK(Deltagarlista!$C9),"",IF(ISBLANK(Arrangörslista!K$53),"",IFERROR(VLOOKUP($F6,Arrangörslista!K$53:$AG$90,16,FALSE),"DNS")))))</f>
        <v/>
      </c>
      <c r="AH6" s="5" t="str">
        <f>IF(Deltagarlista!$K$3=4,IF(ISBLANK(Deltagarlista!$C9),"",IF(ISBLANK(Arrangörslista!F$143),"",IFERROR(VLOOKUP($F6,Arrangörslista!F$143:$AG$180,16,FALSE),IF(ISBLANK(Deltagarlista!$C9),"",IF(ISBLANK(Arrangörslista!F$143),"",IFERROR(VLOOKUP($F6,Arrangörslista!G$143:$AG$180,16,FALSE),"DNS")))))),IF(Deltagarlista!$K$3=2,
IF(ISBLANK(Deltagarlista!$C9),"",IF(ISBLANK(Arrangörslista!L$53),"",IF($GV6=AH$64," DNS ",IFERROR(VLOOKUP($F6,Arrangörslista!L$53:$AG$90,16,FALSE),"DNS")))),IF(ISBLANK(Deltagarlista!$C9),"",IF(ISBLANK(Arrangörslista!L$53),"",IFERROR(VLOOKUP($F6,Arrangörslista!L$53:$AG$90,16,FALSE),"DNS")))))</f>
        <v/>
      </c>
      <c r="AI6" s="5" t="str">
        <f>IF(Deltagarlista!$K$3=4,IF(ISBLANK(Deltagarlista!$C9),"",IF(ISBLANK(Arrangörslista!H$143),"",IFERROR(VLOOKUP($F6,Arrangörslista!H$143:$AG$180,16,FALSE),IF(ISBLANK(Deltagarlista!$C9),"",IF(ISBLANK(Arrangörslista!H$143),"",IFERROR(VLOOKUP($F6,Arrangörslista!I$143:$AG$180,16,FALSE),"DNS")))))),IF(Deltagarlista!$K$3=2,
IF(ISBLANK(Deltagarlista!$C9),"",IF(ISBLANK(Arrangörslista!M$53),"",IF($GV6=AI$64," DNS ",IFERROR(VLOOKUP($F6,Arrangörslista!M$53:$AG$90,16,FALSE),"DNS")))),IF(ISBLANK(Deltagarlista!$C9),"",IF(ISBLANK(Arrangörslista!M$53),"",IFERROR(VLOOKUP($F6,Arrangörslista!M$53:$AG$90,16,FALSE),"DNS")))))</f>
        <v/>
      </c>
      <c r="AJ6" s="5" t="str">
        <f>IF(Deltagarlista!$K$3=4,IF(ISBLANK(Deltagarlista!$C9),"",IF(ISBLANK(Arrangörslista!J$143),"",IFERROR(VLOOKUP($F6,Arrangörslista!J$143:$AG$180,16,FALSE),IF(ISBLANK(Deltagarlista!$C9),"",IF(ISBLANK(Arrangörslista!J$143),"",IFERROR(VLOOKUP($F6,Arrangörslista!K$143:$AG$180,16,FALSE),"DNS")))))),IF(Deltagarlista!$K$3=2,
IF(ISBLANK(Deltagarlista!$C9),"",IF(ISBLANK(Arrangörslista!N$53),"",IF($GV6=AJ$64," DNS ",IFERROR(VLOOKUP($F6,Arrangörslista!N$53:$AG$90,16,FALSE),"DNS")))),IF(ISBLANK(Deltagarlista!$C9),"",IF(ISBLANK(Arrangörslista!N$53),"",IFERROR(VLOOKUP($F6,Arrangörslista!N$53:$AG$90,16,FALSE),"DNS")))))</f>
        <v/>
      </c>
      <c r="AK6" s="5" t="str">
        <f>IF(Deltagarlista!$K$3=4,IF(ISBLANK(Deltagarlista!$C9),"",IF(ISBLANK(Arrangörslista!L$143),"",IFERROR(VLOOKUP($F6,Arrangörslista!L$143:$AG$180,16,FALSE),IF(ISBLANK(Deltagarlista!$C9),"",IF(ISBLANK(Arrangörslista!L$143),"",IFERROR(VLOOKUP($F6,Arrangörslista!M$143:$AG$180,16,FALSE),"DNS")))))),IF(Deltagarlista!$K$3=2,
IF(ISBLANK(Deltagarlista!$C9),"",IF(ISBLANK(Arrangörslista!O$53),"",IF($GV6=AK$64," DNS ",IFERROR(VLOOKUP($F6,Arrangörslista!O$53:$AG$90,16,FALSE),"DNS")))),IF(ISBLANK(Deltagarlista!$C9),"",IF(ISBLANK(Arrangörslista!O$53),"",IFERROR(VLOOKUP($F6,Arrangörslista!O$53:$AG$90,16,FALSE),"DNS")))))</f>
        <v/>
      </c>
      <c r="AL6" s="5" t="str">
        <f>IF(Deltagarlista!$K$3=4,IF(ISBLANK(Deltagarlista!$C9),"",IF(ISBLANK(Arrangörslista!N$143),"",IFERROR(VLOOKUP($F6,Arrangörslista!N$143:$AG$180,16,FALSE),IF(ISBLANK(Deltagarlista!$C9),"",IF(ISBLANK(Arrangörslista!N$143),"",IFERROR(VLOOKUP($F6,Arrangörslista!O$143:$AG$180,16,FALSE),"DNS")))))),IF(Deltagarlista!$K$3=2,
IF(ISBLANK(Deltagarlista!$C9),"",IF(ISBLANK(Arrangörslista!P$53),"",IF($GV6=AL$64," DNS ",IFERROR(VLOOKUP($F6,Arrangörslista!P$53:$AG$90,16,FALSE),"DNS")))),IF(ISBLANK(Deltagarlista!$C9),"",IF(ISBLANK(Arrangörslista!P$53),"",IFERROR(VLOOKUP($F6,Arrangörslista!P$53:$AG$90,16,FALSE),"DNS")))))</f>
        <v/>
      </c>
      <c r="AM6" s="5" t="str">
        <f>IF(Deltagarlista!$K$3=4,IF(ISBLANK(Deltagarlista!$C9),"",IF(ISBLANK(Arrangörslista!P$143),"",IFERROR(VLOOKUP($F6,Arrangörslista!P$143:$AG$180,16,FALSE),IF(ISBLANK(Deltagarlista!$C9),"",IF(ISBLANK(Arrangörslista!P$143),"",IFERROR(VLOOKUP($F6,Arrangörslista!Q$143:$AG$180,16,FALSE),"DNS")))))),IF(Deltagarlista!$K$3=2,
IF(ISBLANK(Deltagarlista!$C9),"",IF(ISBLANK(Arrangörslista!Q$53),"",IF($GV6=AM$64," DNS ",IFERROR(VLOOKUP($F6,Arrangörslista!Q$53:$AG$90,16,FALSE),"DNS")))),IF(ISBLANK(Deltagarlista!$C9),"",IF(ISBLANK(Arrangörslista!Q$53),"",IFERROR(VLOOKUP($F6,Arrangörslista!Q$53:$AG$90,16,FALSE),"DNS")))))</f>
        <v/>
      </c>
      <c r="AN6" s="5" t="str">
        <f>IF(Deltagarlista!$K$3=2,
IF(ISBLANK(Deltagarlista!$C9),"",IF(ISBLANK(Arrangörslista!C$98),"",IF($GV6=AN$64," DNS ",IFERROR(VLOOKUP($F6,Arrangörslista!C$98:$AG$135,16,FALSE), "DNS")))), IF(Deltagarlista!$K$3=1,IF(ISBLANK(Deltagarlista!$C9),"",IF(ISBLANK(Arrangörslista!C$98),"",IFERROR(VLOOKUP($F6,Arrangörslista!C$98:$AG$135,16,FALSE), "DNS"))),""))</f>
        <v/>
      </c>
      <c r="AO6" s="5" t="str">
        <f>IF(Deltagarlista!$K$3=2,
IF(ISBLANK(Deltagarlista!$C9),"",IF(ISBLANK(Arrangörslista!D$98),"",IF($GV6=AO$64," DNS ",IFERROR(VLOOKUP($F6,Arrangörslista!D$98:$AG$135,16,FALSE), "DNS")))), IF(Deltagarlista!$K$3=1,IF(ISBLANK(Deltagarlista!$C9),"",IF(ISBLANK(Arrangörslista!D$98),"",IFERROR(VLOOKUP($F6,Arrangörslista!D$98:$AG$135,16,FALSE), "DNS"))),""))</f>
        <v/>
      </c>
      <c r="AP6" s="5" t="str">
        <f>IF(Deltagarlista!$K$3=2,
IF(ISBLANK(Deltagarlista!$C9),"",IF(ISBLANK(Arrangörslista!E$98),"",IF($GV6=AP$64," DNS ",IFERROR(VLOOKUP($F6,Arrangörslista!E$98:$AG$135,16,FALSE), "DNS")))), IF(Deltagarlista!$K$3=1,IF(ISBLANK(Deltagarlista!$C9),"",IF(ISBLANK(Arrangörslista!E$98),"",IFERROR(VLOOKUP($F6,Arrangörslista!E$98:$AG$135,16,FALSE), "DNS"))),""))</f>
        <v/>
      </c>
      <c r="AQ6" s="5" t="str">
        <f>IF(Deltagarlista!$K$3=2,
IF(ISBLANK(Deltagarlista!$C9),"",IF(ISBLANK(Arrangörslista!F$98),"",IF($GV6=AQ$64," DNS ",IFERROR(VLOOKUP($F6,Arrangörslista!F$98:$AG$135,16,FALSE), "DNS")))), IF(Deltagarlista!$K$3=1,IF(ISBLANK(Deltagarlista!$C9),"",IF(ISBLANK(Arrangörslista!F$98),"",IFERROR(VLOOKUP($F6,Arrangörslista!F$98:$AG$135,16,FALSE), "DNS"))),""))</f>
        <v/>
      </c>
      <c r="AR6" s="5" t="str">
        <f>IF(Deltagarlista!$K$3=2,
IF(ISBLANK(Deltagarlista!$C9),"",IF(ISBLANK(Arrangörslista!G$98),"",IF($GV6=AR$64," DNS ",IFERROR(VLOOKUP($F6,Arrangörslista!G$98:$AG$135,16,FALSE), "DNS")))), IF(Deltagarlista!$K$3=1,IF(ISBLANK(Deltagarlista!$C9),"",IF(ISBLANK(Arrangörslista!G$98),"",IFERROR(VLOOKUP($F6,Arrangörslista!G$98:$AG$135,16,FALSE), "DNS"))),""))</f>
        <v/>
      </c>
      <c r="AS6" s="5" t="str">
        <f>IF(Deltagarlista!$K$3=2,
IF(ISBLANK(Deltagarlista!$C9),"",IF(ISBLANK(Arrangörslista!H$98),"",IF($GV6=AS$64," DNS ",IFERROR(VLOOKUP($F6,Arrangörslista!H$98:$AG$135,16,FALSE), "DNS")))), IF(Deltagarlista!$K$3=1,IF(ISBLANK(Deltagarlista!$C9),"",IF(ISBLANK(Arrangörslista!H$98),"",IFERROR(VLOOKUP($F6,Arrangörslista!H$98:$AG$135,16,FALSE), "DNS"))),""))</f>
        <v/>
      </c>
      <c r="AT6" s="5" t="str">
        <f>IF(Deltagarlista!$K$3=2,
IF(ISBLANK(Deltagarlista!$C9),"",IF(ISBLANK(Arrangörslista!I$98),"",IF($GV6=AT$64," DNS ",IFERROR(VLOOKUP($F6,Arrangörslista!I$98:$AG$135,16,FALSE), "DNS")))), IF(Deltagarlista!$K$3=1,IF(ISBLANK(Deltagarlista!$C9),"",IF(ISBLANK(Arrangörslista!I$98),"",IFERROR(VLOOKUP($F6,Arrangörslista!I$98:$AG$135,16,FALSE), "DNS"))),""))</f>
        <v/>
      </c>
      <c r="AU6" s="5" t="str">
        <f>IF(Deltagarlista!$K$3=2,
IF(ISBLANK(Deltagarlista!$C9),"",IF(ISBLANK(Arrangörslista!J$98),"",IF($GV6=AU$64," DNS ",IFERROR(VLOOKUP($F6,Arrangörslista!J$98:$AG$135,16,FALSE), "DNS")))), IF(Deltagarlista!$K$3=1,IF(ISBLANK(Deltagarlista!$C9),"",IF(ISBLANK(Arrangörslista!J$98),"",IFERROR(VLOOKUP($F6,Arrangörslista!J$98:$AG$135,16,FALSE), "DNS"))),""))</f>
        <v/>
      </c>
      <c r="AV6" s="5" t="str">
        <f>IF(Deltagarlista!$K$3=2,
IF(ISBLANK(Deltagarlista!$C9),"",IF(ISBLANK(Arrangörslista!K$98),"",IF($GV6=AV$64," DNS ",IFERROR(VLOOKUP($F6,Arrangörslista!K$98:$AG$135,16,FALSE), "DNS")))), IF(Deltagarlista!$K$3=1,IF(ISBLANK(Deltagarlista!$C9),"",IF(ISBLANK(Arrangörslista!K$98),"",IFERROR(VLOOKUP($F6,Arrangörslista!K$98:$AG$135,16,FALSE), "DNS"))),""))</f>
        <v/>
      </c>
      <c r="AW6" s="5" t="str">
        <f>IF(Deltagarlista!$K$3=2,
IF(ISBLANK(Deltagarlista!$C9),"",IF(ISBLANK(Arrangörslista!L$98),"",IF($GV6=AW$64," DNS ",IFERROR(VLOOKUP($F6,Arrangörslista!L$98:$AG$135,16,FALSE), "DNS")))), IF(Deltagarlista!$K$3=1,IF(ISBLANK(Deltagarlista!$C9),"",IF(ISBLANK(Arrangörslista!L$98),"",IFERROR(VLOOKUP($F6,Arrangörslista!L$98:$AG$135,16,FALSE), "DNS"))),""))</f>
        <v/>
      </c>
      <c r="AX6" s="5" t="str">
        <f>IF(Deltagarlista!$K$3=2,
IF(ISBLANK(Deltagarlista!$C9),"",IF(ISBLANK(Arrangörslista!M$98),"",IF($GV6=AX$64," DNS ",IFERROR(VLOOKUP($F6,Arrangörslista!M$98:$AG$135,16,FALSE), "DNS")))), IF(Deltagarlista!$K$3=1,IF(ISBLANK(Deltagarlista!$C9),"",IF(ISBLANK(Arrangörslista!M$98),"",IFERROR(VLOOKUP($F6,Arrangörslista!M$98:$AG$135,16,FALSE), "DNS"))),""))</f>
        <v/>
      </c>
      <c r="AY6" s="5" t="str">
        <f>IF(Deltagarlista!$K$3=2,
IF(ISBLANK(Deltagarlista!$C9),"",IF(ISBLANK(Arrangörslista!N$98),"",IF($GV6=AY$64," DNS ",IFERROR(VLOOKUP($F6,Arrangörslista!N$98:$AG$135,16,FALSE), "DNS")))), IF(Deltagarlista!$K$3=1,IF(ISBLANK(Deltagarlista!$C9),"",IF(ISBLANK(Arrangörslista!N$98),"",IFERROR(VLOOKUP($F6,Arrangörslista!N$98:$AG$135,16,FALSE), "DNS"))),""))</f>
        <v/>
      </c>
      <c r="AZ6" s="5" t="str">
        <f>IF(Deltagarlista!$K$3=2,
IF(ISBLANK(Deltagarlista!$C9),"",IF(ISBLANK(Arrangörslista!O$98),"",IF($GV6=AZ$64," DNS ",IFERROR(VLOOKUP($F6,Arrangörslista!O$98:$AG$135,16,FALSE), "DNS")))), IF(Deltagarlista!$K$3=1,IF(ISBLANK(Deltagarlista!$C9),"",IF(ISBLANK(Arrangörslista!O$98),"",IFERROR(VLOOKUP($F6,Arrangörslista!O$98:$AG$135,16,FALSE), "DNS"))),""))</f>
        <v/>
      </c>
      <c r="BA6" s="5" t="str">
        <f>IF(Deltagarlista!$K$3=2,
IF(ISBLANK(Deltagarlista!$C9),"",IF(ISBLANK(Arrangörslista!P$98),"",IF($GV6=BA$64," DNS ",IFERROR(VLOOKUP($F6,Arrangörslista!P$98:$AG$135,16,FALSE), "DNS")))), IF(Deltagarlista!$K$3=1,IF(ISBLANK(Deltagarlista!$C9),"",IF(ISBLANK(Arrangörslista!P$98),"",IFERROR(VLOOKUP($F6,Arrangörslista!P$98:$AG$135,16,FALSE), "DNS"))),""))</f>
        <v/>
      </c>
      <c r="BB6" s="5" t="str">
        <f>IF(Deltagarlista!$K$3=2,
IF(ISBLANK(Deltagarlista!$C9),"",IF(ISBLANK(Arrangörslista!Q$98),"",IF($GV6=BB$64," DNS ",IFERROR(VLOOKUP($F6,Arrangörslista!Q$98:$AG$135,16,FALSE), "DNS")))), IF(Deltagarlista!$K$3=1,IF(ISBLANK(Deltagarlista!$C9),"",IF(ISBLANK(Arrangörslista!Q$98),"",IFERROR(VLOOKUP($F6,Arrangörslista!Q$98:$AG$135,16,FALSE), "DNS"))),""))</f>
        <v/>
      </c>
      <c r="BC6" s="5" t="str">
        <f>IF(Deltagarlista!$K$3=2,
IF(ISBLANK(Deltagarlista!$C9),"",IF(ISBLANK(Arrangörslista!C$143),"",IF($GV6=BC$64," DNS ",IFERROR(VLOOKUP($F6,Arrangörslista!C$143:$AG$180,16,FALSE), "DNS")))), IF(Deltagarlista!$K$3=1,IF(ISBLANK(Deltagarlista!$C9),"",IF(ISBLANK(Arrangörslista!C$143),"",IFERROR(VLOOKUP($F6,Arrangörslista!C$143:$AG$180,16,FALSE), "DNS"))),""))</f>
        <v/>
      </c>
      <c r="BD6" s="5" t="str">
        <f>IF(Deltagarlista!$K$3=2,
IF(ISBLANK(Deltagarlista!$C9),"",IF(ISBLANK(Arrangörslista!D$143),"",IF($GV6=BD$64," DNS ",IFERROR(VLOOKUP($F6,Arrangörslista!D$143:$AG$180,16,FALSE), "DNS")))), IF(Deltagarlista!$K$3=1,IF(ISBLANK(Deltagarlista!$C9),"",IF(ISBLANK(Arrangörslista!D$143),"",IFERROR(VLOOKUP($F6,Arrangörslista!D$143:$AG$180,16,FALSE), "DNS"))),""))</f>
        <v/>
      </c>
      <c r="BE6" s="5" t="str">
        <f>IF(Deltagarlista!$K$3=2,
IF(ISBLANK(Deltagarlista!$C9),"",IF(ISBLANK(Arrangörslista!E$143),"",IF($GV6=BE$64," DNS ",IFERROR(VLOOKUP($F6,Arrangörslista!E$143:$AG$180,16,FALSE), "DNS")))), IF(Deltagarlista!$K$3=1,IF(ISBLANK(Deltagarlista!$C9),"",IF(ISBLANK(Arrangörslista!E$143),"",IFERROR(VLOOKUP($F6,Arrangörslista!E$143:$AG$180,16,FALSE), "DNS"))),""))</f>
        <v/>
      </c>
      <c r="BF6" s="5" t="str">
        <f>IF(Deltagarlista!$K$3=2,
IF(ISBLANK(Deltagarlista!$C9),"",IF(ISBLANK(Arrangörslista!F$143),"",IF($GV6=BF$64," DNS ",IFERROR(VLOOKUP($F6,Arrangörslista!F$143:$AG$180,16,FALSE), "DNS")))), IF(Deltagarlista!$K$3=1,IF(ISBLANK(Deltagarlista!$C9),"",IF(ISBLANK(Arrangörslista!F$143),"",IFERROR(VLOOKUP($F6,Arrangörslista!F$143:$AG$180,16,FALSE), "DNS"))),""))</f>
        <v/>
      </c>
      <c r="BG6" s="5" t="str">
        <f>IF(Deltagarlista!$K$3=2,
IF(ISBLANK(Deltagarlista!$C9),"",IF(ISBLANK(Arrangörslista!G$143),"",IF($GV6=BG$64," DNS ",IFERROR(VLOOKUP($F6,Arrangörslista!G$143:$AG$180,16,FALSE), "DNS")))), IF(Deltagarlista!$K$3=1,IF(ISBLANK(Deltagarlista!$C9),"",IF(ISBLANK(Arrangörslista!G$143),"",IFERROR(VLOOKUP($F6,Arrangörslista!G$143:$AG$180,16,FALSE), "DNS"))),""))</f>
        <v/>
      </c>
      <c r="BH6" s="5" t="str">
        <f>IF(Deltagarlista!$K$3=2,
IF(ISBLANK(Deltagarlista!$C9),"",IF(ISBLANK(Arrangörslista!H$143),"",IF($GV6=BH$64," DNS ",IFERROR(VLOOKUP($F6,Arrangörslista!H$143:$AG$180,16,FALSE), "DNS")))), IF(Deltagarlista!$K$3=1,IF(ISBLANK(Deltagarlista!$C9),"",IF(ISBLANK(Arrangörslista!H$143),"",IFERROR(VLOOKUP($F6,Arrangörslista!H$143:$AG$180,16,FALSE), "DNS"))),""))</f>
        <v/>
      </c>
      <c r="BI6" s="5" t="str">
        <f>IF(Deltagarlista!$K$3=2,
IF(ISBLANK(Deltagarlista!$C9),"",IF(ISBLANK(Arrangörslista!I$143),"",IF($GV6=BI$64," DNS ",IFERROR(VLOOKUP($F6,Arrangörslista!I$143:$AG$180,16,FALSE), "DNS")))), IF(Deltagarlista!$K$3=1,IF(ISBLANK(Deltagarlista!$C9),"",IF(ISBLANK(Arrangörslista!I$143),"",IFERROR(VLOOKUP($F6,Arrangörslista!I$143:$AG$180,16,FALSE), "DNS"))),""))</f>
        <v/>
      </c>
      <c r="BJ6" s="5" t="str">
        <f>IF(Deltagarlista!$K$3=2,
IF(ISBLANK(Deltagarlista!$C9),"",IF(ISBLANK(Arrangörslista!J$143),"",IF($GV6=BJ$64," DNS ",IFERROR(VLOOKUP($F6,Arrangörslista!J$143:$AG$180,16,FALSE), "DNS")))), IF(Deltagarlista!$K$3=1,IF(ISBLANK(Deltagarlista!$C9),"",IF(ISBLANK(Arrangörslista!J$143),"",IFERROR(VLOOKUP($F6,Arrangörslista!J$143:$AG$180,16,FALSE), "DNS"))),""))</f>
        <v/>
      </c>
      <c r="BK6" s="5" t="str">
        <f>IF(Deltagarlista!$K$3=2,
IF(ISBLANK(Deltagarlista!$C9),"",IF(ISBLANK(Arrangörslista!K$143),"",IF($GV6=BK$64," DNS ",IFERROR(VLOOKUP($F6,Arrangörslista!K$143:$AG$180,16,FALSE), "DNS")))), IF(Deltagarlista!$K$3=1,IF(ISBLANK(Deltagarlista!$C9),"",IF(ISBLANK(Arrangörslista!K$143),"",IFERROR(VLOOKUP($F6,Arrangörslista!K$143:$AG$180,16,FALSE), "DNS"))),""))</f>
        <v/>
      </c>
      <c r="BL6" s="5" t="str">
        <f>IF(Deltagarlista!$K$3=2,
IF(ISBLANK(Deltagarlista!$C9),"",IF(ISBLANK(Arrangörslista!L$143),"",IF($GV6=BL$64," DNS ",IFERROR(VLOOKUP($F6,Arrangörslista!L$143:$AG$180,16,FALSE), "DNS")))), IF(Deltagarlista!$K$3=1,IF(ISBLANK(Deltagarlista!$C9),"",IF(ISBLANK(Arrangörslista!L$143),"",IFERROR(VLOOKUP($F6,Arrangörslista!L$143:$AG$180,16,FALSE), "DNS"))),""))</f>
        <v/>
      </c>
      <c r="BM6" s="5" t="str">
        <f>IF(Deltagarlista!$K$3=2,
IF(ISBLANK(Deltagarlista!$C9),"",IF(ISBLANK(Arrangörslista!M$143),"",IF($GV6=BM$64," DNS ",IFERROR(VLOOKUP($F6,Arrangörslista!M$143:$AG$180,16,FALSE), "DNS")))), IF(Deltagarlista!$K$3=1,IF(ISBLANK(Deltagarlista!$C9),"",IF(ISBLANK(Arrangörslista!M$143),"",IFERROR(VLOOKUP($F6,Arrangörslista!M$143:$AG$180,16,FALSE), "DNS"))),""))</f>
        <v/>
      </c>
      <c r="BN6" s="5" t="str">
        <f>IF(Deltagarlista!$K$3=2,
IF(ISBLANK(Deltagarlista!$C9),"",IF(ISBLANK(Arrangörslista!N$143),"",IF($GV6=BN$64," DNS ",IFERROR(VLOOKUP($F6,Arrangörslista!N$143:$AG$180,16,FALSE), "DNS")))), IF(Deltagarlista!$K$3=1,IF(ISBLANK(Deltagarlista!$C9),"",IF(ISBLANK(Arrangörslista!N$143),"",IFERROR(VLOOKUP($F6,Arrangörslista!N$143:$AG$180,16,FALSE), "DNS"))),""))</f>
        <v/>
      </c>
      <c r="BO6" s="5" t="str">
        <f>IF(Deltagarlista!$K$3=2,
IF(ISBLANK(Deltagarlista!$C9),"",IF(ISBLANK(Arrangörslista!O$143),"",IF($GV6=BO$64," DNS ",IFERROR(VLOOKUP($F6,Arrangörslista!O$143:$AG$180,16,FALSE), "DNS")))), IF(Deltagarlista!$K$3=1,IF(ISBLANK(Deltagarlista!$C9),"",IF(ISBLANK(Arrangörslista!O$143),"",IFERROR(VLOOKUP($F6,Arrangörslista!O$143:$AG$180,16,FALSE), "DNS"))),""))</f>
        <v/>
      </c>
      <c r="BP6" s="5" t="str">
        <f>IF(Deltagarlista!$K$3=2,
IF(ISBLANK(Deltagarlista!$C9),"",IF(ISBLANK(Arrangörslista!P$143),"",IF($GV6=BP$64," DNS ",IFERROR(VLOOKUP($F6,Arrangörslista!P$143:$AG$180,16,FALSE), "DNS")))), IF(Deltagarlista!$K$3=1,IF(ISBLANK(Deltagarlista!$C9),"",IF(ISBLANK(Arrangörslista!P$143),"",IFERROR(VLOOKUP($F6,Arrangörslista!P$143:$AG$180,16,FALSE), "DNS"))),""))</f>
        <v/>
      </c>
      <c r="BQ6" s="80" t="str">
        <f>IF(Deltagarlista!$K$3=2,
IF(ISBLANK(Deltagarlista!$C9),"",IF(ISBLANK(Arrangörslista!Q$143),"",IF($GV6=BQ$64," DNS ",IFERROR(VLOOKUP($F6,Arrangörslista!Q$143:$AG$180,16,FALSE), "DNS")))), IF(Deltagarlista!$K$3=1,IF(ISBLANK(Deltagarlista!$C9),"",IF(ISBLANK(Arrangörslista!Q$143),"",IFERROR(VLOOKUP($F6,Arrangörslista!Q$143:$AG$180,16,FALSE), "DNS"))),""))</f>
        <v/>
      </c>
      <c r="BR6" s="51"/>
      <c r="BS6" s="51"/>
      <c r="BT6" s="51"/>
      <c r="BU6" s="71">
        <f>SUM(BV6:EC6)</f>
        <v>0</v>
      </c>
      <c r="BV6" s="61">
        <f>IF(J6="",0,IF(OR(J6="DNF",J6="OCS",J6="DSQ",J6="DNS",J6=" DNS "),$BW$3+1,J6))</f>
        <v>0</v>
      </c>
      <c r="BW6" s="61">
        <f>IF(K6="",0,IF(OR(K6="DNF",K6="OCS",K6="DSQ",K6="DNS",K6=" DNS "),$BW$3+1,K6))</f>
        <v>0</v>
      </c>
      <c r="BX6" s="61">
        <f>IF(L6="",0,IF(OR(L6="DNF",L6="OCS",L6="DSQ",L6="DNS",L6=" DNS "),$BW$3+1,L6))</f>
        <v>0</v>
      </c>
      <c r="BY6" s="61">
        <f>IF(M6="",0,IF(OR(M6="DNF",M6="OCS",M6="DSQ",M6="DNS",M6=" DNS "),$BW$3+1,M6))</f>
        <v>0</v>
      </c>
      <c r="BZ6" s="61">
        <f>IF(N6="",0,IF(OR(N6="DNF",N6="OCS",N6="DSQ",N6="DNS",N6=" DNS "),$BW$3+1,N6))</f>
        <v>0</v>
      </c>
      <c r="CA6" s="61">
        <f>IF(O6="",0,IF(OR(O6="DNF",O6="OCS",O6="DSQ",O6="DNS",O6=" DNS "),$BW$3+1,O6))</f>
        <v>0</v>
      </c>
      <c r="CB6" s="61">
        <f>IF(P6="",0,IF(OR(P6="DNF",P6="OCS",P6="DSQ",P6="DNS",P6=" DNS "),$BW$3+1,P6))</f>
        <v>0</v>
      </c>
      <c r="CC6" s="61">
        <f>IF(Q6="",0,IF(OR(Q6="DNF",Q6="OCS",Q6="DSQ",Q6="DNS",Q6=" DNS "),$BW$3+1,Q6))</f>
        <v>0</v>
      </c>
      <c r="CD6" s="61">
        <f>IF(R6="",0,IF(OR(R6="DNF",R6="OCS",R6="DSQ",R6="DNS",R6=" DNS "),$BW$3+1,R6))</f>
        <v>0</v>
      </c>
      <c r="CE6" s="61">
        <f>IF(S6="",0,IF(OR(S6="DNF",S6="OCS",S6="DSQ",S6="DNS",S6=" DNS "),$BW$3+1,S6))</f>
        <v>0</v>
      </c>
      <c r="CF6" s="61">
        <f>IF(T6="",0,IF(OR(T6="DNF",T6="OCS",T6="DSQ",T6="DNS",T6=" DNS "),$BW$3+1,T6))</f>
        <v>0</v>
      </c>
      <c r="CG6" s="61">
        <f>IF(U6="",0,IF(OR(U6="DNF",U6="OCS",U6="DSQ",U6="DNS",U6=" DNS "),$BW$3+1,U6))</f>
        <v>0</v>
      </c>
      <c r="CH6" s="61">
        <f>IF(V6="",0,IF(OR(V6="DNF",V6="OCS",V6="DSQ",V6="DNS",V6=" DNS "),$BW$3+1,V6))</f>
        <v>0</v>
      </c>
      <c r="CI6" s="61">
        <f>IF(W6="",0,IF(OR(W6="DNF",W6="OCS",W6="DSQ",W6="DNS",W6=" DNS "),$BW$3+1,W6))</f>
        <v>0</v>
      </c>
      <c r="CJ6" s="61">
        <f>IF(X6="",0,IF(OR(X6="DNF",X6="OCS",X6="DSQ",X6="DNS",X6=" DNS "),$BW$3+1,X6))</f>
        <v>0</v>
      </c>
      <c r="CK6" s="61">
        <f>IF(Y6="",0,IF(OR(Y6="DNF",Y6="OCS",Y6="DSQ",Y6="DNS",Y6=" DNS "),$BW$3+1,Y6))</f>
        <v>0</v>
      </c>
      <c r="CL6" s="61">
        <f>IF(Z6="",0,IF(OR(Z6="DNF",Z6="OCS",Z6="DSQ",Z6="DNS",Z6=" DNS "),$BW$3+1,Z6))</f>
        <v>0</v>
      </c>
      <c r="CM6" s="61">
        <f>IF(AA6="",0,IF(OR(AA6="DNF",AA6="OCS",AA6="DSQ",AA6="DNS",AA6=" DNS "),$BW$3+1,AA6))</f>
        <v>0</v>
      </c>
      <c r="CN6" s="61">
        <f>IF(AB6="",0,IF(OR(AB6="DNF",AB6="OCS",AB6="DSQ",AB6="DNS",AB6=" DNS "),$BW$3+1,AB6))</f>
        <v>0</v>
      </c>
      <c r="CO6" s="61">
        <f>IF(AC6="",0,IF(OR(AC6="DNF",AC6="OCS",AC6="DSQ",AC6="DNS",AC6=" DNS "),$BW$3+1,AC6))</f>
        <v>0</v>
      </c>
      <c r="CP6" s="61">
        <f>IF(AD6="",0,IF(OR(AD6="DNF",AD6="OCS",AD6="DSQ",AD6="DNS",AD6=" DNS "),$BW$3+1,AD6))</f>
        <v>0</v>
      </c>
      <c r="CQ6" s="61">
        <f>IF(AE6="",0,IF(OR(AE6="DNF",AE6="OCS",AE6="DSQ",AE6="DNS",AE6=" DNS "),$BW$3+1,AE6))</f>
        <v>0</v>
      </c>
      <c r="CR6" s="61">
        <f>IF(AF6="",0,IF(OR(AF6="DNF",AF6="OCS",AF6="DSQ",AF6="DNS",AF6=" DNS "),$BW$3+1,AF6))</f>
        <v>0</v>
      </c>
      <c r="CS6" s="61">
        <f>IF(AG6="",0,IF(OR(AG6="DNF",AG6="OCS",AG6="DSQ",AG6="DNS",AG6=" DNS "),$BW$3+1,AG6))</f>
        <v>0</v>
      </c>
      <c r="CT6" s="61">
        <f>IF(AH6="",0,IF(OR(AH6="DNF",AH6="OCS",AH6="DSQ",AH6="DNS",AH6=" DNS "),$BW$3+1,AH6))</f>
        <v>0</v>
      </c>
      <c r="CU6" s="61">
        <f>IF(AI6="",0,IF(OR(AI6="DNF",AI6="OCS",AI6="DSQ",AI6="DNS",AI6=" DNS "),$BW$3+1,AI6))</f>
        <v>0</v>
      </c>
      <c r="CV6" s="61">
        <f>IF(AJ6="",0,IF(OR(AJ6="DNF",AJ6="OCS",AJ6="DSQ",AJ6="DNS",AJ6=" DNS "),$BW$3+1,AJ6))</f>
        <v>0</v>
      </c>
      <c r="CW6" s="61">
        <f>IF(AK6="",0,IF(OR(AK6="DNF",AK6="OCS",AK6="DSQ",AK6="DNS",AK6=" DNS "),$BW$3+1,AK6))</f>
        <v>0</v>
      </c>
      <c r="CX6" s="61">
        <f>IF(AL6="",0,IF(OR(AL6="DNF",AL6="OCS",AL6="DSQ",AL6="DNS",AL6=" DNS "),$BW$3+1,AL6))</f>
        <v>0</v>
      </c>
      <c r="CY6" s="61">
        <f>IF(AM6="",0,IF(OR(AM6="DNF",AM6="OCS",AM6="DSQ",AM6="DNS",AM6=" DNS "),$BW$3+1,AM6))</f>
        <v>0</v>
      </c>
      <c r="CZ6" s="61">
        <f>IF(AN6="",0,IF(OR(AN6="DNF",AN6="OCS",AN6="DSQ",AN6="DNS",AN6=" DNS "),$BW$3+1,AN6))</f>
        <v>0</v>
      </c>
      <c r="DA6" s="61">
        <f>IF(AO6="",0,IF(OR(AO6="DNF",AO6="OCS",AO6="DSQ",AO6="DNS",AO6=" DNS "),$BW$3+1,AO6))</f>
        <v>0</v>
      </c>
      <c r="DB6" s="61">
        <f>IF(AP6="",0,IF(OR(AP6="DNF",AP6="OCS",AP6="DSQ",AP6="DNS",AP6=" DNS "),$BW$3+1,AP6))</f>
        <v>0</v>
      </c>
      <c r="DC6" s="61">
        <f>IF(AQ6="",0,IF(OR(AQ6="DNF",AQ6="OCS",AQ6="DSQ",AQ6="DNS",AQ6=" DNS "),$BW$3+1,AQ6))</f>
        <v>0</v>
      </c>
      <c r="DD6" s="61">
        <f>IF(AR6="",0,IF(OR(AR6="DNF",AR6="OCS",AR6="DSQ",AR6="DNS",AR6=" DNS "),$BW$3+1,AR6))</f>
        <v>0</v>
      </c>
      <c r="DE6" s="61">
        <f>IF(AS6="",0,IF(OR(AS6="DNF",AS6="OCS",AS6="DSQ",AS6="DNS",AS6=" DNS "),$BW$3+1,AS6))</f>
        <v>0</v>
      </c>
      <c r="DF6" s="61">
        <f>IF(AT6="",0,IF(OR(AT6="DNF",AT6="OCS",AT6="DSQ",AT6="DNS",AT6=" DNS "),$BW$3+1,AT6))</f>
        <v>0</v>
      </c>
      <c r="DG6" s="61">
        <f>IF(AU6="",0,IF(OR(AU6="DNF",AU6="OCS",AU6="DSQ",AU6="DNS",AU6=" DNS "),$BW$3+1,AU6))</f>
        <v>0</v>
      </c>
      <c r="DH6" s="61">
        <f>IF(AV6="",0,IF(OR(AV6="DNF",AV6="OCS",AV6="DSQ",AV6="DNS",AV6=" DNS "),$BW$3+1,AV6))</f>
        <v>0</v>
      </c>
      <c r="DI6" s="61">
        <f>IF(AW6="",0,IF(OR(AW6="DNF",AW6="OCS",AW6="DSQ",AW6="DNS",AW6=" DNS "),$BW$3+1,AW6))</f>
        <v>0</v>
      </c>
      <c r="DJ6" s="61">
        <f>IF(AX6="",0,IF(OR(AX6="DNF",AX6="OCS",AX6="DSQ",AX6="DNS",AX6=" DNS "),$BW$3+1,AX6))</f>
        <v>0</v>
      </c>
      <c r="DK6" s="61">
        <f>IF(AY6="",0,IF(OR(AY6="DNF",AY6="OCS",AY6="DSQ",AY6="DNS",AY6=" DNS "),$BW$3+1,AY6))</f>
        <v>0</v>
      </c>
      <c r="DL6" s="61">
        <f>IF(AZ6="",0,IF(OR(AZ6="DNF",AZ6="OCS",AZ6="DSQ",AZ6="DNS",AZ6=" DNS "),$BW$3+1,AZ6))</f>
        <v>0</v>
      </c>
      <c r="DM6" s="61">
        <f>IF(BA6="",0,IF(OR(BA6="DNF",BA6="OCS",BA6="DSQ",BA6="DNS",BA6=" DNS "),$BW$3+1,BA6))</f>
        <v>0</v>
      </c>
      <c r="DN6" s="61">
        <f>IF(BB6="",0,IF(OR(BB6="DNF",BB6="OCS",BB6="DSQ",BB6="DNS",BB6=" DNS "),$BW$3+1,BB6))</f>
        <v>0</v>
      </c>
      <c r="DO6" s="61">
        <f>IF(BC6="",0,IF(OR(BC6="DNF",BC6="OCS",BC6="DSQ",BC6="DNS",BC6=" DNS "),$BW$3+1,BC6))</f>
        <v>0</v>
      </c>
      <c r="DP6" s="61">
        <f>IF(BD6="",0,IF(OR(BD6="DNF",BD6="OCS",BD6="DSQ",BD6="DNS",BD6=" DNS "),$BW$3+1,BD6))</f>
        <v>0</v>
      </c>
      <c r="DQ6" s="61">
        <f>IF(BE6="",0,IF(OR(BE6="DNF",BE6="OCS",BE6="DSQ",BE6="DNS",BE6=" DNS "),$BW$3+1,BE6))</f>
        <v>0</v>
      </c>
      <c r="DR6" s="61">
        <f>IF(BF6="",0,IF(OR(BF6="DNF",BF6="OCS",BF6="DSQ",BF6="DNS",BF6=" DNS "),$BW$3+1,BF6))</f>
        <v>0</v>
      </c>
      <c r="DS6" s="61">
        <f>IF(BG6="",0,IF(OR(BG6="DNF",BG6="OCS",BG6="DSQ",BG6="DNS",BG6=" DNS "),$BW$3+1,BG6))</f>
        <v>0</v>
      </c>
      <c r="DT6" s="61">
        <f>IF(BH6="",0,IF(OR(BH6="DNF",BH6="OCS",BH6="DSQ",BH6="DNS",BH6=" DNS "),$BW$3+1,BH6))</f>
        <v>0</v>
      </c>
      <c r="DU6" s="61">
        <f>IF(BI6="",0,IF(OR(BI6="DNF",BI6="OCS",BI6="DSQ",BI6="DNS",BI6=" DNS "),$BW$3+1,BI6))</f>
        <v>0</v>
      </c>
      <c r="DV6" s="61">
        <f>IF(BJ6="",0,IF(OR(BJ6="DNF",BJ6="OCS",BJ6="DSQ",BJ6="DNS",BJ6=" DNS "),$BW$3+1,BJ6))</f>
        <v>0</v>
      </c>
      <c r="DW6" s="61">
        <f>IF(BK6="",0,IF(OR(BK6="DNF",BK6="OCS",BK6="DSQ",BK6="DNS",BK6=" DNS "),$BW$3+1,BK6))</f>
        <v>0</v>
      </c>
      <c r="DX6" s="61">
        <f>IF(BL6="",0,IF(OR(BL6="DNF",BL6="OCS",BL6="DSQ",BL6="DNS",BL6=" DNS "),$BW$3+1,BL6))</f>
        <v>0</v>
      </c>
      <c r="DY6" s="61">
        <f>IF(BM6="",0,IF(OR(BM6="DNF",BM6="OCS",BM6="DSQ",BM6="DNS",BM6=" DNS "),$BW$3+1,BM6))</f>
        <v>0</v>
      </c>
      <c r="DZ6" s="61">
        <f>IF(BN6="",0,IF(OR(BN6="DNF",BN6="OCS",BN6="DSQ",BN6="DNS",BN6=" DNS "),$BW$3+1,BN6))</f>
        <v>0</v>
      </c>
      <c r="EA6" s="61">
        <f>IF(BO6="",0,IF(OR(BO6="DNF",BO6="OCS",BO6="DSQ",BO6="DNS",BO6=" DNS "),$BW$3+1,BO6))</f>
        <v>0</v>
      </c>
      <c r="EB6" s="61">
        <f>IF(BP6="",0,IF(OR(BP6="DNF",BP6="OCS",BP6="DSQ",BP6="DNS",BP6=" DNS "),$BW$3+1,BP6))</f>
        <v>0</v>
      </c>
      <c r="EC6" s="61">
        <f>IF(BQ6="",0,IF(OR(BQ6="DNF",BQ6="OCS",BQ6="DSQ",BQ6="DNS",BQ6=" DNS "),$BW$3+1,BQ6))</f>
        <v>0</v>
      </c>
      <c r="EE6" s="61">
        <f xml:space="preserve">
IF(OR(Deltagarlista!$K$3=3,Deltagarlista!$K$3=4),
IF(Arrangörslista!$U$5&lt;8,0,
IF(Arrangörslista!$U$5&lt;16,SUM(LARGE(BV6:CJ6,1)),
IF(Arrangörslista!$U$5&lt;24,SUM(LARGE(BV6:CR6,{1;2})),
IF(Arrangörslista!$U$5&lt;32,SUM(LARGE(BV6:CZ6,{1;2;3})),
IF(Arrangörslista!$U$5&lt;40,SUM(LARGE(BV6:DH6,{1;2;3;4})),
IF(Arrangörslista!$U$5&lt;48,SUM(LARGE(BV6:DP6,{1;2;3;4;5})),
IF(Arrangörslista!$U$5&lt;56,SUM(LARGE(BV6:DX6,{1;2;3;4;5;6})),
IF(Arrangörslista!$U$5&lt;64,SUM(LARGE(BV6:EC6,{1;2;3;4;5;6;7})),0)))))))),
IF(Deltagarlista!$K$3=2,
IF(Arrangörslista!$U$5&lt;4,LARGE(BV6:BX6,1),
IF(Arrangörslista!$U$5&lt;7,SUM(LARGE(BV6:CA6,{1;2;3})),
IF(Arrangörslista!$U$5&lt;10,SUM(LARGE(BV6:CD6,{1;2;3;4})),
IF(Arrangörslista!$U$5&lt;13,SUM(LARGE(BV6:CG6,{1;2;3;4;5;6})),
IF(Arrangörslista!$U$5&lt;16,SUM(LARGE(BV6:CJ6,{1;2;3;4;5;6;7})),
IF(Arrangörslista!$U$5&lt;19,SUM(LARGE(BV6:CM6,{1;2;3;4;5;6;7;8;9})),
IF(Arrangörslista!$U$5&lt;22,SUM(LARGE(BV6:CP6,{1;2;3;4;5;6;7;8;9;10})),
IF(Arrangörslista!$U$5&lt;25,SUM(LARGE(BV6:CS6,{1;2;3;4;5;6;7;8;9;10;11;12})),
IF(Arrangörslista!$U$5&lt;28,SUM(LARGE(BV6:CV6,{1;2;3;4;5;6;7;8;9;10;11;12;13})),
IF(Arrangörslista!$U$5&lt;31,SUM(LARGE(BV6:CY6,{1;2;3;4;5;6;7;8;9;10;11;12;13;14;15})),
IF(Arrangörslista!$U$5&lt;34,SUM(LARGE(BV6:DB6,{1;2;3;4;5;6;7;8;9;10;11;12;13;14;15;16})),
IF(Arrangörslista!$U$5&lt;37,SUM(LARGE(BV6:DE6,{1;2;3;4;5;6;7;8;9;10;11;12;13;14;15;16;17;18})),
IF(Arrangörslista!$U$5&lt;40,SUM(LARGE(BV6:DH6,{1;2;3;4;5;6;7;8;9;10;11;12;13;14;15;16;17;18;19})),
IF(Arrangörslista!$U$5&lt;43,SUM(LARGE(BV6:DK6,{1;2;3;4;5;6;7;8;9;10;11;12;13;14;15;16;17;18;19;20;21})),
IF(Arrangörslista!$U$5&lt;46,SUM(LARGE(BV6:DN6,{1;2;3;4;5;6;7;8;9;10;11;12;13;14;15;16;17;18;19;20;21;22})),
IF(Arrangörslista!$U$5&lt;49,SUM(LARGE(BV6:DQ6,{1;2;3;4;5;6;7;8;9;10;11;12;13;14;15;16;17;18;19;20;21;22;23;24})),
IF(Arrangörslista!$U$5&lt;52,SUM(LARGE(BV6:DT6,{1;2;3;4;5;6;7;8;9;10;11;12;13;14;15;16;17;18;19;20;21;22;23;24;25})),
IF(Arrangörslista!$U$5&lt;55,SUM(LARGE(BV6:DW6,{1;2;3;4;5;6;7;8;9;10;11;12;13;14;15;16;17;18;19;20;21;22;23;24;25;26;27})),
IF(Arrangörslista!$U$5&lt;58,SUM(LARGE(BV6:DZ6,{1;2;3;4;5;6;7;8;9;10;11;12;13;14;15;16;17;18;19;20;21;22;23;24;25;26;27;28})),
IF(Arrangörslista!$U$5&lt;61,SUM(LARGE(BV6:EC6,{1;2;3;4;5;6;7;8;9;10;11;12;13;14;15;16;17;18;19;20;21;22;23;24;25;26;27;28;29;30})),0)))))))))))))))))))),
IF(Arrangörslista!$U$5&lt;4,0,
IF(Arrangörslista!$U$5&lt;8,SUM(LARGE(BV6:CB6,1)),
IF(Arrangörslista!$U$5&lt;12,SUM(LARGE(BV6:CF6,{1;2})),
IF(Arrangörslista!$U$5&lt;16,SUM(LARGE(BV6:CJ6,{1;2;3})),
IF(Arrangörslista!$U$5&lt;20,SUM(LARGE(BV6:CN6,{1;2;3;4})),
IF(Arrangörslista!$U$5&lt;24,SUM(LARGE(BV6:CR6,{1;2;3;4;5})),
IF(Arrangörslista!$U$5&lt;28,SUM(LARGE(BV6:CV6,{1;2;3;4;5;6})),
IF(Arrangörslista!$U$5&lt;32,SUM(LARGE(BV6:CZ6,{1;2;3;4;5;6;7})),
IF(Arrangörslista!$U$5&lt;36,SUM(LARGE(BV6:DD6,{1;2;3;4;5;6;7;8})),
IF(Arrangörslista!$U$5&lt;40,SUM(LARGE(BV6:DH6,{1;2;3;4;5;6;7;8;9})),
IF(Arrangörslista!$U$5&lt;44,SUM(LARGE(BV6:DL6,{1;2;3;4;5;6;7;8;9;10})),
IF(Arrangörslista!$U$5&lt;48,SUM(LARGE(BV6:DP6,{1;2;3;4;5;6;7;8;9;10;11})),
IF(Arrangörslista!$U$5&lt;52,SUM(LARGE(BV6:DT6,{1;2;3;4;5;6;7;8;9;10;11;12})),
IF(Arrangörslista!$U$5&lt;56,SUM(LARGE(BV6:DX6,{1;2;3;4;5;6;7;8;9;10;11;12;13})),
IF(Arrangörslista!$U$5&lt;60,SUM(LARGE(BV6:EB6,{1;2;3;4;5;6;7;8;9;10;11;12;13;14})),
IF(Arrangörslista!$U$5=60,SUM(LARGE(BV6:EC6,{1;2;3;4;5;6;7;8;9;10;11;12;13;14;15})),0))))))))))))))))))</f>
        <v>0</v>
      </c>
      <c r="EG6" s="67">
        <f>IF(F6="",,1)</f>
        <v>0</v>
      </c>
      <c r="EH6" s="61"/>
      <c r="EI6" s="61"/>
      <c r="EK6" s="62">
        <f>SMALL($J69:$BQ69,1)</f>
        <v>61</v>
      </c>
      <c r="EL6" s="62">
        <f>SMALL($J69:$BQ69,2)</f>
        <v>61</v>
      </c>
      <c r="EM6" s="62">
        <f>SMALL($J69:$BQ69,3)</f>
        <v>61</v>
      </c>
      <c r="EN6" s="62">
        <f>SMALL($J69:$BQ69,4)</f>
        <v>61</v>
      </c>
      <c r="EO6" s="62">
        <f>SMALL($J69:$BQ69,5)</f>
        <v>61</v>
      </c>
      <c r="EP6" s="62">
        <f>SMALL($J69:$BQ69,6)</f>
        <v>61</v>
      </c>
      <c r="EQ6" s="62">
        <f>SMALL($J69:$BQ69,7)</f>
        <v>61</v>
      </c>
      <c r="ER6" s="62">
        <f>SMALL($J69:$BQ69,8)</f>
        <v>61</v>
      </c>
      <c r="ES6" s="62">
        <f>SMALL($J69:$BQ69,9)</f>
        <v>61</v>
      </c>
      <c r="ET6" s="62">
        <f>SMALL($J69:$BQ69,10)</f>
        <v>61</v>
      </c>
      <c r="EU6" s="62">
        <f>SMALL($J69:$BQ69,11)</f>
        <v>61</v>
      </c>
      <c r="EV6" s="62">
        <f>SMALL($J69:$BQ69,12)</f>
        <v>61</v>
      </c>
      <c r="EW6" s="62">
        <f>SMALL($J69:$BQ69,13)</f>
        <v>61</v>
      </c>
      <c r="EX6" s="62">
        <f>SMALL($J69:$BQ69,14)</f>
        <v>61</v>
      </c>
      <c r="EY6" s="62">
        <f>SMALL($J69:$BQ69,15)</f>
        <v>61</v>
      </c>
      <c r="EZ6" s="62">
        <f>SMALL($J69:$BQ69,16)</f>
        <v>61</v>
      </c>
      <c r="FA6" s="62">
        <f>SMALL($J69:$BQ69,17)</f>
        <v>61</v>
      </c>
      <c r="FB6" s="62">
        <f>SMALL($J69:$BQ69,18)</f>
        <v>61</v>
      </c>
      <c r="FC6" s="62">
        <f>SMALL($J69:$BQ69,19)</f>
        <v>61</v>
      </c>
      <c r="FD6" s="62">
        <f>SMALL($J69:$BQ69,20)</f>
        <v>61</v>
      </c>
      <c r="FE6" s="62">
        <f>SMALL($J69:$BQ69,21)</f>
        <v>61</v>
      </c>
      <c r="FF6" s="62">
        <f>SMALL($J69:$BQ69,22)</f>
        <v>61</v>
      </c>
      <c r="FG6" s="62">
        <f>SMALL($J69:$BQ69,23)</f>
        <v>61</v>
      </c>
      <c r="FH6" s="62">
        <f>SMALL($J69:$BQ69,24)</f>
        <v>61</v>
      </c>
      <c r="FI6" s="62">
        <f>SMALL($J69:$BQ69,25)</f>
        <v>61</v>
      </c>
      <c r="FJ6" s="62">
        <f>SMALL($J69:$BQ69,26)</f>
        <v>61</v>
      </c>
      <c r="FK6" s="62">
        <f>SMALL($J69:$BQ69,27)</f>
        <v>61</v>
      </c>
      <c r="FL6" s="62">
        <f>SMALL($J69:$BQ69,28)</f>
        <v>61</v>
      </c>
      <c r="FM6" s="62">
        <f>SMALL($J69:$BQ69,29)</f>
        <v>61</v>
      </c>
      <c r="FN6" s="62">
        <f>SMALL($J69:$BQ69,30)</f>
        <v>61</v>
      </c>
      <c r="FO6" s="62">
        <f>SMALL($J69:$BQ69,31)</f>
        <v>61</v>
      </c>
      <c r="FP6" s="62">
        <f>SMALL($J69:$BQ69,32)</f>
        <v>61</v>
      </c>
      <c r="FQ6" s="62">
        <f>SMALL($J69:$BQ69,33)</f>
        <v>61</v>
      </c>
      <c r="FR6" s="62">
        <f>SMALL($J69:$BQ69,34)</f>
        <v>61</v>
      </c>
      <c r="FS6" s="62">
        <f>SMALL($J69:$BQ69,35)</f>
        <v>61</v>
      </c>
      <c r="FT6" s="62">
        <f>SMALL($J69:$BQ69,36)</f>
        <v>61</v>
      </c>
      <c r="FU6" s="62">
        <f>SMALL($J69:$BQ69,37)</f>
        <v>61</v>
      </c>
      <c r="FV6" s="62">
        <f>SMALL($J69:$BQ69,38)</f>
        <v>61</v>
      </c>
      <c r="FW6" s="62">
        <f>SMALL($J69:$BQ69,39)</f>
        <v>61</v>
      </c>
      <c r="FX6" s="62">
        <f>SMALL($J69:$BQ69,40)</f>
        <v>61</v>
      </c>
      <c r="FY6" s="62">
        <f>SMALL($J69:$BQ69,41)</f>
        <v>61</v>
      </c>
      <c r="FZ6" s="62">
        <f>SMALL($J69:$BQ69,42)</f>
        <v>61</v>
      </c>
      <c r="GA6" s="62">
        <f>SMALL($J69:$BQ69,43)</f>
        <v>61</v>
      </c>
      <c r="GB6" s="62">
        <f>SMALL($J69:$BQ69,44)</f>
        <v>61</v>
      </c>
      <c r="GC6" s="62">
        <f>SMALL($J69:$BQ69,45)</f>
        <v>61</v>
      </c>
      <c r="GD6" s="62">
        <f>SMALL($J69:$BQ69,46)</f>
        <v>61</v>
      </c>
      <c r="GE6" s="62">
        <f>SMALL($J69:$BQ69,47)</f>
        <v>61</v>
      </c>
      <c r="GF6" s="62">
        <f>SMALL($J69:$BQ69,48)</f>
        <v>61</v>
      </c>
      <c r="GG6" s="62">
        <f>SMALL($J69:$BQ69,49)</f>
        <v>61</v>
      </c>
      <c r="GH6" s="62">
        <f>SMALL($J69:$BQ69,50)</f>
        <v>61</v>
      </c>
      <c r="GI6" s="62">
        <f>SMALL($J69:$BQ69,51)</f>
        <v>61</v>
      </c>
      <c r="GJ6" s="62">
        <f>SMALL($J69:$BQ69,52)</f>
        <v>61</v>
      </c>
      <c r="GK6" s="62">
        <f>SMALL($J69:$BQ69,53)</f>
        <v>61</v>
      </c>
      <c r="GL6" s="62">
        <f>SMALL($J69:$BQ69,54)</f>
        <v>61</v>
      </c>
      <c r="GM6" s="62">
        <f>SMALL($J69:$BQ69,55)</f>
        <v>61</v>
      </c>
      <c r="GN6" s="62">
        <f>SMALL($J69:$BQ69,56)</f>
        <v>61</v>
      </c>
      <c r="GO6" s="62">
        <f>SMALL($J69:$BQ69,57)</f>
        <v>61</v>
      </c>
      <c r="GP6" s="62">
        <f>SMALL($J69:$BQ69,58)</f>
        <v>61</v>
      </c>
      <c r="GQ6" s="62">
        <f>SMALL($J69:$BQ69,59)</f>
        <v>61</v>
      </c>
      <c r="GR6" s="62">
        <f>SMALL($J69:$BQ69,60)</f>
        <v>61</v>
      </c>
      <c r="GT6" s="62">
        <f>IF(Deltagarlista!$K$3=2,
IF(GW6="1",
      IF(Arrangörslista!$U$5=1,J69,
IF(Arrangörslista!$U$5=2,K69,
IF(Arrangörslista!$U$5=3,L69,
IF(Arrangörslista!$U$5=4,M69,
IF(Arrangörslista!$U$5=5,N69,
IF(Arrangörslista!$U$5=6,O69,
IF(Arrangörslista!$U$5=7,P69,
IF(Arrangörslista!$U$5=8,Q69,
IF(Arrangörslista!$U$5=9,R69,
IF(Arrangörslista!$U$5=10,S69,
IF(Arrangörslista!$U$5=11,T69,
IF(Arrangörslista!$U$5=12,U69,
IF(Arrangörslista!$U$5=13,V69,
IF(Arrangörslista!$U$5=14,W69,
IF(Arrangörslista!$U$5=15,X69,
IF(Arrangörslista!$U$5=16,Y69,IF(Arrangörslista!$U$5=17,Z69,IF(Arrangörslista!$U$5=18,AA69,IF(Arrangörslista!$U$5=19,AB69,IF(Arrangörslista!$U$5=20,AC69,IF(Arrangörslista!$U$5=21,AD69,IF(Arrangörslista!$U$5=22,AE69,IF(Arrangörslista!$U$5=23,AF69, IF(Arrangörslista!$U$5=24,AG69, IF(Arrangörslista!$U$5=25,AH69, IF(Arrangörslista!$U$5=26,AI69, IF(Arrangörslista!$U$5=27,AJ69, IF(Arrangörslista!$U$5=28,AK69, IF(Arrangörslista!$U$5=29,AL69, IF(Arrangörslista!$U$5=30,AM69, IF(Arrangörslista!$U$5=31,AN69, IF(Arrangörslista!$U$5=32,AO69, IF(Arrangörslista!$U$5=33,AP69, IF(Arrangörslista!$U$5=34,AQ69, IF(Arrangörslista!$U$5=35,AR69, IF(Arrangörslista!$U$5=36,AS69, IF(Arrangörslista!$U$5=37,AT69, IF(Arrangörslista!$U$5=38,AU69, IF(Arrangörslista!$U$5=39,AV69, IF(Arrangörslista!$U$5=40,AW69, IF(Arrangörslista!$U$5=41,AX69, IF(Arrangörslista!$U$5=42,AY69, IF(Arrangörslista!$U$5=43,AZ69, IF(Arrangörslista!$U$5=44,BA69, IF(Arrangörslista!$U$5=45,BB69, IF(Arrangörslista!$U$5=46,BC69, IF(Arrangörslista!$U$5=47,BD69, IF(Arrangörslista!$U$5=48,BE69, IF(Arrangörslista!$U$5=49,BF69, IF(Arrangörslista!$U$5=50,BG69, IF(Arrangörslista!$U$5=51,BH69, IF(Arrangörslista!$U$5=52,BI69, IF(Arrangörslista!$U$5=53,BJ69, IF(Arrangörslista!$U$5=54,BK69, IF(Arrangörslista!$U$5=55,BL69, IF(Arrangörslista!$U$5=56,BM69, IF(Arrangörslista!$U$5=57,BN69, IF(Arrangörslista!$U$5=58,BO69, IF(Arrangörslista!$U$5=59,BP69, IF(Arrangörslista!$U$5=60,BQ69,0))))))))))))))))))))))))))))))))))))))))))))))))))))))))))))),IF(Deltagarlista!$K$3=4, IF(Arrangörslista!$U$5=1,J69,
IF(Arrangörslista!$U$5=2,J69,
IF(Arrangörslista!$U$5=3,K69,
IF(Arrangörslista!$U$5=4,K69,
IF(Arrangörslista!$U$5=5,L69,
IF(Arrangörslista!$U$5=6,L69,
IF(Arrangörslista!$U$5=7,M69,
IF(Arrangörslista!$U$5=8,M69,
IF(Arrangörslista!$U$5=9,N69,
IF(Arrangörslista!$U$5=10,N69,
IF(Arrangörslista!$U$5=11,O69,
IF(Arrangörslista!$U$5=12,O69,
IF(Arrangörslista!$U$5=13,P69,
IF(Arrangörslista!$U$5=14,P69,
IF(Arrangörslista!$U$5=15,Q69,
IF(Arrangörslista!$U$5=16,Q69,
IF(Arrangörslista!$U$5=17,R69,
IF(Arrangörslista!$U$5=18,R69,
IF(Arrangörslista!$U$5=19,S69,
IF(Arrangörslista!$U$5=20,S69,
IF(Arrangörslista!$U$5=21,T69,
IF(Arrangörslista!$U$5=22,T69,IF(Arrangörslista!$U$5=23,U69, IF(Arrangörslista!$U$5=24,U69, IF(Arrangörslista!$U$5=25,V69, IF(Arrangörslista!$U$5=26,V69, IF(Arrangörslista!$U$5=27,W69, IF(Arrangörslista!$U$5=28,W69, IF(Arrangörslista!$U$5=29,X69, IF(Arrangörslista!$U$5=30,X69, IF(Arrangörslista!$U$5=31,X69, IF(Arrangörslista!$U$5=32,Y69, IF(Arrangörslista!$U$5=33,AO69, IF(Arrangörslista!$U$5=34,Y69, IF(Arrangörslista!$U$5=35,Z69, IF(Arrangörslista!$U$5=36,AR69, IF(Arrangörslista!$U$5=37,Z69, IF(Arrangörslista!$U$5=38,AA69, IF(Arrangörslista!$U$5=39,AU69, IF(Arrangörslista!$U$5=40,AA69, IF(Arrangörslista!$U$5=41,AB69, IF(Arrangörslista!$U$5=42,AX69, IF(Arrangörslista!$U$5=43,AB69, IF(Arrangörslista!$U$5=44,AC69, IF(Arrangörslista!$U$5=45,BA69, IF(Arrangörslista!$U$5=46,AC69, IF(Arrangörslista!$U$5=47,AD69, IF(Arrangörslista!$U$5=48,BD69, IF(Arrangörslista!$U$5=49,AD69, IF(Arrangörslista!$U$5=50,AE69, IF(Arrangörslista!$U$5=51,BG69, IF(Arrangörslista!$U$5=52,AE69, IF(Arrangörslista!$U$5=53,AF69, IF(Arrangörslista!$U$5=54,BJ69, IF(Arrangörslista!$U$5=55,AF69, IF(Arrangörslista!$U$5=56,AG69, IF(Arrangörslista!$U$5=57,BM69, IF(Arrangörslista!$U$5=58,AG69, IF(Arrangörslista!$U$5=59,AH69, IF(Arrangörslista!$U$5=60,AH69,0)))))))))))))))))))))))))))))))))))))))))))))))))))))))))))),IF(Arrangörslista!$U$5=1,J69,
IF(Arrangörslista!$U$5=2,K69,
IF(Arrangörslista!$U$5=3,L69,
IF(Arrangörslista!$U$5=4,M69,
IF(Arrangörslista!$U$5=5,N69,
IF(Arrangörslista!$U$5=6,O69,
IF(Arrangörslista!$U$5=7,P69,
IF(Arrangörslista!$U$5=8,Q69,
IF(Arrangörslista!$U$5=9,R69,
IF(Arrangörslista!$U$5=10,S69,
IF(Arrangörslista!$U$5=11,T69,
IF(Arrangörslista!$U$5=12,U69,
IF(Arrangörslista!$U$5=13,V69,
IF(Arrangörslista!$U$5=14,W69,
IF(Arrangörslista!$U$5=15,X69,
IF(Arrangörslista!$U$5=16,Y69,IF(Arrangörslista!$U$5=17,Z69,IF(Arrangörslista!$U$5=18,AA69,IF(Arrangörslista!$U$5=19,AB69,IF(Arrangörslista!$U$5=20,AC69,IF(Arrangörslista!$U$5=21,AD69,IF(Arrangörslista!$U$5=22,AE69,IF(Arrangörslista!$U$5=23,AF69, IF(Arrangörslista!$U$5=24,AG69, IF(Arrangörslista!$U$5=25,AH69, IF(Arrangörslista!$U$5=26,AI69, IF(Arrangörslista!$U$5=27,AJ69, IF(Arrangörslista!$U$5=28,AK69, IF(Arrangörslista!$U$5=29,AL69, IF(Arrangörslista!$U$5=30,AM69, IF(Arrangörslista!$U$5=31,AN69, IF(Arrangörslista!$U$5=32,AO69, IF(Arrangörslista!$U$5=33,AP69, IF(Arrangörslista!$U$5=34,AQ69, IF(Arrangörslista!$U$5=35,AR69, IF(Arrangörslista!$U$5=36,AS69, IF(Arrangörslista!$U$5=37,AT69, IF(Arrangörslista!$U$5=38,AU69, IF(Arrangörslista!$U$5=39,AV69, IF(Arrangörslista!$U$5=40,AW69, IF(Arrangörslista!$U$5=41,AX69, IF(Arrangörslista!$U$5=42,AY69, IF(Arrangörslista!$U$5=43,AZ69, IF(Arrangörslista!$U$5=44,BA69, IF(Arrangörslista!$U$5=45,BB69, IF(Arrangörslista!$U$5=46,BC69, IF(Arrangörslista!$U$5=47,BD69, IF(Arrangörslista!$U$5=48,BE69, IF(Arrangörslista!$U$5=49,BF69, IF(Arrangörslista!$U$5=50,BG69, IF(Arrangörslista!$U$5=51,BH69, IF(Arrangörslista!$U$5=52,BI69, IF(Arrangörslista!$U$5=53,BJ69, IF(Arrangörslista!$U$5=54,BK69, IF(Arrangörslista!$U$5=55,BL69, IF(Arrangörslista!$U$5=56,BM69, IF(Arrangörslista!$U$5=57,BN69, IF(Arrangörslista!$U$5=58,BO69, IF(Arrangörslista!$U$5=59,BP69, IF(Arrangörslista!$U$5=60,BQ69,0))))))))))))))))))))))))))))))))))))))))))))))))))))))))))))
))</f>
        <v>0</v>
      </c>
      <c r="GV6" s="65" t="str">
        <f>IFERROR(IF(VLOOKUP(F6,Deltagarlista!$E$5:$I$64,5,FALSE)="Grön","Gr",IF(VLOOKUP(F6,Deltagarlista!$E$5:$I$64,5,FALSE)="Röd","R",IF(VLOOKUP(F6,Deltagarlista!$E$5:$I$64,5,FALSE)="Blå","B","Gu"))),"")</f>
        <v/>
      </c>
      <c r="GW6" s="62" t="str">
        <f t="shared" si="0"/>
        <v/>
      </c>
    </row>
    <row r="7" spans="1:206" x14ac:dyDescent="0.3">
      <c r="B7" s="23" t="str">
        <f>IF($BW$3&gt;3,4,"")</f>
        <v/>
      </c>
      <c r="C7" s="92" t="str">
        <f>IF(ISBLANK(Deltagarlista!C10),"",Deltagarlista!C10)</f>
        <v/>
      </c>
      <c r="D7" s="109" t="str">
        <f>CONCATENATE(IF(AND(Deltagarlista!H10="GM",Deltagarlista!$S$14=TRUE),"GM   ",""), IF(OR(Deltagarlista!$K$3=4,Deltagarlista!$K$3=2),Deltagarlista!I10,""))</f>
        <v/>
      </c>
      <c r="E7" s="8" t="str">
        <f>IF(ISBLANK(Deltagarlista!D10),"",Deltagarlista!D10)</f>
        <v/>
      </c>
      <c r="F7" s="8" t="str">
        <f>IF(ISBLANK(Deltagarlista!E10),"",Deltagarlista!E10)</f>
        <v/>
      </c>
      <c r="G7" s="95" t="str">
        <f>IF(ISBLANK(Deltagarlista!F10),"",Deltagarlista!F10)</f>
        <v/>
      </c>
      <c r="H7" s="72" t="str">
        <f>IF(ISBLANK(Deltagarlista!C10),"",BU7-EE7)</f>
        <v/>
      </c>
      <c r="I7" s="13" t="str">
        <f>IF(ISBLANK(Deltagarlista!C10),"",IF(AND(Deltagarlista!$K$3=2,Deltagarlista!$L$3&lt;37),SUM(SUM(BV7:EC7)-(ROUNDDOWN(Arrangörslista!$U$5/3,1))*($BW$3+1)),SUM(BV7:EC7)))</f>
        <v/>
      </c>
      <c r="J7" s="79" t="str">
        <f>IF(Deltagarlista!$K$3=4,IF(ISBLANK(Deltagarlista!$C10),"",IF(ISBLANK(Arrangörslista!C$8),"",IFERROR(VLOOKUP($F7,Arrangörslista!C$8:$AG$45,16,FALSE),IF(ISBLANK(Deltagarlista!$C10),"",IF(ISBLANK(Arrangörslista!C$8),"",IFERROR(VLOOKUP($F7,Arrangörslista!D$8:$AG$45,16,FALSE),"DNS")))))),IF(Deltagarlista!$K$3=2,
IF(ISBLANK(Deltagarlista!$C10),"",IF(ISBLANK(Arrangörslista!C$8),"",IF($GV7=J$64," DNS ",IFERROR(VLOOKUP($F7,Arrangörslista!C$8:$AG$45,16,FALSE),"DNS")))),IF(ISBLANK(Deltagarlista!$C10),"",IF(ISBLANK(Arrangörslista!C$8),"",IFERROR(VLOOKUP($F7,Arrangörslista!C$8:$AG$45,16,FALSE),"DNS")))))</f>
        <v/>
      </c>
      <c r="K7" s="5" t="str">
        <f>IF(Deltagarlista!$K$3=4,IF(ISBLANK(Deltagarlista!$C10),"",IF(ISBLANK(Arrangörslista!E$8),"",IFERROR(VLOOKUP($F7,Arrangörslista!E$8:$AG$45,16,FALSE),IF(ISBLANK(Deltagarlista!$C10),"",IF(ISBLANK(Arrangörslista!E$8),"",IFERROR(VLOOKUP($F7,Arrangörslista!F$8:$AG$45,16,FALSE),"DNS")))))),IF(Deltagarlista!$K$3=2,
IF(ISBLANK(Deltagarlista!$C10),"",IF(ISBLANK(Arrangörslista!D$8),"",IF($GV7=K$64," DNS ",IFERROR(VLOOKUP($F7,Arrangörslista!D$8:$AG$45,16,FALSE),"DNS")))),IF(ISBLANK(Deltagarlista!$C10),"",IF(ISBLANK(Arrangörslista!D$8),"",IFERROR(VLOOKUP($F7,Arrangörslista!D$8:$AG$45,16,FALSE),"DNS")))))</f>
        <v/>
      </c>
      <c r="L7" s="5" t="str">
        <f>IF(Deltagarlista!$K$3=4,IF(ISBLANK(Deltagarlista!$C10),"",IF(ISBLANK(Arrangörslista!G$8),"",IFERROR(VLOOKUP($F7,Arrangörslista!G$8:$AG$45,16,FALSE),IF(ISBLANK(Deltagarlista!$C10),"",IF(ISBLANK(Arrangörslista!G$8),"",IFERROR(VLOOKUP($F7,Arrangörslista!H$8:$AG$45,16,FALSE),"DNS")))))),IF(Deltagarlista!$K$3=2,
IF(ISBLANK(Deltagarlista!$C10),"",IF(ISBLANK(Arrangörslista!E$8),"",IF($GV7=L$64," DNS ",IFERROR(VLOOKUP($F7,Arrangörslista!E$8:$AG$45,16,FALSE),"DNS")))),IF(ISBLANK(Deltagarlista!$C10),"",IF(ISBLANK(Arrangörslista!E$8),"",IFERROR(VLOOKUP($F7,Arrangörslista!E$8:$AG$45,16,FALSE),"DNS")))))</f>
        <v/>
      </c>
      <c r="M7" s="5" t="str">
        <f>IF(Deltagarlista!$K$3=4,IF(ISBLANK(Deltagarlista!$C10),"",IF(ISBLANK(Arrangörslista!I$8),"",IFERROR(VLOOKUP($F7,Arrangörslista!I$8:$AG$45,16,FALSE),IF(ISBLANK(Deltagarlista!$C10),"",IF(ISBLANK(Arrangörslista!I$8),"",IFERROR(VLOOKUP($F7,Arrangörslista!J$8:$AG$45,16,FALSE),"DNS")))))),IF(Deltagarlista!$K$3=2,
IF(ISBLANK(Deltagarlista!$C10),"",IF(ISBLANK(Arrangörslista!F$8),"",IF($GV7=M$64," DNS ",IFERROR(VLOOKUP($F7,Arrangörslista!F$8:$AG$45,16,FALSE),"DNS")))),IF(ISBLANK(Deltagarlista!$C10),"",IF(ISBLANK(Arrangörslista!F$8),"",IFERROR(VLOOKUP($F7,Arrangörslista!F$8:$AG$45,16,FALSE),"DNS")))))</f>
        <v/>
      </c>
      <c r="N7" s="5" t="str">
        <f>IF(Deltagarlista!$K$3=4,IF(ISBLANK(Deltagarlista!$C10),"",IF(ISBLANK(Arrangörslista!K$8),"",IFERROR(VLOOKUP($F7,Arrangörslista!K$8:$AG$45,16,FALSE),IF(ISBLANK(Deltagarlista!$C10),"",IF(ISBLANK(Arrangörslista!K$8),"",IFERROR(VLOOKUP($F7,Arrangörslista!L$8:$AG$45,16,FALSE),"DNS")))))),IF(Deltagarlista!$K$3=2,
IF(ISBLANK(Deltagarlista!$C10),"",IF(ISBLANK(Arrangörslista!G$8),"",IF($GV7=N$64," DNS ",IFERROR(VLOOKUP($F7,Arrangörslista!G$8:$AG$45,16,FALSE),"DNS")))),IF(ISBLANK(Deltagarlista!$C10),"",IF(ISBLANK(Arrangörslista!G$8),"",IFERROR(VLOOKUP($F7,Arrangörslista!G$8:$AG$45,16,FALSE),"DNS")))))</f>
        <v/>
      </c>
      <c r="O7" s="5" t="str">
        <f>IF(Deltagarlista!$K$3=4,IF(ISBLANK(Deltagarlista!$C10),"",IF(ISBLANK(Arrangörslista!M$8),"",IFERROR(VLOOKUP($F7,Arrangörslista!M$8:$AG$45,16,FALSE),IF(ISBLANK(Deltagarlista!$C10),"",IF(ISBLANK(Arrangörslista!M$8),"",IFERROR(VLOOKUP($F7,Arrangörslista!N$8:$AG$45,16,FALSE),"DNS")))))),IF(Deltagarlista!$K$3=2,
IF(ISBLANK(Deltagarlista!$C10),"",IF(ISBLANK(Arrangörslista!H$8),"",IF($GV7=O$64," DNS ",IFERROR(VLOOKUP($F7,Arrangörslista!H$8:$AG$45,16,FALSE),"DNS")))),IF(ISBLANK(Deltagarlista!$C10),"",IF(ISBLANK(Arrangörslista!H$8),"",IFERROR(VLOOKUP($F7,Arrangörslista!H$8:$AG$45,16,FALSE),"DNS")))))</f>
        <v/>
      </c>
      <c r="P7" s="5" t="str">
        <f>IF(Deltagarlista!$K$3=4,IF(ISBLANK(Deltagarlista!$C10),"",IF(ISBLANK(Arrangörslista!O$8),"",IFERROR(VLOOKUP($F7,Arrangörslista!O$8:$AG$45,16,FALSE),IF(ISBLANK(Deltagarlista!$C10),"",IF(ISBLANK(Arrangörslista!O$8),"",IFERROR(VLOOKUP($F7,Arrangörslista!P$8:$AG$45,16,FALSE),"DNS")))))),IF(Deltagarlista!$K$3=2,
IF(ISBLANK(Deltagarlista!$C10),"",IF(ISBLANK(Arrangörslista!I$8),"",IF($GV7=P$64," DNS ",IFERROR(VLOOKUP($F7,Arrangörslista!I$8:$AG$45,16,FALSE),"DNS")))),IF(ISBLANK(Deltagarlista!$C10),"",IF(ISBLANK(Arrangörslista!I$8),"",IFERROR(VLOOKUP($F7,Arrangörslista!I$8:$AG$45,16,FALSE),"DNS")))))</f>
        <v/>
      </c>
      <c r="Q7" s="5" t="str">
        <f>IF(Deltagarlista!$K$3=4,IF(ISBLANK(Deltagarlista!$C10),"",IF(ISBLANK(Arrangörslista!Q$8),"",IFERROR(VLOOKUP($F7,Arrangörslista!Q$8:$AG$45,16,FALSE),IF(ISBLANK(Deltagarlista!$C10),"",IF(ISBLANK(Arrangörslista!Q$8),"",IFERROR(VLOOKUP($F7,Arrangörslista!C$53:$AG$90,16,FALSE),"DNS")))))),IF(Deltagarlista!$K$3=2,
IF(ISBLANK(Deltagarlista!$C10),"",IF(ISBLANK(Arrangörslista!J$8),"",IF($GV7=Q$64," DNS ",IFERROR(VLOOKUP($F7,Arrangörslista!J$8:$AG$45,16,FALSE),"DNS")))),IF(ISBLANK(Deltagarlista!$C10),"",IF(ISBLANK(Arrangörslista!J$8),"",IFERROR(VLOOKUP($F7,Arrangörslista!J$8:$AG$45,16,FALSE),"DNS")))))</f>
        <v/>
      </c>
      <c r="R7" s="5" t="str">
        <f>IF(Deltagarlista!$K$3=4,IF(ISBLANK(Deltagarlista!$C10),"",IF(ISBLANK(Arrangörslista!D$53),"",IFERROR(VLOOKUP($F7,Arrangörslista!D$53:$AG$90,16,FALSE),IF(ISBLANK(Deltagarlista!$C10),"",IF(ISBLANK(Arrangörslista!D$53),"",IFERROR(VLOOKUP($F7,Arrangörslista!E$53:$AG$90,16,FALSE),"DNS")))))),IF(Deltagarlista!$K$3=2,
IF(ISBLANK(Deltagarlista!$C10),"",IF(ISBLANK(Arrangörslista!K$8),"",IF($GV7=R$64," DNS ",IFERROR(VLOOKUP($F7,Arrangörslista!K$8:$AG$45,16,FALSE),"DNS")))),IF(ISBLANK(Deltagarlista!$C10),"",IF(ISBLANK(Arrangörslista!K$8),"",IFERROR(VLOOKUP($F7,Arrangörslista!K$8:$AG$45,16,FALSE),"DNS")))))</f>
        <v/>
      </c>
      <c r="S7" s="5" t="str">
        <f>IF(Deltagarlista!$K$3=4,IF(ISBLANK(Deltagarlista!$C10),"",IF(ISBLANK(Arrangörslista!F$53),"",IFERROR(VLOOKUP($F7,Arrangörslista!F$53:$AG$90,16,FALSE),IF(ISBLANK(Deltagarlista!$C10),"",IF(ISBLANK(Arrangörslista!F$53),"",IFERROR(VLOOKUP($F7,Arrangörslista!G$53:$AG$90,16,FALSE),"DNS")))))),IF(Deltagarlista!$K$3=2,
IF(ISBLANK(Deltagarlista!$C10),"",IF(ISBLANK(Arrangörslista!L$8),"",IF($GV7=S$64," DNS ",IFERROR(VLOOKUP($F7,Arrangörslista!L$8:$AG$45,16,FALSE),"DNS")))),IF(ISBLANK(Deltagarlista!$C10),"",IF(ISBLANK(Arrangörslista!L$8),"",IFERROR(VLOOKUP($F7,Arrangörslista!L$8:$AG$45,16,FALSE),"DNS")))))</f>
        <v/>
      </c>
      <c r="T7" s="5" t="str">
        <f>IF(Deltagarlista!$K$3=4,IF(ISBLANK(Deltagarlista!$C10),"",IF(ISBLANK(Arrangörslista!H$53),"",IFERROR(VLOOKUP($F7,Arrangörslista!H$53:$AG$90,16,FALSE),IF(ISBLANK(Deltagarlista!$C10),"",IF(ISBLANK(Arrangörslista!H$53),"",IFERROR(VLOOKUP($F7,Arrangörslista!I$53:$AG$90,16,FALSE),"DNS")))))),IF(Deltagarlista!$K$3=2,
IF(ISBLANK(Deltagarlista!$C10),"",IF(ISBLANK(Arrangörslista!M$8),"",IF($GV7=T$64," DNS ",IFERROR(VLOOKUP($F7,Arrangörslista!M$8:$AG$45,16,FALSE),"DNS")))),IF(ISBLANK(Deltagarlista!$C10),"",IF(ISBLANK(Arrangörslista!M$8),"",IFERROR(VLOOKUP($F7,Arrangörslista!M$8:$AG$45,16,FALSE),"DNS")))))</f>
        <v/>
      </c>
      <c r="U7" s="5" t="str">
        <f>IF(Deltagarlista!$K$3=4,IF(ISBLANK(Deltagarlista!$C10),"",IF(ISBLANK(Arrangörslista!J$53),"",IFERROR(VLOOKUP($F7,Arrangörslista!J$53:$AG$90,16,FALSE),IF(ISBLANK(Deltagarlista!$C10),"",IF(ISBLANK(Arrangörslista!J$53),"",IFERROR(VLOOKUP($F7,Arrangörslista!K$53:$AG$90,16,FALSE),"DNS")))))),IF(Deltagarlista!$K$3=2,
IF(ISBLANK(Deltagarlista!$C10),"",IF(ISBLANK(Arrangörslista!N$8),"",IF($GV7=U$64," DNS ",IFERROR(VLOOKUP($F7,Arrangörslista!N$8:$AG$45,16,FALSE),"DNS")))),IF(ISBLANK(Deltagarlista!$C10),"",IF(ISBLANK(Arrangörslista!N$8),"",IFERROR(VLOOKUP($F7,Arrangörslista!N$8:$AG$45,16,FALSE),"DNS")))))</f>
        <v/>
      </c>
      <c r="V7" s="5" t="str">
        <f>IF(Deltagarlista!$K$3=4,IF(ISBLANK(Deltagarlista!$C10),"",IF(ISBLANK(Arrangörslista!L$53),"",IFERROR(VLOOKUP($F7,Arrangörslista!L$53:$AG$90,16,FALSE),IF(ISBLANK(Deltagarlista!$C10),"",IF(ISBLANK(Arrangörslista!L$53),"",IFERROR(VLOOKUP($F7,Arrangörslista!M$53:$AG$90,16,FALSE),"DNS")))))),IF(Deltagarlista!$K$3=2,
IF(ISBLANK(Deltagarlista!$C10),"",IF(ISBLANK(Arrangörslista!O$8),"",IF($GV7=V$64," DNS ",IFERROR(VLOOKUP($F7,Arrangörslista!O$8:$AG$45,16,FALSE),"DNS")))),IF(ISBLANK(Deltagarlista!$C10),"",IF(ISBLANK(Arrangörslista!O$8),"",IFERROR(VLOOKUP($F7,Arrangörslista!O$8:$AG$45,16,FALSE),"DNS")))))</f>
        <v/>
      </c>
      <c r="W7" s="5" t="str">
        <f>IF(Deltagarlista!$K$3=4,IF(ISBLANK(Deltagarlista!$C10),"",IF(ISBLANK(Arrangörslista!N$53),"",IFERROR(VLOOKUP($F7,Arrangörslista!N$53:$AG$90,16,FALSE),IF(ISBLANK(Deltagarlista!$C10),"",IF(ISBLANK(Arrangörslista!N$53),"",IFERROR(VLOOKUP($F7,Arrangörslista!O$53:$AG$90,16,FALSE),"DNS")))))),IF(Deltagarlista!$K$3=2,
IF(ISBLANK(Deltagarlista!$C10),"",IF(ISBLANK(Arrangörslista!P$8),"",IF($GV7=W$64," DNS ",IFERROR(VLOOKUP($F7,Arrangörslista!P$8:$AG$45,16,FALSE),"DNS")))),IF(ISBLANK(Deltagarlista!$C10),"",IF(ISBLANK(Arrangörslista!P$8),"",IFERROR(VLOOKUP($F7,Arrangörslista!P$8:$AG$45,16,FALSE),"DNS")))))</f>
        <v/>
      </c>
      <c r="X7" s="5" t="str">
        <f>IF(Deltagarlista!$K$3=4,IF(ISBLANK(Deltagarlista!$C10),"",IF(ISBLANK(Arrangörslista!P$53),"",IFERROR(VLOOKUP($F7,Arrangörslista!P$53:$AG$90,16,FALSE),IF(ISBLANK(Deltagarlista!$C10),"",IF(ISBLANK(Arrangörslista!P$53),"",IFERROR(VLOOKUP($F7,Arrangörslista!Q$53:$AG$90,16,FALSE),"DNS")))))),IF(Deltagarlista!$K$3=2,
IF(ISBLANK(Deltagarlista!$C10),"",IF(ISBLANK(Arrangörslista!Q$8),"",IF($GV7=X$64," DNS ",IFERROR(VLOOKUP($F7,Arrangörslista!Q$8:$AG$45,16,FALSE),"DNS")))),IF(ISBLANK(Deltagarlista!$C10),"",IF(ISBLANK(Arrangörslista!Q$8),"",IFERROR(VLOOKUP($F7,Arrangörslista!Q$8:$AG$45,16,FALSE),"DNS")))))</f>
        <v/>
      </c>
      <c r="Y7" s="5" t="str">
        <f>IF(Deltagarlista!$K$3=4,IF(ISBLANK(Deltagarlista!$C10),"",IF(ISBLANK(Arrangörslista!C$98),"",IFERROR(VLOOKUP($F7,Arrangörslista!C$98:$AG$135,16,FALSE),IF(ISBLANK(Deltagarlista!$C10),"",IF(ISBLANK(Arrangörslista!C$98),"",IFERROR(VLOOKUP($F7,Arrangörslista!D$98:$AG$135,16,FALSE),"DNS")))))),IF(Deltagarlista!$K$3=2,
IF(ISBLANK(Deltagarlista!$C10),"",IF(ISBLANK(Arrangörslista!C$53),"",IF($GV7=Y$64," DNS ",IFERROR(VLOOKUP($F7,Arrangörslista!C$53:$AG$90,16,FALSE),"DNS")))),IF(ISBLANK(Deltagarlista!$C10),"",IF(ISBLANK(Arrangörslista!C$53),"",IFERROR(VLOOKUP($F7,Arrangörslista!C$53:$AG$90,16,FALSE),"DNS")))))</f>
        <v/>
      </c>
      <c r="Z7" s="5" t="str">
        <f>IF(Deltagarlista!$K$3=4,IF(ISBLANK(Deltagarlista!$C10),"",IF(ISBLANK(Arrangörslista!E$98),"",IFERROR(VLOOKUP($F7,Arrangörslista!E$98:$AG$135,16,FALSE),IF(ISBLANK(Deltagarlista!$C10),"",IF(ISBLANK(Arrangörslista!E$98),"",IFERROR(VLOOKUP($F7,Arrangörslista!F$98:$AG$135,16,FALSE),"DNS")))))),IF(Deltagarlista!$K$3=2,
IF(ISBLANK(Deltagarlista!$C10),"",IF(ISBLANK(Arrangörslista!D$53),"",IF($GV7=Z$64," DNS ",IFERROR(VLOOKUP($F7,Arrangörslista!D$53:$AG$90,16,FALSE),"DNS")))),IF(ISBLANK(Deltagarlista!$C10),"",IF(ISBLANK(Arrangörslista!D$53),"",IFERROR(VLOOKUP($F7,Arrangörslista!D$53:$AG$90,16,FALSE),"DNS")))))</f>
        <v/>
      </c>
      <c r="AA7" s="5" t="str">
        <f>IF(Deltagarlista!$K$3=4,IF(ISBLANK(Deltagarlista!$C10),"",IF(ISBLANK(Arrangörslista!G$98),"",IFERROR(VLOOKUP($F7,Arrangörslista!G$98:$AG$135,16,FALSE),IF(ISBLANK(Deltagarlista!$C10),"",IF(ISBLANK(Arrangörslista!G$98),"",IFERROR(VLOOKUP($F7,Arrangörslista!H$98:$AG$135,16,FALSE),"DNS")))))),IF(Deltagarlista!$K$3=2,
IF(ISBLANK(Deltagarlista!$C10),"",IF(ISBLANK(Arrangörslista!E$53),"",IF($GV7=AA$64," DNS ",IFERROR(VLOOKUP($F7,Arrangörslista!E$53:$AG$90,16,FALSE),"DNS")))),IF(ISBLANK(Deltagarlista!$C10),"",IF(ISBLANK(Arrangörslista!E$53),"",IFERROR(VLOOKUP($F7,Arrangörslista!E$53:$AG$90,16,FALSE),"DNS")))))</f>
        <v/>
      </c>
      <c r="AB7" s="5" t="str">
        <f>IF(Deltagarlista!$K$3=4,IF(ISBLANK(Deltagarlista!$C10),"",IF(ISBLANK(Arrangörslista!I$98),"",IFERROR(VLOOKUP($F7,Arrangörslista!I$98:$AG$135,16,FALSE),IF(ISBLANK(Deltagarlista!$C10),"",IF(ISBLANK(Arrangörslista!I$98),"",IFERROR(VLOOKUP($F7,Arrangörslista!J$98:$AG$135,16,FALSE),"DNS")))))),IF(Deltagarlista!$K$3=2,
IF(ISBLANK(Deltagarlista!$C10),"",IF(ISBLANK(Arrangörslista!F$53),"",IF($GV7=AB$64," DNS ",IFERROR(VLOOKUP($F7,Arrangörslista!F$53:$AG$90,16,FALSE),"DNS")))),IF(ISBLANK(Deltagarlista!$C10),"",IF(ISBLANK(Arrangörslista!F$53),"",IFERROR(VLOOKUP($F7,Arrangörslista!F$53:$AG$90,16,FALSE),"DNS")))))</f>
        <v/>
      </c>
      <c r="AC7" s="5" t="str">
        <f>IF(Deltagarlista!$K$3=4,IF(ISBLANK(Deltagarlista!$C10),"",IF(ISBLANK(Arrangörslista!K$98),"",IFERROR(VLOOKUP($F7,Arrangörslista!K$98:$AG$135,16,FALSE),IF(ISBLANK(Deltagarlista!$C10),"",IF(ISBLANK(Arrangörslista!K$98),"",IFERROR(VLOOKUP($F7,Arrangörslista!L$98:$AG$135,16,FALSE),"DNS")))))),IF(Deltagarlista!$K$3=2,
IF(ISBLANK(Deltagarlista!$C10),"",IF(ISBLANK(Arrangörslista!G$53),"",IF($GV7=AC$64," DNS ",IFERROR(VLOOKUP($F7,Arrangörslista!G$53:$AG$90,16,FALSE),"DNS")))),IF(ISBLANK(Deltagarlista!$C10),"",IF(ISBLANK(Arrangörslista!G$53),"",IFERROR(VLOOKUP($F7,Arrangörslista!G$53:$AG$90,16,FALSE),"DNS")))))</f>
        <v/>
      </c>
      <c r="AD7" s="5" t="str">
        <f>IF(Deltagarlista!$K$3=4,IF(ISBLANK(Deltagarlista!$C10),"",IF(ISBLANK(Arrangörslista!M$98),"",IFERROR(VLOOKUP($F7,Arrangörslista!M$98:$AG$135,16,FALSE),IF(ISBLANK(Deltagarlista!$C10),"",IF(ISBLANK(Arrangörslista!M$98),"",IFERROR(VLOOKUP($F7,Arrangörslista!N$98:$AG$135,16,FALSE),"DNS")))))),IF(Deltagarlista!$K$3=2,
IF(ISBLANK(Deltagarlista!$C10),"",IF(ISBLANK(Arrangörslista!H$53),"",IF($GV7=AD$64," DNS ",IFERROR(VLOOKUP($F7,Arrangörslista!H$53:$AG$90,16,FALSE),"DNS")))),IF(ISBLANK(Deltagarlista!$C10),"",IF(ISBLANK(Arrangörslista!H$53),"",IFERROR(VLOOKUP($F7,Arrangörslista!H$53:$AG$90,16,FALSE),"DNS")))))</f>
        <v/>
      </c>
      <c r="AE7" s="5" t="str">
        <f>IF(Deltagarlista!$K$3=4,IF(ISBLANK(Deltagarlista!$C10),"",IF(ISBLANK(Arrangörslista!O$98),"",IFERROR(VLOOKUP($F7,Arrangörslista!O$98:$AG$135,16,FALSE),IF(ISBLANK(Deltagarlista!$C10),"",IF(ISBLANK(Arrangörslista!O$98),"",IFERROR(VLOOKUP($F7,Arrangörslista!P$98:$AG$135,16,FALSE),"DNS")))))),IF(Deltagarlista!$K$3=2,
IF(ISBLANK(Deltagarlista!$C10),"",IF(ISBLANK(Arrangörslista!I$53),"",IF($GV7=AE$64," DNS ",IFERROR(VLOOKUP($F7,Arrangörslista!I$53:$AG$90,16,FALSE),"DNS")))),IF(ISBLANK(Deltagarlista!$C10),"",IF(ISBLANK(Arrangörslista!I$53),"",IFERROR(VLOOKUP($F7,Arrangörslista!I$53:$AG$90,16,FALSE),"DNS")))))</f>
        <v/>
      </c>
      <c r="AF7" s="5" t="str">
        <f>IF(Deltagarlista!$K$3=4,IF(ISBLANK(Deltagarlista!$C10),"",IF(ISBLANK(Arrangörslista!Q$98),"",IFERROR(VLOOKUP($F7,Arrangörslista!Q$98:$AG$135,16,FALSE),IF(ISBLANK(Deltagarlista!$C10),"",IF(ISBLANK(Arrangörslista!Q$98),"",IFERROR(VLOOKUP($F7,Arrangörslista!C$143:$AG$180,16,FALSE),"DNS")))))),IF(Deltagarlista!$K$3=2,
IF(ISBLANK(Deltagarlista!$C10),"",IF(ISBLANK(Arrangörslista!J$53),"",IF($GV7=AF$64," DNS ",IFERROR(VLOOKUP($F7,Arrangörslista!J$53:$AG$90,16,FALSE),"DNS")))),IF(ISBLANK(Deltagarlista!$C10),"",IF(ISBLANK(Arrangörslista!J$53),"",IFERROR(VLOOKUP($F7,Arrangörslista!J$53:$AG$90,16,FALSE),"DNS")))))</f>
        <v/>
      </c>
      <c r="AG7" s="5" t="str">
        <f>IF(Deltagarlista!$K$3=4,IF(ISBLANK(Deltagarlista!$C10),"",IF(ISBLANK(Arrangörslista!D$143),"",IFERROR(VLOOKUP($F7,Arrangörslista!D$143:$AG$180,16,FALSE),IF(ISBLANK(Deltagarlista!$C10),"",IF(ISBLANK(Arrangörslista!D$143),"",IFERROR(VLOOKUP($F7,Arrangörslista!E$143:$AG$180,16,FALSE),"DNS")))))),IF(Deltagarlista!$K$3=2,
IF(ISBLANK(Deltagarlista!$C10),"",IF(ISBLANK(Arrangörslista!K$53),"",IF($GV7=AG$64," DNS ",IFERROR(VLOOKUP($F7,Arrangörslista!K$53:$AG$90,16,FALSE),"DNS")))),IF(ISBLANK(Deltagarlista!$C10),"",IF(ISBLANK(Arrangörslista!K$53),"",IFERROR(VLOOKUP($F7,Arrangörslista!K$53:$AG$90,16,FALSE),"DNS")))))</f>
        <v/>
      </c>
      <c r="AH7" s="5" t="str">
        <f>IF(Deltagarlista!$K$3=4,IF(ISBLANK(Deltagarlista!$C10),"",IF(ISBLANK(Arrangörslista!F$143),"",IFERROR(VLOOKUP($F7,Arrangörslista!F$143:$AG$180,16,FALSE),IF(ISBLANK(Deltagarlista!$C10),"",IF(ISBLANK(Arrangörslista!F$143),"",IFERROR(VLOOKUP($F7,Arrangörslista!G$143:$AG$180,16,FALSE),"DNS")))))),IF(Deltagarlista!$K$3=2,
IF(ISBLANK(Deltagarlista!$C10),"",IF(ISBLANK(Arrangörslista!L$53),"",IF($GV7=AH$64," DNS ",IFERROR(VLOOKUP($F7,Arrangörslista!L$53:$AG$90,16,FALSE),"DNS")))),IF(ISBLANK(Deltagarlista!$C10),"",IF(ISBLANK(Arrangörslista!L$53),"",IFERROR(VLOOKUP($F7,Arrangörslista!L$53:$AG$90,16,FALSE),"DNS")))))</f>
        <v/>
      </c>
      <c r="AI7" s="5" t="str">
        <f>IF(Deltagarlista!$K$3=4,IF(ISBLANK(Deltagarlista!$C10),"",IF(ISBLANK(Arrangörslista!H$143),"",IFERROR(VLOOKUP($F7,Arrangörslista!H$143:$AG$180,16,FALSE),IF(ISBLANK(Deltagarlista!$C10),"",IF(ISBLANK(Arrangörslista!H$143),"",IFERROR(VLOOKUP($F7,Arrangörslista!I$143:$AG$180,16,FALSE),"DNS")))))),IF(Deltagarlista!$K$3=2,
IF(ISBLANK(Deltagarlista!$C10),"",IF(ISBLANK(Arrangörslista!M$53),"",IF($GV7=AI$64," DNS ",IFERROR(VLOOKUP($F7,Arrangörslista!M$53:$AG$90,16,FALSE),"DNS")))),IF(ISBLANK(Deltagarlista!$C10),"",IF(ISBLANK(Arrangörslista!M$53),"",IFERROR(VLOOKUP($F7,Arrangörslista!M$53:$AG$90,16,FALSE),"DNS")))))</f>
        <v/>
      </c>
      <c r="AJ7" s="5" t="str">
        <f>IF(Deltagarlista!$K$3=4,IF(ISBLANK(Deltagarlista!$C10),"",IF(ISBLANK(Arrangörslista!J$143),"",IFERROR(VLOOKUP($F7,Arrangörslista!J$143:$AG$180,16,FALSE),IF(ISBLANK(Deltagarlista!$C10),"",IF(ISBLANK(Arrangörslista!J$143),"",IFERROR(VLOOKUP($F7,Arrangörslista!K$143:$AG$180,16,FALSE),"DNS")))))),IF(Deltagarlista!$K$3=2,
IF(ISBLANK(Deltagarlista!$C10),"",IF(ISBLANK(Arrangörslista!N$53),"",IF($GV7=AJ$64," DNS ",IFERROR(VLOOKUP($F7,Arrangörslista!N$53:$AG$90,16,FALSE),"DNS")))),IF(ISBLANK(Deltagarlista!$C10),"",IF(ISBLANK(Arrangörslista!N$53),"",IFERROR(VLOOKUP($F7,Arrangörslista!N$53:$AG$90,16,FALSE),"DNS")))))</f>
        <v/>
      </c>
      <c r="AK7" s="5" t="str">
        <f>IF(Deltagarlista!$K$3=4,IF(ISBLANK(Deltagarlista!$C10),"",IF(ISBLANK(Arrangörslista!L$143),"",IFERROR(VLOOKUP($F7,Arrangörslista!L$143:$AG$180,16,FALSE),IF(ISBLANK(Deltagarlista!$C10),"",IF(ISBLANK(Arrangörslista!L$143),"",IFERROR(VLOOKUP($F7,Arrangörslista!M$143:$AG$180,16,FALSE),"DNS")))))),IF(Deltagarlista!$K$3=2,
IF(ISBLANK(Deltagarlista!$C10),"",IF(ISBLANK(Arrangörslista!O$53),"",IF($GV7=AK$64," DNS ",IFERROR(VLOOKUP($F7,Arrangörslista!O$53:$AG$90,16,FALSE),"DNS")))),IF(ISBLANK(Deltagarlista!$C10),"",IF(ISBLANK(Arrangörslista!O$53),"",IFERROR(VLOOKUP($F7,Arrangörslista!O$53:$AG$90,16,FALSE),"DNS")))))</f>
        <v/>
      </c>
      <c r="AL7" s="5" t="str">
        <f>IF(Deltagarlista!$K$3=4,IF(ISBLANK(Deltagarlista!$C10),"",IF(ISBLANK(Arrangörslista!N$143),"",IFERROR(VLOOKUP($F7,Arrangörslista!N$143:$AG$180,16,FALSE),IF(ISBLANK(Deltagarlista!$C10),"",IF(ISBLANK(Arrangörslista!N$143),"",IFERROR(VLOOKUP($F7,Arrangörslista!O$143:$AG$180,16,FALSE),"DNS")))))),IF(Deltagarlista!$K$3=2,
IF(ISBLANK(Deltagarlista!$C10),"",IF(ISBLANK(Arrangörslista!P$53),"",IF($GV7=AL$64," DNS ",IFERROR(VLOOKUP($F7,Arrangörslista!P$53:$AG$90,16,FALSE),"DNS")))),IF(ISBLANK(Deltagarlista!$C10),"",IF(ISBLANK(Arrangörslista!P$53),"",IFERROR(VLOOKUP($F7,Arrangörslista!P$53:$AG$90,16,FALSE),"DNS")))))</f>
        <v/>
      </c>
      <c r="AM7" s="5" t="str">
        <f>IF(Deltagarlista!$K$3=4,IF(ISBLANK(Deltagarlista!$C10),"",IF(ISBLANK(Arrangörslista!P$143),"",IFERROR(VLOOKUP($F7,Arrangörslista!P$143:$AG$180,16,FALSE),IF(ISBLANK(Deltagarlista!$C10),"",IF(ISBLANK(Arrangörslista!P$143),"",IFERROR(VLOOKUP($F7,Arrangörslista!Q$143:$AG$180,16,FALSE),"DNS")))))),IF(Deltagarlista!$K$3=2,
IF(ISBLANK(Deltagarlista!$C10),"",IF(ISBLANK(Arrangörslista!Q$53),"",IF($GV7=AM$64," DNS ",IFERROR(VLOOKUP($F7,Arrangörslista!Q$53:$AG$90,16,FALSE),"DNS")))),IF(ISBLANK(Deltagarlista!$C10),"",IF(ISBLANK(Arrangörslista!Q$53),"",IFERROR(VLOOKUP($F7,Arrangörslista!Q$53:$AG$90,16,FALSE),"DNS")))))</f>
        <v/>
      </c>
      <c r="AN7" s="5" t="str">
        <f>IF(Deltagarlista!$K$3=2,
IF(ISBLANK(Deltagarlista!$C10),"",IF(ISBLANK(Arrangörslista!C$98),"",IF($GV7=AN$64," DNS ",IFERROR(VLOOKUP($F7,Arrangörslista!C$98:$AG$135,16,FALSE), "DNS")))), IF(Deltagarlista!$K$3=1,IF(ISBLANK(Deltagarlista!$C10),"",IF(ISBLANK(Arrangörslista!C$98),"",IFERROR(VLOOKUP($F7,Arrangörslista!C$98:$AG$135,16,FALSE), "DNS"))),""))</f>
        <v/>
      </c>
      <c r="AO7" s="5" t="str">
        <f>IF(Deltagarlista!$K$3=2,
IF(ISBLANK(Deltagarlista!$C10),"",IF(ISBLANK(Arrangörslista!D$98),"",IF($GV7=AO$64," DNS ",IFERROR(VLOOKUP($F7,Arrangörslista!D$98:$AG$135,16,FALSE), "DNS")))), IF(Deltagarlista!$K$3=1,IF(ISBLANK(Deltagarlista!$C10),"",IF(ISBLANK(Arrangörslista!D$98),"",IFERROR(VLOOKUP($F7,Arrangörslista!D$98:$AG$135,16,FALSE), "DNS"))),""))</f>
        <v/>
      </c>
      <c r="AP7" s="5" t="str">
        <f>IF(Deltagarlista!$K$3=2,
IF(ISBLANK(Deltagarlista!$C10),"",IF(ISBLANK(Arrangörslista!E$98),"",IF($GV7=AP$64," DNS ",IFERROR(VLOOKUP($F7,Arrangörslista!E$98:$AG$135,16,FALSE), "DNS")))), IF(Deltagarlista!$K$3=1,IF(ISBLANK(Deltagarlista!$C10),"",IF(ISBLANK(Arrangörslista!E$98),"",IFERROR(VLOOKUP($F7,Arrangörslista!E$98:$AG$135,16,FALSE), "DNS"))),""))</f>
        <v/>
      </c>
      <c r="AQ7" s="5" t="str">
        <f>IF(Deltagarlista!$K$3=2,
IF(ISBLANK(Deltagarlista!$C10),"",IF(ISBLANK(Arrangörslista!F$98),"",IF($GV7=AQ$64," DNS ",IFERROR(VLOOKUP($F7,Arrangörslista!F$98:$AG$135,16,FALSE), "DNS")))), IF(Deltagarlista!$K$3=1,IF(ISBLANK(Deltagarlista!$C10),"",IF(ISBLANK(Arrangörslista!F$98),"",IFERROR(VLOOKUP($F7,Arrangörslista!F$98:$AG$135,16,FALSE), "DNS"))),""))</f>
        <v/>
      </c>
      <c r="AR7" s="5" t="str">
        <f>IF(Deltagarlista!$K$3=2,
IF(ISBLANK(Deltagarlista!$C10),"",IF(ISBLANK(Arrangörslista!G$98),"",IF($GV7=AR$64," DNS ",IFERROR(VLOOKUP($F7,Arrangörslista!G$98:$AG$135,16,FALSE), "DNS")))), IF(Deltagarlista!$K$3=1,IF(ISBLANK(Deltagarlista!$C10),"",IF(ISBLANK(Arrangörslista!G$98),"",IFERROR(VLOOKUP($F7,Arrangörslista!G$98:$AG$135,16,FALSE), "DNS"))),""))</f>
        <v/>
      </c>
      <c r="AS7" s="5" t="str">
        <f>IF(Deltagarlista!$K$3=2,
IF(ISBLANK(Deltagarlista!$C10),"",IF(ISBLANK(Arrangörslista!H$98),"",IF($GV7=AS$64," DNS ",IFERROR(VLOOKUP($F7,Arrangörslista!H$98:$AG$135,16,FALSE), "DNS")))), IF(Deltagarlista!$K$3=1,IF(ISBLANK(Deltagarlista!$C10),"",IF(ISBLANK(Arrangörslista!H$98),"",IFERROR(VLOOKUP($F7,Arrangörslista!H$98:$AG$135,16,FALSE), "DNS"))),""))</f>
        <v/>
      </c>
      <c r="AT7" s="5" t="str">
        <f>IF(Deltagarlista!$K$3=2,
IF(ISBLANK(Deltagarlista!$C10),"",IF(ISBLANK(Arrangörslista!I$98),"",IF($GV7=AT$64," DNS ",IFERROR(VLOOKUP($F7,Arrangörslista!I$98:$AG$135,16,FALSE), "DNS")))), IF(Deltagarlista!$K$3=1,IF(ISBLANK(Deltagarlista!$C10),"",IF(ISBLANK(Arrangörslista!I$98),"",IFERROR(VLOOKUP($F7,Arrangörslista!I$98:$AG$135,16,FALSE), "DNS"))),""))</f>
        <v/>
      </c>
      <c r="AU7" s="5" t="str">
        <f>IF(Deltagarlista!$K$3=2,
IF(ISBLANK(Deltagarlista!$C10),"",IF(ISBLANK(Arrangörslista!J$98),"",IF($GV7=AU$64," DNS ",IFERROR(VLOOKUP($F7,Arrangörslista!J$98:$AG$135,16,FALSE), "DNS")))), IF(Deltagarlista!$K$3=1,IF(ISBLANK(Deltagarlista!$C10),"",IF(ISBLANK(Arrangörslista!J$98),"",IFERROR(VLOOKUP($F7,Arrangörslista!J$98:$AG$135,16,FALSE), "DNS"))),""))</f>
        <v/>
      </c>
      <c r="AV7" s="5" t="str">
        <f>IF(Deltagarlista!$K$3=2,
IF(ISBLANK(Deltagarlista!$C10),"",IF(ISBLANK(Arrangörslista!K$98),"",IF($GV7=AV$64," DNS ",IFERROR(VLOOKUP($F7,Arrangörslista!K$98:$AG$135,16,FALSE), "DNS")))), IF(Deltagarlista!$K$3=1,IF(ISBLANK(Deltagarlista!$C10),"",IF(ISBLANK(Arrangörslista!K$98),"",IFERROR(VLOOKUP($F7,Arrangörslista!K$98:$AG$135,16,FALSE), "DNS"))),""))</f>
        <v/>
      </c>
      <c r="AW7" s="5" t="str">
        <f>IF(Deltagarlista!$K$3=2,
IF(ISBLANK(Deltagarlista!$C10),"",IF(ISBLANK(Arrangörslista!L$98),"",IF($GV7=AW$64," DNS ",IFERROR(VLOOKUP($F7,Arrangörslista!L$98:$AG$135,16,FALSE), "DNS")))), IF(Deltagarlista!$K$3=1,IF(ISBLANK(Deltagarlista!$C10),"",IF(ISBLANK(Arrangörslista!L$98),"",IFERROR(VLOOKUP($F7,Arrangörslista!L$98:$AG$135,16,FALSE), "DNS"))),""))</f>
        <v/>
      </c>
      <c r="AX7" s="5" t="str">
        <f>IF(Deltagarlista!$K$3=2,
IF(ISBLANK(Deltagarlista!$C10),"",IF(ISBLANK(Arrangörslista!M$98),"",IF($GV7=AX$64," DNS ",IFERROR(VLOOKUP($F7,Arrangörslista!M$98:$AG$135,16,FALSE), "DNS")))), IF(Deltagarlista!$K$3=1,IF(ISBLANK(Deltagarlista!$C10),"",IF(ISBLANK(Arrangörslista!M$98),"",IFERROR(VLOOKUP($F7,Arrangörslista!M$98:$AG$135,16,FALSE), "DNS"))),""))</f>
        <v/>
      </c>
      <c r="AY7" s="5" t="str">
        <f>IF(Deltagarlista!$K$3=2,
IF(ISBLANK(Deltagarlista!$C10),"",IF(ISBLANK(Arrangörslista!N$98),"",IF($GV7=AY$64," DNS ",IFERROR(VLOOKUP($F7,Arrangörslista!N$98:$AG$135,16,FALSE), "DNS")))), IF(Deltagarlista!$K$3=1,IF(ISBLANK(Deltagarlista!$C10),"",IF(ISBLANK(Arrangörslista!N$98),"",IFERROR(VLOOKUP($F7,Arrangörslista!N$98:$AG$135,16,FALSE), "DNS"))),""))</f>
        <v/>
      </c>
      <c r="AZ7" s="5" t="str">
        <f>IF(Deltagarlista!$K$3=2,
IF(ISBLANK(Deltagarlista!$C10),"",IF(ISBLANK(Arrangörslista!O$98),"",IF($GV7=AZ$64," DNS ",IFERROR(VLOOKUP($F7,Arrangörslista!O$98:$AG$135,16,FALSE), "DNS")))), IF(Deltagarlista!$K$3=1,IF(ISBLANK(Deltagarlista!$C10),"",IF(ISBLANK(Arrangörslista!O$98),"",IFERROR(VLOOKUP($F7,Arrangörslista!O$98:$AG$135,16,FALSE), "DNS"))),""))</f>
        <v/>
      </c>
      <c r="BA7" s="5" t="str">
        <f>IF(Deltagarlista!$K$3=2,
IF(ISBLANK(Deltagarlista!$C10),"",IF(ISBLANK(Arrangörslista!P$98),"",IF($GV7=BA$64," DNS ",IFERROR(VLOOKUP($F7,Arrangörslista!P$98:$AG$135,16,FALSE), "DNS")))), IF(Deltagarlista!$K$3=1,IF(ISBLANK(Deltagarlista!$C10),"",IF(ISBLANK(Arrangörslista!P$98),"",IFERROR(VLOOKUP($F7,Arrangörslista!P$98:$AG$135,16,FALSE), "DNS"))),""))</f>
        <v/>
      </c>
      <c r="BB7" s="5" t="str">
        <f>IF(Deltagarlista!$K$3=2,
IF(ISBLANK(Deltagarlista!$C10),"",IF(ISBLANK(Arrangörslista!Q$98),"",IF($GV7=BB$64," DNS ",IFERROR(VLOOKUP($F7,Arrangörslista!Q$98:$AG$135,16,FALSE), "DNS")))), IF(Deltagarlista!$K$3=1,IF(ISBLANK(Deltagarlista!$C10),"",IF(ISBLANK(Arrangörslista!Q$98),"",IFERROR(VLOOKUP($F7,Arrangörslista!Q$98:$AG$135,16,FALSE), "DNS"))),""))</f>
        <v/>
      </c>
      <c r="BC7" s="5" t="str">
        <f>IF(Deltagarlista!$K$3=2,
IF(ISBLANK(Deltagarlista!$C10),"",IF(ISBLANK(Arrangörslista!C$143),"",IF($GV7=BC$64," DNS ",IFERROR(VLOOKUP($F7,Arrangörslista!C$143:$AG$180,16,FALSE), "DNS")))), IF(Deltagarlista!$K$3=1,IF(ISBLANK(Deltagarlista!$C10),"",IF(ISBLANK(Arrangörslista!C$143),"",IFERROR(VLOOKUP($F7,Arrangörslista!C$143:$AG$180,16,FALSE), "DNS"))),""))</f>
        <v/>
      </c>
      <c r="BD7" s="5" t="str">
        <f>IF(Deltagarlista!$K$3=2,
IF(ISBLANK(Deltagarlista!$C10),"",IF(ISBLANK(Arrangörslista!D$143),"",IF($GV7=BD$64," DNS ",IFERROR(VLOOKUP($F7,Arrangörslista!D$143:$AG$180,16,FALSE), "DNS")))), IF(Deltagarlista!$K$3=1,IF(ISBLANK(Deltagarlista!$C10),"",IF(ISBLANK(Arrangörslista!D$143),"",IFERROR(VLOOKUP($F7,Arrangörslista!D$143:$AG$180,16,FALSE), "DNS"))),""))</f>
        <v/>
      </c>
      <c r="BE7" s="5" t="str">
        <f>IF(Deltagarlista!$K$3=2,
IF(ISBLANK(Deltagarlista!$C10),"",IF(ISBLANK(Arrangörslista!E$143),"",IF($GV7=BE$64," DNS ",IFERROR(VLOOKUP($F7,Arrangörslista!E$143:$AG$180,16,FALSE), "DNS")))), IF(Deltagarlista!$K$3=1,IF(ISBLANK(Deltagarlista!$C10),"",IF(ISBLANK(Arrangörslista!E$143),"",IFERROR(VLOOKUP($F7,Arrangörslista!E$143:$AG$180,16,FALSE), "DNS"))),""))</f>
        <v/>
      </c>
      <c r="BF7" s="5" t="str">
        <f>IF(Deltagarlista!$K$3=2,
IF(ISBLANK(Deltagarlista!$C10),"",IF(ISBLANK(Arrangörslista!F$143),"",IF($GV7=BF$64," DNS ",IFERROR(VLOOKUP($F7,Arrangörslista!F$143:$AG$180,16,FALSE), "DNS")))), IF(Deltagarlista!$K$3=1,IF(ISBLANK(Deltagarlista!$C10),"",IF(ISBLANK(Arrangörslista!F$143),"",IFERROR(VLOOKUP($F7,Arrangörslista!F$143:$AG$180,16,FALSE), "DNS"))),""))</f>
        <v/>
      </c>
      <c r="BG7" s="5" t="str">
        <f>IF(Deltagarlista!$K$3=2,
IF(ISBLANK(Deltagarlista!$C10),"",IF(ISBLANK(Arrangörslista!G$143),"",IF($GV7=BG$64," DNS ",IFERROR(VLOOKUP($F7,Arrangörslista!G$143:$AG$180,16,FALSE), "DNS")))), IF(Deltagarlista!$K$3=1,IF(ISBLANK(Deltagarlista!$C10),"",IF(ISBLANK(Arrangörslista!G$143),"",IFERROR(VLOOKUP($F7,Arrangörslista!G$143:$AG$180,16,FALSE), "DNS"))),""))</f>
        <v/>
      </c>
      <c r="BH7" s="5" t="str">
        <f>IF(Deltagarlista!$K$3=2,
IF(ISBLANK(Deltagarlista!$C10),"",IF(ISBLANK(Arrangörslista!H$143),"",IF($GV7=BH$64," DNS ",IFERROR(VLOOKUP($F7,Arrangörslista!H$143:$AG$180,16,FALSE), "DNS")))), IF(Deltagarlista!$K$3=1,IF(ISBLANK(Deltagarlista!$C10),"",IF(ISBLANK(Arrangörslista!H$143),"",IFERROR(VLOOKUP($F7,Arrangörslista!H$143:$AG$180,16,FALSE), "DNS"))),""))</f>
        <v/>
      </c>
      <c r="BI7" s="5" t="str">
        <f>IF(Deltagarlista!$K$3=2,
IF(ISBLANK(Deltagarlista!$C10),"",IF(ISBLANK(Arrangörslista!I$143),"",IF($GV7=BI$64," DNS ",IFERROR(VLOOKUP($F7,Arrangörslista!I$143:$AG$180,16,FALSE), "DNS")))), IF(Deltagarlista!$K$3=1,IF(ISBLANK(Deltagarlista!$C10),"",IF(ISBLANK(Arrangörslista!I$143),"",IFERROR(VLOOKUP($F7,Arrangörslista!I$143:$AG$180,16,FALSE), "DNS"))),""))</f>
        <v/>
      </c>
      <c r="BJ7" s="5" t="str">
        <f>IF(Deltagarlista!$K$3=2,
IF(ISBLANK(Deltagarlista!$C10),"",IF(ISBLANK(Arrangörslista!J$143),"",IF($GV7=BJ$64," DNS ",IFERROR(VLOOKUP($F7,Arrangörslista!J$143:$AG$180,16,FALSE), "DNS")))), IF(Deltagarlista!$K$3=1,IF(ISBLANK(Deltagarlista!$C10),"",IF(ISBLANK(Arrangörslista!J$143),"",IFERROR(VLOOKUP($F7,Arrangörslista!J$143:$AG$180,16,FALSE), "DNS"))),""))</f>
        <v/>
      </c>
      <c r="BK7" s="5" t="str">
        <f>IF(Deltagarlista!$K$3=2,
IF(ISBLANK(Deltagarlista!$C10),"",IF(ISBLANK(Arrangörslista!K$143),"",IF($GV7=BK$64," DNS ",IFERROR(VLOOKUP($F7,Arrangörslista!K$143:$AG$180,16,FALSE), "DNS")))), IF(Deltagarlista!$K$3=1,IF(ISBLANK(Deltagarlista!$C10),"",IF(ISBLANK(Arrangörslista!K$143),"",IFERROR(VLOOKUP($F7,Arrangörslista!K$143:$AG$180,16,FALSE), "DNS"))),""))</f>
        <v/>
      </c>
      <c r="BL7" s="5" t="str">
        <f>IF(Deltagarlista!$K$3=2,
IF(ISBLANK(Deltagarlista!$C10),"",IF(ISBLANK(Arrangörslista!L$143),"",IF($GV7=BL$64," DNS ",IFERROR(VLOOKUP($F7,Arrangörslista!L$143:$AG$180,16,FALSE), "DNS")))), IF(Deltagarlista!$K$3=1,IF(ISBLANK(Deltagarlista!$C10),"",IF(ISBLANK(Arrangörslista!L$143),"",IFERROR(VLOOKUP($F7,Arrangörslista!L$143:$AG$180,16,FALSE), "DNS"))),""))</f>
        <v/>
      </c>
      <c r="BM7" s="5" t="str">
        <f>IF(Deltagarlista!$K$3=2,
IF(ISBLANK(Deltagarlista!$C10),"",IF(ISBLANK(Arrangörslista!M$143),"",IF($GV7=BM$64," DNS ",IFERROR(VLOOKUP($F7,Arrangörslista!M$143:$AG$180,16,FALSE), "DNS")))), IF(Deltagarlista!$K$3=1,IF(ISBLANK(Deltagarlista!$C10),"",IF(ISBLANK(Arrangörslista!M$143),"",IFERROR(VLOOKUP($F7,Arrangörslista!M$143:$AG$180,16,FALSE), "DNS"))),""))</f>
        <v/>
      </c>
      <c r="BN7" s="5" t="str">
        <f>IF(Deltagarlista!$K$3=2,
IF(ISBLANK(Deltagarlista!$C10),"",IF(ISBLANK(Arrangörslista!N$143),"",IF($GV7=BN$64," DNS ",IFERROR(VLOOKUP($F7,Arrangörslista!N$143:$AG$180,16,FALSE), "DNS")))), IF(Deltagarlista!$K$3=1,IF(ISBLANK(Deltagarlista!$C10),"",IF(ISBLANK(Arrangörslista!N$143),"",IFERROR(VLOOKUP($F7,Arrangörslista!N$143:$AG$180,16,FALSE), "DNS"))),""))</f>
        <v/>
      </c>
      <c r="BO7" s="5" t="str">
        <f>IF(Deltagarlista!$K$3=2,
IF(ISBLANK(Deltagarlista!$C10),"",IF(ISBLANK(Arrangörslista!O$143),"",IF($GV7=BO$64," DNS ",IFERROR(VLOOKUP($F7,Arrangörslista!O$143:$AG$180,16,FALSE), "DNS")))), IF(Deltagarlista!$K$3=1,IF(ISBLANK(Deltagarlista!$C10),"",IF(ISBLANK(Arrangörslista!O$143),"",IFERROR(VLOOKUP($F7,Arrangörslista!O$143:$AG$180,16,FALSE), "DNS"))),""))</f>
        <v/>
      </c>
      <c r="BP7" s="5" t="str">
        <f>IF(Deltagarlista!$K$3=2,
IF(ISBLANK(Deltagarlista!$C10),"",IF(ISBLANK(Arrangörslista!P$143),"",IF($GV7=BP$64," DNS ",IFERROR(VLOOKUP($F7,Arrangörslista!P$143:$AG$180,16,FALSE), "DNS")))), IF(Deltagarlista!$K$3=1,IF(ISBLANK(Deltagarlista!$C10),"",IF(ISBLANK(Arrangörslista!P$143),"",IFERROR(VLOOKUP($F7,Arrangörslista!P$143:$AG$180,16,FALSE), "DNS"))),""))</f>
        <v/>
      </c>
      <c r="BQ7" s="80" t="str">
        <f>IF(Deltagarlista!$K$3=2,
IF(ISBLANK(Deltagarlista!$C10),"",IF(ISBLANK(Arrangörslista!Q$143),"",IF($GV7=BQ$64," DNS ",IFERROR(VLOOKUP($F7,Arrangörslista!Q$143:$AG$180,16,FALSE), "DNS")))), IF(Deltagarlista!$K$3=1,IF(ISBLANK(Deltagarlista!$C10),"",IF(ISBLANK(Arrangörslista!Q$143),"",IFERROR(VLOOKUP($F7,Arrangörslista!Q$143:$AG$180,16,FALSE), "DNS"))),""))</f>
        <v/>
      </c>
      <c r="BR7" s="51"/>
      <c r="BS7" s="51"/>
      <c r="BT7" s="51"/>
      <c r="BU7" s="71">
        <f>SUM(BV7:EC7)</f>
        <v>0</v>
      </c>
      <c r="BV7" s="61">
        <f>IF(J7="",0,IF(OR(J7="DNF",J7="OCS",J7="DSQ",J7="DNS",J7=" DNS "),$BW$3+1,J7))</f>
        <v>0</v>
      </c>
      <c r="BW7" s="61">
        <f>IF(K7="",0,IF(OR(K7="DNF",K7="OCS",K7="DSQ",K7="DNS",K7=" DNS "),$BW$3+1,K7))</f>
        <v>0</v>
      </c>
      <c r="BX7" s="61">
        <f>IF(L7="",0,IF(OR(L7="DNF",L7="OCS",L7="DSQ",L7="DNS",L7=" DNS "),$BW$3+1,L7))</f>
        <v>0</v>
      </c>
      <c r="BY7" s="61">
        <f>IF(M7="",0,IF(OR(M7="DNF",M7="OCS",M7="DSQ",M7="DNS",M7=" DNS "),$BW$3+1,M7))</f>
        <v>0</v>
      </c>
      <c r="BZ7" s="61">
        <f>IF(N7="",0,IF(OR(N7="DNF",N7="OCS",N7="DSQ",N7="DNS",N7=" DNS "),$BW$3+1,N7))</f>
        <v>0</v>
      </c>
      <c r="CA7" s="61">
        <f>IF(O7="",0,IF(OR(O7="DNF",O7="OCS",O7="DSQ",O7="DNS",O7=" DNS "),$BW$3+1,O7))</f>
        <v>0</v>
      </c>
      <c r="CB7" s="61">
        <f>IF(P7="",0,IF(OR(P7="DNF",P7="OCS",P7="DSQ",P7="DNS",P7=" DNS "),$BW$3+1,P7))</f>
        <v>0</v>
      </c>
      <c r="CC7" s="61">
        <f>IF(Q7="",0,IF(OR(Q7="DNF",Q7="OCS",Q7="DSQ",Q7="DNS",Q7=" DNS "),$BW$3+1,Q7))</f>
        <v>0</v>
      </c>
      <c r="CD7" s="61">
        <f>IF(R7="",0,IF(OR(R7="DNF",R7="OCS",R7="DSQ",R7="DNS",R7=" DNS "),$BW$3+1,R7))</f>
        <v>0</v>
      </c>
      <c r="CE7" s="61">
        <f>IF(S7="",0,IF(OR(S7="DNF",S7="OCS",S7="DSQ",S7="DNS",S7=" DNS "),$BW$3+1,S7))</f>
        <v>0</v>
      </c>
      <c r="CF7" s="61">
        <f>IF(T7="",0,IF(OR(T7="DNF",T7="OCS",T7="DSQ",T7="DNS",T7=" DNS "),$BW$3+1,T7))</f>
        <v>0</v>
      </c>
      <c r="CG7" s="61">
        <f>IF(U7="",0,IF(OR(U7="DNF",U7="OCS",U7="DSQ",U7="DNS",U7=" DNS "),$BW$3+1,U7))</f>
        <v>0</v>
      </c>
      <c r="CH7" s="61">
        <f>IF(V7="",0,IF(OR(V7="DNF",V7="OCS",V7="DSQ",V7="DNS",V7=" DNS "),$BW$3+1,V7))</f>
        <v>0</v>
      </c>
      <c r="CI7" s="61">
        <f>IF(W7="",0,IF(OR(W7="DNF",W7="OCS",W7="DSQ",W7="DNS",W7=" DNS "),$BW$3+1,W7))</f>
        <v>0</v>
      </c>
      <c r="CJ7" s="61">
        <f>IF(X7="",0,IF(OR(X7="DNF",X7="OCS",X7="DSQ",X7="DNS",X7=" DNS "),$BW$3+1,X7))</f>
        <v>0</v>
      </c>
      <c r="CK7" s="61">
        <f>IF(Y7="",0,IF(OR(Y7="DNF",Y7="OCS",Y7="DSQ",Y7="DNS",Y7=" DNS "),$BW$3+1,Y7))</f>
        <v>0</v>
      </c>
      <c r="CL7" s="61">
        <f>IF(Z7="",0,IF(OR(Z7="DNF",Z7="OCS",Z7="DSQ",Z7="DNS",Z7=" DNS "),$BW$3+1,Z7))</f>
        <v>0</v>
      </c>
      <c r="CM7" s="61">
        <f>IF(AA7="",0,IF(OR(AA7="DNF",AA7="OCS",AA7="DSQ",AA7="DNS",AA7=" DNS "),$BW$3+1,AA7))</f>
        <v>0</v>
      </c>
      <c r="CN7" s="61">
        <f>IF(AB7="",0,IF(OR(AB7="DNF",AB7="OCS",AB7="DSQ",AB7="DNS",AB7=" DNS "),$BW$3+1,AB7))</f>
        <v>0</v>
      </c>
      <c r="CO7" s="61">
        <f>IF(AC7="",0,IF(OR(AC7="DNF",AC7="OCS",AC7="DSQ",AC7="DNS",AC7=" DNS "),$BW$3+1,AC7))</f>
        <v>0</v>
      </c>
      <c r="CP7" s="61">
        <f>IF(AD7="",0,IF(OR(AD7="DNF",AD7="OCS",AD7="DSQ",AD7="DNS",AD7=" DNS "),$BW$3+1,AD7))</f>
        <v>0</v>
      </c>
      <c r="CQ7" s="61">
        <f>IF(AE7="",0,IF(OR(AE7="DNF",AE7="OCS",AE7="DSQ",AE7="DNS",AE7=" DNS "),$BW$3+1,AE7))</f>
        <v>0</v>
      </c>
      <c r="CR7" s="61">
        <f>IF(AF7="",0,IF(OR(AF7="DNF",AF7="OCS",AF7="DSQ",AF7="DNS",AF7=" DNS "),$BW$3+1,AF7))</f>
        <v>0</v>
      </c>
      <c r="CS7" s="61">
        <f>IF(AG7="",0,IF(OR(AG7="DNF",AG7="OCS",AG7="DSQ",AG7="DNS",AG7=" DNS "),$BW$3+1,AG7))</f>
        <v>0</v>
      </c>
      <c r="CT7" s="61">
        <f>IF(AH7="",0,IF(OR(AH7="DNF",AH7="OCS",AH7="DSQ",AH7="DNS",AH7=" DNS "),$BW$3+1,AH7))</f>
        <v>0</v>
      </c>
      <c r="CU7" s="61">
        <f>IF(AI7="",0,IF(OR(AI7="DNF",AI7="OCS",AI7="DSQ",AI7="DNS",AI7=" DNS "),$BW$3+1,AI7))</f>
        <v>0</v>
      </c>
      <c r="CV7" s="61">
        <f>IF(AJ7="",0,IF(OR(AJ7="DNF",AJ7="OCS",AJ7="DSQ",AJ7="DNS",AJ7=" DNS "),$BW$3+1,AJ7))</f>
        <v>0</v>
      </c>
      <c r="CW7" s="61">
        <f>IF(AK7="",0,IF(OR(AK7="DNF",AK7="OCS",AK7="DSQ",AK7="DNS",AK7=" DNS "),$BW$3+1,AK7))</f>
        <v>0</v>
      </c>
      <c r="CX7" s="61">
        <f>IF(AL7="",0,IF(OR(AL7="DNF",AL7="OCS",AL7="DSQ",AL7="DNS",AL7=" DNS "),$BW$3+1,AL7))</f>
        <v>0</v>
      </c>
      <c r="CY7" s="61">
        <f>IF(AM7="",0,IF(OR(AM7="DNF",AM7="OCS",AM7="DSQ",AM7="DNS",AM7=" DNS "),$BW$3+1,AM7))</f>
        <v>0</v>
      </c>
      <c r="CZ7" s="61">
        <f>IF(AN7="",0,IF(OR(AN7="DNF",AN7="OCS",AN7="DSQ",AN7="DNS",AN7=" DNS "),$BW$3+1,AN7))</f>
        <v>0</v>
      </c>
      <c r="DA7" s="61">
        <f>IF(AO7="",0,IF(OR(AO7="DNF",AO7="OCS",AO7="DSQ",AO7="DNS",AO7=" DNS "),$BW$3+1,AO7))</f>
        <v>0</v>
      </c>
      <c r="DB7" s="61">
        <f>IF(AP7="",0,IF(OR(AP7="DNF",AP7="OCS",AP7="DSQ",AP7="DNS",AP7=" DNS "),$BW$3+1,AP7))</f>
        <v>0</v>
      </c>
      <c r="DC7" s="61">
        <f>IF(AQ7="",0,IF(OR(AQ7="DNF",AQ7="OCS",AQ7="DSQ",AQ7="DNS",AQ7=" DNS "),$BW$3+1,AQ7))</f>
        <v>0</v>
      </c>
      <c r="DD7" s="61">
        <f>IF(AR7="",0,IF(OR(AR7="DNF",AR7="OCS",AR7="DSQ",AR7="DNS",AR7=" DNS "),$BW$3+1,AR7))</f>
        <v>0</v>
      </c>
      <c r="DE7" s="61">
        <f>IF(AS7="",0,IF(OR(AS7="DNF",AS7="OCS",AS7="DSQ",AS7="DNS",AS7=" DNS "),$BW$3+1,AS7))</f>
        <v>0</v>
      </c>
      <c r="DF7" s="61">
        <f>IF(AT7="",0,IF(OR(AT7="DNF",AT7="OCS",AT7="DSQ",AT7="DNS",AT7=" DNS "),$BW$3+1,AT7))</f>
        <v>0</v>
      </c>
      <c r="DG7" s="61">
        <f>IF(AU7="",0,IF(OR(AU7="DNF",AU7="OCS",AU7="DSQ",AU7="DNS",AU7=" DNS "),$BW$3+1,AU7))</f>
        <v>0</v>
      </c>
      <c r="DH7" s="61">
        <f>IF(AV7="",0,IF(OR(AV7="DNF",AV7="OCS",AV7="DSQ",AV7="DNS",AV7=" DNS "),$BW$3+1,AV7))</f>
        <v>0</v>
      </c>
      <c r="DI7" s="61">
        <f>IF(AW7="",0,IF(OR(AW7="DNF",AW7="OCS",AW7="DSQ",AW7="DNS",AW7=" DNS "),$BW$3+1,AW7))</f>
        <v>0</v>
      </c>
      <c r="DJ7" s="61">
        <f>IF(AX7="",0,IF(OR(AX7="DNF",AX7="OCS",AX7="DSQ",AX7="DNS",AX7=" DNS "),$BW$3+1,AX7))</f>
        <v>0</v>
      </c>
      <c r="DK7" s="61">
        <f>IF(AY7="",0,IF(OR(AY7="DNF",AY7="OCS",AY7="DSQ",AY7="DNS",AY7=" DNS "),$BW$3+1,AY7))</f>
        <v>0</v>
      </c>
      <c r="DL7" s="61">
        <f>IF(AZ7="",0,IF(OR(AZ7="DNF",AZ7="OCS",AZ7="DSQ",AZ7="DNS",AZ7=" DNS "),$BW$3+1,AZ7))</f>
        <v>0</v>
      </c>
      <c r="DM7" s="61">
        <f>IF(BA7="",0,IF(OR(BA7="DNF",BA7="OCS",BA7="DSQ",BA7="DNS",BA7=" DNS "),$BW$3+1,BA7))</f>
        <v>0</v>
      </c>
      <c r="DN7" s="61">
        <f>IF(BB7="",0,IF(OR(BB7="DNF",BB7="OCS",BB7="DSQ",BB7="DNS",BB7=" DNS "),$BW$3+1,BB7))</f>
        <v>0</v>
      </c>
      <c r="DO7" s="61">
        <f>IF(BC7="",0,IF(OR(BC7="DNF",BC7="OCS",BC7="DSQ",BC7="DNS",BC7=" DNS "),$BW$3+1,BC7))</f>
        <v>0</v>
      </c>
      <c r="DP7" s="61">
        <f>IF(BD7="",0,IF(OR(BD7="DNF",BD7="OCS",BD7="DSQ",BD7="DNS",BD7=" DNS "),$BW$3+1,BD7))</f>
        <v>0</v>
      </c>
      <c r="DQ7" s="61">
        <f>IF(BE7="",0,IF(OR(BE7="DNF",BE7="OCS",BE7="DSQ",BE7="DNS",BE7=" DNS "),$BW$3+1,BE7))</f>
        <v>0</v>
      </c>
      <c r="DR7" s="61">
        <f>IF(BF7="",0,IF(OR(BF7="DNF",BF7="OCS",BF7="DSQ",BF7="DNS",BF7=" DNS "),$BW$3+1,BF7))</f>
        <v>0</v>
      </c>
      <c r="DS7" s="61">
        <f>IF(BG7="",0,IF(OR(BG7="DNF",BG7="OCS",BG7="DSQ",BG7="DNS",BG7=" DNS "),$BW$3+1,BG7))</f>
        <v>0</v>
      </c>
      <c r="DT7" s="61">
        <f>IF(BH7="",0,IF(OR(BH7="DNF",BH7="OCS",BH7="DSQ",BH7="DNS",BH7=" DNS "),$BW$3+1,BH7))</f>
        <v>0</v>
      </c>
      <c r="DU7" s="61">
        <f>IF(BI7="",0,IF(OR(BI7="DNF",BI7="OCS",BI7="DSQ",BI7="DNS",BI7=" DNS "),$BW$3+1,BI7))</f>
        <v>0</v>
      </c>
      <c r="DV7" s="61">
        <f>IF(BJ7="",0,IF(OR(BJ7="DNF",BJ7="OCS",BJ7="DSQ",BJ7="DNS",BJ7=" DNS "),$BW$3+1,BJ7))</f>
        <v>0</v>
      </c>
      <c r="DW7" s="61">
        <f>IF(BK7="",0,IF(OR(BK7="DNF",BK7="OCS",BK7="DSQ",BK7="DNS",BK7=" DNS "),$BW$3+1,BK7))</f>
        <v>0</v>
      </c>
      <c r="DX7" s="61">
        <f>IF(BL7="",0,IF(OR(BL7="DNF",BL7="OCS",BL7="DSQ",BL7="DNS",BL7=" DNS "),$BW$3+1,BL7))</f>
        <v>0</v>
      </c>
      <c r="DY7" s="61">
        <f>IF(BM7="",0,IF(OR(BM7="DNF",BM7="OCS",BM7="DSQ",BM7="DNS",BM7=" DNS "),$BW$3+1,BM7))</f>
        <v>0</v>
      </c>
      <c r="DZ7" s="61">
        <f>IF(BN7="",0,IF(OR(BN7="DNF",BN7="OCS",BN7="DSQ",BN7="DNS",BN7=" DNS "),$BW$3+1,BN7))</f>
        <v>0</v>
      </c>
      <c r="EA7" s="61">
        <f>IF(BO7="",0,IF(OR(BO7="DNF",BO7="OCS",BO7="DSQ",BO7="DNS",BO7=" DNS "),$BW$3+1,BO7))</f>
        <v>0</v>
      </c>
      <c r="EB7" s="61">
        <f>IF(BP7="",0,IF(OR(BP7="DNF",BP7="OCS",BP7="DSQ",BP7="DNS",BP7=" DNS "),$BW$3+1,BP7))</f>
        <v>0</v>
      </c>
      <c r="EC7" s="61">
        <f>IF(BQ7="",0,IF(OR(BQ7="DNF",BQ7="OCS",BQ7="DSQ",BQ7="DNS",BQ7=" DNS "),$BW$3+1,BQ7))</f>
        <v>0</v>
      </c>
      <c r="EE7" s="61">
        <f xml:space="preserve">
IF(OR(Deltagarlista!$K$3=3,Deltagarlista!$K$3=4),
IF(Arrangörslista!$U$5&lt;8,0,
IF(Arrangörslista!$U$5&lt;16,SUM(LARGE(BV7:CJ7,1)),
IF(Arrangörslista!$U$5&lt;24,SUM(LARGE(BV7:CR7,{1;2})),
IF(Arrangörslista!$U$5&lt;32,SUM(LARGE(BV7:CZ7,{1;2;3})),
IF(Arrangörslista!$U$5&lt;40,SUM(LARGE(BV7:DH7,{1;2;3;4})),
IF(Arrangörslista!$U$5&lt;48,SUM(LARGE(BV7:DP7,{1;2;3;4;5})),
IF(Arrangörslista!$U$5&lt;56,SUM(LARGE(BV7:DX7,{1;2;3;4;5;6})),
IF(Arrangörslista!$U$5&lt;64,SUM(LARGE(BV7:EC7,{1;2;3;4;5;6;7})),0)))))))),
IF(Deltagarlista!$K$3=2,
IF(Arrangörslista!$U$5&lt;4,LARGE(BV7:BX7,1),
IF(Arrangörslista!$U$5&lt;7,SUM(LARGE(BV7:CA7,{1;2;3})),
IF(Arrangörslista!$U$5&lt;10,SUM(LARGE(BV7:CD7,{1;2;3;4})),
IF(Arrangörslista!$U$5&lt;13,SUM(LARGE(BV7:CG7,{1;2;3;4;5;6})),
IF(Arrangörslista!$U$5&lt;16,SUM(LARGE(BV7:CJ7,{1;2;3;4;5;6;7})),
IF(Arrangörslista!$U$5&lt;19,SUM(LARGE(BV7:CM7,{1;2;3;4;5;6;7;8;9})),
IF(Arrangörslista!$U$5&lt;22,SUM(LARGE(BV7:CP7,{1;2;3;4;5;6;7;8;9;10})),
IF(Arrangörslista!$U$5&lt;25,SUM(LARGE(BV7:CS7,{1;2;3;4;5;6;7;8;9;10;11;12})),
IF(Arrangörslista!$U$5&lt;28,SUM(LARGE(BV7:CV7,{1;2;3;4;5;6;7;8;9;10;11;12;13})),
IF(Arrangörslista!$U$5&lt;31,SUM(LARGE(BV7:CY7,{1;2;3;4;5;6;7;8;9;10;11;12;13;14;15})),
IF(Arrangörslista!$U$5&lt;34,SUM(LARGE(BV7:DB7,{1;2;3;4;5;6;7;8;9;10;11;12;13;14;15;16})),
IF(Arrangörslista!$U$5&lt;37,SUM(LARGE(BV7:DE7,{1;2;3;4;5;6;7;8;9;10;11;12;13;14;15;16;17;18})),
IF(Arrangörslista!$U$5&lt;40,SUM(LARGE(BV7:DH7,{1;2;3;4;5;6;7;8;9;10;11;12;13;14;15;16;17;18;19})),
IF(Arrangörslista!$U$5&lt;43,SUM(LARGE(BV7:DK7,{1;2;3;4;5;6;7;8;9;10;11;12;13;14;15;16;17;18;19;20;21})),
IF(Arrangörslista!$U$5&lt;46,SUM(LARGE(BV7:DN7,{1;2;3;4;5;6;7;8;9;10;11;12;13;14;15;16;17;18;19;20;21;22})),
IF(Arrangörslista!$U$5&lt;49,SUM(LARGE(BV7:DQ7,{1;2;3;4;5;6;7;8;9;10;11;12;13;14;15;16;17;18;19;20;21;22;23;24})),
IF(Arrangörslista!$U$5&lt;52,SUM(LARGE(BV7:DT7,{1;2;3;4;5;6;7;8;9;10;11;12;13;14;15;16;17;18;19;20;21;22;23;24;25})),
IF(Arrangörslista!$U$5&lt;55,SUM(LARGE(BV7:DW7,{1;2;3;4;5;6;7;8;9;10;11;12;13;14;15;16;17;18;19;20;21;22;23;24;25;26;27})),
IF(Arrangörslista!$U$5&lt;58,SUM(LARGE(BV7:DZ7,{1;2;3;4;5;6;7;8;9;10;11;12;13;14;15;16;17;18;19;20;21;22;23;24;25;26;27;28})),
IF(Arrangörslista!$U$5&lt;61,SUM(LARGE(BV7:EC7,{1;2;3;4;5;6;7;8;9;10;11;12;13;14;15;16;17;18;19;20;21;22;23;24;25;26;27;28;29;30})),0)))))))))))))))))))),
IF(Arrangörslista!$U$5&lt;4,0,
IF(Arrangörslista!$U$5&lt;8,SUM(LARGE(BV7:CB7,1)),
IF(Arrangörslista!$U$5&lt;12,SUM(LARGE(BV7:CF7,{1;2})),
IF(Arrangörslista!$U$5&lt;16,SUM(LARGE(BV7:CJ7,{1;2;3})),
IF(Arrangörslista!$U$5&lt;20,SUM(LARGE(BV7:CN7,{1;2;3;4})),
IF(Arrangörslista!$U$5&lt;24,SUM(LARGE(BV7:CR7,{1;2;3;4;5})),
IF(Arrangörslista!$U$5&lt;28,SUM(LARGE(BV7:CV7,{1;2;3;4;5;6})),
IF(Arrangörslista!$U$5&lt;32,SUM(LARGE(BV7:CZ7,{1;2;3;4;5;6;7})),
IF(Arrangörslista!$U$5&lt;36,SUM(LARGE(BV7:DD7,{1;2;3;4;5;6;7;8})),
IF(Arrangörslista!$U$5&lt;40,SUM(LARGE(BV7:DH7,{1;2;3;4;5;6;7;8;9})),
IF(Arrangörslista!$U$5&lt;44,SUM(LARGE(BV7:DL7,{1;2;3;4;5;6;7;8;9;10})),
IF(Arrangörslista!$U$5&lt;48,SUM(LARGE(BV7:DP7,{1;2;3;4;5;6;7;8;9;10;11})),
IF(Arrangörslista!$U$5&lt;52,SUM(LARGE(BV7:DT7,{1;2;3;4;5;6;7;8;9;10;11;12})),
IF(Arrangörslista!$U$5&lt;56,SUM(LARGE(BV7:DX7,{1;2;3;4;5;6;7;8;9;10;11;12;13})),
IF(Arrangörslista!$U$5&lt;60,SUM(LARGE(BV7:EB7,{1;2;3;4;5;6;7;8;9;10;11;12;13;14})),
IF(Arrangörslista!$U$5=60,SUM(LARGE(BV7:EC7,{1;2;3;4;5;6;7;8;9;10;11;12;13;14;15})),0))))))))))))))))))</f>
        <v>0</v>
      </c>
      <c r="EG7" s="67">
        <f>IF(F7="",,1)</f>
        <v>0</v>
      </c>
      <c r="EH7" s="61"/>
      <c r="EI7" s="61"/>
      <c r="EK7" s="62">
        <f>SMALL($J70:$BQ70,1)</f>
        <v>61</v>
      </c>
      <c r="EL7" s="62">
        <f>SMALL($J70:$BQ70,2)</f>
        <v>61</v>
      </c>
      <c r="EM7" s="62">
        <f>SMALL($J70:$BQ70,3)</f>
        <v>61</v>
      </c>
      <c r="EN7" s="62">
        <f>SMALL($J70:$BQ70,4)</f>
        <v>61</v>
      </c>
      <c r="EO7" s="62">
        <f>SMALL($J70:$BQ70,5)</f>
        <v>61</v>
      </c>
      <c r="EP7" s="62">
        <f>SMALL($J70:$BQ70,6)</f>
        <v>61</v>
      </c>
      <c r="EQ7" s="62">
        <f>SMALL($J70:$BQ70,7)</f>
        <v>61</v>
      </c>
      <c r="ER7" s="62">
        <f>SMALL($J70:$BQ70,8)</f>
        <v>61</v>
      </c>
      <c r="ES7" s="62">
        <f>SMALL($J70:$BQ70,9)</f>
        <v>61</v>
      </c>
      <c r="ET7" s="62">
        <f>SMALL($J70:$BQ70,10)</f>
        <v>61</v>
      </c>
      <c r="EU7" s="62">
        <f>SMALL($J70:$BQ70,11)</f>
        <v>61</v>
      </c>
      <c r="EV7" s="62">
        <f>SMALL($J70:$BQ70,12)</f>
        <v>61</v>
      </c>
      <c r="EW7" s="62">
        <f>SMALL($J70:$BQ70,13)</f>
        <v>61</v>
      </c>
      <c r="EX7" s="62">
        <f>SMALL($J70:$BQ70,14)</f>
        <v>61</v>
      </c>
      <c r="EY7" s="62">
        <f>SMALL($J70:$BQ70,15)</f>
        <v>61</v>
      </c>
      <c r="EZ7" s="62">
        <f>SMALL($J70:$BQ70,16)</f>
        <v>61</v>
      </c>
      <c r="FA7" s="62">
        <f>SMALL($J70:$BQ70,17)</f>
        <v>61</v>
      </c>
      <c r="FB7" s="62">
        <f>SMALL($J70:$BQ70,18)</f>
        <v>61</v>
      </c>
      <c r="FC7" s="62">
        <f>SMALL($J70:$BQ70,19)</f>
        <v>61</v>
      </c>
      <c r="FD7" s="62">
        <f>SMALL($J70:$BQ70,20)</f>
        <v>61</v>
      </c>
      <c r="FE7" s="62">
        <f>SMALL($J70:$BQ70,21)</f>
        <v>61</v>
      </c>
      <c r="FF7" s="62">
        <f>SMALL($J70:$BQ70,22)</f>
        <v>61</v>
      </c>
      <c r="FG7" s="62">
        <f>SMALL($J70:$BQ70,23)</f>
        <v>61</v>
      </c>
      <c r="FH7" s="62">
        <f>SMALL($J70:$BQ70,24)</f>
        <v>61</v>
      </c>
      <c r="FI7" s="62">
        <f>SMALL($J70:$BQ70,25)</f>
        <v>61</v>
      </c>
      <c r="FJ7" s="62">
        <f>SMALL($J70:$BQ70,26)</f>
        <v>61</v>
      </c>
      <c r="FK7" s="62">
        <f>SMALL($J70:$BQ70,27)</f>
        <v>61</v>
      </c>
      <c r="FL7" s="62">
        <f>SMALL($J70:$BQ70,28)</f>
        <v>61</v>
      </c>
      <c r="FM7" s="62">
        <f>SMALL($J70:$BQ70,29)</f>
        <v>61</v>
      </c>
      <c r="FN7" s="62">
        <f>SMALL($J70:$BQ70,30)</f>
        <v>61</v>
      </c>
      <c r="FO7" s="62">
        <f>SMALL($J70:$BQ70,31)</f>
        <v>61</v>
      </c>
      <c r="FP7" s="62">
        <f>SMALL($J70:$BQ70,32)</f>
        <v>61</v>
      </c>
      <c r="FQ7" s="62">
        <f>SMALL($J70:$BQ70,33)</f>
        <v>61</v>
      </c>
      <c r="FR7" s="62">
        <f>SMALL($J70:$BQ70,34)</f>
        <v>61</v>
      </c>
      <c r="FS7" s="62">
        <f>SMALL($J70:$BQ70,35)</f>
        <v>61</v>
      </c>
      <c r="FT7" s="62">
        <f>SMALL($J70:$BQ70,36)</f>
        <v>61</v>
      </c>
      <c r="FU7" s="62">
        <f>SMALL($J70:$BQ70,37)</f>
        <v>61</v>
      </c>
      <c r="FV7" s="62">
        <f>SMALL($J70:$BQ70,38)</f>
        <v>61</v>
      </c>
      <c r="FW7" s="62">
        <f>SMALL($J70:$BQ70,39)</f>
        <v>61</v>
      </c>
      <c r="FX7" s="62">
        <f>SMALL($J70:$BQ70,40)</f>
        <v>61</v>
      </c>
      <c r="FY7" s="62">
        <f>SMALL($J70:$BQ70,41)</f>
        <v>61</v>
      </c>
      <c r="FZ7" s="62">
        <f>SMALL($J70:$BQ70,42)</f>
        <v>61</v>
      </c>
      <c r="GA7" s="62">
        <f>SMALL($J70:$BQ70,43)</f>
        <v>61</v>
      </c>
      <c r="GB7" s="62">
        <f>SMALL($J70:$BQ70,44)</f>
        <v>61</v>
      </c>
      <c r="GC7" s="62">
        <f>SMALL($J70:$BQ70,45)</f>
        <v>61</v>
      </c>
      <c r="GD7" s="62">
        <f>SMALL($J70:$BQ70,46)</f>
        <v>61</v>
      </c>
      <c r="GE7" s="62">
        <f>SMALL($J70:$BQ70,47)</f>
        <v>61</v>
      </c>
      <c r="GF7" s="62">
        <f>SMALL($J70:$BQ70,48)</f>
        <v>61</v>
      </c>
      <c r="GG7" s="62">
        <f>SMALL($J70:$BQ70,49)</f>
        <v>61</v>
      </c>
      <c r="GH7" s="62">
        <f>SMALL($J70:$BQ70,50)</f>
        <v>61</v>
      </c>
      <c r="GI7" s="62">
        <f>SMALL($J70:$BQ70,51)</f>
        <v>61</v>
      </c>
      <c r="GJ7" s="62">
        <f>SMALL($J70:$BQ70,52)</f>
        <v>61</v>
      </c>
      <c r="GK7" s="62">
        <f>SMALL($J70:$BQ70,53)</f>
        <v>61</v>
      </c>
      <c r="GL7" s="62">
        <f>SMALL($J70:$BQ70,54)</f>
        <v>61</v>
      </c>
      <c r="GM7" s="62">
        <f>SMALL($J70:$BQ70,55)</f>
        <v>61</v>
      </c>
      <c r="GN7" s="62">
        <f>SMALL($J70:$BQ70,56)</f>
        <v>61</v>
      </c>
      <c r="GO7" s="62">
        <f>SMALL($J70:$BQ70,57)</f>
        <v>61</v>
      </c>
      <c r="GP7" s="62">
        <f>SMALL($J70:$BQ70,58)</f>
        <v>61</v>
      </c>
      <c r="GQ7" s="62">
        <f>SMALL($J70:$BQ70,59)</f>
        <v>61</v>
      </c>
      <c r="GR7" s="62">
        <f>SMALL($J70:$BQ70,60)</f>
        <v>61</v>
      </c>
      <c r="GT7" s="62">
        <f>IF(Deltagarlista!$K$3=2,
IF(GW7="1",
      IF(Arrangörslista!$U$5=1,J70,
IF(Arrangörslista!$U$5=2,K70,
IF(Arrangörslista!$U$5=3,L70,
IF(Arrangörslista!$U$5=4,M70,
IF(Arrangörslista!$U$5=5,N70,
IF(Arrangörslista!$U$5=6,O70,
IF(Arrangörslista!$U$5=7,P70,
IF(Arrangörslista!$U$5=8,Q70,
IF(Arrangörslista!$U$5=9,R70,
IF(Arrangörslista!$U$5=10,S70,
IF(Arrangörslista!$U$5=11,T70,
IF(Arrangörslista!$U$5=12,U70,
IF(Arrangörslista!$U$5=13,V70,
IF(Arrangörslista!$U$5=14,W70,
IF(Arrangörslista!$U$5=15,X70,
IF(Arrangörslista!$U$5=16,Y70,IF(Arrangörslista!$U$5=17,Z70,IF(Arrangörslista!$U$5=18,AA70,IF(Arrangörslista!$U$5=19,AB70,IF(Arrangörslista!$U$5=20,AC70,IF(Arrangörslista!$U$5=21,AD70,IF(Arrangörslista!$U$5=22,AE70,IF(Arrangörslista!$U$5=23,AF70, IF(Arrangörslista!$U$5=24,AG70, IF(Arrangörslista!$U$5=25,AH70, IF(Arrangörslista!$U$5=26,AI70, IF(Arrangörslista!$U$5=27,AJ70, IF(Arrangörslista!$U$5=28,AK70, IF(Arrangörslista!$U$5=29,AL70, IF(Arrangörslista!$U$5=30,AM70, IF(Arrangörslista!$U$5=31,AN70, IF(Arrangörslista!$U$5=32,AO70, IF(Arrangörslista!$U$5=33,AP70, IF(Arrangörslista!$U$5=34,AQ70, IF(Arrangörslista!$U$5=35,AR70, IF(Arrangörslista!$U$5=36,AS70, IF(Arrangörslista!$U$5=37,AT70, IF(Arrangörslista!$U$5=38,AU70, IF(Arrangörslista!$U$5=39,AV70, IF(Arrangörslista!$U$5=40,AW70, IF(Arrangörslista!$U$5=41,AX70, IF(Arrangörslista!$U$5=42,AY70, IF(Arrangörslista!$U$5=43,AZ70, IF(Arrangörslista!$U$5=44,BA70, IF(Arrangörslista!$U$5=45,BB70, IF(Arrangörslista!$U$5=46,BC70, IF(Arrangörslista!$U$5=47,BD70, IF(Arrangörslista!$U$5=48,BE70, IF(Arrangörslista!$U$5=49,BF70, IF(Arrangörslista!$U$5=50,BG70, IF(Arrangörslista!$U$5=51,BH70, IF(Arrangörslista!$U$5=52,BI70, IF(Arrangörslista!$U$5=53,BJ70, IF(Arrangörslista!$U$5=54,BK70, IF(Arrangörslista!$U$5=55,BL70, IF(Arrangörslista!$U$5=56,BM70, IF(Arrangörslista!$U$5=57,BN70, IF(Arrangörslista!$U$5=58,BO70, IF(Arrangörslista!$U$5=59,BP70, IF(Arrangörslista!$U$5=60,BQ70,0))))))))))))))))))))))))))))))))))))))))))))))))))))))))))))),IF(Deltagarlista!$K$3=4, IF(Arrangörslista!$U$5=1,J70,
IF(Arrangörslista!$U$5=2,J70,
IF(Arrangörslista!$U$5=3,K70,
IF(Arrangörslista!$U$5=4,K70,
IF(Arrangörslista!$U$5=5,L70,
IF(Arrangörslista!$U$5=6,L70,
IF(Arrangörslista!$U$5=7,M70,
IF(Arrangörslista!$U$5=8,M70,
IF(Arrangörslista!$U$5=9,N70,
IF(Arrangörslista!$U$5=10,N70,
IF(Arrangörslista!$U$5=11,O70,
IF(Arrangörslista!$U$5=12,O70,
IF(Arrangörslista!$U$5=13,P70,
IF(Arrangörslista!$U$5=14,P70,
IF(Arrangörslista!$U$5=15,Q70,
IF(Arrangörslista!$U$5=16,Q70,
IF(Arrangörslista!$U$5=17,R70,
IF(Arrangörslista!$U$5=18,R70,
IF(Arrangörslista!$U$5=19,S70,
IF(Arrangörslista!$U$5=20,S70,
IF(Arrangörslista!$U$5=21,T70,
IF(Arrangörslista!$U$5=22,T70,IF(Arrangörslista!$U$5=23,U70, IF(Arrangörslista!$U$5=24,U70, IF(Arrangörslista!$U$5=25,V70, IF(Arrangörslista!$U$5=26,V70, IF(Arrangörslista!$U$5=27,W70, IF(Arrangörslista!$U$5=28,W70, IF(Arrangörslista!$U$5=29,X70, IF(Arrangörslista!$U$5=30,X70, IF(Arrangörslista!$U$5=31,X70, IF(Arrangörslista!$U$5=32,Y70, IF(Arrangörslista!$U$5=33,AO70, IF(Arrangörslista!$U$5=34,Y70, IF(Arrangörslista!$U$5=35,Z70, IF(Arrangörslista!$U$5=36,AR70, IF(Arrangörslista!$U$5=37,Z70, IF(Arrangörslista!$U$5=38,AA70, IF(Arrangörslista!$U$5=39,AU70, IF(Arrangörslista!$U$5=40,AA70, IF(Arrangörslista!$U$5=41,AB70, IF(Arrangörslista!$U$5=42,AX70, IF(Arrangörslista!$U$5=43,AB70, IF(Arrangörslista!$U$5=44,AC70, IF(Arrangörslista!$U$5=45,BA70, IF(Arrangörslista!$U$5=46,AC70, IF(Arrangörslista!$U$5=47,AD70, IF(Arrangörslista!$U$5=48,BD70, IF(Arrangörslista!$U$5=49,AD70, IF(Arrangörslista!$U$5=50,AE70, IF(Arrangörslista!$U$5=51,BG70, IF(Arrangörslista!$U$5=52,AE70, IF(Arrangörslista!$U$5=53,AF70, IF(Arrangörslista!$U$5=54,BJ70, IF(Arrangörslista!$U$5=55,AF70, IF(Arrangörslista!$U$5=56,AG70, IF(Arrangörslista!$U$5=57,BM70, IF(Arrangörslista!$U$5=58,AG70, IF(Arrangörslista!$U$5=59,AH70, IF(Arrangörslista!$U$5=60,AH70,0)))))))))))))))))))))))))))))))))))))))))))))))))))))))))))),IF(Arrangörslista!$U$5=1,J70,
IF(Arrangörslista!$U$5=2,K70,
IF(Arrangörslista!$U$5=3,L70,
IF(Arrangörslista!$U$5=4,M70,
IF(Arrangörslista!$U$5=5,N70,
IF(Arrangörslista!$U$5=6,O70,
IF(Arrangörslista!$U$5=7,P70,
IF(Arrangörslista!$U$5=8,Q70,
IF(Arrangörslista!$U$5=9,R70,
IF(Arrangörslista!$U$5=10,S70,
IF(Arrangörslista!$U$5=11,T70,
IF(Arrangörslista!$U$5=12,U70,
IF(Arrangörslista!$U$5=13,V70,
IF(Arrangörslista!$U$5=14,W70,
IF(Arrangörslista!$U$5=15,X70,
IF(Arrangörslista!$U$5=16,Y70,IF(Arrangörslista!$U$5=17,Z70,IF(Arrangörslista!$U$5=18,AA70,IF(Arrangörslista!$U$5=19,AB70,IF(Arrangörslista!$U$5=20,AC70,IF(Arrangörslista!$U$5=21,AD70,IF(Arrangörslista!$U$5=22,AE70,IF(Arrangörslista!$U$5=23,AF70, IF(Arrangörslista!$U$5=24,AG70, IF(Arrangörslista!$U$5=25,AH70, IF(Arrangörslista!$U$5=26,AI70, IF(Arrangörslista!$U$5=27,AJ70, IF(Arrangörslista!$U$5=28,AK70, IF(Arrangörslista!$U$5=29,AL70, IF(Arrangörslista!$U$5=30,AM70, IF(Arrangörslista!$U$5=31,AN70, IF(Arrangörslista!$U$5=32,AO70, IF(Arrangörslista!$U$5=33,AP70, IF(Arrangörslista!$U$5=34,AQ70, IF(Arrangörslista!$U$5=35,AR70, IF(Arrangörslista!$U$5=36,AS70, IF(Arrangörslista!$U$5=37,AT70, IF(Arrangörslista!$U$5=38,AU70, IF(Arrangörslista!$U$5=39,AV70, IF(Arrangörslista!$U$5=40,AW70, IF(Arrangörslista!$U$5=41,AX70, IF(Arrangörslista!$U$5=42,AY70, IF(Arrangörslista!$U$5=43,AZ70, IF(Arrangörslista!$U$5=44,BA70, IF(Arrangörslista!$U$5=45,BB70, IF(Arrangörslista!$U$5=46,BC70, IF(Arrangörslista!$U$5=47,BD70, IF(Arrangörslista!$U$5=48,BE70, IF(Arrangörslista!$U$5=49,BF70, IF(Arrangörslista!$U$5=50,BG70, IF(Arrangörslista!$U$5=51,BH70, IF(Arrangörslista!$U$5=52,BI70, IF(Arrangörslista!$U$5=53,BJ70, IF(Arrangörslista!$U$5=54,BK70, IF(Arrangörslista!$U$5=55,BL70, IF(Arrangörslista!$U$5=56,BM70, IF(Arrangörslista!$U$5=57,BN70, IF(Arrangörslista!$U$5=58,BO70, IF(Arrangörslista!$U$5=59,BP70, IF(Arrangörslista!$U$5=60,BQ70,0))))))))))))))))))))))))))))))))))))))))))))))))))))))))))))
))</f>
        <v>0</v>
      </c>
      <c r="GV7" s="65" t="str">
        <f>IFERROR(IF(VLOOKUP(F7,Deltagarlista!$E$5:$I$64,5,FALSE)="Grön","Gr",IF(VLOOKUP(F7,Deltagarlista!$E$5:$I$64,5,FALSE)="Röd","R",IF(VLOOKUP(F7,Deltagarlista!$E$5:$I$64,5,FALSE)="Blå","B","Gu"))),"")</f>
        <v/>
      </c>
      <c r="GW7" s="62" t="str">
        <f t="shared" si="0"/>
        <v/>
      </c>
    </row>
    <row r="8" spans="1:206" x14ac:dyDescent="0.3">
      <c r="B8" s="23" t="str">
        <f>IF($BW$3&gt;4,5,"")</f>
        <v/>
      </c>
      <c r="C8" s="92" t="str">
        <f>IF(ISBLANK(Deltagarlista!C6),"",Deltagarlista!C6)</f>
        <v/>
      </c>
      <c r="D8" s="109" t="str">
        <f>CONCATENATE(IF(AND(Deltagarlista!H6="GM",Deltagarlista!$S$14=TRUE),"GM   ",""),  IF(OR(Deltagarlista!$K$3=4,Deltagarlista!$K$3=2),Deltagarlista!I6,""))</f>
        <v/>
      </c>
      <c r="E8" s="8" t="str">
        <f>IF(ISBLANK(Deltagarlista!D6),"",Deltagarlista!D6)</f>
        <v/>
      </c>
      <c r="F8" s="8" t="str">
        <f>IF(ISBLANK(Deltagarlista!E6),"",Deltagarlista!E6)</f>
        <v/>
      </c>
      <c r="G8" s="95" t="str">
        <f>IF(ISBLANK(Deltagarlista!F6),"",Deltagarlista!F6)</f>
        <v/>
      </c>
      <c r="H8" s="72" t="str">
        <f>IF(ISBLANK(Deltagarlista!C6),"",BU8-EE8)</f>
        <v/>
      </c>
      <c r="I8" s="13" t="str">
        <f>IF(ISBLANK(Deltagarlista!C6),"",IF(AND(Deltagarlista!$K$3=2,Deltagarlista!$L$3&lt;37),SUM(SUM(BV8:EC8)-(ROUNDDOWN(Arrangörslista!$U$5/3,1))*($BW$3+1)),SUM(BV8:EC8)))</f>
        <v/>
      </c>
      <c r="J8" s="79" t="str">
        <f>IF(Deltagarlista!$K$3=4,IF(ISBLANK(Deltagarlista!$C6),"",IF(ISBLANK(Arrangörslista!C$8),"",IFERROR(VLOOKUP($F8,Arrangörslista!C$8:$AG$45,16,FALSE),IF(ISBLANK(Deltagarlista!$C6),"",IF(ISBLANK(Arrangörslista!C$8),"",IFERROR(VLOOKUP($F8,Arrangörslista!D$8:$AG$45,16,FALSE),"DNS")))))),IF(Deltagarlista!$K$3=2,
IF(ISBLANK(Deltagarlista!$C6),"",IF(ISBLANK(Arrangörslista!C$8),"",IF($GV8=J$64," DNS ",IFERROR(VLOOKUP($F8,Arrangörslista!C$8:$AG$45,16,FALSE),"DNS")))),IF(ISBLANK(Deltagarlista!$C6),"",IF(ISBLANK(Arrangörslista!C$8),"",IFERROR(VLOOKUP($F8,Arrangörslista!C$8:$AG$45,16,FALSE),"DNS")))))</f>
        <v/>
      </c>
      <c r="K8" s="5" t="str">
        <f>IF(Deltagarlista!$K$3=4,IF(ISBLANK(Deltagarlista!$C6),"",IF(ISBLANK(Arrangörslista!E$8),"",IFERROR(VLOOKUP($F8,Arrangörslista!E$8:$AG$45,16,FALSE),IF(ISBLANK(Deltagarlista!$C6),"",IF(ISBLANK(Arrangörslista!E$8),"",IFERROR(VLOOKUP($F8,Arrangörslista!F$8:$AG$45,16,FALSE),"DNS")))))),IF(Deltagarlista!$K$3=2,
IF(ISBLANK(Deltagarlista!$C6),"",IF(ISBLANK(Arrangörslista!D$8),"",IF($GV8=K$64," DNS ",IFERROR(VLOOKUP($F8,Arrangörslista!D$8:$AG$45,16,FALSE),"DNS")))),IF(ISBLANK(Deltagarlista!$C6),"",IF(ISBLANK(Arrangörslista!D$8),"",IFERROR(VLOOKUP($F8,Arrangörslista!D$8:$AG$45,16,FALSE),"DNS")))))</f>
        <v/>
      </c>
      <c r="L8" s="5" t="str">
        <f>IF(Deltagarlista!$K$3=4,IF(ISBLANK(Deltagarlista!$C6),"",IF(ISBLANK(Arrangörslista!G$8),"",IFERROR(VLOOKUP($F8,Arrangörslista!G$8:$AG$45,16,FALSE),IF(ISBLANK(Deltagarlista!$C6),"",IF(ISBLANK(Arrangörslista!G$8),"",IFERROR(VLOOKUP($F8,Arrangörslista!H$8:$AG$45,16,FALSE),"DNS")))))),IF(Deltagarlista!$K$3=2,
IF(ISBLANK(Deltagarlista!$C6),"",IF(ISBLANK(Arrangörslista!E$8),"",IF($GV8=L$64," DNS ",IFERROR(VLOOKUP($F8,Arrangörslista!E$8:$AG$45,16,FALSE),"DNS")))),IF(ISBLANK(Deltagarlista!$C6),"",IF(ISBLANK(Arrangörslista!E$8),"",IFERROR(VLOOKUP($F8,Arrangörslista!E$8:$AG$45,16,FALSE),"DNS")))))</f>
        <v/>
      </c>
      <c r="M8" s="5" t="str">
        <f>IF(Deltagarlista!$K$3=4,IF(ISBLANK(Deltagarlista!$C6),"",IF(ISBLANK(Arrangörslista!I$8),"",IFERROR(VLOOKUP($F8,Arrangörslista!I$8:$AG$45,16,FALSE),IF(ISBLANK(Deltagarlista!$C6),"",IF(ISBLANK(Arrangörslista!I$8),"",IFERROR(VLOOKUP($F8,Arrangörslista!J$8:$AG$45,16,FALSE),"DNS")))))),IF(Deltagarlista!$K$3=2,
IF(ISBLANK(Deltagarlista!$C6),"",IF(ISBLANK(Arrangörslista!F$8),"",IF($GV8=M$64," DNS ",IFERROR(VLOOKUP($F8,Arrangörslista!F$8:$AG$45,16,FALSE),"DNS")))),IF(ISBLANK(Deltagarlista!$C6),"",IF(ISBLANK(Arrangörslista!F$8),"",IFERROR(VLOOKUP($F8,Arrangörslista!F$8:$AG$45,16,FALSE),"DNS")))))</f>
        <v/>
      </c>
      <c r="N8" s="5" t="str">
        <f>IF(Deltagarlista!$K$3=4,IF(ISBLANK(Deltagarlista!$C6),"",IF(ISBLANK(Arrangörslista!K$8),"",IFERROR(VLOOKUP($F8,Arrangörslista!K$8:$AG$45,16,FALSE),IF(ISBLANK(Deltagarlista!$C6),"",IF(ISBLANK(Arrangörslista!K$8),"",IFERROR(VLOOKUP($F8,Arrangörslista!L$8:$AG$45,16,FALSE),"DNS")))))),IF(Deltagarlista!$K$3=2,
IF(ISBLANK(Deltagarlista!$C6),"",IF(ISBLANK(Arrangörslista!G$8),"",IF($GV8=N$64," DNS ",IFERROR(VLOOKUP($F8,Arrangörslista!G$8:$AG$45,16,FALSE),"DNS")))),IF(ISBLANK(Deltagarlista!$C6),"",IF(ISBLANK(Arrangörslista!G$8),"",IFERROR(VLOOKUP($F8,Arrangörslista!G$8:$AG$45,16,FALSE),"DNS")))))</f>
        <v/>
      </c>
      <c r="O8" s="5" t="str">
        <f>IF(Deltagarlista!$K$3=4,IF(ISBLANK(Deltagarlista!$C6),"",IF(ISBLANK(Arrangörslista!M$8),"",IFERROR(VLOOKUP($F8,Arrangörslista!M$8:$AG$45,16,FALSE),IF(ISBLANK(Deltagarlista!$C6),"",IF(ISBLANK(Arrangörslista!M$8),"",IFERROR(VLOOKUP($F8,Arrangörslista!N$8:$AG$45,16,FALSE),"DNS")))))),IF(Deltagarlista!$K$3=2,
IF(ISBLANK(Deltagarlista!$C6),"",IF(ISBLANK(Arrangörslista!H$8),"",IF($GV8=O$64," DNS ",IFERROR(VLOOKUP($F8,Arrangörslista!H$8:$AG$45,16,FALSE),"DNS")))),IF(ISBLANK(Deltagarlista!$C6),"",IF(ISBLANK(Arrangörslista!H$8),"",IFERROR(VLOOKUP($F8,Arrangörslista!H$8:$AG$45,16,FALSE),"DNS")))))</f>
        <v/>
      </c>
      <c r="P8" s="5" t="str">
        <f>IF(Deltagarlista!$K$3=4,IF(ISBLANK(Deltagarlista!$C6),"",IF(ISBLANK(Arrangörslista!O$8),"",IFERROR(VLOOKUP($F8,Arrangörslista!O$8:$AG$45,16,FALSE),IF(ISBLANK(Deltagarlista!$C6),"",IF(ISBLANK(Arrangörslista!O$8),"",IFERROR(VLOOKUP($F8,Arrangörslista!P$8:$AG$45,16,FALSE),"DNS")))))),IF(Deltagarlista!$K$3=2,
IF(ISBLANK(Deltagarlista!$C6),"",IF(ISBLANK(Arrangörslista!I$8),"",IF($GV8=P$64," DNS ",IFERROR(VLOOKUP($F8,Arrangörslista!I$8:$AG$45,16,FALSE),"DNS")))),IF(ISBLANK(Deltagarlista!$C6),"",IF(ISBLANK(Arrangörslista!I$8),"",IFERROR(VLOOKUP($F8,Arrangörslista!I$8:$AG$45,16,FALSE),"DNS")))))</f>
        <v/>
      </c>
      <c r="Q8" s="5" t="str">
        <f>IF(Deltagarlista!$K$3=4,IF(ISBLANK(Deltagarlista!$C6),"",IF(ISBLANK(Arrangörslista!Q$8),"",IFERROR(VLOOKUP($F8,Arrangörslista!Q$8:$AG$45,16,FALSE),IF(ISBLANK(Deltagarlista!$C6),"",IF(ISBLANK(Arrangörslista!Q$8),"",IFERROR(VLOOKUP($F8,Arrangörslista!C$53:$AG$90,16,FALSE),"DNS")))))),IF(Deltagarlista!$K$3=2,
IF(ISBLANK(Deltagarlista!$C6),"",IF(ISBLANK(Arrangörslista!J$8),"",IF($GV8=Q$64," DNS ",IFERROR(VLOOKUP($F8,Arrangörslista!J$8:$AG$45,16,FALSE),"DNS")))),IF(ISBLANK(Deltagarlista!$C6),"",IF(ISBLANK(Arrangörslista!J$8),"",IFERROR(VLOOKUP($F8,Arrangörslista!J$8:$AG$45,16,FALSE),"DNS")))))</f>
        <v/>
      </c>
      <c r="R8" s="5" t="str">
        <f>IF(Deltagarlista!$K$3=4,IF(ISBLANK(Deltagarlista!$C6),"",IF(ISBLANK(Arrangörslista!D$53),"",IFERROR(VLOOKUP($F8,Arrangörslista!D$53:$AG$90,16,FALSE),IF(ISBLANK(Deltagarlista!$C6),"",IF(ISBLANK(Arrangörslista!D$53),"",IFERROR(VLOOKUP($F8,Arrangörslista!E$53:$AG$90,16,FALSE),"DNS")))))),IF(Deltagarlista!$K$3=2,
IF(ISBLANK(Deltagarlista!$C6),"",IF(ISBLANK(Arrangörslista!K$8),"",IF($GV8=R$64," DNS ",IFERROR(VLOOKUP($F8,Arrangörslista!K$8:$AG$45,16,FALSE),"DNS")))),IF(ISBLANK(Deltagarlista!$C6),"",IF(ISBLANK(Arrangörslista!K$8),"",IFERROR(VLOOKUP($F8,Arrangörslista!K$8:$AG$45,16,FALSE),"DNS")))))</f>
        <v/>
      </c>
      <c r="S8" s="5" t="str">
        <f>IF(Deltagarlista!$K$3=4,IF(ISBLANK(Deltagarlista!$C6),"",IF(ISBLANK(Arrangörslista!F$53),"",IFERROR(VLOOKUP($F8,Arrangörslista!F$53:$AG$90,16,FALSE),IF(ISBLANK(Deltagarlista!$C6),"",IF(ISBLANK(Arrangörslista!F$53),"",IFERROR(VLOOKUP($F8,Arrangörslista!G$53:$AG$90,16,FALSE),"DNS")))))),IF(Deltagarlista!$K$3=2,
IF(ISBLANK(Deltagarlista!$C6),"",IF(ISBLANK(Arrangörslista!L$8),"",IF($GV8=S$64," DNS ",IFERROR(VLOOKUP($F8,Arrangörslista!L$8:$AG$45,16,FALSE),"DNS")))),IF(ISBLANK(Deltagarlista!$C6),"",IF(ISBLANK(Arrangörslista!L$8),"",IFERROR(VLOOKUP($F8,Arrangörslista!L$8:$AG$45,16,FALSE),"DNS")))))</f>
        <v/>
      </c>
      <c r="T8" s="5" t="str">
        <f>IF(Deltagarlista!$K$3=4,IF(ISBLANK(Deltagarlista!$C6),"",IF(ISBLANK(Arrangörslista!H$53),"",IFERROR(VLOOKUP($F8,Arrangörslista!H$53:$AG$90,16,FALSE),IF(ISBLANK(Deltagarlista!$C6),"",IF(ISBLANK(Arrangörslista!H$53),"",IFERROR(VLOOKUP($F8,Arrangörslista!I$53:$AG$90,16,FALSE),"DNS")))))),IF(Deltagarlista!$K$3=2,
IF(ISBLANK(Deltagarlista!$C6),"",IF(ISBLANK(Arrangörslista!M$8),"",IF($GV8=T$64," DNS ",IFERROR(VLOOKUP($F8,Arrangörslista!M$8:$AG$45,16,FALSE),"DNS")))),IF(ISBLANK(Deltagarlista!$C6),"",IF(ISBLANK(Arrangörslista!M$8),"",IFERROR(VLOOKUP($F8,Arrangörslista!M$8:$AG$45,16,FALSE),"DNS")))))</f>
        <v/>
      </c>
      <c r="U8" s="5" t="str">
        <f>IF(Deltagarlista!$K$3=4,IF(ISBLANK(Deltagarlista!$C6),"",IF(ISBLANK(Arrangörslista!J$53),"",IFERROR(VLOOKUP($F8,Arrangörslista!J$53:$AG$90,16,FALSE),IF(ISBLANK(Deltagarlista!$C6),"",IF(ISBLANK(Arrangörslista!J$53),"",IFERROR(VLOOKUP($F8,Arrangörslista!K$53:$AG$90,16,FALSE),"DNS")))))),IF(Deltagarlista!$K$3=2,
IF(ISBLANK(Deltagarlista!$C6),"",IF(ISBLANK(Arrangörslista!N$8),"",IF($GV8=U$64," DNS ",IFERROR(VLOOKUP($F8,Arrangörslista!N$8:$AG$45,16,FALSE),"DNS")))),IF(ISBLANK(Deltagarlista!$C6),"",IF(ISBLANK(Arrangörslista!N$8),"",IFERROR(VLOOKUP($F8,Arrangörslista!N$8:$AG$45,16,FALSE),"DNS")))))</f>
        <v/>
      </c>
      <c r="V8" s="5" t="str">
        <f>IF(Deltagarlista!$K$3=4,IF(ISBLANK(Deltagarlista!$C6),"",IF(ISBLANK(Arrangörslista!L$53),"",IFERROR(VLOOKUP($F8,Arrangörslista!L$53:$AG$90,16,FALSE),IF(ISBLANK(Deltagarlista!$C6),"",IF(ISBLANK(Arrangörslista!L$53),"",IFERROR(VLOOKUP($F8,Arrangörslista!M$53:$AG$90,16,FALSE),"DNS")))))),IF(Deltagarlista!$K$3=2,
IF(ISBLANK(Deltagarlista!$C6),"",IF(ISBLANK(Arrangörslista!O$8),"",IF($GV8=V$64," DNS ",IFERROR(VLOOKUP($F8,Arrangörslista!O$8:$AG$45,16,FALSE),"DNS")))),IF(ISBLANK(Deltagarlista!$C6),"",IF(ISBLANK(Arrangörslista!O$8),"",IFERROR(VLOOKUP($F8,Arrangörslista!O$8:$AG$45,16,FALSE),"DNS")))))</f>
        <v/>
      </c>
      <c r="W8" s="5" t="str">
        <f>IF(Deltagarlista!$K$3=4,IF(ISBLANK(Deltagarlista!$C6),"",IF(ISBLANK(Arrangörslista!N$53),"",IFERROR(VLOOKUP($F8,Arrangörslista!N$53:$AG$90,16,FALSE),IF(ISBLANK(Deltagarlista!$C6),"",IF(ISBLANK(Arrangörslista!N$53),"",IFERROR(VLOOKUP($F8,Arrangörslista!O$53:$AG$90,16,FALSE),"DNS")))))),IF(Deltagarlista!$K$3=2,
IF(ISBLANK(Deltagarlista!$C6),"",IF(ISBLANK(Arrangörslista!P$8),"",IF($GV8=W$64," DNS ",IFERROR(VLOOKUP($F8,Arrangörslista!P$8:$AG$45,16,FALSE),"DNS")))),IF(ISBLANK(Deltagarlista!$C6),"",IF(ISBLANK(Arrangörslista!P$8),"",IFERROR(VLOOKUP($F8,Arrangörslista!P$8:$AG$45,16,FALSE),"DNS")))))</f>
        <v/>
      </c>
      <c r="X8" s="5" t="str">
        <f>IF(Deltagarlista!$K$3=4,IF(ISBLANK(Deltagarlista!$C6),"",IF(ISBLANK(Arrangörslista!P$53),"",IFERROR(VLOOKUP($F8,Arrangörslista!P$53:$AG$90,16,FALSE),IF(ISBLANK(Deltagarlista!$C6),"",IF(ISBLANK(Arrangörslista!P$53),"",IFERROR(VLOOKUP($F8,Arrangörslista!Q$53:$AG$90,16,FALSE),"DNS")))))),IF(Deltagarlista!$K$3=2,
IF(ISBLANK(Deltagarlista!$C6),"",IF(ISBLANK(Arrangörslista!Q$8),"",IF($GV8=X$64," DNS ",IFERROR(VLOOKUP($F8,Arrangörslista!Q$8:$AG$45,16,FALSE),"DNS")))),IF(ISBLANK(Deltagarlista!$C6),"",IF(ISBLANK(Arrangörslista!Q$8),"",IFERROR(VLOOKUP($F8,Arrangörslista!Q$8:$AG$45,16,FALSE),"DNS")))))</f>
        <v/>
      </c>
      <c r="Y8" s="5" t="str">
        <f>IF(Deltagarlista!$K$3=4,IF(ISBLANK(Deltagarlista!$C6),"",IF(ISBLANK(Arrangörslista!C$98),"",IFERROR(VLOOKUP($F8,Arrangörslista!C$98:$AG$135,16,FALSE),IF(ISBLANK(Deltagarlista!$C6),"",IF(ISBLANK(Arrangörslista!C$98),"",IFERROR(VLOOKUP($F8,Arrangörslista!D$98:$AG$135,16,FALSE),"DNS")))))),IF(Deltagarlista!$K$3=2,
IF(ISBLANK(Deltagarlista!$C6),"",IF(ISBLANK(Arrangörslista!C$53),"",IF($GV8=Y$64," DNS ",IFERROR(VLOOKUP($F8,Arrangörslista!C$53:$AG$90,16,FALSE),"DNS")))),IF(ISBLANK(Deltagarlista!$C6),"",IF(ISBLANK(Arrangörslista!C$53),"",IFERROR(VLOOKUP($F8,Arrangörslista!C$53:$AG$90,16,FALSE),"DNS")))))</f>
        <v/>
      </c>
      <c r="Z8" s="5" t="str">
        <f>IF(Deltagarlista!$K$3=4,IF(ISBLANK(Deltagarlista!$C6),"",IF(ISBLANK(Arrangörslista!E$98),"",IFERROR(VLOOKUP($F8,Arrangörslista!E$98:$AG$135,16,FALSE),IF(ISBLANK(Deltagarlista!$C6),"",IF(ISBLANK(Arrangörslista!E$98),"",IFERROR(VLOOKUP($F8,Arrangörslista!F$98:$AG$135,16,FALSE),"DNS")))))),IF(Deltagarlista!$K$3=2,
IF(ISBLANK(Deltagarlista!$C6),"",IF(ISBLANK(Arrangörslista!D$53),"",IF($GV8=Z$64," DNS ",IFERROR(VLOOKUP($F8,Arrangörslista!D$53:$AG$90,16,FALSE),"DNS")))),IF(ISBLANK(Deltagarlista!$C6),"",IF(ISBLANK(Arrangörslista!D$53),"",IFERROR(VLOOKUP($F8,Arrangörslista!D$53:$AG$90,16,FALSE),"DNS")))))</f>
        <v/>
      </c>
      <c r="AA8" s="5" t="str">
        <f>IF(Deltagarlista!$K$3=4,IF(ISBLANK(Deltagarlista!$C6),"",IF(ISBLANK(Arrangörslista!G$98),"",IFERROR(VLOOKUP($F8,Arrangörslista!G$98:$AG$135,16,FALSE),IF(ISBLANK(Deltagarlista!$C6),"",IF(ISBLANK(Arrangörslista!G$98),"",IFERROR(VLOOKUP($F8,Arrangörslista!H$98:$AG$135,16,FALSE),"DNS")))))),IF(Deltagarlista!$K$3=2,
IF(ISBLANK(Deltagarlista!$C6),"",IF(ISBLANK(Arrangörslista!E$53),"",IF($GV8=AA$64," DNS ",IFERROR(VLOOKUP($F8,Arrangörslista!E$53:$AG$90,16,FALSE),"DNS")))),IF(ISBLANK(Deltagarlista!$C6),"",IF(ISBLANK(Arrangörslista!E$53),"",IFERROR(VLOOKUP($F8,Arrangörslista!E$53:$AG$90,16,FALSE),"DNS")))))</f>
        <v/>
      </c>
      <c r="AB8" s="5" t="str">
        <f>IF(Deltagarlista!$K$3=4,IF(ISBLANK(Deltagarlista!$C6),"",IF(ISBLANK(Arrangörslista!I$98),"",IFERROR(VLOOKUP($F8,Arrangörslista!I$98:$AG$135,16,FALSE),IF(ISBLANK(Deltagarlista!$C6),"",IF(ISBLANK(Arrangörslista!I$98),"",IFERROR(VLOOKUP($F8,Arrangörslista!J$98:$AG$135,16,FALSE),"DNS")))))),IF(Deltagarlista!$K$3=2,
IF(ISBLANK(Deltagarlista!$C6),"",IF(ISBLANK(Arrangörslista!F$53),"",IF($GV8=AB$64," DNS ",IFERROR(VLOOKUP($F8,Arrangörslista!F$53:$AG$90,16,FALSE),"DNS")))),IF(ISBLANK(Deltagarlista!$C6),"",IF(ISBLANK(Arrangörslista!F$53),"",IFERROR(VLOOKUP($F8,Arrangörslista!F$53:$AG$90,16,FALSE),"DNS")))))</f>
        <v/>
      </c>
      <c r="AC8" s="5" t="str">
        <f>IF(Deltagarlista!$K$3=4,IF(ISBLANK(Deltagarlista!$C6),"",IF(ISBLANK(Arrangörslista!K$98),"",IFERROR(VLOOKUP($F8,Arrangörslista!K$98:$AG$135,16,FALSE),IF(ISBLANK(Deltagarlista!$C6),"",IF(ISBLANK(Arrangörslista!K$98),"",IFERROR(VLOOKUP($F8,Arrangörslista!L$98:$AG$135,16,FALSE),"DNS")))))),IF(Deltagarlista!$K$3=2,
IF(ISBLANK(Deltagarlista!$C6),"",IF(ISBLANK(Arrangörslista!G$53),"",IF($GV8=AC$64," DNS ",IFERROR(VLOOKUP($F8,Arrangörslista!G$53:$AG$90,16,FALSE),"DNS")))),IF(ISBLANK(Deltagarlista!$C6),"",IF(ISBLANK(Arrangörslista!G$53),"",IFERROR(VLOOKUP($F8,Arrangörslista!G$53:$AG$90,16,FALSE),"DNS")))))</f>
        <v/>
      </c>
      <c r="AD8" s="5" t="str">
        <f>IF(Deltagarlista!$K$3=4,IF(ISBLANK(Deltagarlista!$C6),"",IF(ISBLANK(Arrangörslista!M$98),"",IFERROR(VLOOKUP($F8,Arrangörslista!M$98:$AG$135,16,FALSE),IF(ISBLANK(Deltagarlista!$C6),"",IF(ISBLANK(Arrangörslista!M$98),"",IFERROR(VLOOKUP($F8,Arrangörslista!N$98:$AG$135,16,FALSE),"DNS")))))),IF(Deltagarlista!$K$3=2,
IF(ISBLANK(Deltagarlista!$C6),"",IF(ISBLANK(Arrangörslista!H$53),"",IF($GV8=AD$64," DNS ",IFERROR(VLOOKUP($F8,Arrangörslista!H$53:$AG$90,16,FALSE),"DNS")))),IF(ISBLANK(Deltagarlista!$C6),"",IF(ISBLANK(Arrangörslista!H$53),"",IFERROR(VLOOKUP($F8,Arrangörslista!H$53:$AG$90,16,FALSE),"DNS")))))</f>
        <v/>
      </c>
      <c r="AE8" s="5" t="str">
        <f>IF(Deltagarlista!$K$3=4,IF(ISBLANK(Deltagarlista!$C6),"",IF(ISBLANK(Arrangörslista!O$98),"",IFERROR(VLOOKUP($F8,Arrangörslista!O$98:$AG$135,16,FALSE),IF(ISBLANK(Deltagarlista!$C6),"",IF(ISBLANK(Arrangörslista!O$98),"",IFERROR(VLOOKUP($F8,Arrangörslista!P$98:$AG$135,16,FALSE),"DNS")))))),IF(Deltagarlista!$K$3=2,
IF(ISBLANK(Deltagarlista!$C6),"",IF(ISBLANK(Arrangörslista!I$53),"",IF($GV8=AE$64," DNS ",IFERROR(VLOOKUP($F8,Arrangörslista!I$53:$AG$90,16,FALSE),"DNS")))),IF(ISBLANK(Deltagarlista!$C6),"",IF(ISBLANK(Arrangörslista!I$53),"",IFERROR(VLOOKUP($F8,Arrangörslista!I$53:$AG$90,16,FALSE),"DNS")))))</f>
        <v/>
      </c>
      <c r="AF8" s="5" t="str">
        <f>IF(Deltagarlista!$K$3=4,IF(ISBLANK(Deltagarlista!$C6),"",IF(ISBLANK(Arrangörslista!Q$98),"",IFERROR(VLOOKUP($F8,Arrangörslista!Q$98:$AG$135,16,FALSE),IF(ISBLANK(Deltagarlista!$C6),"",IF(ISBLANK(Arrangörslista!Q$98),"",IFERROR(VLOOKUP($F8,Arrangörslista!C$143:$AG$180,16,FALSE),"DNS")))))),IF(Deltagarlista!$K$3=2,
IF(ISBLANK(Deltagarlista!$C6),"",IF(ISBLANK(Arrangörslista!J$53),"",IF($GV8=AF$64," DNS ",IFERROR(VLOOKUP($F8,Arrangörslista!J$53:$AG$90,16,FALSE),"DNS")))),IF(ISBLANK(Deltagarlista!$C6),"",IF(ISBLANK(Arrangörslista!J$53),"",IFERROR(VLOOKUP($F8,Arrangörslista!J$53:$AG$90,16,FALSE),"DNS")))))</f>
        <v/>
      </c>
      <c r="AG8" s="5" t="str">
        <f>IF(Deltagarlista!$K$3=4,IF(ISBLANK(Deltagarlista!$C6),"",IF(ISBLANK(Arrangörslista!D$143),"",IFERROR(VLOOKUP($F8,Arrangörslista!D$143:$AG$180,16,FALSE),IF(ISBLANK(Deltagarlista!$C6),"",IF(ISBLANK(Arrangörslista!D$143),"",IFERROR(VLOOKUP($F8,Arrangörslista!E$143:$AG$180,16,FALSE),"DNS")))))),IF(Deltagarlista!$K$3=2,
IF(ISBLANK(Deltagarlista!$C6),"",IF(ISBLANK(Arrangörslista!K$53),"",IF($GV8=AG$64," DNS ",IFERROR(VLOOKUP($F8,Arrangörslista!K$53:$AG$90,16,FALSE),"DNS")))),IF(ISBLANK(Deltagarlista!$C6),"",IF(ISBLANK(Arrangörslista!K$53),"",IFERROR(VLOOKUP($F8,Arrangörslista!K$53:$AG$90,16,FALSE),"DNS")))))</f>
        <v/>
      </c>
      <c r="AH8" s="5" t="str">
        <f>IF(Deltagarlista!$K$3=4,IF(ISBLANK(Deltagarlista!$C6),"",IF(ISBLANK(Arrangörslista!F$143),"",IFERROR(VLOOKUP($F8,Arrangörslista!F$143:$AG$180,16,FALSE),IF(ISBLANK(Deltagarlista!$C6),"",IF(ISBLANK(Arrangörslista!F$143),"",IFERROR(VLOOKUP($F8,Arrangörslista!G$143:$AG$180,16,FALSE),"DNS")))))),IF(Deltagarlista!$K$3=2,
IF(ISBLANK(Deltagarlista!$C6),"",IF(ISBLANK(Arrangörslista!L$53),"",IF($GV8=AH$64," DNS ",IFERROR(VLOOKUP($F8,Arrangörslista!L$53:$AG$90,16,FALSE),"DNS")))),IF(ISBLANK(Deltagarlista!$C6),"",IF(ISBLANK(Arrangörslista!L$53),"",IFERROR(VLOOKUP($F8,Arrangörslista!L$53:$AG$90,16,FALSE),"DNS")))))</f>
        <v/>
      </c>
      <c r="AI8" s="5" t="str">
        <f>IF(Deltagarlista!$K$3=4,IF(ISBLANK(Deltagarlista!$C6),"",IF(ISBLANK(Arrangörslista!H$143),"",IFERROR(VLOOKUP($F8,Arrangörslista!H$143:$AG$180,16,FALSE),IF(ISBLANK(Deltagarlista!$C6),"",IF(ISBLANK(Arrangörslista!H$143),"",IFERROR(VLOOKUP($F8,Arrangörslista!I$143:$AG$180,16,FALSE),"DNS")))))),IF(Deltagarlista!$K$3=2,
IF(ISBLANK(Deltagarlista!$C6),"",IF(ISBLANK(Arrangörslista!M$53),"",IF($GV8=AI$64," DNS ",IFERROR(VLOOKUP($F8,Arrangörslista!M$53:$AG$90,16,FALSE),"DNS")))),IF(ISBLANK(Deltagarlista!$C6),"",IF(ISBLANK(Arrangörslista!M$53),"",IFERROR(VLOOKUP($F8,Arrangörslista!M$53:$AG$90,16,FALSE),"DNS")))))</f>
        <v/>
      </c>
      <c r="AJ8" s="5" t="str">
        <f>IF(Deltagarlista!$K$3=4,IF(ISBLANK(Deltagarlista!$C6),"",IF(ISBLANK(Arrangörslista!J$143),"",IFERROR(VLOOKUP($F8,Arrangörslista!J$143:$AG$180,16,FALSE),IF(ISBLANK(Deltagarlista!$C6),"",IF(ISBLANK(Arrangörslista!J$143),"",IFERROR(VLOOKUP($F8,Arrangörslista!K$143:$AG$180,16,FALSE),"DNS")))))),IF(Deltagarlista!$K$3=2,
IF(ISBLANK(Deltagarlista!$C6),"",IF(ISBLANK(Arrangörslista!N$53),"",IF($GV8=AJ$64," DNS ",IFERROR(VLOOKUP($F8,Arrangörslista!N$53:$AG$90,16,FALSE),"DNS")))),IF(ISBLANK(Deltagarlista!$C6),"",IF(ISBLANK(Arrangörslista!N$53),"",IFERROR(VLOOKUP($F8,Arrangörslista!N$53:$AG$90,16,FALSE),"DNS")))))</f>
        <v/>
      </c>
      <c r="AK8" s="5" t="str">
        <f>IF(Deltagarlista!$K$3=4,IF(ISBLANK(Deltagarlista!$C6),"",IF(ISBLANK(Arrangörslista!L$143),"",IFERROR(VLOOKUP($F8,Arrangörslista!L$143:$AG$180,16,FALSE),IF(ISBLANK(Deltagarlista!$C6),"",IF(ISBLANK(Arrangörslista!L$143),"",IFERROR(VLOOKUP($F8,Arrangörslista!M$143:$AG$180,16,FALSE),"DNS")))))),IF(Deltagarlista!$K$3=2,
IF(ISBLANK(Deltagarlista!$C6),"",IF(ISBLANK(Arrangörslista!O$53),"",IF($GV8=AK$64," DNS ",IFERROR(VLOOKUP($F8,Arrangörslista!O$53:$AG$90,16,FALSE),"DNS")))),IF(ISBLANK(Deltagarlista!$C6),"",IF(ISBLANK(Arrangörslista!O$53),"",IFERROR(VLOOKUP($F8,Arrangörslista!O$53:$AG$90,16,FALSE),"DNS")))))</f>
        <v/>
      </c>
      <c r="AL8" s="5" t="str">
        <f>IF(Deltagarlista!$K$3=4,IF(ISBLANK(Deltagarlista!$C6),"",IF(ISBLANK(Arrangörslista!N$143),"",IFERROR(VLOOKUP($F8,Arrangörslista!N$143:$AG$180,16,FALSE),IF(ISBLANK(Deltagarlista!$C6),"",IF(ISBLANK(Arrangörslista!N$143),"",IFERROR(VLOOKUP($F8,Arrangörslista!O$143:$AG$180,16,FALSE),"DNS")))))),IF(Deltagarlista!$K$3=2,
IF(ISBLANK(Deltagarlista!$C6),"",IF(ISBLANK(Arrangörslista!P$53),"",IF($GV8=AL$64," DNS ",IFERROR(VLOOKUP($F8,Arrangörslista!P$53:$AG$90,16,FALSE),"DNS")))),IF(ISBLANK(Deltagarlista!$C6),"",IF(ISBLANK(Arrangörslista!P$53),"",IFERROR(VLOOKUP($F8,Arrangörslista!P$53:$AG$90,16,FALSE),"DNS")))))</f>
        <v/>
      </c>
      <c r="AM8" s="5" t="str">
        <f>IF(Deltagarlista!$K$3=4,IF(ISBLANK(Deltagarlista!$C6),"",IF(ISBLANK(Arrangörslista!P$143),"",IFERROR(VLOOKUP($F8,Arrangörslista!P$143:$AG$180,16,FALSE),IF(ISBLANK(Deltagarlista!$C6),"",IF(ISBLANK(Arrangörslista!P$143),"",IFERROR(VLOOKUP($F8,Arrangörslista!Q$143:$AG$180,16,FALSE),"DNS")))))),IF(Deltagarlista!$K$3=2,
IF(ISBLANK(Deltagarlista!$C6),"",IF(ISBLANK(Arrangörslista!Q$53),"",IF($GV8=AM$64," DNS ",IFERROR(VLOOKUP($F8,Arrangörslista!Q$53:$AG$90,16,FALSE),"DNS")))),IF(ISBLANK(Deltagarlista!$C6),"",IF(ISBLANK(Arrangörslista!Q$53),"",IFERROR(VLOOKUP($F8,Arrangörslista!Q$53:$AG$90,16,FALSE),"DNS")))))</f>
        <v/>
      </c>
      <c r="AN8" s="5" t="str">
        <f>IF(Deltagarlista!$K$3=2,
IF(ISBLANK(Deltagarlista!$C6),"",IF(ISBLANK(Arrangörslista!C$98),"",IF($GV8=AN$64," DNS ",IFERROR(VLOOKUP($F8,Arrangörslista!C$98:$AG$135,16,FALSE), "DNS")))), IF(Deltagarlista!$K$3=1,IF(ISBLANK(Deltagarlista!$C6),"",IF(ISBLANK(Arrangörslista!C$98),"",IFERROR(VLOOKUP($F8,Arrangörslista!C$98:$AG$135,16,FALSE), "DNS"))),""))</f>
        <v/>
      </c>
      <c r="AO8" s="5" t="str">
        <f>IF(Deltagarlista!$K$3=2,
IF(ISBLANK(Deltagarlista!$C6),"",IF(ISBLANK(Arrangörslista!D$98),"",IF($GV8=AO$64," DNS ",IFERROR(VLOOKUP($F8,Arrangörslista!D$98:$AG$135,16,FALSE), "DNS")))), IF(Deltagarlista!$K$3=1,IF(ISBLANK(Deltagarlista!$C6),"",IF(ISBLANK(Arrangörslista!D$98),"",IFERROR(VLOOKUP($F8,Arrangörslista!D$98:$AG$135,16,FALSE), "DNS"))),""))</f>
        <v/>
      </c>
      <c r="AP8" s="5" t="str">
        <f>IF(Deltagarlista!$K$3=2,
IF(ISBLANK(Deltagarlista!$C6),"",IF(ISBLANK(Arrangörslista!E$98),"",IF($GV8=AP$64," DNS ",IFERROR(VLOOKUP($F8,Arrangörslista!E$98:$AG$135,16,FALSE), "DNS")))), IF(Deltagarlista!$K$3=1,IF(ISBLANK(Deltagarlista!$C6),"",IF(ISBLANK(Arrangörslista!E$98),"",IFERROR(VLOOKUP($F8,Arrangörslista!E$98:$AG$135,16,FALSE), "DNS"))),""))</f>
        <v/>
      </c>
      <c r="AQ8" s="5" t="str">
        <f>IF(Deltagarlista!$K$3=2,
IF(ISBLANK(Deltagarlista!$C6),"",IF(ISBLANK(Arrangörslista!F$98),"",IF($GV8=AQ$64," DNS ",IFERROR(VLOOKUP($F8,Arrangörslista!F$98:$AG$135,16,FALSE), "DNS")))), IF(Deltagarlista!$K$3=1,IF(ISBLANK(Deltagarlista!$C6),"",IF(ISBLANK(Arrangörslista!F$98),"",IFERROR(VLOOKUP($F8,Arrangörslista!F$98:$AG$135,16,FALSE), "DNS"))),""))</f>
        <v/>
      </c>
      <c r="AR8" s="5" t="str">
        <f>IF(Deltagarlista!$K$3=2,
IF(ISBLANK(Deltagarlista!$C6),"",IF(ISBLANK(Arrangörslista!G$98),"",IF($GV8=AR$64," DNS ",IFERROR(VLOOKUP($F8,Arrangörslista!G$98:$AG$135,16,FALSE), "DNS")))), IF(Deltagarlista!$K$3=1,IF(ISBLANK(Deltagarlista!$C6),"",IF(ISBLANK(Arrangörslista!G$98),"",IFERROR(VLOOKUP($F8,Arrangörslista!G$98:$AG$135,16,FALSE), "DNS"))),""))</f>
        <v/>
      </c>
      <c r="AS8" s="5" t="str">
        <f>IF(Deltagarlista!$K$3=2,
IF(ISBLANK(Deltagarlista!$C6),"",IF(ISBLANK(Arrangörslista!H$98),"",IF($GV8=AS$64," DNS ",IFERROR(VLOOKUP($F8,Arrangörslista!H$98:$AG$135,16,FALSE), "DNS")))), IF(Deltagarlista!$K$3=1,IF(ISBLANK(Deltagarlista!$C6),"",IF(ISBLANK(Arrangörslista!H$98),"",IFERROR(VLOOKUP($F8,Arrangörslista!H$98:$AG$135,16,FALSE), "DNS"))),""))</f>
        <v/>
      </c>
      <c r="AT8" s="5" t="str">
        <f>IF(Deltagarlista!$K$3=2,
IF(ISBLANK(Deltagarlista!$C6),"",IF(ISBLANK(Arrangörslista!I$98),"",IF($GV8=AT$64," DNS ",IFERROR(VLOOKUP($F8,Arrangörslista!I$98:$AG$135,16,FALSE), "DNS")))), IF(Deltagarlista!$K$3=1,IF(ISBLANK(Deltagarlista!$C6),"",IF(ISBLANK(Arrangörslista!I$98),"",IFERROR(VLOOKUP($F8,Arrangörslista!I$98:$AG$135,16,FALSE), "DNS"))),""))</f>
        <v/>
      </c>
      <c r="AU8" s="5" t="str">
        <f>IF(Deltagarlista!$K$3=2,
IF(ISBLANK(Deltagarlista!$C6),"",IF(ISBLANK(Arrangörslista!J$98),"",IF($GV8=AU$64," DNS ",IFERROR(VLOOKUP($F8,Arrangörslista!J$98:$AG$135,16,FALSE), "DNS")))), IF(Deltagarlista!$K$3=1,IF(ISBLANK(Deltagarlista!$C6),"",IF(ISBLANK(Arrangörslista!J$98),"",IFERROR(VLOOKUP($F8,Arrangörslista!J$98:$AG$135,16,FALSE), "DNS"))),""))</f>
        <v/>
      </c>
      <c r="AV8" s="5" t="str">
        <f>IF(Deltagarlista!$K$3=2,
IF(ISBLANK(Deltagarlista!$C6),"",IF(ISBLANK(Arrangörslista!K$98),"",IF($GV8=AV$64," DNS ",IFERROR(VLOOKUP($F8,Arrangörslista!K$98:$AG$135,16,FALSE), "DNS")))), IF(Deltagarlista!$K$3=1,IF(ISBLANK(Deltagarlista!$C6),"",IF(ISBLANK(Arrangörslista!K$98),"",IFERROR(VLOOKUP($F8,Arrangörslista!K$98:$AG$135,16,FALSE), "DNS"))),""))</f>
        <v/>
      </c>
      <c r="AW8" s="5" t="str">
        <f>IF(Deltagarlista!$K$3=2,
IF(ISBLANK(Deltagarlista!$C6),"",IF(ISBLANK(Arrangörslista!L$98),"",IF($GV8=AW$64," DNS ",IFERROR(VLOOKUP($F8,Arrangörslista!L$98:$AG$135,16,FALSE), "DNS")))), IF(Deltagarlista!$K$3=1,IF(ISBLANK(Deltagarlista!$C6),"",IF(ISBLANK(Arrangörslista!L$98),"",IFERROR(VLOOKUP($F8,Arrangörslista!L$98:$AG$135,16,FALSE), "DNS"))),""))</f>
        <v/>
      </c>
      <c r="AX8" s="5" t="str">
        <f>IF(Deltagarlista!$K$3=2,
IF(ISBLANK(Deltagarlista!$C6),"",IF(ISBLANK(Arrangörslista!M$98),"",IF($GV8=AX$64," DNS ",IFERROR(VLOOKUP($F8,Arrangörslista!M$98:$AG$135,16,FALSE), "DNS")))), IF(Deltagarlista!$K$3=1,IF(ISBLANK(Deltagarlista!$C6),"",IF(ISBLANK(Arrangörslista!M$98),"",IFERROR(VLOOKUP($F8,Arrangörslista!M$98:$AG$135,16,FALSE), "DNS"))),""))</f>
        <v/>
      </c>
      <c r="AY8" s="5" t="str">
        <f>IF(Deltagarlista!$K$3=2,
IF(ISBLANK(Deltagarlista!$C6),"",IF(ISBLANK(Arrangörslista!N$98),"",IF($GV8=AY$64," DNS ",IFERROR(VLOOKUP($F8,Arrangörslista!N$98:$AG$135,16,FALSE), "DNS")))), IF(Deltagarlista!$K$3=1,IF(ISBLANK(Deltagarlista!$C6),"",IF(ISBLANK(Arrangörslista!N$98),"",IFERROR(VLOOKUP($F8,Arrangörslista!N$98:$AG$135,16,FALSE), "DNS"))),""))</f>
        <v/>
      </c>
      <c r="AZ8" s="5" t="str">
        <f>IF(Deltagarlista!$K$3=2,
IF(ISBLANK(Deltagarlista!$C6),"",IF(ISBLANK(Arrangörslista!O$98),"",IF($GV8=AZ$64," DNS ",IFERROR(VLOOKUP($F8,Arrangörslista!O$98:$AG$135,16,FALSE), "DNS")))), IF(Deltagarlista!$K$3=1,IF(ISBLANK(Deltagarlista!$C6),"",IF(ISBLANK(Arrangörslista!O$98),"",IFERROR(VLOOKUP($F8,Arrangörslista!O$98:$AG$135,16,FALSE), "DNS"))),""))</f>
        <v/>
      </c>
      <c r="BA8" s="5" t="str">
        <f>IF(Deltagarlista!$K$3=2,
IF(ISBLANK(Deltagarlista!$C6),"",IF(ISBLANK(Arrangörslista!P$98),"",IF($GV8=BA$64," DNS ",IFERROR(VLOOKUP($F8,Arrangörslista!P$98:$AG$135,16,FALSE), "DNS")))), IF(Deltagarlista!$K$3=1,IF(ISBLANK(Deltagarlista!$C6),"",IF(ISBLANK(Arrangörslista!P$98),"",IFERROR(VLOOKUP($F8,Arrangörslista!P$98:$AG$135,16,FALSE), "DNS"))),""))</f>
        <v/>
      </c>
      <c r="BB8" s="5" t="str">
        <f>IF(Deltagarlista!$K$3=2,
IF(ISBLANK(Deltagarlista!$C6),"",IF(ISBLANK(Arrangörslista!Q$98),"",IF($GV8=BB$64," DNS ",IFERROR(VLOOKUP($F8,Arrangörslista!Q$98:$AG$135,16,FALSE), "DNS")))), IF(Deltagarlista!$K$3=1,IF(ISBLANK(Deltagarlista!$C6),"",IF(ISBLANK(Arrangörslista!Q$98),"",IFERROR(VLOOKUP($F8,Arrangörslista!Q$98:$AG$135,16,FALSE), "DNS"))),""))</f>
        <v/>
      </c>
      <c r="BC8" s="5" t="str">
        <f>IF(Deltagarlista!$K$3=2,
IF(ISBLANK(Deltagarlista!$C6),"",IF(ISBLANK(Arrangörslista!C$143),"",IF($GV8=BC$64," DNS ",IFERROR(VLOOKUP($F8,Arrangörslista!C$143:$AG$180,16,FALSE), "DNS")))), IF(Deltagarlista!$K$3=1,IF(ISBLANK(Deltagarlista!$C6),"",IF(ISBLANK(Arrangörslista!C$143),"",IFERROR(VLOOKUP($F8,Arrangörslista!C$143:$AG$180,16,FALSE), "DNS"))),""))</f>
        <v/>
      </c>
      <c r="BD8" s="5" t="str">
        <f>IF(Deltagarlista!$K$3=2,
IF(ISBLANK(Deltagarlista!$C6),"",IF(ISBLANK(Arrangörslista!D$143),"",IF($GV8=BD$64," DNS ",IFERROR(VLOOKUP($F8,Arrangörslista!D$143:$AG$180,16,FALSE), "DNS")))), IF(Deltagarlista!$K$3=1,IF(ISBLANK(Deltagarlista!$C6),"",IF(ISBLANK(Arrangörslista!D$143),"",IFERROR(VLOOKUP($F8,Arrangörslista!D$143:$AG$180,16,FALSE), "DNS"))),""))</f>
        <v/>
      </c>
      <c r="BE8" s="5" t="str">
        <f>IF(Deltagarlista!$K$3=2,
IF(ISBLANK(Deltagarlista!$C6),"",IF(ISBLANK(Arrangörslista!E$143),"",IF($GV8=BE$64," DNS ",IFERROR(VLOOKUP($F8,Arrangörslista!E$143:$AG$180,16,FALSE), "DNS")))), IF(Deltagarlista!$K$3=1,IF(ISBLANK(Deltagarlista!$C6),"",IF(ISBLANK(Arrangörslista!E$143),"",IFERROR(VLOOKUP($F8,Arrangörslista!E$143:$AG$180,16,FALSE), "DNS"))),""))</f>
        <v/>
      </c>
      <c r="BF8" s="5" t="str">
        <f>IF(Deltagarlista!$K$3=2,
IF(ISBLANK(Deltagarlista!$C6),"",IF(ISBLANK(Arrangörslista!F$143),"",IF($GV8=BF$64," DNS ",IFERROR(VLOOKUP($F8,Arrangörslista!F$143:$AG$180,16,FALSE), "DNS")))), IF(Deltagarlista!$K$3=1,IF(ISBLANK(Deltagarlista!$C6),"",IF(ISBLANK(Arrangörslista!F$143),"",IFERROR(VLOOKUP($F8,Arrangörslista!F$143:$AG$180,16,FALSE), "DNS"))),""))</f>
        <v/>
      </c>
      <c r="BG8" s="5" t="str">
        <f>IF(Deltagarlista!$K$3=2,
IF(ISBLANK(Deltagarlista!$C6),"",IF(ISBLANK(Arrangörslista!G$143),"",IF($GV8=BG$64," DNS ",IFERROR(VLOOKUP($F8,Arrangörslista!G$143:$AG$180,16,FALSE), "DNS")))), IF(Deltagarlista!$K$3=1,IF(ISBLANK(Deltagarlista!$C6),"",IF(ISBLANK(Arrangörslista!G$143),"",IFERROR(VLOOKUP($F8,Arrangörslista!G$143:$AG$180,16,FALSE), "DNS"))),""))</f>
        <v/>
      </c>
      <c r="BH8" s="5" t="str">
        <f>IF(Deltagarlista!$K$3=2,
IF(ISBLANK(Deltagarlista!$C6),"",IF(ISBLANK(Arrangörslista!H$143),"",IF($GV8=BH$64," DNS ",IFERROR(VLOOKUP($F8,Arrangörslista!H$143:$AG$180,16,FALSE), "DNS")))), IF(Deltagarlista!$K$3=1,IF(ISBLANK(Deltagarlista!$C6),"",IF(ISBLANK(Arrangörslista!H$143),"",IFERROR(VLOOKUP($F8,Arrangörslista!H$143:$AG$180,16,FALSE), "DNS"))),""))</f>
        <v/>
      </c>
      <c r="BI8" s="5" t="str">
        <f>IF(Deltagarlista!$K$3=2,
IF(ISBLANK(Deltagarlista!$C6),"",IF(ISBLANK(Arrangörslista!I$143),"",IF($GV8=BI$64," DNS ",IFERROR(VLOOKUP($F8,Arrangörslista!I$143:$AG$180,16,FALSE), "DNS")))), IF(Deltagarlista!$K$3=1,IF(ISBLANK(Deltagarlista!$C6),"",IF(ISBLANK(Arrangörslista!I$143),"",IFERROR(VLOOKUP($F8,Arrangörslista!I$143:$AG$180,16,FALSE), "DNS"))),""))</f>
        <v/>
      </c>
      <c r="BJ8" s="5" t="str">
        <f>IF(Deltagarlista!$K$3=2,
IF(ISBLANK(Deltagarlista!$C6),"",IF(ISBLANK(Arrangörslista!J$143),"",IF($GV8=BJ$64," DNS ",IFERROR(VLOOKUP($F8,Arrangörslista!J$143:$AG$180,16,FALSE), "DNS")))), IF(Deltagarlista!$K$3=1,IF(ISBLANK(Deltagarlista!$C6),"",IF(ISBLANK(Arrangörslista!J$143),"",IFERROR(VLOOKUP($F8,Arrangörslista!J$143:$AG$180,16,FALSE), "DNS"))),""))</f>
        <v/>
      </c>
      <c r="BK8" s="5" t="str">
        <f>IF(Deltagarlista!$K$3=2,
IF(ISBLANK(Deltagarlista!$C6),"",IF(ISBLANK(Arrangörslista!K$143),"",IF($GV8=BK$64," DNS ",IFERROR(VLOOKUP($F8,Arrangörslista!K$143:$AG$180,16,FALSE), "DNS")))), IF(Deltagarlista!$K$3=1,IF(ISBLANK(Deltagarlista!$C6),"",IF(ISBLANK(Arrangörslista!K$143),"",IFERROR(VLOOKUP($F8,Arrangörslista!K$143:$AG$180,16,FALSE), "DNS"))),""))</f>
        <v/>
      </c>
      <c r="BL8" s="5" t="str">
        <f>IF(Deltagarlista!$K$3=2,
IF(ISBLANK(Deltagarlista!$C6),"",IF(ISBLANK(Arrangörslista!L$143),"",IF($GV8=BL$64," DNS ",IFERROR(VLOOKUP($F8,Arrangörslista!L$143:$AG$180,16,FALSE), "DNS")))), IF(Deltagarlista!$K$3=1,IF(ISBLANK(Deltagarlista!$C6),"",IF(ISBLANK(Arrangörslista!L$143),"",IFERROR(VLOOKUP($F8,Arrangörslista!L$143:$AG$180,16,FALSE), "DNS"))),""))</f>
        <v/>
      </c>
      <c r="BM8" s="5" t="str">
        <f>IF(Deltagarlista!$K$3=2,
IF(ISBLANK(Deltagarlista!$C6),"",IF(ISBLANK(Arrangörslista!M$143),"",IF($GV8=BM$64," DNS ",IFERROR(VLOOKUP($F8,Arrangörslista!M$143:$AG$180,16,FALSE), "DNS")))), IF(Deltagarlista!$K$3=1,IF(ISBLANK(Deltagarlista!$C6),"",IF(ISBLANK(Arrangörslista!M$143),"",IFERROR(VLOOKUP($F8,Arrangörslista!M$143:$AG$180,16,FALSE), "DNS"))),""))</f>
        <v/>
      </c>
      <c r="BN8" s="5" t="str">
        <f>IF(Deltagarlista!$K$3=2,
IF(ISBLANK(Deltagarlista!$C6),"",IF(ISBLANK(Arrangörslista!N$143),"",IF($GV8=BN$64," DNS ",IFERROR(VLOOKUP($F8,Arrangörslista!N$143:$AG$180,16,FALSE), "DNS")))), IF(Deltagarlista!$K$3=1,IF(ISBLANK(Deltagarlista!$C6),"",IF(ISBLANK(Arrangörslista!N$143),"",IFERROR(VLOOKUP($F8,Arrangörslista!N$143:$AG$180,16,FALSE), "DNS"))),""))</f>
        <v/>
      </c>
      <c r="BO8" s="5" t="str">
        <f>IF(Deltagarlista!$K$3=2,
IF(ISBLANK(Deltagarlista!$C6),"",IF(ISBLANK(Arrangörslista!O$143),"",IF($GV8=BO$64," DNS ",IFERROR(VLOOKUP($F8,Arrangörslista!O$143:$AG$180,16,FALSE), "DNS")))), IF(Deltagarlista!$K$3=1,IF(ISBLANK(Deltagarlista!$C6),"",IF(ISBLANK(Arrangörslista!O$143),"",IFERROR(VLOOKUP($F8,Arrangörslista!O$143:$AG$180,16,FALSE), "DNS"))),""))</f>
        <v/>
      </c>
      <c r="BP8" s="5" t="str">
        <f>IF(Deltagarlista!$K$3=2,
IF(ISBLANK(Deltagarlista!$C6),"",IF(ISBLANK(Arrangörslista!P$143),"",IF($GV8=BP$64," DNS ",IFERROR(VLOOKUP($F8,Arrangörslista!P$143:$AG$180,16,FALSE), "DNS")))), IF(Deltagarlista!$K$3=1,IF(ISBLANK(Deltagarlista!$C6),"",IF(ISBLANK(Arrangörslista!P$143),"",IFERROR(VLOOKUP($F8,Arrangörslista!P$143:$AG$180,16,FALSE), "DNS"))),""))</f>
        <v/>
      </c>
      <c r="BQ8" s="80" t="str">
        <f>IF(Deltagarlista!$K$3=2,
IF(ISBLANK(Deltagarlista!$C6),"",IF(ISBLANK(Arrangörslista!Q$143),"",IF($GV8=BQ$64," DNS ",IFERROR(VLOOKUP($F8,Arrangörslista!Q$143:$AG$180,16,FALSE), "DNS")))), IF(Deltagarlista!$K$3=1,IF(ISBLANK(Deltagarlista!$C6),"",IF(ISBLANK(Arrangörslista!Q$143),"",IFERROR(VLOOKUP($F8,Arrangörslista!Q$143:$AG$180,16,FALSE), "DNS"))),""))</f>
        <v/>
      </c>
      <c r="BR8" s="51"/>
      <c r="BS8" s="51"/>
      <c r="BT8" s="51"/>
      <c r="BU8" s="71">
        <f>SUM(BV8:EC8)</f>
        <v>0</v>
      </c>
      <c r="BV8" s="61">
        <f>IF(J8="",0,IF(OR(J8="DNF",J8="OCS",J8="DSQ",J8="DNS",J8=" DNS "),$BW$3+1,J8))</f>
        <v>0</v>
      </c>
      <c r="BW8" s="61">
        <f>IF(K8="",0,IF(OR(K8="DNF",K8="OCS",K8="DSQ",K8="DNS",K8=" DNS "),$BW$3+1,K8))</f>
        <v>0</v>
      </c>
      <c r="BX8" s="61">
        <f>IF(L8="",0,IF(OR(L8="DNF",L8="OCS",L8="DSQ",L8="DNS",L8=" DNS "),$BW$3+1,L8))</f>
        <v>0</v>
      </c>
      <c r="BY8" s="61">
        <f>IF(M8="",0,IF(OR(M8="DNF",M8="OCS",M8="DSQ",M8="DNS",M8=" DNS "),$BW$3+1,M8))</f>
        <v>0</v>
      </c>
      <c r="BZ8" s="61">
        <f>IF(N8="",0,IF(OR(N8="DNF",N8="OCS",N8="DSQ",N8="DNS",N8=" DNS "),$BW$3+1,N8))</f>
        <v>0</v>
      </c>
      <c r="CA8" s="61">
        <f>IF(O8="",0,IF(OR(O8="DNF",O8="OCS",O8="DSQ",O8="DNS",O8=" DNS "),$BW$3+1,O8))</f>
        <v>0</v>
      </c>
      <c r="CB8" s="61">
        <f>IF(P8="",0,IF(OR(P8="DNF",P8="OCS",P8="DSQ",P8="DNS",P8=" DNS "),$BW$3+1,P8))</f>
        <v>0</v>
      </c>
      <c r="CC8" s="61">
        <f>IF(Q8="",0,IF(OR(Q8="DNF",Q8="OCS",Q8="DSQ",Q8="DNS",Q8=" DNS "),$BW$3+1,Q8))</f>
        <v>0</v>
      </c>
      <c r="CD8" s="61">
        <f>IF(R8="",0,IF(OR(R8="DNF",R8="OCS",R8="DSQ",R8="DNS",R8=" DNS "),$BW$3+1,R8))</f>
        <v>0</v>
      </c>
      <c r="CE8" s="61">
        <f>IF(S8="",0,IF(OR(S8="DNF",S8="OCS",S8="DSQ",S8="DNS",S8=" DNS "),$BW$3+1,S8))</f>
        <v>0</v>
      </c>
      <c r="CF8" s="61">
        <f>IF(T8="",0,IF(OR(T8="DNF",T8="OCS",T8="DSQ",T8="DNS",T8=" DNS "),$BW$3+1,T8))</f>
        <v>0</v>
      </c>
      <c r="CG8" s="61">
        <f>IF(U8="",0,IF(OR(U8="DNF",U8="OCS",U8="DSQ",U8="DNS",U8=" DNS "),$BW$3+1,U8))</f>
        <v>0</v>
      </c>
      <c r="CH8" s="61">
        <f>IF(V8="",0,IF(OR(V8="DNF",V8="OCS",V8="DSQ",V8="DNS",V8=" DNS "),$BW$3+1,V8))</f>
        <v>0</v>
      </c>
      <c r="CI8" s="61">
        <f>IF(W8="",0,IF(OR(W8="DNF",W8="OCS",W8="DSQ",W8="DNS",W8=" DNS "),$BW$3+1,W8))</f>
        <v>0</v>
      </c>
      <c r="CJ8" s="61">
        <f>IF(X8="",0,IF(OR(X8="DNF",X8="OCS",X8="DSQ",X8="DNS",X8=" DNS "),$BW$3+1,X8))</f>
        <v>0</v>
      </c>
      <c r="CK8" s="61">
        <f>IF(Y8="",0,IF(OR(Y8="DNF",Y8="OCS",Y8="DSQ",Y8="DNS",Y8=" DNS "),$BW$3+1,Y8))</f>
        <v>0</v>
      </c>
      <c r="CL8" s="61">
        <f>IF(Z8="",0,IF(OR(Z8="DNF",Z8="OCS",Z8="DSQ",Z8="DNS",Z8=" DNS "),$BW$3+1,Z8))</f>
        <v>0</v>
      </c>
      <c r="CM8" s="61">
        <f>IF(AA8="",0,IF(OR(AA8="DNF",AA8="OCS",AA8="DSQ",AA8="DNS",AA8=" DNS "),$BW$3+1,AA8))</f>
        <v>0</v>
      </c>
      <c r="CN8" s="61">
        <f>IF(AB8="",0,IF(OR(AB8="DNF",AB8="OCS",AB8="DSQ",AB8="DNS",AB8=" DNS "),$BW$3+1,AB8))</f>
        <v>0</v>
      </c>
      <c r="CO8" s="61">
        <f>IF(AC8="",0,IF(OR(AC8="DNF",AC8="OCS",AC8="DSQ",AC8="DNS",AC8=" DNS "),$BW$3+1,AC8))</f>
        <v>0</v>
      </c>
      <c r="CP8" s="61">
        <f>IF(AD8="",0,IF(OR(AD8="DNF",AD8="OCS",AD8="DSQ",AD8="DNS",AD8=" DNS "),$BW$3+1,AD8))</f>
        <v>0</v>
      </c>
      <c r="CQ8" s="61">
        <f>IF(AE8="",0,IF(OR(AE8="DNF",AE8="OCS",AE8="DSQ",AE8="DNS",AE8=" DNS "),$BW$3+1,AE8))</f>
        <v>0</v>
      </c>
      <c r="CR8" s="61">
        <f>IF(AF8="",0,IF(OR(AF8="DNF",AF8="OCS",AF8="DSQ",AF8="DNS",AF8=" DNS "),$BW$3+1,AF8))</f>
        <v>0</v>
      </c>
      <c r="CS8" s="61">
        <f>IF(AG8="",0,IF(OR(AG8="DNF",AG8="OCS",AG8="DSQ",AG8="DNS",AG8=" DNS "),$BW$3+1,AG8))</f>
        <v>0</v>
      </c>
      <c r="CT8" s="61">
        <f>IF(AH8="",0,IF(OR(AH8="DNF",AH8="OCS",AH8="DSQ",AH8="DNS",AH8=" DNS "),$BW$3+1,AH8))</f>
        <v>0</v>
      </c>
      <c r="CU8" s="61">
        <f>IF(AI8="",0,IF(OR(AI8="DNF",AI8="OCS",AI8="DSQ",AI8="DNS",AI8=" DNS "),$BW$3+1,AI8))</f>
        <v>0</v>
      </c>
      <c r="CV8" s="61">
        <f>IF(AJ8="",0,IF(OR(AJ8="DNF",AJ8="OCS",AJ8="DSQ",AJ8="DNS",AJ8=" DNS "),$BW$3+1,AJ8))</f>
        <v>0</v>
      </c>
      <c r="CW8" s="61">
        <f>IF(AK8="",0,IF(OR(AK8="DNF",AK8="OCS",AK8="DSQ",AK8="DNS",AK8=" DNS "),$BW$3+1,AK8))</f>
        <v>0</v>
      </c>
      <c r="CX8" s="61">
        <f>IF(AL8="",0,IF(OR(AL8="DNF",AL8="OCS",AL8="DSQ",AL8="DNS",AL8=" DNS "),$BW$3+1,AL8))</f>
        <v>0</v>
      </c>
      <c r="CY8" s="61">
        <f>IF(AM8="",0,IF(OR(AM8="DNF",AM8="OCS",AM8="DSQ",AM8="DNS",AM8=" DNS "),$BW$3+1,AM8))</f>
        <v>0</v>
      </c>
      <c r="CZ8" s="61">
        <f>IF(AN8="",0,IF(OR(AN8="DNF",AN8="OCS",AN8="DSQ",AN8="DNS",AN8=" DNS "),$BW$3+1,AN8))</f>
        <v>0</v>
      </c>
      <c r="DA8" s="61">
        <f>IF(AO8="",0,IF(OR(AO8="DNF",AO8="OCS",AO8="DSQ",AO8="DNS",AO8=" DNS "),$BW$3+1,AO8))</f>
        <v>0</v>
      </c>
      <c r="DB8" s="61">
        <f>IF(AP8="",0,IF(OR(AP8="DNF",AP8="OCS",AP8="DSQ",AP8="DNS",AP8=" DNS "),$BW$3+1,AP8))</f>
        <v>0</v>
      </c>
      <c r="DC8" s="61">
        <f>IF(AQ8="",0,IF(OR(AQ8="DNF",AQ8="OCS",AQ8="DSQ",AQ8="DNS",AQ8=" DNS "),$BW$3+1,AQ8))</f>
        <v>0</v>
      </c>
      <c r="DD8" s="61">
        <f>IF(AR8="",0,IF(OR(AR8="DNF",AR8="OCS",AR8="DSQ",AR8="DNS",AR8=" DNS "),$BW$3+1,AR8))</f>
        <v>0</v>
      </c>
      <c r="DE8" s="61">
        <f>IF(AS8="",0,IF(OR(AS8="DNF",AS8="OCS",AS8="DSQ",AS8="DNS",AS8=" DNS "),$BW$3+1,AS8))</f>
        <v>0</v>
      </c>
      <c r="DF8" s="61">
        <f>IF(AT8="",0,IF(OR(AT8="DNF",AT8="OCS",AT8="DSQ",AT8="DNS",AT8=" DNS "),$BW$3+1,AT8))</f>
        <v>0</v>
      </c>
      <c r="DG8" s="61">
        <f>IF(AU8="",0,IF(OR(AU8="DNF",AU8="OCS",AU8="DSQ",AU8="DNS",AU8=" DNS "),$BW$3+1,AU8))</f>
        <v>0</v>
      </c>
      <c r="DH8" s="61">
        <f>IF(AV8="",0,IF(OR(AV8="DNF",AV8="OCS",AV8="DSQ",AV8="DNS",AV8=" DNS "),$BW$3+1,AV8))</f>
        <v>0</v>
      </c>
      <c r="DI8" s="61">
        <f>IF(AW8="",0,IF(OR(AW8="DNF",AW8="OCS",AW8="DSQ",AW8="DNS",AW8=" DNS "),$BW$3+1,AW8))</f>
        <v>0</v>
      </c>
      <c r="DJ8" s="61">
        <f>IF(AX8="",0,IF(OR(AX8="DNF",AX8="OCS",AX8="DSQ",AX8="DNS",AX8=" DNS "),$BW$3+1,AX8))</f>
        <v>0</v>
      </c>
      <c r="DK8" s="61">
        <f>IF(AY8="",0,IF(OR(AY8="DNF",AY8="OCS",AY8="DSQ",AY8="DNS",AY8=" DNS "),$BW$3+1,AY8))</f>
        <v>0</v>
      </c>
      <c r="DL8" s="61">
        <f>IF(AZ8="",0,IF(OR(AZ8="DNF",AZ8="OCS",AZ8="DSQ",AZ8="DNS",AZ8=" DNS "),$BW$3+1,AZ8))</f>
        <v>0</v>
      </c>
      <c r="DM8" s="61">
        <f>IF(BA8="",0,IF(OR(BA8="DNF",BA8="OCS",BA8="DSQ",BA8="DNS",BA8=" DNS "),$BW$3+1,BA8))</f>
        <v>0</v>
      </c>
      <c r="DN8" s="61">
        <f>IF(BB8="",0,IF(OR(BB8="DNF",BB8="OCS",BB8="DSQ",BB8="DNS",BB8=" DNS "),$BW$3+1,BB8))</f>
        <v>0</v>
      </c>
      <c r="DO8" s="61">
        <f>IF(BC8="",0,IF(OR(BC8="DNF",BC8="OCS",BC8="DSQ",BC8="DNS",BC8=" DNS "),$BW$3+1,BC8))</f>
        <v>0</v>
      </c>
      <c r="DP8" s="61">
        <f>IF(BD8="",0,IF(OR(BD8="DNF",BD8="OCS",BD8="DSQ",BD8="DNS",BD8=" DNS "),$BW$3+1,BD8))</f>
        <v>0</v>
      </c>
      <c r="DQ8" s="61">
        <f>IF(BE8="",0,IF(OR(BE8="DNF",BE8="OCS",BE8="DSQ",BE8="DNS",BE8=" DNS "),$BW$3+1,BE8))</f>
        <v>0</v>
      </c>
      <c r="DR8" s="61">
        <f>IF(BF8="",0,IF(OR(BF8="DNF",BF8="OCS",BF8="DSQ",BF8="DNS",BF8=" DNS "),$BW$3+1,BF8))</f>
        <v>0</v>
      </c>
      <c r="DS8" s="61">
        <f>IF(BG8="",0,IF(OR(BG8="DNF",BG8="OCS",BG8="DSQ",BG8="DNS",BG8=" DNS "),$BW$3+1,BG8))</f>
        <v>0</v>
      </c>
      <c r="DT8" s="61">
        <f>IF(BH8="",0,IF(OR(BH8="DNF",BH8="OCS",BH8="DSQ",BH8="DNS",BH8=" DNS "),$BW$3+1,BH8))</f>
        <v>0</v>
      </c>
      <c r="DU8" s="61">
        <f>IF(BI8="",0,IF(OR(BI8="DNF",BI8="OCS",BI8="DSQ",BI8="DNS",BI8=" DNS "),$BW$3+1,BI8))</f>
        <v>0</v>
      </c>
      <c r="DV8" s="61">
        <f>IF(BJ8="",0,IF(OR(BJ8="DNF",BJ8="OCS",BJ8="DSQ",BJ8="DNS",BJ8=" DNS "),$BW$3+1,BJ8))</f>
        <v>0</v>
      </c>
      <c r="DW8" s="61">
        <f>IF(BK8="",0,IF(OR(BK8="DNF",BK8="OCS",BK8="DSQ",BK8="DNS",BK8=" DNS "),$BW$3+1,BK8))</f>
        <v>0</v>
      </c>
      <c r="DX8" s="61">
        <f>IF(BL8="",0,IF(OR(BL8="DNF",BL8="OCS",BL8="DSQ",BL8="DNS",BL8=" DNS "),$BW$3+1,BL8))</f>
        <v>0</v>
      </c>
      <c r="DY8" s="61">
        <f>IF(BM8="",0,IF(OR(BM8="DNF",BM8="OCS",BM8="DSQ",BM8="DNS",BM8=" DNS "),$BW$3+1,BM8))</f>
        <v>0</v>
      </c>
      <c r="DZ8" s="61">
        <f>IF(BN8="",0,IF(OR(BN8="DNF",BN8="OCS",BN8="DSQ",BN8="DNS",BN8=" DNS "),$BW$3+1,BN8))</f>
        <v>0</v>
      </c>
      <c r="EA8" s="61">
        <f>IF(BO8="",0,IF(OR(BO8="DNF",BO8="OCS",BO8="DSQ",BO8="DNS",BO8=" DNS "),$BW$3+1,BO8))</f>
        <v>0</v>
      </c>
      <c r="EB8" s="61">
        <f>IF(BP8="",0,IF(OR(BP8="DNF",BP8="OCS",BP8="DSQ",BP8="DNS",BP8=" DNS "),$BW$3+1,BP8))</f>
        <v>0</v>
      </c>
      <c r="EC8" s="61">
        <f>IF(BQ8="",0,IF(OR(BQ8="DNF",BQ8="OCS",BQ8="DSQ",BQ8="DNS",BQ8=" DNS "),$BW$3+1,BQ8))</f>
        <v>0</v>
      </c>
      <c r="EE8" s="61">
        <f xml:space="preserve">
IF(OR(Deltagarlista!$K$3=3,Deltagarlista!$K$3=4),
IF(Arrangörslista!$U$5&lt;8,0,
IF(Arrangörslista!$U$5&lt;16,SUM(LARGE(BV8:CJ8,1)),
IF(Arrangörslista!$U$5&lt;24,SUM(LARGE(BV8:CR8,{1;2})),
IF(Arrangörslista!$U$5&lt;32,SUM(LARGE(BV8:CZ8,{1;2;3})),
IF(Arrangörslista!$U$5&lt;40,SUM(LARGE(BV8:DH8,{1;2;3;4})),
IF(Arrangörslista!$U$5&lt;48,SUM(LARGE(BV8:DP8,{1;2;3;4;5})),
IF(Arrangörslista!$U$5&lt;56,SUM(LARGE(BV8:DX8,{1;2;3;4;5;6})),
IF(Arrangörslista!$U$5&lt;64,SUM(LARGE(BV8:EC8,{1;2;3;4;5;6;7})),0)))))))),
IF(Deltagarlista!$K$3=2,
IF(Arrangörslista!$U$5&lt;4,LARGE(BV8:BX8,1),
IF(Arrangörslista!$U$5&lt;7,SUM(LARGE(BV8:CA8,{1;2;3})),
IF(Arrangörslista!$U$5&lt;10,SUM(LARGE(BV8:CD8,{1;2;3;4})),
IF(Arrangörslista!$U$5&lt;13,SUM(LARGE(BV8:CG8,{1;2;3;4;5;6})),
IF(Arrangörslista!$U$5&lt;16,SUM(LARGE(BV8:CJ8,{1;2;3;4;5;6;7})),
IF(Arrangörslista!$U$5&lt;19,SUM(LARGE(BV8:CM8,{1;2;3;4;5;6;7;8;9})),
IF(Arrangörslista!$U$5&lt;22,SUM(LARGE(BV8:CP8,{1;2;3;4;5;6;7;8;9;10})),
IF(Arrangörslista!$U$5&lt;25,SUM(LARGE(BV8:CS8,{1;2;3;4;5;6;7;8;9;10;11;12})),
IF(Arrangörslista!$U$5&lt;28,SUM(LARGE(BV8:CV8,{1;2;3;4;5;6;7;8;9;10;11;12;13})),
IF(Arrangörslista!$U$5&lt;31,SUM(LARGE(BV8:CY8,{1;2;3;4;5;6;7;8;9;10;11;12;13;14;15})),
IF(Arrangörslista!$U$5&lt;34,SUM(LARGE(BV8:DB8,{1;2;3;4;5;6;7;8;9;10;11;12;13;14;15;16})),
IF(Arrangörslista!$U$5&lt;37,SUM(LARGE(BV8:DE8,{1;2;3;4;5;6;7;8;9;10;11;12;13;14;15;16;17;18})),
IF(Arrangörslista!$U$5&lt;40,SUM(LARGE(BV8:DH8,{1;2;3;4;5;6;7;8;9;10;11;12;13;14;15;16;17;18;19})),
IF(Arrangörslista!$U$5&lt;43,SUM(LARGE(BV8:DK8,{1;2;3;4;5;6;7;8;9;10;11;12;13;14;15;16;17;18;19;20;21})),
IF(Arrangörslista!$U$5&lt;46,SUM(LARGE(BV8:DN8,{1;2;3;4;5;6;7;8;9;10;11;12;13;14;15;16;17;18;19;20;21;22})),
IF(Arrangörslista!$U$5&lt;49,SUM(LARGE(BV8:DQ8,{1;2;3;4;5;6;7;8;9;10;11;12;13;14;15;16;17;18;19;20;21;22;23;24})),
IF(Arrangörslista!$U$5&lt;52,SUM(LARGE(BV8:DT8,{1;2;3;4;5;6;7;8;9;10;11;12;13;14;15;16;17;18;19;20;21;22;23;24;25})),
IF(Arrangörslista!$U$5&lt;55,SUM(LARGE(BV8:DW8,{1;2;3;4;5;6;7;8;9;10;11;12;13;14;15;16;17;18;19;20;21;22;23;24;25;26;27})),
IF(Arrangörslista!$U$5&lt;58,SUM(LARGE(BV8:DZ8,{1;2;3;4;5;6;7;8;9;10;11;12;13;14;15;16;17;18;19;20;21;22;23;24;25;26;27;28})),
IF(Arrangörslista!$U$5&lt;61,SUM(LARGE(BV8:EC8,{1;2;3;4;5;6;7;8;9;10;11;12;13;14;15;16;17;18;19;20;21;22;23;24;25;26;27;28;29;30})),0)))))))))))))))))))),
IF(Arrangörslista!$U$5&lt;4,0,
IF(Arrangörslista!$U$5&lt;8,SUM(LARGE(BV8:CB8,1)),
IF(Arrangörslista!$U$5&lt;12,SUM(LARGE(BV8:CF8,{1;2})),
IF(Arrangörslista!$U$5&lt;16,SUM(LARGE(BV8:CJ8,{1;2;3})),
IF(Arrangörslista!$U$5&lt;20,SUM(LARGE(BV8:CN8,{1;2;3;4})),
IF(Arrangörslista!$U$5&lt;24,SUM(LARGE(BV8:CR8,{1;2;3;4;5})),
IF(Arrangörslista!$U$5&lt;28,SUM(LARGE(BV8:CV8,{1;2;3;4;5;6})),
IF(Arrangörslista!$U$5&lt;32,SUM(LARGE(BV8:CZ8,{1;2;3;4;5;6;7})),
IF(Arrangörslista!$U$5&lt;36,SUM(LARGE(BV8:DD8,{1;2;3;4;5;6;7;8})),
IF(Arrangörslista!$U$5&lt;40,SUM(LARGE(BV8:DH8,{1;2;3;4;5;6;7;8;9})),
IF(Arrangörslista!$U$5&lt;44,SUM(LARGE(BV8:DL8,{1;2;3;4;5;6;7;8;9;10})),
IF(Arrangörslista!$U$5&lt;48,SUM(LARGE(BV8:DP8,{1;2;3;4;5;6;7;8;9;10;11})),
IF(Arrangörslista!$U$5&lt;52,SUM(LARGE(BV8:DT8,{1;2;3;4;5;6;7;8;9;10;11;12})),
IF(Arrangörslista!$U$5&lt;56,SUM(LARGE(BV8:DX8,{1;2;3;4;5;6;7;8;9;10;11;12;13})),
IF(Arrangörslista!$U$5&lt;60,SUM(LARGE(BV8:EB8,{1;2;3;4;5;6;7;8;9;10;11;12;13;14})),
IF(Arrangörslista!$U$5=60,SUM(LARGE(BV8:EC8,{1;2;3;4;5;6;7;8;9;10;11;12;13;14;15})),0))))))))))))))))))</f>
        <v>0</v>
      </c>
      <c r="EG8" s="67">
        <f>IF(F8="",,1)</f>
        <v>0</v>
      </c>
      <c r="EH8" s="61"/>
      <c r="EI8" s="61"/>
      <c r="EK8" s="62">
        <f>SMALL($J71:$BQ71,1)</f>
        <v>61</v>
      </c>
      <c r="EL8" s="62">
        <f>SMALL($J71:$BQ71,2)</f>
        <v>61</v>
      </c>
      <c r="EM8" s="62">
        <f>SMALL($J71:$BQ71,3)</f>
        <v>61</v>
      </c>
      <c r="EN8" s="62">
        <f>SMALL($J71:$BQ71,4)</f>
        <v>61</v>
      </c>
      <c r="EO8" s="62">
        <f>SMALL($J71:$BQ71,5)</f>
        <v>61</v>
      </c>
      <c r="EP8" s="62">
        <f>SMALL($J71:$BQ71,6)</f>
        <v>61</v>
      </c>
      <c r="EQ8" s="62">
        <f>SMALL($J71:$BQ71,7)</f>
        <v>61</v>
      </c>
      <c r="ER8" s="62">
        <f>SMALL($J71:$BQ71,8)</f>
        <v>61</v>
      </c>
      <c r="ES8" s="62">
        <f>SMALL($J71:$BQ71,9)</f>
        <v>61</v>
      </c>
      <c r="ET8" s="62">
        <f>SMALL($J71:$BQ71,10)</f>
        <v>61</v>
      </c>
      <c r="EU8" s="62">
        <f>SMALL($J71:$BQ71,11)</f>
        <v>61</v>
      </c>
      <c r="EV8" s="62">
        <f>SMALL($J71:$BQ71,12)</f>
        <v>61</v>
      </c>
      <c r="EW8" s="62">
        <f>SMALL($J71:$BQ71,13)</f>
        <v>61</v>
      </c>
      <c r="EX8" s="62">
        <f>SMALL($J71:$BQ71,14)</f>
        <v>61</v>
      </c>
      <c r="EY8" s="62">
        <f>SMALL($J71:$BQ71,15)</f>
        <v>61</v>
      </c>
      <c r="EZ8" s="62">
        <f>SMALL($J71:$BQ71,16)</f>
        <v>61</v>
      </c>
      <c r="FA8" s="62">
        <f>SMALL($J71:$BQ71,17)</f>
        <v>61</v>
      </c>
      <c r="FB8" s="62">
        <f>SMALL($J71:$BQ71,18)</f>
        <v>61</v>
      </c>
      <c r="FC8" s="62">
        <f>SMALL($J71:$BQ71,19)</f>
        <v>61</v>
      </c>
      <c r="FD8" s="62">
        <f>SMALL($J71:$BQ71,20)</f>
        <v>61</v>
      </c>
      <c r="FE8" s="62">
        <f>SMALL($J71:$BQ71,21)</f>
        <v>61</v>
      </c>
      <c r="FF8" s="62">
        <f>SMALL($J71:$BQ71,22)</f>
        <v>61</v>
      </c>
      <c r="FG8" s="62">
        <f>SMALL($J71:$BQ71,23)</f>
        <v>61</v>
      </c>
      <c r="FH8" s="62">
        <f>SMALL($J71:$BQ71,24)</f>
        <v>61</v>
      </c>
      <c r="FI8" s="62">
        <f>SMALL($J71:$BQ71,25)</f>
        <v>61</v>
      </c>
      <c r="FJ8" s="62">
        <f>SMALL($J71:$BQ71,26)</f>
        <v>61</v>
      </c>
      <c r="FK8" s="62">
        <f>SMALL($J71:$BQ71,27)</f>
        <v>61</v>
      </c>
      <c r="FL8" s="62">
        <f>SMALL($J71:$BQ71,28)</f>
        <v>61</v>
      </c>
      <c r="FM8" s="62">
        <f>SMALL($J71:$BQ71,29)</f>
        <v>61</v>
      </c>
      <c r="FN8" s="62">
        <f>SMALL($J71:$BQ71,30)</f>
        <v>61</v>
      </c>
      <c r="FO8" s="62">
        <f>SMALL($J71:$BQ71,31)</f>
        <v>61</v>
      </c>
      <c r="FP8" s="62">
        <f>SMALL($J71:$BQ71,32)</f>
        <v>61</v>
      </c>
      <c r="FQ8" s="62">
        <f>SMALL($J71:$BQ71,33)</f>
        <v>61</v>
      </c>
      <c r="FR8" s="62">
        <f>SMALL($J71:$BQ71,34)</f>
        <v>61</v>
      </c>
      <c r="FS8" s="62">
        <f>SMALL($J71:$BQ71,35)</f>
        <v>61</v>
      </c>
      <c r="FT8" s="62">
        <f>SMALL($J71:$BQ71,36)</f>
        <v>61</v>
      </c>
      <c r="FU8" s="62">
        <f>SMALL($J71:$BQ71,37)</f>
        <v>61</v>
      </c>
      <c r="FV8" s="62">
        <f>SMALL($J71:$BQ71,38)</f>
        <v>61</v>
      </c>
      <c r="FW8" s="62">
        <f>SMALL($J71:$BQ71,39)</f>
        <v>61</v>
      </c>
      <c r="FX8" s="62">
        <f>SMALL($J71:$BQ71,40)</f>
        <v>61</v>
      </c>
      <c r="FY8" s="62">
        <f>SMALL($J71:$BQ71,41)</f>
        <v>61</v>
      </c>
      <c r="FZ8" s="62">
        <f>SMALL($J71:$BQ71,42)</f>
        <v>61</v>
      </c>
      <c r="GA8" s="62">
        <f>SMALL($J71:$BQ71,43)</f>
        <v>61</v>
      </c>
      <c r="GB8" s="62">
        <f>SMALL($J71:$BQ71,44)</f>
        <v>61</v>
      </c>
      <c r="GC8" s="62">
        <f>SMALL($J71:$BQ71,45)</f>
        <v>61</v>
      </c>
      <c r="GD8" s="62">
        <f>SMALL($J71:$BQ71,46)</f>
        <v>61</v>
      </c>
      <c r="GE8" s="62">
        <f>SMALL($J71:$BQ71,47)</f>
        <v>61</v>
      </c>
      <c r="GF8" s="62">
        <f>SMALL($J71:$BQ71,48)</f>
        <v>61</v>
      </c>
      <c r="GG8" s="62">
        <f>SMALL($J71:$BQ71,49)</f>
        <v>61</v>
      </c>
      <c r="GH8" s="62">
        <f>SMALL($J71:$BQ71,50)</f>
        <v>61</v>
      </c>
      <c r="GI8" s="62">
        <f>SMALL($J71:$BQ71,51)</f>
        <v>61</v>
      </c>
      <c r="GJ8" s="62">
        <f>SMALL($J71:$BQ71,52)</f>
        <v>61</v>
      </c>
      <c r="GK8" s="62">
        <f>SMALL($J71:$BQ71,53)</f>
        <v>61</v>
      </c>
      <c r="GL8" s="62">
        <f>SMALL($J71:$BQ71,54)</f>
        <v>61</v>
      </c>
      <c r="GM8" s="62">
        <f>SMALL($J71:$BQ71,55)</f>
        <v>61</v>
      </c>
      <c r="GN8" s="62">
        <f>SMALL($J71:$BQ71,56)</f>
        <v>61</v>
      </c>
      <c r="GO8" s="62">
        <f>SMALL($J71:$BQ71,57)</f>
        <v>61</v>
      </c>
      <c r="GP8" s="62">
        <f>SMALL($J71:$BQ71,58)</f>
        <v>61</v>
      </c>
      <c r="GQ8" s="62">
        <f>SMALL($J71:$BQ71,59)</f>
        <v>61</v>
      </c>
      <c r="GR8" s="62">
        <f>SMALL($J71:$BQ71,60)</f>
        <v>61</v>
      </c>
      <c r="GT8" s="62">
        <f>IF(Deltagarlista!$K$3=2,
IF(GW8="1",
      IF(Arrangörslista!$U$5=1,J71,
IF(Arrangörslista!$U$5=2,K71,
IF(Arrangörslista!$U$5=3,L71,
IF(Arrangörslista!$U$5=4,M71,
IF(Arrangörslista!$U$5=5,N71,
IF(Arrangörslista!$U$5=6,O71,
IF(Arrangörslista!$U$5=7,P71,
IF(Arrangörslista!$U$5=8,Q71,
IF(Arrangörslista!$U$5=9,R71,
IF(Arrangörslista!$U$5=10,S71,
IF(Arrangörslista!$U$5=11,T71,
IF(Arrangörslista!$U$5=12,U71,
IF(Arrangörslista!$U$5=13,V71,
IF(Arrangörslista!$U$5=14,W71,
IF(Arrangörslista!$U$5=15,X71,
IF(Arrangörslista!$U$5=16,Y71,IF(Arrangörslista!$U$5=17,Z71,IF(Arrangörslista!$U$5=18,AA71,IF(Arrangörslista!$U$5=19,AB71,IF(Arrangörslista!$U$5=20,AC71,IF(Arrangörslista!$U$5=21,AD71,IF(Arrangörslista!$U$5=22,AE71,IF(Arrangörslista!$U$5=23,AF71, IF(Arrangörslista!$U$5=24,AG71, IF(Arrangörslista!$U$5=25,AH71, IF(Arrangörslista!$U$5=26,AI71, IF(Arrangörslista!$U$5=27,AJ71, IF(Arrangörslista!$U$5=28,AK71, IF(Arrangörslista!$U$5=29,AL71, IF(Arrangörslista!$U$5=30,AM71, IF(Arrangörslista!$U$5=31,AN71, IF(Arrangörslista!$U$5=32,AO71, IF(Arrangörslista!$U$5=33,AP71, IF(Arrangörslista!$U$5=34,AQ71, IF(Arrangörslista!$U$5=35,AR71, IF(Arrangörslista!$U$5=36,AS71, IF(Arrangörslista!$U$5=37,AT71, IF(Arrangörslista!$U$5=38,AU71, IF(Arrangörslista!$U$5=39,AV71, IF(Arrangörslista!$U$5=40,AW71, IF(Arrangörslista!$U$5=41,AX71, IF(Arrangörslista!$U$5=42,AY71, IF(Arrangörslista!$U$5=43,AZ71, IF(Arrangörslista!$U$5=44,BA71, IF(Arrangörslista!$U$5=45,BB71, IF(Arrangörslista!$U$5=46,BC71, IF(Arrangörslista!$U$5=47,BD71, IF(Arrangörslista!$U$5=48,BE71, IF(Arrangörslista!$U$5=49,BF71, IF(Arrangörslista!$U$5=50,BG71, IF(Arrangörslista!$U$5=51,BH71, IF(Arrangörslista!$U$5=52,BI71, IF(Arrangörslista!$U$5=53,BJ71, IF(Arrangörslista!$U$5=54,BK71, IF(Arrangörslista!$U$5=55,BL71, IF(Arrangörslista!$U$5=56,BM71, IF(Arrangörslista!$U$5=57,BN71, IF(Arrangörslista!$U$5=58,BO71, IF(Arrangörslista!$U$5=59,BP71, IF(Arrangörslista!$U$5=60,BQ71,0))))))))))))))))))))))))))))))))))))))))))))))))))))))))))))),IF(Deltagarlista!$K$3=4, IF(Arrangörslista!$U$5=1,J71,
IF(Arrangörslista!$U$5=2,J71,
IF(Arrangörslista!$U$5=3,K71,
IF(Arrangörslista!$U$5=4,K71,
IF(Arrangörslista!$U$5=5,L71,
IF(Arrangörslista!$U$5=6,L71,
IF(Arrangörslista!$U$5=7,M71,
IF(Arrangörslista!$U$5=8,M71,
IF(Arrangörslista!$U$5=9,N71,
IF(Arrangörslista!$U$5=10,N71,
IF(Arrangörslista!$U$5=11,O71,
IF(Arrangörslista!$U$5=12,O71,
IF(Arrangörslista!$U$5=13,P71,
IF(Arrangörslista!$U$5=14,P71,
IF(Arrangörslista!$U$5=15,Q71,
IF(Arrangörslista!$U$5=16,Q71,
IF(Arrangörslista!$U$5=17,R71,
IF(Arrangörslista!$U$5=18,R71,
IF(Arrangörslista!$U$5=19,S71,
IF(Arrangörslista!$U$5=20,S71,
IF(Arrangörslista!$U$5=21,T71,
IF(Arrangörslista!$U$5=22,T71,IF(Arrangörslista!$U$5=23,U71, IF(Arrangörslista!$U$5=24,U71, IF(Arrangörslista!$U$5=25,V71, IF(Arrangörslista!$U$5=26,V71, IF(Arrangörslista!$U$5=27,W71, IF(Arrangörslista!$U$5=28,W71, IF(Arrangörslista!$U$5=29,X71, IF(Arrangörslista!$U$5=30,X71, IF(Arrangörslista!$U$5=31,X71, IF(Arrangörslista!$U$5=32,Y71, IF(Arrangörslista!$U$5=33,AO71, IF(Arrangörslista!$U$5=34,Y71, IF(Arrangörslista!$U$5=35,Z71, IF(Arrangörslista!$U$5=36,AR71, IF(Arrangörslista!$U$5=37,Z71, IF(Arrangörslista!$U$5=38,AA71, IF(Arrangörslista!$U$5=39,AU71, IF(Arrangörslista!$U$5=40,AA71, IF(Arrangörslista!$U$5=41,AB71, IF(Arrangörslista!$U$5=42,AX71, IF(Arrangörslista!$U$5=43,AB71, IF(Arrangörslista!$U$5=44,AC71, IF(Arrangörslista!$U$5=45,BA71, IF(Arrangörslista!$U$5=46,AC71, IF(Arrangörslista!$U$5=47,AD71, IF(Arrangörslista!$U$5=48,BD71, IF(Arrangörslista!$U$5=49,AD71, IF(Arrangörslista!$U$5=50,AE71, IF(Arrangörslista!$U$5=51,BG71, IF(Arrangörslista!$U$5=52,AE71, IF(Arrangörslista!$U$5=53,AF71, IF(Arrangörslista!$U$5=54,BJ71, IF(Arrangörslista!$U$5=55,AF71, IF(Arrangörslista!$U$5=56,AG71, IF(Arrangörslista!$U$5=57,BM71, IF(Arrangörslista!$U$5=58,AG71, IF(Arrangörslista!$U$5=59,AH71, IF(Arrangörslista!$U$5=60,AH71,0)))))))))))))))))))))))))))))))))))))))))))))))))))))))))))),IF(Arrangörslista!$U$5=1,J71,
IF(Arrangörslista!$U$5=2,K71,
IF(Arrangörslista!$U$5=3,L71,
IF(Arrangörslista!$U$5=4,M71,
IF(Arrangörslista!$U$5=5,N71,
IF(Arrangörslista!$U$5=6,O71,
IF(Arrangörslista!$U$5=7,P71,
IF(Arrangörslista!$U$5=8,Q71,
IF(Arrangörslista!$U$5=9,R71,
IF(Arrangörslista!$U$5=10,S71,
IF(Arrangörslista!$U$5=11,T71,
IF(Arrangörslista!$U$5=12,U71,
IF(Arrangörslista!$U$5=13,V71,
IF(Arrangörslista!$U$5=14,W71,
IF(Arrangörslista!$U$5=15,X71,
IF(Arrangörslista!$U$5=16,Y71,IF(Arrangörslista!$U$5=17,Z71,IF(Arrangörslista!$U$5=18,AA71,IF(Arrangörslista!$U$5=19,AB71,IF(Arrangörslista!$U$5=20,AC71,IF(Arrangörslista!$U$5=21,AD71,IF(Arrangörslista!$U$5=22,AE71,IF(Arrangörslista!$U$5=23,AF71, IF(Arrangörslista!$U$5=24,AG71, IF(Arrangörslista!$U$5=25,AH71, IF(Arrangörslista!$U$5=26,AI71, IF(Arrangörslista!$U$5=27,AJ71, IF(Arrangörslista!$U$5=28,AK71, IF(Arrangörslista!$U$5=29,AL71, IF(Arrangörslista!$U$5=30,AM71, IF(Arrangörslista!$U$5=31,AN71, IF(Arrangörslista!$U$5=32,AO71, IF(Arrangörslista!$U$5=33,AP71, IF(Arrangörslista!$U$5=34,AQ71, IF(Arrangörslista!$U$5=35,AR71, IF(Arrangörslista!$U$5=36,AS71, IF(Arrangörslista!$U$5=37,AT71, IF(Arrangörslista!$U$5=38,AU71, IF(Arrangörslista!$U$5=39,AV71, IF(Arrangörslista!$U$5=40,AW71, IF(Arrangörslista!$U$5=41,AX71, IF(Arrangörslista!$U$5=42,AY71, IF(Arrangörslista!$U$5=43,AZ71, IF(Arrangörslista!$U$5=44,BA71, IF(Arrangörslista!$U$5=45,BB71, IF(Arrangörslista!$U$5=46,BC71, IF(Arrangörslista!$U$5=47,BD71, IF(Arrangörslista!$U$5=48,BE71, IF(Arrangörslista!$U$5=49,BF71, IF(Arrangörslista!$U$5=50,BG71, IF(Arrangörslista!$U$5=51,BH71, IF(Arrangörslista!$U$5=52,BI71, IF(Arrangörslista!$U$5=53,BJ71, IF(Arrangörslista!$U$5=54,BK71, IF(Arrangörslista!$U$5=55,BL71, IF(Arrangörslista!$U$5=56,BM71, IF(Arrangörslista!$U$5=57,BN71, IF(Arrangörslista!$U$5=58,BO71, IF(Arrangörslista!$U$5=59,BP71, IF(Arrangörslista!$U$5=60,BQ71,0))))))))))))))))))))))))))))))))))))))))))))))))))))))))))))
))</f>
        <v>0</v>
      </c>
      <c r="GV8" s="65" t="str">
        <f>IFERROR(IF(VLOOKUP(F8,Deltagarlista!$E$5:$I$64,5,FALSE)="Grön","Gr",IF(VLOOKUP(F8,Deltagarlista!$E$5:$I$64,5,FALSE)="Röd","R",IF(VLOOKUP(F8,Deltagarlista!$E$5:$I$64,5,FALSE)="Blå","B","Gu"))),"")</f>
        <v/>
      </c>
      <c r="GW8" s="62" t="str">
        <f t="shared" si="0"/>
        <v/>
      </c>
    </row>
    <row r="9" spans="1:206" x14ac:dyDescent="0.3">
      <c r="B9" s="23" t="str">
        <f>IF($BW$3&gt;5,6,"")</f>
        <v/>
      </c>
      <c r="C9" s="92" t="str">
        <f>IF(ISBLANK(Deltagarlista!C11),"",Deltagarlista!C11)</f>
        <v/>
      </c>
      <c r="D9" s="109" t="str">
        <f>CONCATENATE(IF(AND(Deltagarlista!H11="GM",Deltagarlista!$S$14=TRUE),"GM   ",""),  IF(OR(Deltagarlista!$K$3=4,Deltagarlista!$K$3=2),Deltagarlista!I11,""))</f>
        <v/>
      </c>
      <c r="E9" s="8" t="str">
        <f>IF(ISBLANK(Deltagarlista!D11),"",Deltagarlista!D11)</f>
        <v/>
      </c>
      <c r="F9" s="8" t="str">
        <f>IF(ISBLANK(Deltagarlista!E11),"",Deltagarlista!E11)</f>
        <v/>
      </c>
      <c r="G9" s="95" t="str">
        <f>IF(ISBLANK(Deltagarlista!F11),"",Deltagarlista!F11)</f>
        <v/>
      </c>
      <c r="H9" s="72" t="str">
        <f>IF(ISBLANK(Deltagarlista!C11),"",BU9-EE9)</f>
        <v/>
      </c>
      <c r="I9" s="13" t="str">
        <f>IF(ISBLANK(Deltagarlista!C11),"",IF(AND(Deltagarlista!$K$3=2,Deltagarlista!$L$3&lt;37),SUM(SUM(BV9:EC9)-(ROUNDDOWN(Arrangörslista!$U$5/3,1))*($BW$3+1)),SUM(BV9:EC9)))</f>
        <v/>
      </c>
      <c r="J9" s="79" t="str">
        <f>IF(Deltagarlista!$K$3=4,IF(ISBLANK(Deltagarlista!$C11),"",IF(ISBLANK(Arrangörslista!C$8),"",IFERROR(VLOOKUP($F9,Arrangörslista!C$8:$AG$45,16,FALSE),IF(ISBLANK(Deltagarlista!$C11),"",IF(ISBLANK(Arrangörslista!C$8),"",IFERROR(VLOOKUP($F9,Arrangörslista!D$8:$AG$45,16,FALSE),"DNS")))))),IF(Deltagarlista!$K$3=2,
IF(ISBLANK(Deltagarlista!$C11),"",IF(ISBLANK(Arrangörslista!C$8),"",IF($GV9=J$64," DNS ",IFERROR(VLOOKUP($F9,Arrangörslista!C$8:$AG$45,16,FALSE),"DNS")))),IF(ISBLANK(Deltagarlista!$C11),"",IF(ISBLANK(Arrangörslista!C$8),"",IFERROR(VLOOKUP($F9,Arrangörslista!C$8:$AG$45,16,FALSE),"DNS")))))</f>
        <v/>
      </c>
      <c r="K9" s="5" t="str">
        <f>IF(Deltagarlista!$K$3=4,IF(ISBLANK(Deltagarlista!$C11),"",IF(ISBLANK(Arrangörslista!E$8),"",IFERROR(VLOOKUP($F9,Arrangörslista!E$8:$AG$45,16,FALSE),IF(ISBLANK(Deltagarlista!$C11),"",IF(ISBLANK(Arrangörslista!E$8),"",IFERROR(VLOOKUP($F9,Arrangörslista!F$8:$AG$45,16,FALSE),"DNS")))))),IF(Deltagarlista!$K$3=2,
IF(ISBLANK(Deltagarlista!$C11),"",IF(ISBLANK(Arrangörslista!D$8),"",IF($GV9=K$64," DNS ",IFERROR(VLOOKUP($F9,Arrangörslista!D$8:$AG$45,16,FALSE),"DNS")))),IF(ISBLANK(Deltagarlista!$C11),"",IF(ISBLANK(Arrangörslista!D$8),"",IFERROR(VLOOKUP($F9,Arrangörslista!D$8:$AG$45,16,FALSE),"DNS")))))</f>
        <v/>
      </c>
      <c r="L9" s="5" t="str">
        <f>IF(Deltagarlista!$K$3=4,IF(ISBLANK(Deltagarlista!$C11),"",IF(ISBLANK(Arrangörslista!G$8),"",IFERROR(VLOOKUP($F9,Arrangörslista!G$8:$AG$45,16,FALSE),IF(ISBLANK(Deltagarlista!$C11),"",IF(ISBLANK(Arrangörslista!G$8),"",IFERROR(VLOOKUP($F9,Arrangörslista!H$8:$AG$45,16,FALSE),"DNS")))))),IF(Deltagarlista!$K$3=2,
IF(ISBLANK(Deltagarlista!$C11),"",IF(ISBLANK(Arrangörslista!E$8),"",IF($GV9=L$64," DNS ",IFERROR(VLOOKUP($F9,Arrangörslista!E$8:$AG$45,16,FALSE),"DNS")))),IF(ISBLANK(Deltagarlista!$C11),"",IF(ISBLANK(Arrangörslista!E$8),"",IFERROR(VLOOKUP($F9,Arrangörslista!E$8:$AG$45,16,FALSE),"DNS")))))</f>
        <v/>
      </c>
      <c r="M9" s="5" t="str">
        <f>IF(Deltagarlista!$K$3=4,IF(ISBLANK(Deltagarlista!$C11),"",IF(ISBLANK(Arrangörslista!I$8),"",IFERROR(VLOOKUP($F9,Arrangörslista!I$8:$AG$45,16,FALSE),IF(ISBLANK(Deltagarlista!$C11),"",IF(ISBLANK(Arrangörslista!I$8),"",IFERROR(VLOOKUP($F9,Arrangörslista!J$8:$AG$45,16,FALSE),"DNS")))))),IF(Deltagarlista!$K$3=2,
IF(ISBLANK(Deltagarlista!$C11),"",IF(ISBLANK(Arrangörslista!F$8),"",IF($GV9=M$64," DNS ",IFERROR(VLOOKUP($F9,Arrangörslista!F$8:$AG$45,16,FALSE),"DNS")))),IF(ISBLANK(Deltagarlista!$C11),"",IF(ISBLANK(Arrangörslista!F$8),"",IFERROR(VLOOKUP($F9,Arrangörslista!F$8:$AG$45,16,FALSE),"DNS")))))</f>
        <v/>
      </c>
      <c r="N9" s="5" t="str">
        <f>IF(Deltagarlista!$K$3=4,IF(ISBLANK(Deltagarlista!$C11),"",IF(ISBLANK(Arrangörslista!K$8),"",IFERROR(VLOOKUP($F9,Arrangörslista!K$8:$AG$45,16,FALSE),IF(ISBLANK(Deltagarlista!$C11),"",IF(ISBLANK(Arrangörslista!K$8),"",IFERROR(VLOOKUP($F9,Arrangörslista!L$8:$AG$45,16,FALSE),"DNS")))))),IF(Deltagarlista!$K$3=2,
IF(ISBLANK(Deltagarlista!$C11),"",IF(ISBLANK(Arrangörslista!G$8),"",IF($GV9=N$64," DNS ",IFERROR(VLOOKUP($F9,Arrangörslista!G$8:$AG$45,16,FALSE),"DNS")))),IF(ISBLANK(Deltagarlista!$C11),"",IF(ISBLANK(Arrangörslista!G$8),"",IFERROR(VLOOKUP($F9,Arrangörslista!G$8:$AG$45,16,FALSE),"DNS")))))</f>
        <v/>
      </c>
      <c r="O9" s="5" t="str">
        <f>IF(Deltagarlista!$K$3=4,IF(ISBLANK(Deltagarlista!$C11),"",IF(ISBLANK(Arrangörslista!M$8),"",IFERROR(VLOOKUP($F9,Arrangörslista!M$8:$AG$45,16,FALSE),IF(ISBLANK(Deltagarlista!$C11),"",IF(ISBLANK(Arrangörslista!M$8),"",IFERROR(VLOOKUP($F9,Arrangörslista!N$8:$AG$45,16,FALSE),"DNS")))))),IF(Deltagarlista!$K$3=2,
IF(ISBLANK(Deltagarlista!$C11),"",IF(ISBLANK(Arrangörslista!H$8),"",IF($GV9=O$64," DNS ",IFERROR(VLOOKUP($F9,Arrangörslista!H$8:$AG$45,16,FALSE),"DNS")))),IF(ISBLANK(Deltagarlista!$C11),"",IF(ISBLANK(Arrangörslista!H$8),"",IFERROR(VLOOKUP($F9,Arrangörslista!H$8:$AG$45,16,FALSE),"DNS")))))</f>
        <v/>
      </c>
      <c r="P9" s="5" t="str">
        <f>IF(Deltagarlista!$K$3=4,IF(ISBLANK(Deltagarlista!$C11),"",IF(ISBLANK(Arrangörslista!O$8),"",IFERROR(VLOOKUP($F9,Arrangörslista!O$8:$AG$45,16,FALSE),IF(ISBLANK(Deltagarlista!$C11),"",IF(ISBLANK(Arrangörslista!O$8),"",IFERROR(VLOOKUP($F9,Arrangörslista!P$8:$AG$45,16,FALSE),"DNS")))))),IF(Deltagarlista!$K$3=2,
IF(ISBLANK(Deltagarlista!$C11),"",IF(ISBLANK(Arrangörslista!I$8),"",IF($GV9=P$64," DNS ",IFERROR(VLOOKUP($F9,Arrangörslista!I$8:$AG$45,16,FALSE),"DNS")))),IF(ISBLANK(Deltagarlista!$C11),"",IF(ISBLANK(Arrangörslista!I$8),"",IFERROR(VLOOKUP($F9,Arrangörslista!I$8:$AG$45,16,FALSE),"DNS")))))</f>
        <v/>
      </c>
      <c r="Q9" s="5" t="str">
        <f>IF(Deltagarlista!$K$3=4,IF(ISBLANK(Deltagarlista!$C11),"",IF(ISBLANK(Arrangörslista!Q$8),"",IFERROR(VLOOKUP($F9,Arrangörslista!Q$8:$AG$45,16,FALSE),IF(ISBLANK(Deltagarlista!$C11),"",IF(ISBLANK(Arrangörslista!Q$8),"",IFERROR(VLOOKUP($F9,Arrangörslista!C$53:$AG$90,16,FALSE),"DNS")))))),IF(Deltagarlista!$K$3=2,
IF(ISBLANK(Deltagarlista!$C11),"",IF(ISBLANK(Arrangörslista!J$8),"",IF($GV9=Q$64," DNS ",IFERROR(VLOOKUP($F9,Arrangörslista!J$8:$AG$45,16,FALSE),"DNS")))),IF(ISBLANK(Deltagarlista!$C11),"",IF(ISBLANK(Arrangörslista!J$8),"",IFERROR(VLOOKUP($F9,Arrangörslista!J$8:$AG$45,16,FALSE),"DNS")))))</f>
        <v/>
      </c>
      <c r="R9" s="5" t="str">
        <f>IF(Deltagarlista!$K$3=4,IF(ISBLANK(Deltagarlista!$C11),"",IF(ISBLANK(Arrangörslista!D$53),"",IFERROR(VLOOKUP($F9,Arrangörslista!D$53:$AG$90,16,FALSE),IF(ISBLANK(Deltagarlista!$C11),"",IF(ISBLANK(Arrangörslista!D$53),"",IFERROR(VLOOKUP($F9,Arrangörslista!E$53:$AG$90,16,FALSE),"DNS")))))),IF(Deltagarlista!$K$3=2,
IF(ISBLANK(Deltagarlista!$C11),"",IF(ISBLANK(Arrangörslista!K$8),"",IF($GV9=R$64," DNS ",IFERROR(VLOOKUP($F9,Arrangörslista!K$8:$AG$45,16,FALSE),"DNS")))),IF(ISBLANK(Deltagarlista!$C11),"",IF(ISBLANK(Arrangörslista!K$8),"",IFERROR(VLOOKUP($F9,Arrangörslista!K$8:$AG$45,16,FALSE),"DNS")))))</f>
        <v/>
      </c>
      <c r="S9" s="5" t="str">
        <f>IF(Deltagarlista!$K$3=4,IF(ISBLANK(Deltagarlista!$C11),"",IF(ISBLANK(Arrangörslista!F$53),"",IFERROR(VLOOKUP($F9,Arrangörslista!F$53:$AG$90,16,FALSE),IF(ISBLANK(Deltagarlista!$C11),"",IF(ISBLANK(Arrangörslista!F$53),"",IFERROR(VLOOKUP($F9,Arrangörslista!G$53:$AG$90,16,FALSE),"DNS")))))),IF(Deltagarlista!$K$3=2,
IF(ISBLANK(Deltagarlista!$C11),"",IF(ISBLANK(Arrangörslista!L$8),"",IF($GV9=S$64," DNS ",IFERROR(VLOOKUP($F9,Arrangörslista!L$8:$AG$45,16,FALSE),"DNS")))),IF(ISBLANK(Deltagarlista!$C11),"",IF(ISBLANK(Arrangörslista!L$8),"",IFERROR(VLOOKUP($F9,Arrangörslista!L$8:$AG$45,16,FALSE),"DNS")))))</f>
        <v/>
      </c>
      <c r="T9" s="5" t="str">
        <f>IF(Deltagarlista!$K$3=4,IF(ISBLANK(Deltagarlista!$C11),"",IF(ISBLANK(Arrangörslista!H$53),"",IFERROR(VLOOKUP($F9,Arrangörslista!H$53:$AG$90,16,FALSE),IF(ISBLANK(Deltagarlista!$C11),"",IF(ISBLANK(Arrangörslista!H$53),"",IFERROR(VLOOKUP($F9,Arrangörslista!I$53:$AG$90,16,FALSE),"DNS")))))),IF(Deltagarlista!$K$3=2,
IF(ISBLANK(Deltagarlista!$C11),"",IF(ISBLANK(Arrangörslista!M$8),"",IF($GV9=T$64," DNS ",IFERROR(VLOOKUP($F9,Arrangörslista!M$8:$AG$45,16,FALSE),"DNS")))),IF(ISBLANK(Deltagarlista!$C11),"",IF(ISBLANK(Arrangörslista!M$8),"",IFERROR(VLOOKUP($F9,Arrangörslista!M$8:$AG$45,16,FALSE),"DNS")))))</f>
        <v/>
      </c>
      <c r="U9" s="5" t="str">
        <f>IF(Deltagarlista!$K$3=4,IF(ISBLANK(Deltagarlista!$C11),"",IF(ISBLANK(Arrangörslista!J$53),"",IFERROR(VLOOKUP($F9,Arrangörslista!J$53:$AG$90,16,FALSE),IF(ISBLANK(Deltagarlista!$C11),"",IF(ISBLANK(Arrangörslista!J$53),"",IFERROR(VLOOKUP($F9,Arrangörslista!K$53:$AG$90,16,FALSE),"DNS")))))),IF(Deltagarlista!$K$3=2,
IF(ISBLANK(Deltagarlista!$C11),"",IF(ISBLANK(Arrangörslista!N$8),"",IF($GV9=U$64," DNS ",IFERROR(VLOOKUP($F9,Arrangörslista!N$8:$AG$45,16,FALSE),"DNS")))),IF(ISBLANK(Deltagarlista!$C11),"",IF(ISBLANK(Arrangörslista!N$8),"",IFERROR(VLOOKUP($F9,Arrangörslista!N$8:$AG$45,16,FALSE),"DNS")))))</f>
        <v/>
      </c>
      <c r="V9" s="5" t="str">
        <f>IF(Deltagarlista!$K$3=4,IF(ISBLANK(Deltagarlista!$C11),"",IF(ISBLANK(Arrangörslista!L$53),"",IFERROR(VLOOKUP($F9,Arrangörslista!L$53:$AG$90,16,FALSE),IF(ISBLANK(Deltagarlista!$C11),"",IF(ISBLANK(Arrangörslista!L$53),"",IFERROR(VLOOKUP($F9,Arrangörslista!M$53:$AG$90,16,FALSE),"DNS")))))),IF(Deltagarlista!$K$3=2,
IF(ISBLANK(Deltagarlista!$C11),"",IF(ISBLANK(Arrangörslista!O$8),"",IF($GV9=V$64," DNS ",IFERROR(VLOOKUP($F9,Arrangörslista!O$8:$AG$45,16,FALSE),"DNS")))),IF(ISBLANK(Deltagarlista!$C11),"",IF(ISBLANK(Arrangörslista!O$8),"",IFERROR(VLOOKUP($F9,Arrangörslista!O$8:$AG$45,16,FALSE),"DNS")))))</f>
        <v/>
      </c>
      <c r="W9" s="5" t="str">
        <f>IF(Deltagarlista!$K$3=4,IF(ISBLANK(Deltagarlista!$C11),"",IF(ISBLANK(Arrangörslista!N$53),"",IFERROR(VLOOKUP($F9,Arrangörslista!N$53:$AG$90,16,FALSE),IF(ISBLANK(Deltagarlista!$C11),"",IF(ISBLANK(Arrangörslista!N$53),"",IFERROR(VLOOKUP($F9,Arrangörslista!O$53:$AG$90,16,FALSE),"DNS")))))),IF(Deltagarlista!$K$3=2,
IF(ISBLANK(Deltagarlista!$C11),"",IF(ISBLANK(Arrangörslista!P$8),"",IF($GV9=W$64," DNS ",IFERROR(VLOOKUP($F9,Arrangörslista!P$8:$AG$45,16,FALSE),"DNS")))),IF(ISBLANK(Deltagarlista!$C11),"",IF(ISBLANK(Arrangörslista!P$8),"",IFERROR(VLOOKUP($F9,Arrangörslista!P$8:$AG$45,16,FALSE),"DNS")))))</f>
        <v/>
      </c>
      <c r="X9" s="5" t="str">
        <f>IF(Deltagarlista!$K$3=4,IF(ISBLANK(Deltagarlista!$C11),"",IF(ISBLANK(Arrangörslista!P$53),"",IFERROR(VLOOKUP($F9,Arrangörslista!P$53:$AG$90,16,FALSE),IF(ISBLANK(Deltagarlista!$C11),"",IF(ISBLANK(Arrangörslista!P$53),"",IFERROR(VLOOKUP($F9,Arrangörslista!Q$53:$AG$90,16,FALSE),"DNS")))))),IF(Deltagarlista!$K$3=2,
IF(ISBLANK(Deltagarlista!$C11),"",IF(ISBLANK(Arrangörslista!Q$8),"",IF($GV9=X$64," DNS ",IFERROR(VLOOKUP($F9,Arrangörslista!Q$8:$AG$45,16,FALSE),"DNS")))),IF(ISBLANK(Deltagarlista!$C11),"",IF(ISBLANK(Arrangörslista!Q$8),"",IFERROR(VLOOKUP($F9,Arrangörslista!Q$8:$AG$45,16,FALSE),"DNS")))))</f>
        <v/>
      </c>
      <c r="Y9" s="5" t="str">
        <f>IF(Deltagarlista!$K$3=4,IF(ISBLANK(Deltagarlista!$C11),"",IF(ISBLANK(Arrangörslista!C$98),"",IFERROR(VLOOKUP($F9,Arrangörslista!C$98:$AG$135,16,FALSE),IF(ISBLANK(Deltagarlista!$C11),"",IF(ISBLANK(Arrangörslista!C$98),"",IFERROR(VLOOKUP($F9,Arrangörslista!D$98:$AG$135,16,FALSE),"DNS")))))),IF(Deltagarlista!$K$3=2,
IF(ISBLANK(Deltagarlista!$C11),"",IF(ISBLANK(Arrangörslista!C$53),"",IF($GV9=Y$64," DNS ",IFERROR(VLOOKUP($F9,Arrangörslista!C$53:$AG$90,16,FALSE),"DNS")))),IF(ISBLANK(Deltagarlista!$C11),"",IF(ISBLANK(Arrangörslista!C$53),"",IFERROR(VLOOKUP($F9,Arrangörslista!C$53:$AG$90,16,FALSE),"DNS")))))</f>
        <v/>
      </c>
      <c r="Z9" s="5" t="str">
        <f>IF(Deltagarlista!$K$3=4,IF(ISBLANK(Deltagarlista!$C11),"",IF(ISBLANK(Arrangörslista!E$98),"",IFERROR(VLOOKUP($F9,Arrangörslista!E$98:$AG$135,16,FALSE),IF(ISBLANK(Deltagarlista!$C11),"",IF(ISBLANK(Arrangörslista!E$98),"",IFERROR(VLOOKUP($F9,Arrangörslista!F$98:$AG$135,16,FALSE),"DNS")))))),IF(Deltagarlista!$K$3=2,
IF(ISBLANK(Deltagarlista!$C11),"",IF(ISBLANK(Arrangörslista!D$53),"",IF($GV9=Z$64," DNS ",IFERROR(VLOOKUP($F9,Arrangörslista!D$53:$AG$90,16,FALSE),"DNS")))),IF(ISBLANK(Deltagarlista!$C11),"",IF(ISBLANK(Arrangörslista!D$53),"",IFERROR(VLOOKUP($F9,Arrangörslista!D$53:$AG$90,16,FALSE),"DNS")))))</f>
        <v/>
      </c>
      <c r="AA9" s="5" t="str">
        <f>IF(Deltagarlista!$K$3=4,IF(ISBLANK(Deltagarlista!$C11),"",IF(ISBLANK(Arrangörslista!G$98),"",IFERROR(VLOOKUP($F9,Arrangörslista!G$98:$AG$135,16,FALSE),IF(ISBLANK(Deltagarlista!$C11),"",IF(ISBLANK(Arrangörslista!G$98),"",IFERROR(VLOOKUP($F9,Arrangörslista!H$98:$AG$135,16,FALSE),"DNS")))))),IF(Deltagarlista!$K$3=2,
IF(ISBLANK(Deltagarlista!$C11),"",IF(ISBLANK(Arrangörslista!E$53),"",IF($GV9=AA$64," DNS ",IFERROR(VLOOKUP($F9,Arrangörslista!E$53:$AG$90,16,FALSE),"DNS")))),IF(ISBLANK(Deltagarlista!$C11),"",IF(ISBLANK(Arrangörslista!E$53),"",IFERROR(VLOOKUP($F9,Arrangörslista!E$53:$AG$90,16,FALSE),"DNS")))))</f>
        <v/>
      </c>
      <c r="AB9" s="5" t="str">
        <f>IF(Deltagarlista!$K$3=4,IF(ISBLANK(Deltagarlista!$C11),"",IF(ISBLANK(Arrangörslista!I$98),"",IFERROR(VLOOKUP($F9,Arrangörslista!I$98:$AG$135,16,FALSE),IF(ISBLANK(Deltagarlista!$C11),"",IF(ISBLANK(Arrangörslista!I$98),"",IFERROR(VLOOKUP($F9,Arrangörslista!J$98:$AG$135,16,FALSE),"DNS")))))),IF(Deltagarlista!$K$3=2,
IF(ISBLANK(Deltagarlista!$C11),"",IF(ISBLANK(Arrangörslista!F$53),"",IF($GV9=AB$64," DNS ",IFERROR(VLOOKUP($F9,Arrangörslista!F$53:$AG$90,16,FALSE),"DNS")))),IF(ISBLANK(Deltagarlista!$C11),"",IF(ISBLANK(Arrangörslista!F$53),"",IFERROR(VLOOKUP($F9,Arrangörslista!F$53:$AG$90,16,FALSE),"DNS")))))</f>
        <v/>
      </c>
      <c r="AC9" s="5" t="str">
        <f>IF(Deltagarlista!$K$3=4,IF(ISBLANK(Deltagarlista!$C11),"",IF(ISBLANK(Arrangörslista!K$98),"",IFERROR(VLOOKUP($F9,Arrangörslista!K$98:$AG$135,16,FALSE),IF(ISBLANK(Deltagarlista!$C11),"",IF(ISBLANK(Arrangörslista!K$98),"",IFERROR(VLOOKUP($F9,Arrangörslista!L$98:$AG$135,16,FALSE),"DNS")))))),IF(Deltagarlista!$K$3=2,
IF(ISBLANK(Deltagarlista!$C11),"",IF(ISBLANK(Arrangörslista!G$53),"",IF($GV9=AC$64," DNS ",IFERROR(VLOOKUP($F9,Arrangörslista!G$53:$AG$90,16,FALSE),"DNS")))),IF(ISBLANK(Deltagarlista!$C11),"",IF(ISBLANK(Arrangörslista!G$53),"",IFERROR(VLOOKUP($F9,Arrangörslista!G$53:$AG$90,16,FALSE),"DNS")))))</f>
        <v/>
      </c>
      <c r="AD9" s="5" t="str">
        <f>IF(Deltagarlista!$K$3=4,IF(ISBLANK(Deltagarlista!$C11),"",IF(ISBLANK(Arrangörslista!M$98),"",IFERROR(VLOOKUP($F9,Arrangörslista!M$98:$AG$135,16,FALSE),IF(ISBLANK(Deltagarlista!$C11),"",IF(ISBLANK(Arrangörslista!M$98),"",IFERROR(VLOOKUP($F9,Arrangörslista!N$98:$AG$135,16,FALSE),"DNS")))))),IF(Deltagarlista!$K$3=2,
IF(ISBLANK(Deltagarlista!$C11),"",IF(ISBLANK(Arrangörslista!H$53),"",IF($GV9=AD$64," DNS ",IFERROR(VLOOKUP($F9,Arrangörslista!H$53:$AG$90,16,FALSE),"DNS")))),IF(ISBLANK(Deltagarlista!$C11),"",IF(ISBLANK(Arrangörslista!H$53),"",IFERROR(VLOOKUP($F9,Arrangörslista!H$53:$AG$90,16,FALSE),"DNS")))))</f>
        <v/>
      </c>
      <c r="AE9" s="5" t="str">
        <f>IF(Deltagarlista!$K$3=4,IF(ISBLANK(Deltagarlista!$C11),"",IF(ISBLANK(Arrangörslista!O$98),"",IFERROR(VLOOKUP($F9,Arrangörslista!O$98:$AG$135,16,FALSE),IF(ISBLANK(Deltagarlista!$C11),"",IF(ISBLANK(Arrangörslista!O$98),"",IFERROR(VLOOKUP($F9,Arrangörslista!P$98:$AG$135,16,FALSE),"DNS")))))),IF(Deltagarlista!$K$3=2,
IF(ISBLANK(Deltagarlista!$C11),"",IF(ISBLANK(Arrangörslista!I$53),"",IF($GV9=AE$64," DNS ",IFERROR(VLOOKUP($F9,Arrangörslista!I$53:$AG$90,16,FALSE),"DNS")))),IF(ISBLANK(Deltagarlista!$C11),"",IF(ISBLANK(Arrangörslista!I$53),"",IFERROR(VLOOKUP($F9,Arrangörslista!I$53:$AG$90,16,FALSE),"DNS")))))</f>
        <v/>
      </c>
      <c r="AF9" s="5" t="str">
        <f>IF(Deltagarlista!$K$3=4,IF(ISBLANK(Deltagarlista!$C11),"",IF(ISBLANK(Arrangörslista!Q$98),"",IFERROR(VLOOKUP($F9,Arrangörslista!Q$98:$AG$135,16,FALSE),IF(ISBLANK(Deltagarlista!$C11),"",IF(ISBLANK(Arrangörslista!Q$98),"",IFERROR(VLOOKUP($F9,Arrangörslista!C$143:$AG$180,16,FALSE),"DNS")))))),IF(Deltagarlista!$K$3=2,
IF(ISBLANK(Deltagarlista!$C11),"",IF(ISBLANK(Arrangörslista!J$53),"",IF($GV9=AF$64," DNS ",IFERROR(VLOOKUP($F9,Arrangörslista!J$53:$AG$90,16,FALSE),"DNS")))),IF(ISBLANK(Deltagarlista!$C11),"",IF(ISBLANK(Arrangörslista!J$53),"",IFERROR(VLOOKUP($F9,Arrangörslista!J$53:$AG$90,16,FALSE),"DNS")))))</f>
        <v/>
      </c>
      <c r="AG9" s="5" t="str">
        <f>IF(Deltagarlista!$K$3=4,IF(ISBLANK(Deltagarlista!$C11),"",IF(ISBLANK(Arrangörslista!D$143),"",IFERROR(VLOOKUP($F9,Arrangörslista!D$143:$AG$180,16,FALSE),IF(ISBLANK(Deltagarlista!$C11),"",IF(ISBLANK(Arrangörslista!D$143),"",IFERROR(VLOOKUP($F9,Arrangörslista!E$143:$AG$180,16,FALSE),"DNS")))))),IF(Deltagarlista!$K$3=2,
IF(ISBLANK(Deltagarlista!$C11),"",IF(ISBLANK(Arrangörslista!K$53),"",IF($GV9=AG$64," DNS ",IFERROR(VLOOKUP($F9,Arrangörslista!K$53:$AG$90,16,FALSE),"DNS")))),IF(ISBLANK(Deltagarlista!$C11),"",IF(ISBLANK(Arrangörslista!K$53),"",IFERROR(VLOOKUP($F9,Arrangörslista!K$53:$AG$90,16,FALSE),"DNS")))))</f>
        <v/>
      </c>
      <c r="AH9" s="5" t="str">
        <f>IF(Deltagarlista!$K$3=4,IF(ISBLANK(Deltagarlista!$C11),"",IF(ISBLANK(Arrangörslista!F$143),"",IFERROR(VLOOKUP($F9,Arrangörslista!F$143:$AG$180,16,FALSE),IF(ISBLANK(Deltagarlista!$C11),"",IF(ISBLANK(Arrangörslista!F$143),"",IFERROR(VLOOKUP($F9,Arrangörslista!G$143:$AG$180,16,FALSE),"DNS")))))),IF(Deltagarlista!$K$3=2,
IF(ISBLANK(Deltagarlista!$C11),"",IF(ISBLANK(Arrangörslista!L$53),"",IF($GV9=AH$64," DNS ",IFERROR(VLOOKUP($F9,Arrangörslista!L$53:$AG$90,16,FALSE),"DNS")))),IF(ISBLANK(Deltagarlista!$C11),"",IF(ISBLANK(Arrangörslista!L$53),"",IFERROR(VLOOKUP($F9,Arrangörslista!L$53:$AG$90,16,FALSE),"DNS")))))</f>
        <v/>
      </c>
      <c r="AI9" s="5" t="str">
        <f>IF(Deltagarlista!$K$3=4,IF(ISBLANK(Deltagarlista!$C11),"",IF(ISBLANK(Arrangörslista!H$143),"",IFERROR(VLOOKUP($F9,Arrangörslista!H$143:$AG$180,16,FALSE),IF(ISBLANK(Deltagarlista!$C11),"",IF(ISBLANK(Arrangörslista!H$143),"",IFERROR(VLOOKUP($F9,Arrangörslista!I$143:$AG$180,16,FALSE),"DNS")))))),IF(Deltagarlista!$K$3=2,
IF(ISBLANK(Deltagarlista!$C11),"",IF(ISBLANK(Arrangörslista!M$53),"",IF($GV9=AI$64," DNS ",IFERROR(VLOOKUP($F9,Arrangörslista!M$53:$AG$90,16,FALSE),"DNS")))),IF(ISBLANK(Deltagarlista!$C11),"",IF(ISBLANK(Arrangörslista!M$53),"",IFERROR(VLOOKUP($F9,Arrangörslista!M$53:$AG$90,16,FALSE),"DNS")))))</f>
        <v/>
      </c>
      <c r="AJ9" s="5" t="str">
        <f>IF(Deltagarlista!$K$3=4,IF(ISBLANK(Deltagarlista!$C11),"",IF(ISBLANK(Arrangörslista!J$143),"",IFERROR(VLOOKUP($F9,Arrangörslista!J$143:$AG$180,16,FALSE),IF(ISBLANK(Deltagarlista!$C11),"",IF(ISBLANK(Arrangörslista!J$143),"",IFERROR(VLOOKUP($F9,Arrangörslista!K$143:$AG$180,16,FALSE),"DNS")))))),IF(Deltagarlista!$K$3=2,
IF(ISBLANK(Deltagarlista!$C11),"",IF(ISBLANK(Arrangörslista!N$53),"",IF($GV9=AJ$64," DNS ",IFERROR(VLOOKUP($F9,Arrangörslista!N$53:$AG$90,16,FALSE),"DNS")))),IF(ISBLANK(Deltagarlista!$C11),"",IF(ISBLANK(Arrangörslista!N$53),"",IFERROR(VLOOKUP($F9,Arrangörslista!N$53:$AG$90,16,FALSE),"DNS")))))</f>
        <v/>
      </c>
      <c r="AK9" s="5" t="str">
        <f>IF(Deltagarlista!$K$3=4,IF(ISBLANK(Deltagarlista!$C11),"",IF(ISBLANK(Arrangörslista!L$143),"",IFERROR(VLOOKUP($F9,Arrangörslista!L$143:$AG$180,16,FALSE),IF(ISBLANK(Deltagarlista!$C11),"",IF(ISBLANK(Arrangörslista!L$143),"",IFERROR(VLOOKUP($F9,Arrangörslista!M$143:$AG$180,16,FALSE),"DNS")))))),IF(Deltagarlista!$K$3=2,
IF(ISBLANK(Deltagarlista!$C11),"",IF(ISBLANK(Arrangörslista!O$53),"",IF($GV9=AK$64," DNS ",IFERROR(VLOOKUP($F9,Arrangörslista!O$53:$AG$90,16,FALSE),"DNS")))),IF(ISBLANK(Deltagarlista!$C11),"",IF(ISBLANK(Arrangörslista!O$53),"",IFERROR(VLOOKUP($F9,Arrangörslista!O$53:$AG$90,16,FALSE),"DNS")))))</f>
        <v/>
      </c>
      <c r="AL9" s="5" t="str">
        <f>IF(Deltagarlista!$K$3=4,IF(ISBLANK(Deltagarlista!$C11),"",IF(ISBLANK(Arrangörslista!N$143),"",IFERROR(VLOOKUP($F9,Arrangörslista!N$143:$AG$180,16,FALSE),IF(ISBLANK(Deltagarlista!$C11),"",IF(ISBLANK(Arrangörslista!N$143),"",IFERROR(VLOOKUP($F9,Arrangörslista!O$143:$AG$180,16,FALSE),"DNS")))))),IF(Deltagarlista!$K$3=2,
IF(ISBLANK(Deltagarlista!$C11),"",IF(ISBLANK(Arrangörslista!P$53),"",IF($GV9=AL$64," DNS ",IFERROR(VLOOKUP($F9,Arrangörslista!P$53:$AG$90,16,FALSE),"DNS")))),IF(ISBLANK(Deltagarlista!$C11),"",IF(ISBLANK(Arrangörslista!P$53),"",IFERROR(VLOOKUP($F9,Arrangörslista!P$53:$AG$90,16,FALSE),"DNS")))))</f>
        <v/>
      </c>
      <c r="AM9" s="5" t="str">
        <f>IF(Deltagarlista!$K$3=4,IF(ISBLANK(Deltagarlista!$C11),"",IF(ISBLANK(Arrangörslista!P$143),"",IFERROR(VLOOKUP($F9,Arrangörslista!P$143:$AG$180,16,FALSE),IF(ISBLANK(Deltagarlista!$C11),"",IF(ISBLANK(Arrangörslista!P$143),"",IFERROR(VLOOKUP($F9,Arrangörslista!Q$143:$AG$180,16,FALSE),"DNS")))))),IF(Deltagarlista!$K$3=2,
IF(ISBLANK(Deltagarlista!$C11),"",IF(ISBLANK(Arrangörslista!Q$53),"",IF($GV9=AM$64," DNS ",IFERROR(VLOOKUP($F9,Arrangörslista!Q$53:$AG$90,16,FALSE),"DNS")))),IF(ISBLANK(Deltagarlista!$C11),"",IF(ISBLANK(Arrangörslista!Q$53),"",IFERROR(VLOOKUP($F9,Arrangörslista!Q$53:$AG$90,16,FALSE),"DNS")))))</f>
        <v/>
      </c>
      <c r="AN9" s="5" t="str">
        <f>IF(Deltagarlista!$K$3=2,
IF(ISBLANK(Deltagarlista!$C11),"",IF(ISBLANK(Arrangörslista!C$98),"",IF($GV9=AN$64," DNS ",IFERROR(VLOOKUP($F9,Arrangörslista!C$98:$AG$135,16,FALSE), "DNS")))), IF(Deltagarlista!$K$3=1,IF(ISBLANK(Deltagarlista!$C11),"",IF(ISBLANK(Arrangörslista!C$98),"",IFERROR(VLOOKUP($F9,Arrangörslista!C$98:$AG$135,16,FALSE), "DNS"))),""))</f>
        <v/>
      </c>
      <c r="AO9" s="5" t="str">
        <f>IF(Deltagarlista!$K$3=2,
IF(ISBLANK(Deltagarlista!$C11),"",IF(ISBLANK(Arrangörslista!D$98),"",IF($GV9=AO$64," DNS ",IFERROR(VLOOKUP($F9,Arrangörslista!D$98:$AG$135,16,FALSE), "DNS")))), IF(Deltagarlista!$K$3=1,IF(ISBLANK(Deltagarlista!$C11),"",IF(ISBLANK(Arrangörslista!D$98),"",IFERROR(VLOOKUP($F9,Arrangörslista!D$98:$AG$135,16,FALSE), "DNS"))),""))</f>
        <v/>
      </c>
      <c r="AP9" s="5" t="str">
        <f>IF(Deltagarlista!$K$3=2,
IF(ISBLANK(Deltagarlista!$C11),"",IF(ISBLANK(Arrangörslista!E$98),"",IF($GV9=AP$64," DNS ",IFERROR(VLOOKUP($F9,Arrangörslista!E$98:$AG$135,16,FALSE), "DNS")))), IF(Deltagarlista!$K$3=1,IF(ISBLANK(Deltagarlista!$C11),"",IF(ISBLANK(Arrangörslista!E$98),"",IFERROR(VLOOKUP($F9,Arrangörslista!E$98:$AG$135,16,FALSE), "DNS"))),""))</f>
        <v/>
      </c>
      <c r="AQ9" s="5" t="str">
        <f>IF(Deltagarlista!$K$3=2,
IF(ISBLANK(Deltagarlista!$C11),"",IF(ISBLANK(Arrangörslista!F$98),"",IF($GV9=AQ$64," DNS ",IFERROR(VLOOKUP($F9,Arrangörslista!F$98:$AG$135,16,FALSE), "DNS")))), IF(Deltagarlista!$K$3=1,IF(ISBLANK(Deltagarlista!$C11),"",IF(ISBLANK(Arrangörslista!F$98),"",IFERROR(VLOOKUP($F9,Arrangörslista!F$98:$AG$135,16,FALSE), "DNS"))),""))</f>
        <v/>
      </c>
      <c r="AR9" s="5" t="str">
        <f>IF(Deltagarlista!$K$3=2,
IF(ISBLANK(Deltagarlista!$C11),"",IF(ISBLANK(Arrangörslista!G$98),"",IF($GV9=AR$64," DNS ",IFERROR(VLOOKUP($F9,Arrangörslista!G$98:$AG$135,16,FALSE), "DNS")))), IF(Deltagarlista!$K$3=1,IF(ISBLANK(Deltagarlista!$C11),"",IF(ISBLANK(Arrangörslista!G$98),"",IFERROR(VLOOKUP($F9,Arrangörslista!G$98:$AG$135,16,FALSE), "DNS"))),""))</f>
        <v/>
      </c>
      <c r="AS9" s="5" t="str">
        <f>IF(Deltagarlista!$K$3=2,
IF(ISBLANK(Deltagarlista!$C11),"",IF(ISBLANK(Arrangörslista!H$98),"",IF($GV9=AS$64," DNS ",IFERROR(VLOOKUP($F9,Arrangörslista!H$98:$AG$135,16,FALSE), "DNS")))), IF(Deltagarlista!$K$3=1,IF(ISBLANK(Deltagarlista!$C11),"",IF(ISBLANK(Arrangörslista!H$98),"",IFERROR(VLOOKUP($F9,Arrangörslista!H$98:$AG$135,16,FALSE), "DNS"))),""))</f>
        <v/>
      </c>
      <c r="AT9" s="5" t="str">
        <f>IF(Deltagarlista!$K$3=2,
IF(ISBLANK(Deltagarlista!$C11),"",IF(ISBLANK(Arrangörslista!I$98),"",IF($GV9=AT$64," DNS ",IFERROR(VLOOKUP($F9,Arrangörslista!I$98:$AG$135,16,FALSE), "DNS")))), IF(Deltagarlista!$K$3=1,IF(ISBLANK(Deltagarlista!$C11),"",IF(ISBLANK(Arrangörslista!I$98),"",IFERROR(VLOOKUP($F9,Arrangörslista!I$98:$AG$135,16,FALSE), "DNS"))),""))</f>
        <v/>
      </c>
      <c r="AU9" s="5" t="str">
        <f>IF(Deltagarlista!$K$3=2,
IF(ISBLANK(Deltagarlista!$C11),"",IF(ISBLANK(Arrangörslista!J$98),"",IF($GV9=AU$64," DNS ",IFERROR(VLOOKUP($F9,Arrangörslista!J$98:$AG$135,16,FALSE), "DNS")))), IF(Deltagarlista!$K$3=1,IF(ISBLANK(Deltagarlista!$C11),"",IF(ISBLANK(Arrangörslista!J$98),"",IFERROR(VLOOKUP($F9,Arrangörslista!J$98:$AG$135,16,FALSE), "DNS"))),""))</f>
        <v/>
      </c>
      <c r="AV9" s="5" t="str">
        <f>IF(Deltagarlista!$K$3=2,
IF(ISBLANK(Deltagarlista!$C11),"",IF(ISBLANK(Arrangörslista!K$98),"",IF($GV9=AV$64," DNS ",IFERROR(VLOOKUP($F9,Arrangörslista!K$98:$AG$135,16,FALSE), "DNS")))), IF(Deltagarlista!$K$3=1,IF(ISBLANK(Deltagarlista!$C11),"",IF(ISBLANK(Arrangörslista!K$98),"",IFERROR(VLOOKUP($F9,Arrangörslista!K$98:$AG$135,16,FALSE), "DNS"))),""))</f>
        <v/>
      </c>
      <c r="AW9" s="5" t="str">
        <f>IF(Deltagarlista!$K$3=2,
IF(ISBLANK(Deltagarlista!$C11),"",IF(ISBLANK(Arrangörslista!L$98),"",IF($GV9=AW$64," DNS ",IFERROR(VLOOKUP($F9,Arrangörslista!L$98:$AG$135,16,FALSE), "DNS")))), IF(Deltagarlista!$K$3=1,IF(ISBLANK(Deltagarlista!$C11),"",IF(ISBLANK(Arrangörslista!L$98),"",IFERROR(VLOOKUP($F9,Arrangörslista!L$98:$AG$135,16,FALSE), "DNS"))),""))</f>
        <v/>
      </c>
      <c r="AX9" s="5" t="str">
        <f>IF(Deltagarlista!$K$3=2,
IF(ISBLANK(Deltagarlista!$C11),"",IF(ISBLANK(Arrangörslista!M$98),"",IF($GV9=AX$64," DNS ",IFERROR(VLOOKUP($F9,Arrangörslista!M$98:$AG$135,16,FALSE), "DNS")))), IF(Deltagarlista!$K$3=1,IF(ISBLANK(Deltagarlista!$C11),"",IF(ISBLANK(Arrangörslista!M$98),"",IFERROR(VLOOKUP($F9,Arrangörslista!M$98:$AG$135,16,FALSE), "DNS"))),""))</f>
        <v/>
      </c>
      <c r="AY9" s="5" t="str">
        <f>IF(Deltagarlista!$K$3=2,
IF(ISBLANK(Deltagarlista!$C11),"",IF(ISBLANK(Arrangörslista!N$98),"",IF($GV9=AY$64," DNS ",IFERROR(VLOOKUP($F9,Arrangörslista!N$98:$AG$135,16,FALSE), "DNS")))), IF(Deltagarlista!$K$3=1,IF(ISBLANK(Deltagarlista!$C11),"",IF(ISBLANK(Arrangörslista!N$98),"",IFERROR(VLOOKUP($F9,Arrangörslista!N$98:$AG$135,16,FALSE), "DNS"))),""))</f>
        <v/>
      </c>
      <c r="AZ9" s="5" t="str">
        <f>IF(Deltagarlista!$K$3=2,
IF(ISBLANK(Deltagarlista!$C11),"",IF(ISBLANK(Arrangörslista!O$98),"",IF($GV9=AZ$64," DNS ",IFERROR(VLOOKUP($F9,Arrangörslista!O$98:$AG$135,16,FALSE), "DNS")))), IF(Deltagarlista!$K$3=1,IF(ISBLANK(Deltagarlista!$C11),"",IF(ISBLANK(Arrangörslista!O$98),"",IFERROR(VLOOKUP($F9,Arrangörslista!O$98:$AG$135,16,FALSE), "DNS"))),""))</f>
        <v/>
      </c>
      <c r="BA9" s="5" t="str">
        <f>IF(Deltagarlista!$K$3=2,
IF(ISBLANK(Deltagarlista!$C11),"",IF(ISBLANK(Arrangörslista!P$98),"",IF($GV9=BA$64," DNS ",IFERROR(VLOOKUP($F9,Arrangörslista!P$98:$AG$135,16,FALSE), "DNS")))), IF(Deltagarlista!$K$3=1,IF(ISBLANK(Deltagarlista!$C11),"",IF(ISBLANK(Arrangörslista!P$98),"",IFERROR(VLOOKUP($F9,Arrangörslista!P$98:$AG$135,16,FALSE), "DNS"))),""))</f>
        <v/>
      </c>
      <c r="BB9" s="5" t="str">
        <f>IF(Deltagarlista!$K$3=2,
IF(ISBLANK(Deltagarlista!$C11),"",IF(ISBLANK(Arrangörslista!Q$98),"",IF($GV9=BB$64," DNS ",IFERROR(VLOOKUP($F9,Arrangörslista!Q$98:$AG$135,16,FALSE), "DNS")))), IF(Deltagarlista!$K$3=1,IF(ISBLANK(Deltagarlista!$C11),"",IF(ISBLANK(Arrangörslista!Q$98),"",IFERROR(VLOOKUP($F9,Arrangörslista!Q$98:$AG$135,16,FALSE), "DNS"))),""))</f>
        <v/>
      </c>
      <c r="BC9" s="5" t="str">
        <f>IF(Deltagarlista!$K$3=2,
IF(ISBLANK(Deltagarlista!$C11),"",IF(ISBLANK(Arrangörslista!C$143),"",IF($GV9=BC$64," DNS ",IFERROR(VLOOKUP($F9,Arrangörslista!C$143:$AG$180,16,FALSE), "DNS")))), IF(Deltagarlista!$K$3=1,IF(ISBLANK(Deltagarlista!$C11),"",IF(ISBLANK(Arrangörslista!C$143),"",IFERROR(VLOOKUP($F9,Arrangörslista!C$143:$AG$180,16,FALSE), "DNS"))),""))</f>
        <v/>
      </c>
      <c r="BD9" s="5" t="str">
        <f>IF(Deltagarlista!$K$3=2,
IF(ISBLANK(Deltagarlista!$C11),"",IF(ISBLANK(Arrangörslista!D$143),"",IF($GV9=BD$64," DNS ",IFERROR(VLOOKUP($F9,Arrangörslista!D$143:$AG$180,16,FALSE), "DNS")))), IF(Deltagarlista!$K$3=1,IF(ISBLANK(Deltagarlista!$C11),"",IF(ISBLANK(Arrangörslista!D$143),"",IFERROR(VLOOKUP($F9,Arrangörslista!D$143:$AG$180,16,FALSE), "DNS"))),""))</f>
        <v/>
      </c>
      <c r="BE9" s="5" t="str">
        <f>IF(Deltagarlista!$K$3=2,
IF(ISBLANK(Deltagarlista!$C11),"",IF(ISBLANK(Arrangörslista!E$143),"",IF($GV9=BE$64," DNS ",IFERROR(VLOOKUP($F9,Arrangörslista!E$143:$AG$180,16,FALSE), "DNS")))), IF(Deltagarlista!$K$3=1,IF(ISBLANK(Deltagarlista!$C11),"",IF(ISBLANK(Arrangörslista!E$143),"",IFERROR(VLOOKUP($F9,Arrangörslista!E$143:$AG$180,16,FALSE), "DNS"))),""))</f>
        <v/>
      </c>
      <c r="BF9" s="5" t="str">
        <f>IF(Deltagarlista!$K$3=2,
IF(ISBLANK(Deltagarlista!$C11),"",IF(ISBLANK(Arrangörslista!F$143),"",IF($GV9=BF$64," DNS ",IFERROR(VLOOKUP($F9,Arrangörslista!F$143:$AG$180,16,FALSE), "DNS")))), IF(Deltagarlista!$K$3=1,IF(ISBLANK(Deltagarlista!$C11),"",IF(ISBLANK(Arrangörslista!F$143),"",IFERROR(VLOOKUP($F9,Arrangörslista!F$143:$AG$180,16,FALSE), "DNS"))),""))</f>
        <v/>
      </c>
      <c r="BG9" s="5" t="str">
        <f>IF(Deltagarlista!$K$3=2,
IF(ISBLANK(Deltagarlista!$C11),"",IF(ISBLANK(Arrangörslista!G$143),"",IF($GV9=BG$64," DNS ",IFERROR(VLOOKUP($F9,Arrangörslista!G$143:$AG$180,16,FALSE), "DNS")))), IF(Deltagarlista!$K$3=1,IF(ISBLANK(Deltagarlista!$C11),"",IF(ISBLANK(Arrangörslista!G$143),"",IFERROR(VLOOKUP($F9,Arrangörslista!G$143:$AG$180,16,FALSE), "DNS"))),""))</f>
        <v/>
      </c>
      <c r="BH9" s="5" t="str">
        <f>IF(Deltagarlista!$K$3=2,
IF(ISBLANK(Deltagarlista!$C11),"",IF(ISBLANK(Arrangörslista!H$143),"",IF($GV9=BH$64," DNS ",IFERROR(VLOOKUP($F9,Arrangörslista!H$143:$AG$180,16,FALSE), "DNS")))), IF(Deltagarlista!$K$3=1,IF(ISBLANK(Deltagarlista!$C11),"",IF(ISBLANK(Arrangörslista!H$143),"",IFERROR(VLOOKUP($F9,Arrangörslista!H$143:$AG$180,16,FALSE), "DNS"))),""))</f>
        <v/>
      </c>
      <c r="BI9" s="5" t="str">
        <f>IF(Deltagarlista!$K$3=2,
IF(ISBLANK(Deltagarlista!$C11),"",IF(ISBLANK(Arrangörslista!I$143),"",IF($GV9=BI$64," DNS ",IFERROR(VLOOKUP($F9,Arrangörslista!I$143:$AG$180,16,FALSE), "DNS")))), IF(Deltagarlista!$K$3=1,IF(ISBLANK(Deltagarlista!$C11),"",IF(ISBLANK(Arrangörslista!I$143),"",IFERROR(VLOOKUP($F9,Arrangörslista!I$143:$AG$180,16,FALSE), "DNS"))),""))</f>
        <v/>
      </c>
      <c r="BJ9" s="5" t="str">
        <f>IF(Deltagarlista!$K$3=2,
IF(ISBLANK(Deltagarlista!$C11),"",IF(ISBLANK(Arrangörslista!J$143),"",IF($GV9=BJ$64," DNS ",IFERROR(VLOOKUP($F9,Arrangörslista!J$143:$AG$180,16,FALSE), "DNS")))), IF(Deltagarlista!$K$3=1,IF(ISBLANK(Deltagarlista!$C11),"",IF(ISBLANK(Arrangörslista!J$143),"",IFERROR(VLOOKUP($F9,Arrangörslista!J$143:$AG$180,16,FALSE), "DNS"))),""))</f>
        <v/>
      </c>
      <c r="BK9" s="5" t="str">
        <f>IF(Deltagarlista!$K$3=2,
IF(ISBLANK(Deltagarlista!$C11),"",IF(ISBLANK(Arrangörslista!K$143),"",IF($GV9=BK$64," DNS ",IFERROR(VLOOKUP($F9,Arrangörslista!K$143:$AG$180,16,FALSE), "DNS")))), IF(Deltagarlista!$K$3=1,IF(ISBLANK(Deltagarlista!$C11),"",IF(ISBLANK(Arrangörslista!K$143),"",IFERROR(VLOOKUP($F9,Arrangörslista!K$143:$AG$180,16,FALSE), "DNS"))),""))</f>
        <v/>
      </c>
      <c r="BL9" s="5" t="str">
        <f>IF(Deltagarlista!$K$3=2,
IF(ISBLANK(Deltagarlista!$C11),"",IF(ISBLANK(Arrangörslista!L$143),"",IF($GV9=BL$64," DNS ",IFERROR(VLOOKUP($F9,Arrangörslista!L$143:$AG$180,16,FALSE), "DNS")))), IF(Deltagarlista!$K$3=1,IF(ISBLANK(Deltagarlista!$C11),"",IF(ISBLANK(Arrangörslista!L$143),"",IFERROR(VLOOKUP($F9,Arrangörslista!L$143:$AG$180,16,FALSE), "DNS"))),""))</f>
        <v/>
      </c>
      <c r="BM9" s="5" t="str">
        <f>IF(Deltagarlista!$K$3=2,
IF(ISBLANK(Deltagarlista!$C11),"",IF(ISBLANK(Arrangörslista!M$143),"",IF($GV9=BM$64," DNS ",IFERROR(VLOOKUP($F9,Arrangörslista!M$143:$AG$180,16,FALSE), "DNS")))), IF(Deltagarlista!$K$3=1,IF(ISBLANK(Deltagarlista!$C11),"",IF(ISBLANK(Arrangörslista!M$143),"",IFERROR(VLOOKUP($F9,Arrangörslista!M$143:$AG$180,16,FALSE), "DNS"))),""))</f>
        <v/>
      </c>
      <c r="BN9" s="5" t="str">
        <f>IF(Deltagarlista!$K$3=2,
IF(ISBLANK(Deltagarlista!$C11),"",IF(ISBLANK(Arrangörslista!N$143),"",IF($GV9=BN$64," DNS ",IFERROR(VLOOKUP($F9,Arrangörslista!N$143:$AG$180,16,FALSE), "DNS")))), IF(Deltagarlista!$K$3=1,IF(ISBLANK(Deltagarlista!$C11),"",IF(ISBLANK(Arrangörslista!N$143),"",IFERROR(VLOOKUP($F9,Arrangörslista!N$143:$AG$180,16,FALSE), "DNS"))),""))</f>
        <v/>
      </c>
      <c r="BO9" s="5" t="str">
        <f>IF(Deltagarlista!$K$3=2,
IF(ISBLANK(Deltagarlista!$C11),"",IF(ISBLANK(Arrangörslista!O$143),"",IF($GV9=BO$64," DNS ",IFERROR(VLOOKUP($F9,Arrangörslista!O$143:$AG$180,16,FALSE), "DNS")))), IF(Deltagarlista!$K$3=1,IF(ISBLANK(Deltagarlista!$C11),"",IF(ISBLANK(Arrangörslista!O$143),"",IFERROR(VLOOKUP($F9,Arrangörslista!O$143:$AG$180,16,FALSE), "DNS"))),""))</f>
        <v/>
      </c>
      <c r="BP9" s="5" t="str">
        <f>IF(Deltagarlista!$K$3=2,
IF(ISBLANK(Deltagarlista!$C11),"",IF(ISBLANK(Arrangörslista!P$143),"",IF($GV9=BP$64," DNS ",IFERROR(VLOOKUP($F9,Arrangörslista!P$143:$AG$180,16,FALSE), "DNS")))), IF(Deltagarlista!$K$3=1,IF(ISBLANK(Deltagarlista!$C11),"",IF(ISBLANK(Arrangörslista!P$143),"",IFERROR(VLOOKUP($F9,Arrangörslista!P$143:$AG$180,16,FALSE), "DNS"))),""))</f>
        <v/>
      </c>
      <c r="BQ9" s="80" t="str">
        <f>IF(Deltagarlista!$K$3=2,
IF(ISBLANK(Deltagarlista!$C11),"",IF(ISBLANK(Arrangörslista!Q$143),"",IF($GV9=BQ$64," DNS ",IFERROR(VLOOKUP($F9,Arrangörslista!Q$143:$AG$180,16,FALSE), "DNS")))), IF(Deltagarlista!$K$3=1,IF(ISBLANK(Deltagarlista!$C11),"",IF(ISBLANK(Arrangörslista!Q$143),"",IFERROR(VLOOKUP($F9,Arrangörslista!Q$143:$AG$180,16,FALSE), "DNS"))),""))</f>
        <v/>
      </c>
      <c r="BR9" s="51"/>
      <c r="BS9" s="51"/>
      <c r="BT9" s="51"/>
      <c r="BU9" s="71">
        <f>SUM(BV9:EC9)</f>
        <v>0</v>
      </c>
      <c r="BV9" s="61">
        <f>IF(J9="",0,IF(OR(J9="DNF",J9="OCS",J9="DSQ",J9="DNS",J9=" DNS "),$BW$3+1,J9))</f>
        <v>0</v>
      </c>
      <c r="BW9" s="61">
        <f>IF(K9="",0,IF(OR(K9="DNF",K9="OCS",K9="DSQ",K9="DNS",K9=" DNS "),$BW$3+1,K9))</f>
        <v>0</v>
      </c>
      <c r="BX9" s="61">
        <f>IF(L9="",0,IF(OR(L9="DNF",L9="OCS",L9="DSQ",L9="DNS",L9=" DNS "),$BW$3+1,L9))</f>
        <v>0</v>
      </c>
      <c r="BY9" s="61">
        <f>IF(M9="",0,IF(OR(M9="DNF",M9="OCS",M9="DSQ",M9="DNS",M9=" DNS "),$BW$3+1,M9))</f>
        <v>0</v>
      </c>
      <c r="BZ9" s="61">
        <f>IF(N9="",0,IF(OR(N9="DNF",N9="OCS",N9="DSQ",N9="DNS",N9=" DNS "),$BW$3+1,N9))</f>
        <v>0</v>
      </c>
      <c r="CA9" s="61">
        <f>IF(O9="",0,IF(OR(O9="DNF",O9="OCS",O9="DSQ",O9="DNS",O9=" DNS "),$BW$3+1,O9))</f>
        <v>0</v>
      </c>
      <c r="CB9" s="61">
        <f>IF(P9="",0,IF(OR(P9="DNF",P9="OCS",P9="DSQ",P9="DNS",P9=" DNS "),$BW$3+1,P9))</f>
        <v>0</v>
      </c>
      <c r="CC9" s="61">
        <f>IF(Q9="",0,IF(OR(Q9="DNF",Q9="OCS",Q9="DSQ",Q9="DNS",Q9=" DNS "),$BW$3+1,Q9))</f>
        <v>0</v>
      </c>
      <c r="CD9" s="61">
        <f>IF(R9="",0,IF(OR(R9="DNF",R9="OCS",R9="DSQ",R9="DNS",R9=" DNS "),$BW$3+1,R9))</f>
        <v>0</v>
      </c>
      <c r="CE9" s="61">
        <f>IF(S9="",0,IF(OR(S9="DNF",S9="OCS",S9="DSQ",S9="DNS",S9=" DNS "),$BW$3+1,S9))</f>
        <v>0</v>
      </c>
      <c r="CF9" s="61">
        <f>IF(T9="",0,IF(OR(T9="DNF",T9="OCS",T9="DSQ",T9="DNS",T9=" DNS "),$BW$3+1,T9))</f>
        <v>0</v>
      </c>
      <c r="CG9" s="61">
        <f>IF(U9="",0,IF(OR(U9="DNF",U9="OCS",U9="DSQ",U9="DNS",U9=" DNS "),$BW$3+1,U9))</f>
        <v>0</v>
      </c>
      <c r="CH9" s="61">
        <f>IF(V9="",0,IF(OR(V9="DNF",V9="OCS",V9="DSQ",V9="DNS",V9=" DNS "),$BW$3+1,V9))</f>
        <v>0</v>
      </c>
      <c r="CI9" s="61">
        <f>IF(W9="",0,IF(OR(W9="DNF",W9="OCS",W9="DSQ",W9="DNS",W9=" DNS "),$BW$3+1,W9))</f>
        <v>0</v>
      </c>
      <c r="CJ9" s="61">
        <f>IF(X9="",0,IF(OR(X9="DNF",X9="OCS",X9="DSQ",X9="DNS",X9=" DNS "),$BW$3+1,X9))</f>
        <v>0</v>
      </c>
      <c r="CK9" s="61">
        <f>IF(Y9="",0,IF(OR(Y9="DNF",Y9="OCS",Y9="DSQ",Y9="DNS",Y9=" DNS "),$BW$3+1,Y9))</f>
        <v>0</v>
      </c>
      <c r="CL9" s="61">
        <f>IF(Z9="",0,IF(OR(Z9="DNF",Z9="OCS",Z9="DSQ",Z9="DNS",Z9=" DNS "),$BW$3+1,Z9))</f>
        <v>0</v>
      </c>
      <c r="CM9" s="61">
        <f>IF(AA9="",0,IF(OR(AA9="DNF",AA9="OCS",AA9="DSQ",AA9="DNS",AA9=" DNS "),$BW$3+1,AA9))</f>
        <v>0</v>
      </c>
      <c r="CN9" s="61">
        <f>IF(AB9="",0,IF(OR(AB9="DNF",AB9="OCS",AB9="DSQ",AB9="DNS",AB9=" DNS "),$BW$3+1,AB9))</f>
        <v>0</v>
      </c>
      <c r="CO9" s="61">
        <f>IF(AC9="",0,IF(OR(AC9="DNF",AC9="OCS",AC9="DSQ",AC9="DNS",AC9=" DNS "),$BW$3+1,AC9))</f>
        <v>0</v>
      </c>
      <c r="CP9" s="61">
        <f>IF(AD9="",0,IF(OR(AD9="DNF",AD9="OCS",AD9="DSQ",AD9="DNS",AD9=" DNS "),$BW$3+1,AD9))</f>
        <v>0</v>
      </c>
      <c r="CQ9" s="61">
        <f>IF(AE9="",0,IF(OR(AE9="DNF",AE9="OCS",AE9="DSQ",AE9="DNS",AE9=" DNS "),$BW$3+1,AE9))</f>
        <v>0</v>
      </c>
      <c r="CR9" s="61">
        <f>IF(AF9="",0,IF(OR(AF9="DNF",AF9="OCS",AF9="DSQ",AF9="DNS",AF9=" DNS "),$BW$3+1,AF9))</f>
        <v>0</v>
      </c>
      <c r="CS9" s="61">
        <f>IF(AG9="",0,IF(OR(AG9="DNF",AG9="OCS",AG9="DSQ",AG9="DNS",AG9=" DNS "),$BW$3+1,AG9))</f>
        <v>0</v>
      </c>
      <c r="CT9" s="61">
        <f>IF(AH9="",0,IF(OR(AH9="DNF",AH9="OCS",AH9="DSQ",AH9="DNS",AH9=" DNS "),$BW$3+1,AH9))</f>
        <v>0</v>
      </c>
      <c r="CU9" s="61">
        <f>IF(AI9="",0,IF(OR(AI9="DNF",AI9="OCS",AI9="DSQ",AI9="DNS",AI9=" DNS "),$BW$3+1,AI9))</f>
        <v>0</v>
      </c>
      <c r="CV9" s="61">
        <f>IF(AJ9="",0,IF(OR(AJ9="DNF",AJ9="OCS",AJ9="DSQ",AJ9="DNS",AJ9=" DNS "),$BW$3+1,AJ9))</f>
        <v>0</v>
      </c>
      <c r="CW9" s="61">
        <f>IF(AK9="",0,IF(OR(AK9="DNF",AK9="OCS",AK9="DSQ",AK9="DNS",AK9=" DNS "),$BW$3+1,AK9))</f>
        <v>0</v>
      </c>
      <c r="CX9" s="61">
        <f>IF(AL9="",0,IF(OR(AL9="DNF",AL9="OCS",AL9="DSQ",AL9="DNS",AL9=" DNS "),$BW$3+1,AL9))</f>
        <v>0</v>
      </c>
      <c r="CY9" s="61">
        <f>IF(AM9="",0,IF(OR(AM9="DNF",AM9="OCS",AM9="DSQ",AM9="DNS",AM9=" DNS "),$BW$3+1,AM9))</f>
        <v>0</v>
      </c>
      <c r="CZ9" s="61">
        <f>IF(AN9="",0,IF(OR(AN9="DNF",AN9="OCS",AN9="DSQ",AN9="DNS",AN9=" DNS "),$BW$3+1,AN9))</f>
        <v>0</v>
      </c>
      <c r="DA9" s="61">
        <f>IF(AO9="",0,IF(OR(AO9="DNF",AO9="OCS",AO9="DSQ",AO9="DNS",AO9=" DNS "),$BW$3+1,AO9))</f>
        <v>0</v>
      </c>
      <c r="DB9" s="61">
        <f>IF(AP9="",0,IF(OR(AP9="DNF",AP9="OCS",AP9="DSQ",AP9="DNS",AP9=" DNS "),$BW$3+1,AP9))</f>
        <v>0</v>
      </c>
      <c r="DC9" s="61">
        <f>IF(AQ9="",0,IF(OR(AQ9="DNF",AQ9="OCS",AQ9="DSQ",AQ9="DNS",AQ9=" DNS "),$BW$3+1,AQ9))</f>
        <v>0</v>
      </c>
      <c r="DD9" s="61">
        <f>IF(AR9="",0,IF(OR(AR9="DNF",AR9="OCS",AR9="DSQ",AR9="DNS",AR9=" DNS "),$BW$3+1,AR9))</f>
        <v>0</v>
      </c>
      <c r="DE9" s="61">
        <f>IF(AS9="",0,IF(OR(AS9="DNF",AS9="OCS",AS9="DSQ",AS9="DNS",AS9=" DNS "),$BW$3+1,AS9))</f>
        <v>0</v>
      </c>
      <c r="DF9" s="61">
        <f>IF(AT9="",0,IF(OR(AT9="DNF",AT9="OCS",AT9="DSQ",AT9="DNS",AT9=" DNS "),$BW$3+1,AT9))</f>
        <v>0</v>
      </c>
      <c r="DG9" s="61">
        <f>IF(AU9="",0,IF(OR(AU9="DNF",AU9="OCS",AU9="DSQ",AU9="DNS",AU9=" DNS "),$BW$3+1,AU9))</f>
        <v>0</v>
      </c>
      <c r="DH9" s="61">
        <f>IF(AV9="",0,IF(OR(AV9="DNF",AV9="OCS",AV9="DSQ",AV9="DNS",AV9=" DNS "),$BW$3+1,AV9))</f>
        <v>0</v>
      </c>
      <c r="DI9" s="61">
        <f>IF(AW9="",0,IF(OR(AW9="DNF",AW9="OCS",AW9="DSQ",AW9="DNS",AW9=" DNS "),$BW$3+1,AW9))</f>
        <v>0</v>
      </c>
      <c r="DJ9" s="61">
        <f>IF(AX9="",0,IF(OR(AX9="DNF",AX9="OCS",AX9="DSQ",AX9="DNS",AX9=" DNS "),$BW$3+1,AX9))</f>
        <v>0</v>
      </c>
      <c r="DK9" s="61">
        <f>IF(AY9="",0,IF(OR(AY9="DNF",AY9="OCS",AY9="DSQ",AY9="DNS",AY9=" DNS "),$BW$3+1,AY9))</f>
        <v>0</v>
      </c>
      <c r="DL9" s="61">
        <f>IF(AZ9="",0,IF(OR(AZ9="DNF",AZ9="OCS",AZ9="DSQ",AZ9="DNS",AZ9=" DNS "),$BW$3+1,AZ9))</f>
        <v>0</v>
      </c>
      <c r="DM9" s="61">
        <f>IF(BA9="",0,IF(OR(BA9="DNF",BA9="OCS",BA9="DSQ",BA9="DNS",BA9=" DNS "),$BW$3+1,BA9))</f>
        <v>0</v>
      </c>
      <c r="DN9" s="61">
        <f>IF(BB9="",0,IF(OR(BB9="DNF",BB9="OCS",BB9="DSQ",BB9="DNS",BB9=" DNS "),$BW$3+1,BB9))</f>
        <v>0</v>
      </c>
      <c r="DO9" s="61">
        <f>IF(BC9="",0,IF(OR(BC9="DNF",BC9="OCS",BC9="DSQ",BC9="DNS",BC9=" DNS "),$BW$3+1,BC9))</f>
        <v>0</v>
      </c>
      <c r="DP9" s="61">
        <f>IF(BD9="",0,IF(OR(BD9="DNF",BD9="OCS",BD9="DSQ",BD9="DNS",BD9=" DNS "),$BW$3+1,BD9))</f>
        <v>0</v>
      </c>
      <c r="DQ9" s="61">
        <f>IF(BE9="",0,IF(OR(BE9="DNF",BE9="OCS",BE9="DSQ",BE9="DNS",BE9=" DNS "),$BW$3+1,BE9))</f>
        <v>0</v>
      </c>
      <c r="DR9" s="61">
        <f>IF(BF9="",0,IF(OR(BF9="DNF",BF9="OCS",BF9="DSQ",BF9="DNS",BF9=" DNS "),$BW$3+1,BF9))</f>
        <v>0</v>
      </c>
      <c r="DS9" s="61">
        <f>IF(BG9="",0,IF(OR(BG9="DNF",BG9="OCS",BG9="DSQ",BG9="DNS",BG9=" DNS "),$BW$3+1,BG9))</f>
        <v>0</v>
      </c>
      <c r="DT9" s="61">
        <f>IF(BH9="",0,IF(OR(BH9="DNF",BH9="OCS",BH9="DSQ",BH9="DNS",BH9=" DNS "),$BW$3+1,BH9))</f>
        <v>0</v>
      </c>
      <c r="DU9" s="61">
        <f>IF(BI9="",0,IF(OR(BI9="DNF",BI9="OCS",BI9="DSQ",BI9="DNS",BI9=" DNS "),$BW$3+1,BI9))</f>
        <v>0</v>
      </c>
      <c r="DV9" s="61">
        <f>IF(BJ9="",0,IF(OR(BJ9="DNF",BJ9="OCS",BJ9="DSQ",BJ9="DNS",BJ9=" DNS "),$BW$3+1,BJ9))</f>
        <v>0</v>
      </c>
      <c r="DW9" s="61">
        <f>IF(BK9="",0,IF(OR(BK9="DNF",BK9="OCS",BK9="DSQ",BK9="DNS",BK9=" DNS "),$BW$3+1,BK9))</f>
        <v>0</v>
      </c>
      <c r="DX9" s="61">
        <f>IF(BL9="",0,IF(OR(BL9="DNF",BL9="OCS",BL9="DSQ",BL9="DNS",BL9=" DNS "),$BW$3+1,BL9))</f>
        <v>0</v>
      </c>
      <c r="DY9" s="61">
        <f>IF(BM9="",0,IF(OR(BM9="DNF",BM9="OCS",BM9="DSQ",BM9="DNS",BM9=" DNS "),$BW$3+1,BM9))</f>
        <v>0</v>
      </c>
      <c r="DZ9" s="61">
        <f>IF(BN9="",0,IF(OR(BN9="DNF",BN9="OCS",BN9="DSQ",BN9="DNS",BN9=" DNS "),$BW$3+1,BN9))</f>
        <v>0</v>
      </c>
      <c r="EA9" s="61">
        <f>IF(BO9="",0,IF(OR(BO9="DNF",BO9="OCS",BO9="DSQ",BO9="DNS",BO9=" DNS "),$BW$3+1,BO9))</f>
        <v>0</v>
      </c>
      <c r="EB9" s="61">
        <f>IF(BP9="",0,IF(OR(BP9="DNF",BP9="OCS",BP9="DSQ",BP9="DNS",BP9=" DNS "),$BW$3+1,BP9))</f>
        <v>0</v>
      </c>
      <c r="EC9" s="61">
        <f>IF(BQ9="",0,IF(OR(BQ9="DNF",BQ9="OCS",BQ9="DSQ",BQ9="DNS",BQ9=" DNS "),$BW$3+1,BQ9))</f>
        <v>0</v>
      </c>
      <c r="EE9" s="61">
        <f xml:space="preserve">
IF(OR(Deltagarlista!$K$3=3,Deltagarlista!$K$3=4),
IF(Arrangörslista!$U$5&lt;8,0,
IF(Arrangörslista!$U$5&lt;16,SUM(LARGE(BV9:CJ9,1)),
IF(Arrangörslista!$U$5&lt;24,SUM(LARGE(BV9:CR9,{1;2})),
IF(Arrangörslista!$U$5&lt;32,SUM(LARGE(BV9:CZ9,{1;2;3})),
IF(Arrangörslista!$U$5&lt;40,SUM(LARGE(BV9:DH9,{1;2;3;4})),
IF(Arrangörslista!$U$5&lt;48,SUM(LARGE(BV9:DP9,{1;2;3;4;5})),
IF(Arrangörslista!$U$5&lt;56,SUM(LARGE(BV9:DX9,{1;2;3;4;5;6})),
IF(Arrangörslista!$U$5&lt;64,SUM(LARGE(BV9:EC9,{1;2;3;4;5;6;7})),0)))))))),
IF(Deltagarlista!$K$3=2,
IF(Arrangörslista!$U$5&lt;4,LARGE(BV9:BX9,1),
IF(Arrangörslista!$U$5&lt;7,SUM(LARGE(BV9:CA9,{1;2;3})),
IF(Arrangörslista!$U$5&lt;10,SUM(LARGE(BV9:CD9,{1;2;3;4})),
IF(Arrangörslista!$U$5&lt;13,SUM(LARGE(BV9:CG9,{1;2;3;4;5;6})),
IF(Arrangörslista!$U$5&lt;16,SUM(LARGE(BV9:CJ9,{1;2;3;4;5;6;7})),
IF(Arrangörslista!$U$5&lt;19,SUM(LARGE(BV9:CM9,{1;2;3;4;5;6;7;8;9})),
IF(Arrangörslista!$U$5&lt;22,SUM(LARGE(BV9:CP9,{1;2;3;4;5;6;7;8;9;10})),
IF(Arrangörslista!$U$5&lt;25,SUM(LARGE(BV9:CS9,{1;2;3;4;5;6;7;8;9;10;11;12})),
IF(Arrangörslista!$U$5&lt;28,SUM(LARGE(BV9:CV9,{1;2;3;4;5;6;7;8;9;10;11;12;13})),
IF(Arrangörslista!$U$5&lt;31,SUM(LARGE(BV9:CY9,{1;2;3;4;5;6;7;8;9;10;11;12;13;14;15})),
IF(Arrangörslista!$U$5&lt;34,SUM(LARGE(BV9:DB9,{1;2;3;4;5;6;7;8;9;10;11;12;13;14;15;16})),
IF(Arrangörslista!$U$5&lt;37,SUM(LARGE(BV9:DE9,{1;2;3;4;5;6;7;8;9;10;11;12;13;14;15;16;17;18})),
IF(Arrangörslista!$U$5&lt;40,SUM(LARGE(BV9:DH9,{1;2;3;4;5;6;7;8;9;10;11;12;13;14;15;16;17;18;19})),
IF(Arrangörslista!$U$5&lt;43,SUM(LARGE(BV9:DK9,{1;2;3;4;5;6;7;8;9;10;11;12;13;14;15;16;17;18;19;20;21})),
IF(Arrangörslista!$U$5&lt;46,SUM(LARGE(BV9:DN9,{1;2;3;4;5;6;7;8;9;10;11;12;13;14;15;16;17;18;19;20;21;22})),
IF(Arrangörslista!$U$5&lt;49,SUM(LARGE(BV9:DQ9,{1;2;3;4;5;6;7;8;9;10;11;12;13;14;15;16;17;18;19;20;21;22;23;24})),
IF(Arrangörslista!$U$5&lt;52,SUM(LARGE(BV9:DT9,{1;2;3;4;5;6;7;8;9;10;11;12;13;14;15;16;17;18;19;20;21;22;23;24;25})),
IF(Arrangörslista!$U$5&lt;55,SUM(LARGE(BV9:DW9,{1;2;3;4;5;6;7;8;9;10;11;12;13;14;15;16;17;18;19;20;21;22;23;24;25;26;27})),
IF(Arrangörslista!$U$5&lt;58,SUM(LARGE(BV9:DZ9,{1;2;3;4;5;6;7;8;9;10;11;12;13;14;15;16;17;18;19;20;21;22;23;24;25;26;27;28})),
IF(Arrangörslista!$U$5&lt;61,SUM(LARGE(BV9:EC9,{1;2;3;4;5;6;7;8;9;10;11;12;13;14;15;16;17;18;19;20;21;22;23;24;25;26;27;28;29;30})),0)))))))))))))))))))),
IF(Arrangörslista!$U$5&lt;4,0,
IF(Arrangörslista!$U$5&lt;8,SUM(LARGE(BV9:CB9,1)),
IF(Arrangörslista!$U$5&lt;12,SUM(LARGE(BV9:CF9,{1;2})),
IF(Arrangörslista!$U$5&lt;16,SUM(LARGE(BV9:CJ9,{1;2;3})),
IF(Arrangörslista!$U$5&lt;20,SUM(LARGE(BV9:CN9,{1;2;3;4})),
IF(Arrangörslista!$U$5&lt;24,SUM(LARGE(BV9:CR9,{1;2;3;4;5})),
IF(Arrangörslista!$U$5&lt;28,SUM(LARGE(BV9:CV9,{1;2;3;4;5;6})),
IF(Arrangörslista!$U$5&lt;32,SUM(LARGE(BV9:CZ9,{1;2;3;4;5;6;7})),
IF(Arrangörslista!$U$5&lt;36,SUM(LARGE(BV9:DD9,{1;2;3;4;5;6;7;8})),
IF(Arrangörslista!$U$5&lt;40,SUM(LARGE(BV9:DH9,{1;2;3;4;5;6;7;8;9})),
IF(Arrangörslista!$U$5&lt;44,SUM(LARGE(BV9:DL9,{1;2;3;4;5;6;7;8;9;10})),
IF(Arrangörslista!$U$5&lt;48,SUM(LARGE(BV9:DP9,{1;2;3;4;5;6;7;8;9;10;11})),
IF(Arrangörslista!$U$5&lt;52,SUM(LARGE(BV9:DT9,{1;2;3;4;5;6;7;8;9;10;11;12})),
IF(Arrangörslista!$U$5&lt;56,SUM(LARGE(BV9:DX9,{1;2;3;4;5;6;7;8;9;10;11;12;13})),
IF(Arrangörslista!$U$5&lt;60,SUM(LARGE(BV9:EB9,{1;2;3;4;5;6;7;8;9;10;11;12;13;14})),
IF(Arrangörslista!$U$5=60,SUM(LARGE(BV9:EC9,{1;2;3;4;5;6;7;8;9;10;11;12;13;14;15})),0))))))))))))))))))</f>
        <v>0</v>
      </c>
      <c r="EG9" s="67">
        <f>IF(F9="",,1)</f>
        <v>0</v>
      </c>
      <c r="EH9" s="61"/>
      <c r="EI9" s="61"/>
      <c r="EK9" s="62">
        <f>SMALL($J72:$BQ72,1)</f>
        <v>61</v>
      </c>
      <c r="EL9" s="62">
        <f>SMALL($J72:$BQ72,2)</f>
        <v>61</v>
      </c>
      <c r="EM9" s="62">
        <f>SMALL($J72:$BQ72,3)</f>
        <v>61</v>
      </c>
      <c r="EN9" s="62">
        <f>SMALL($J72:$BQ72,4)</f>
        <v>61</v>
      </c>
      <c r="EO9" s="62">
        <f>SMALL($J72:$BQ72,5)</f>
        <v>61</v>
      </c>
      <c r="EP9" s="62">
        <f>SMALL($J72:$BQ72,6)</f>
        <v>61</v>
      </c>
      <c r="EQ9" s="62">
        <f>SMALL($J72:$BQ72,7)</f>
        <v>61</v>
      </c>
      <c r="ER9" s="62">
        <f>SMALL($J72:$BQ72,8)</f>
        <v>61</v>
      </c>
      <c r="ES9" s="62">
        <f>SMALL($J72:$BQ72,9)</f>
        <v>61</v>
      </c>
      <c r="ET9" s="62">
        <f>SMALL($J72:$BQ72,10)</f>
        <v>61</v>
      </c>
      <c r="EU9" s="62">
        <f>SMALL($J72:$BQ72,11)</f>
        <v>61</v>
      </c>
      <c r="EV9" s="62">
        <f>SMALL($J72:$BQ72,12)</f>
        <v>61</v>
      </c>
      <c r="EW9" s="62">
        <f>SMALL($J72:$BQ72,13)</f>
        <v>61</v>
      </c>
      <c r="EX9" s="62">
        <f>SMALL($J72:$BQ72,14)</f>
        <v>61</v>
      </c>
      <c r="EY9" s="62">
        <f>SMALL($J72:$BQ72,15)</f>
        <v>61</v>
      </c>
      <c r="EZ9" s="62">
        <f>SMALL($J72:$BQ72,16)</f>
        <v>61</v>
      </c>
      <c r="FA9" s="62">
        <f>SMALL($J72:$BQ72,17)</f>
        <v>61</v>
      </c>
      <c r="FB9" s="62">
        <f>SMALL($J72:$BQ72,18)</f>
        <v>61</v>
      </c>
      <c r="FC9" s="62">
        <f>SMALL($J72:$BQ72,19)</f>
        <v>61</v>
      </c>
      <c r="FD9" s="62">
        <f>SMALL($J72:$BQ72,20)</f>
        <v>61</v>
      </c>
      <c r="FE9" s="62">
        <f>SMALL($J72:$BQ72,21)</f>
        <v>61</v>
      </c>
      <c r="FF9" s="62">
        <f>SMALL($J72:$BQ72,22)</f>
        <v>61</v>
      </c>
      <c r="FG9" s="62">
        <f>SMALL($J72:$BQ72,23)</f>
        <v>61</v>
      </c>
      <c r="FH9" s="62">
        <f>SMALL($J72:$BQ72,24)</f>
        <v>61</v>
      </c>
      <c r="FI9" s="62">
        <f>SMALL($J72:$BQ72,25)</f>
        <v>61</v>
      </c>
      <c r="FJ9" s="62">
        <f>SMALL($J72:$BQ72,26)</f>
        <v>61</v>
      </c>
      <c r="FK9" s="62">
        <f>SMALL($J72:$BQ72,27)</f>
        <v>61</v>
      </c>
      <c r="FL9" s="62">
        <f>SMALL($J72:$BQ72,28)</f>
        <v>61</v>
      </c>
      <c r="FM9" s="62">
        <f>SMALL($J72:$BQ72,29)</f>
        <v>61</v>
      </c>
      <c r="FN9" s="62">
        <f>SMALL($J72:$BQ72,30)</f>
        <v>61</v>
      </c>
      <c r="FO9" s="62">
        <f>SMALL($J72:$BQ72,31)</f>
        <v>61</v>
      </c>
      <c r="FP9" s="62">
        <f>SMALL($J72:$BQ72,32)</f>
        <v>61</v>
      </c>
      <c r="FQ9" s="62">
        <f>SMALL($J72:$BQ72,33)</f>
        <v>61</v>
      </c>
      <c r="FR9" s="62">
        <f>SMALL($J72:$BQ72,34)</f>
        <v>61</v>
      </c>
      <c r="FS9" s="62">
        <f>SMALL($J72:$BQ72,35)</f>
        <v>61</v>
      </c>
      <c r="FT9" s="62">
        <f>SMALL($J72:$BQ72,36)</f>
        <v>61</v>
      </c>
      <c r="FU9" s="62">
        <f>SMALL($J72:$BQ72,37)</f>
        <v>61</v>
      </c>
      <c r="FV9" s="62">
        <f>SMALL($J72:$BQ72,38)</f>
        <v>61</v>
      </c>
      <c r="FW9" s="62">
        <f>SMALL($J72:$BQ72,39)</f>
        <v>61</v>
      </c>
      <c r="FX9" s="62">
        <f>SMALL($J72:$BQ72,40)</f>
        <v>61</v>
      </c>
      <c r="FY9" s="62">
        <f>SMALL($J72:$BQ72,41)</f>
        <v>61</v>
      </c>
      <c r="FZ9" s="62">
        <f>SMALL($J72:$BQ72,42)</f>
        <v>61</v>
      </c>
      <c r="GA9" s="62">
        <f>SMALL($J72:$BQ72,43)</f>
        <v>61</v>
      </c>
      <c r="GB9" s="62">
        <f>SMALL($J72:$BQ72,44)</f>
        <v>61</v>
      </c>
      <c r="GC9" s="62">
        <f>SMALL($J72:$BQ72,45)</f>
        <v>61</v>
      </c>
      <c r="GD9" s="62">
        <f>SMALL($J72:$BQ72,46)</f>
        <v>61</v>
      </c>
      <c r="GE9" s="62">
        <f>SMALL($J72:$BQ72,47)</f>
        <v>61</v>
      </c>
      <c r="GF9" s="62">
        <f>SMALL($J72:$BQ72,48)</f>
        <v>61</v>
      </c>
      <c r="GG9" s="62">
        <f>SMALL($J72:$BQ72,49)</f>
        <v>61</v>
      </c>
      <c r="GH9" s="62">
        <f>SMALL($J72:$BQ72,50)</f>
        <v>61</v>
      </c>
      <c r="GI9" s="62">
        <f>SMALL($J72:$BQ72,51)</f>
        <v>61</v>
      </c>
      <c r="GJ9" s="62">
        <f>SMALL($J72:$BQ72,52)</f>
        <v>61</v>
      </c>
      <c r="GK9" s="62">
        <f>SMALL($J72:$BQ72,53)</f>
        <v>61</v>
      </c>
      <c r="GL9" s="62">
        <f>SMALL($J72:$BQ72,54)</f>
        <v>61</v>
      </c>
      <c r="GM9" s="62">
        <f>SMALL($J72:$BQ72,55)</f>
        <v>61</v>
      </c>
      <c r="GN9" s="62">
        <f>SMALL($J72:$BQ72,56)</f>
        <v>61</v>
      </c>
      <c r="GO9" s="62">
        <f>SMALL($J72:$BQ72,57)</f>
        <v>61</v>
      </c>
      <c r="GP9" s="62">
        <f>SMALL($J72:$BQ72,58)</f>
        <v>61</v>
      </c>
      <c r="GQ9" s="62">
        <f>SMALL($J72:$BQ72,59)</f>
        <v>61</v>
      </c>
      <c r="GR9" s="62">
        <f>SMALL($J72:$BQ72,60)</f>
        <v>61</v>
      </c>
      <c r="GT9" s="62">
        <f>IF(Deltagarlista!$K$3=2,
IF(GW9="1",
      IF(Arrangörslista!$U$5=1,J72,
IF(Arrangörslista!$U$5=2,K72,
IF(Arrangörslista!$U$5=3,L72,
IF(Arrangörslista!$U$5=4,M72,
IF(Arrangörslista!$U$5=5,N72,
IF(Arrangörslista!$U$5=6,O72,
IF(Arrangörslista!$U$5=7,P72,
IF(Arrangörslista!$U$5=8,Q72,
IF(Arrangörslista!$U$5=9,R72,
IF(Arrangörslista!$U$5=10,S72,
IF(Arrangörslista!$U$5=11,T72,
IF(Arrangörslista!$U$5=12,U72,
IF(Arrangörslista!$U$5=13,V72,
IF(Arrangörslista!$U$5=14,W72,
IF(Arrangörslista!$U$5=15,X72,
IF(Arrangörslista!$U$5=16,Y72,IF(Arrangörslista!$U$5=17,Z72,IF(Arrangörslista!$U$5=18,AA72,IF(Arrangörslista!$U$5=19,AB72,IF(Arrangörslista!$U$5=20,AC72,IF(Arrangörslista!$U$5=21,AD72,IF(Arrangörslista!$U$5=22,AE72,IF(Arrangörslista!$U$5=23,AF72, IF(Arrangörslista!$U$5=24,AG72, IF(Arrangörslista!$U$5=25,AH72, IF(Arrangörslista!$U$5=26,AI72, IF(Arrangörslista!$U$5=27,AJ72, IF(Arrangörslista!$U$5=28,AK72, IF(Arrangörslista!$U$5=29,AL72, IF(Arrangörslista!$U$5=30,AM72, IF(Arrangörslista!$U$5=31,AN72, IF(Arrangörslista!$U$5=32,AO72, IF(Arrangörslista!$U$5=33,AP72, IF(Arrangörslista!$U$5=34,AQ72, IF(Arrangörslista!$U$5=35,AR72, IF(Arrangörslista!$U$5=36,AS72, IF(Arrangörslista!$U$5=37,AT72, IF(Arrangörslista!$U$5=38,AU72, IF(Arrangörslista!$U$5=39,AV72, IF(Arrangörslista!$U$5=40,AW72, IF(Arrangörslista!$U$5=41,AX72, IF(Arrangörslista!$U$5=42,AY72, IF(Arrangörslista!$U$5=43,AZ72, IF(Arrangörslista!$U$5=44,BA72, IF(Arrangörslista!$U$5=45,BB72, IF(Arrangörslista!$U$5=46,BC72, IF(Arrangörslista!$U$5=47,BD72, IF(Arrangörslista!$U$5=48,BE72, IF(Arrangörslista!$U$5=49,BF72, IF(Arrangörslista!$U$5=50,BG72, IF(Arrangörslista!$U$5=51,BH72, IF(Arrangörslista!$U$5=52,BI72, IF(Arrangörslista!$U$5=53,BJ72, IF(Arrangörslista!$U$5=54,BK72, IF(Arrangörslista!$U$5=55,BL72, IF(Arrangörslista!$U$5=56,BM72, IF(Arrangörslista!$U$5=57,BN72, IF(Arrangörslista!$U$5=58,BO72, IF(Arrangörslista!$U$5=59,BP72, IF(Arrangörslista!$U$5=60,BQ72,0))))))))))))))))))))))))))))))))))))))))))))))))))))))))))))),IF(Deltagarlista!$K$3=4, IF(Arrangörslista!$U$5=1,J72,
IF(Arrangörslista!$U$5=2,J72,
IF(Arrangörslista!$U$5=3,K72,
IF(Arrangörslista!$U$5=4,K72,
IF(Arrangörslista!$U$5=5,L72,
IF(Arrangörslista!$U$5=6,L72,
IF(Arrangörslista!$U$5=7,M72,
IF(Arrangörslista!$U$5=8,M72,
IF(Arrangörslista!$U$5=9,N72,
IF(Arrangörslista!$U$5=10,N72,
IF(Arrangörslista!$U$5=11,O72,
IF(Arrangörslista!$U$5=12,O72,
IF(Arrangörslista!$U$5=13,P72,
IF(Arrangörslista!$U$5=14,P72,
IF(Arrangörslista!$U$5=15,Q72,
IF(Arrangörslista!$U$5=16,Q72,
IF(Arrangörslista!$U$5=17,R72,
IF(Arrangörslista!$U$5=18,R72,
IF(Arrangörslista!$U$5=19,S72,
IF(Arrangörslista!$U$5=20,S72,
IF(Arrangörslista!$U$5=21,T72,
IF(Arrangörslista!$U$5=22,T72,IF(Arrangörslista!$U$5=23,U72, IF(Arrangörslista!$U$5=24,U72, IF(Arrangörslista!$U$5=25,V72, IF(Arrangörslista!$U$5=26,V72, IF(Arrangörslista!$U$5=27,W72, IF(Arrangörslista!$U$5=28,W72, IF(Arrangörslista!$U$5=29,X72, IF(Arrangörslista!$U$5=30,X72, IF(Arrangörslista!$U$5=31,X72, IF(Arrangörslista!$U$5=32,Y72, IF(Arrangörslista!$U$5=33,AO72, IF(Arrangörslista!$U$5=34,Y72, IF(Arrangörslista!$U$5=35,Z72, IF(Arrangörslista!$U$5=36,AR72, IF(Arrangörslista!$U$5=37,Z72, IF(Arrangörslista!$U$5=38,AA72, IF(Arrangörslista!$U$5=39,AU72, IF(Arrangörslista!$U$5=40,AA72, IF(Arrangörslista!$U$5=41,AB72, IF(Arrangörslista!$U$5=42,AX72, IF(Arrangörslista!$U$5=43,AB72, IF(Arrangörslista!$U$5=44,AC72, IF(Arrangörslista!$U$5=45,BA72, IF(Arrangörslista!$U$5=46,AC72, IF(Arrangörslista!$U$5=47,AD72, IF(Arrangörslista!$U$5=48,BD72, IF(Arrangörslista!$U$5=49,AD72, IF(Arrangörslista!$U$5=50,AE72, IF(Arrangörslista!$U$5=51,BG72, IF(Arrangörslista!$U$5=52,AE72, IF(Arrangörslista!$U$5=53,AF72, IF(Arrangörslista!$U$5=54,BJ72, IF(Arrangörslista!$U$5=55,AF72, IF(Arrangörslista!$U$5=56,AG72, IF(Arrangörslista!$U$5=57,BM72, IF(Arrangörslista!$U$5=58,AG72, IF(Arrangörslista!$U$5=59,AH72, IF(Arrangörslista!$U$5=60,AH72,0)))))))))))))))))))))))))))))))))))))))))))))))))))))))))))),IF(Arrangörslista!$U$5=1,J72,
IF(Arrangörslista!$U$5=2,K72,
IF(Arrangörslista!$U$5=3,L72,
IF(Arrangörslista!$U$5=4,M72,
IF(Arrangörslista!$U$5=5,N72,
IF(Arrangörslista!$U$5=6,O72,
IF(Arrangörslista!$U$5=7,P72,
IF(Arrangörslista!$U$5=8,Q72,
IF(Arrangörslista!$U$5=9,R72,
IF(Arrangörslista!$U$5=10,S72,
IF(Arrangörslista!$U$5=11,T72,
IF(Arrangörslista!$U$5=12,U72,
IF(Arrangörslista!$U$5=13,V72,
IF(Arrangörslista!$U$5=14,W72,
IF(Arrangörslista!$U$5=15,X72,
IF(Arrangörslista!$U$5=16,Y72,IF(Arrangörslista!$U$5=17,Z72,IF(Arrangörslista!$U$5=18,AA72,IF(Arrangörslista!$U$5=19,AB72,IF(Arrangörslista!$U$5=20,AC72,IF(Arrangörslista!$U$5=21,AD72,IF(Arrangörslista!$U$5=22,AE72,IF(Arrangörslista!$U$5=23,AF72, IF(Arrangörslista!$U$5=24,AG72, IF(Arrangörslista!$U$5=25,AH72, IF(Arrangörslista!$U$5=26,AI72, IF(Arrangörslista!$U$5=27,AJ72, IF(Arrangörslista!$U$5=28,AK72, IF(Arrangörslista!$U$5=29,AL72, IF(Arrangörslista!$U$5=30,AM72, IF(Arrangörslista!$U$5=31,AN72, IF(Arrangörslista!$U$5=32,AO72, IF(Arrangörslista!$U$5=33,AP72, IF(Arrangörslista!$U$5=34,AQ72, IF(Arrangörslista!$U$5=35,AR72, IF(Arrangörslista!$U$5=36,AS72, IF(Arrangörslista!$U$5=37,AT72, IF(Arrangörslista!$U$5=38,AU72, IF(Arrangörslista!$U$5=39,AV72, IF(Arrangörslista!$U$5=40,AW72, IF(Arrangörslista!$U$5=41,AX72, IF(Arrangörslista!$U$5=42,AY72, IF(Arrangörslista!$U$5=43,AZ72, IF(Arrangörslista!$U$5=44,BA72, IF(Arrangörslista!$U$5=45,BB72, IF(Arrangörslista!$U$5=46,BC72, IF(Arrangörslista!$U$5=47,BD72, IF(Arrangörslista!$U$5=48,BE72, IF(Arrangörslista!$U$5=49,BF72, IF(Arrangörslista!$U$5=50,BG72, IF(Arrangörslista!$U$5=51,BH72, IF(Arrangörslista!$U$5=52,BI72, IF(Arrangörslista!$U$5=53,BJ72, IF(Arrangörslista!$U$5=54,BK72, IF(Arrangörslista!$U$5=55,BL72, IF(Arrangörslista!$U$5=56,BM72, IF(Arrangörslista!$U$5=57,BN72, IF(Arrangörslista!$U$5=58,BO72, IF(Arrangörslista!$U$5=59,BP72, IF(Arrangörslista!$U$5=60,BQ72,0))))))))))))))))))))))))))))))))))))))))))))))))))))))))))))
))</f>
        <v>0</v>
      </c>
      <c r="GV9" s="65" t="str">
        <f>IFERROR(IF(VLOOKUP(F9,Deltagarlista!$E$5:$I$64,5,FALSE)="Grön","Gr",IF(VLOOKUP(F9,Deltagarlista!$E$5:$I$64,5,FALSE)="Röd","R",IF(VLOOKUP(F9,Deltagarlista!$E$5:$I$64,5,FALSE)="Blå","B","Gu"))),"")</f>
        <v/>
      </c>
      <c r="GW9" s="62" t="str">
        <f t="shared" si="0"/>
        <v/>
      </c>
    </row>
    <row r="10" spans="1:206" x14ac:dyDescent="0.3">
      <c r="B10" s="23" t="str">
        <f>IF($BW$3&gt;6,7,"")</f>
        <v/>
      </c>
      <c r="C10" s="92" t="str">
        <f>IF(ISBLANK(Deltagarlista!C16),"",Deltagarlista!C16)</f>
        <v/>
      </c>
      <c r="D10" s="109" t="str">
        <f>CONCATENATE(IF(AND(Deltagarlista!H16="GM",Deltagarlista!$S$14=TRUE),"GM   ",""), IF(OR(Deltagarlista!$K$3=4,Deltagarlista!$K$3=2),Deltagarlista!I16,""))</f>
        <v/>
      </c>
      <c r="E10" s="8" t="str">
        <f>IF(ISBLANK(Deltagarlista!D16),"",Deltagarlista!D16)</f>
        <v/>
      </c>
      <c r="F10" s="8" t="str">
        <f>IF(ISBLANK(Deltagarlista!E16),"",Deltagarlista!E16)</f>
        <v/>
      </c>
      <c r="G10" s="95" t="str">
        <f>IF(ISBLANK(Deltagarlista!F16),"",Deltagarlista!F16)</f>
        <v/>
      </c>
      <c r="H10" s="72" t="str">
        <f>IF(ISBLANK(Deltagarlista!C16),"",BU10-EE10)</f>
        <v/>
      </c>
      <c r="I10" s="13" t="str">
        <f>IF(ISBLANK(Deltagarlista!C16),"",IF(AND(Deltagarlista!$K$3=2,Deltagarlista!$L$3&lt;37),SUM(SUM(BV10:EC10)-(ROUNDDOWN(Arrangörslista!$U$5/3,1))*($BW$3+1)),SUM(BV10:EC10)))</f>
        <v/>
      </c>
      <c r="J10" s="79" t="str">
        <f>IF(Deltagarlista!$K$3=4,IF(ISBLANK(Deltagarlista!$C16),"",IF(ISBLANK(Arrangörslista!C$8),"",IFERROR(VLOOKUP($F10,Arrangörslista!C$8:$AG$45,16,FALSE),IF(ISBLANK(Deltagarlista!$C16),"",IF(ISBLANK(Arrangörslista!C$8),"",IFERROR(VLOOKUP($F10,Arrangörslista!D$8:$AG$45,16,FALSE),"DNS")))))),IF(Deltagarlista!$K$3=2,
IF(ISBLANK(Deltagarlista!$C16),"",IF(ISBLANK(Arrangörslista!C$8),"",IF($GV10=J$64," DNS ",IFERROR(VLOOKUP($F10,Arrangörslista!C$8:$AG$45,16,FALSE),"DNS")))),IF(ISBLANK(Deltagarlista!$C16),"",IF(ISBLANK(Arrangörslista!C$8),"",IFERROR(VLOOKUP($F10,Arrangörslista!C$8:$AG$45,16,FALSE),"DNS")))))</f>
        <v/>
      </c>
      <c r="K10" s="5" t="str">
        <f>IF(Deltagarlista!$K$3=4,IF(ISBLANK(Deltagarlista!$C16),"",IF(ISBLANK(Arrangörslista!E$8),"",IFERROR(VLOOKUP($F10,Arrangörslista!E$8:$AG$45,16,FALSE),IF(ISBLANK(Deltagarlista!$C16),"",IF(ISBLANK(Arrangörslista!E$8),"",IFERROR(VLOOKUP($F10,Arrangörslista!F$8:$AG$45,16,FALSE),"DNS")))))),IF(Deltagarlista!$K$3=2,
IF(ISBLANK(Deltagarlista!$C16),"",IF(ISBLANK(Arrangörslista!D$8),"",IF($GV10=K$64," DNS ",IFERROR(VLOOKUP($F10,Arrangörslista!D$8:$AG$45,16,FALSE),"DNS")))),IF(ISBLANK(Deltagarlista!$C16),"",IF(ISBLANK(Arrangörslista!D$8),"",IFERROR(VLOOKUP($F10,Arrangörslista!D$8:$AG$45,16,FALSE),"DNS")))))</f>
        <v/>
      </c>
      <c r="L10" s="5" t="str">
        <f>IF(Deltagarlista!$K$3=4,IF(ISBLANK(Deltagarlista!$C16),"",IF(ISBLANK(Arrangörslista!G$8),"",IFERROR(VLOOKUP($F10,Arrangörslista!G$8:$AG$45,16,FALSE),IF(ISBLANK(Deltagarlista!$C16),"",IF(ISBLANK(Arrangörslista!G$8),"",IFERROR(VLOOKUP($F10,Arrangörslista!H$8:$AG$45,16,FALSE),"DNS")))))),IF(Deltagarlista!$K$3=2,
IF(ISBLANK(Deltagarlista!$C16),"",IF(ISBLANK(Arrangörslista!E$8),"",IF($GV10=L$64," DNS ",IFERROR(VLOOKUP($F10,Arrangörslista!E$8:$AG$45,16,FALSE),"DNS")))),IF(ISBLANK(Deltagarlista!$C16),"",IF(ISBLANK(Arrangörslista!E$8),"",IFERROR(VLOOKUP($F10,Arrangörslista!E$8:$AG$45,16,FALSE),"DNS")))))</f>
        <v/>
      </c>
      <c r="M10" s="5" t="str">
        <f>IF(Deltagarlista!$K$3=4,IF(ISBLANK(Deltagarlista!$C16),"",IF(ISBLANK(Arrangörslista!I$8),"",IFERROR(VLOOKUP($F10,Arrangörslista!I$8:$AG$45,16,FALSE),IF(ISBLANK(Deltagarlista!$C16),"",IF(ISBLANK(Arrangörslista!I$8),"",IFERROR(VLOOKUP($F10,Arrangörslista!J$8:$AG$45,16,FALSE),"DNS")))))),IF(Deltagarlista!$K$3=2,
IF(ISBLANK(Deltagarlista!$C16),"",IF(ISBLANK(Arrangörslista!F$8),"",IF($GV10=M$64," DNS ",IFERROR(VLOOKUP($F10,Arrangörslista!F$8:$AG$45,16,FALSE),"DNS")))),IF(ISBLANK(Deltagarlista!$C16),"",IF(ISBLANK(Arrangörslista!F$8),"",IFERROR(VLOOKUP($F10,Arrangörslista!F$8:$AG$45,16,FALSE),"DNS")))))</f>
        <v/>
      </c>
      <c r="N10" s="5" t="str">
        <f>IF(Deltagarlista!$K$3=4,IF(ISBLANK(Deltagarlista!$C16),"",IF(ISBLANK(Arrangörslista!K$8),"",IFERROR(VLOOKUP($F10,Arrangörslista!K$8:$AG$45,16,FALSE),IF(ISBLANK(Deltagarlista!$C16),"",IF(ISBLANK(Arrangörslista!K$8),"",IFERROR(VLOOKUP($F10,Arrangörslista!L$8:$AG$45,16,FALSE),"DNS")))))),IF(Deltagarlista!$K$3=2,
IF(ISBLANK(Deltagarlista!$C16),"",IF(ISBLANK(Arrangörslista!G$8),"",IF($GV10=N$64," DNS ",IFERROR(VLOOKUP($F10,Arrangörslista!G$8:$AG$45,16,FALSE),"DNS")))),IF(ISBLANK(Deltagarlista!$C16),"",IF(ISBLANK(Arrangörslista!G$8),"",IFERROR(VLOOKUP($F10,Arrangörslista!G$8:$AG$45,16,FALSE),"DNS")))))</f>
        <v/>
      </c>
      <c r="O10" s="5" t="str">
        <f>IF(Deltagarlista!$K$3=4,IF(ISBLANK(Deltagarlista!$C16),"",IF(ISBLANK(Arrangörslista!M$8),"",IFERROR(VLOOKUP($F10,Arrangörslista!M$8:$AG$45,16,FALSE),IF(ISBLANK(Deltagarlista!$C16),"",IF(ISBLANK(Arrangörslista!M$8),"",IFERROR(VLOOKUP($F10,Arrangörslista!N$8:$AG$45,16,FALSE),"DNS")))))),IF(Deltagarlista!$K$3=2,
IF(ISBLANK(Deltagarlista!$C16),"",IF(ISBLANK(Arrangörslista!H$8),"",IF($GV10=O$64," DNS ",IFERROR(VLOOKUP($F10,Arrangörslista!H$8:$AG$45,16,FALSE),"DNS")))),IF(ISBLANK(Deltagarlista!$C16),"",IF(ISBLANK(Arrangörslista!H$8),"",IFERROR(VLOOKUP($F10,Arrangörslista!H$8:$AG$45,16,FALSE),"DNS")))))</f>
        <v/>
      </c>
      <c r="P10" s="5" t="str">
        <f>IF(Deltagarlista!$K$3=4,IF(ISBLANK(Deltagarlista!$C16),"",IF(ISBLANK(Arrangörslista!O$8),"",IFERROR(VLOOKUP($F10,Arrangörslista!O$8:$AG$45,16,FALSE),IF(ISBLANK(Deltagarlista!$C16),"",IF(ISBLANK(Arrangörslista!O$8),"",IFERROR(VLOOKUP($F10,Arrangörslista!P$8:$AG$45,16,FALSE),"DNS")))))),IF(Deltagarlista!$K$3=2,
IF(ISBLANK(Deltagarlista!$C16),"",IF(ISBLANK(Arrangörslista!I$8),"",IF($GV10=P$64," DNS ",IFERROR(VLOOKUP($F10,Arrangörslista!I$8:$AG$45,16,FALSE),"DNS")))),IF(ISBLANK(Deltagarlista!$C16),"",IF(ISBLANK(Arrangörslista!I$8),"",IFERROR(VLOOKUP($F10,Arrangörslista!I$8:$AG$45,16,FALSE),"DNS")))))</f>
        <v/>
      </c>
      <c r="Q10" s="5" t="str">
        <f>IF(Deltagarlista!$K$3=4,IF(ISBLANK(Deltagarlista!$C16),"",IF(ISBLANK(Arrangörslista!Q$8),"",IFERROR(VLOOKUP($F10,Arrangörslista!Q$8:$AG$45,16,FALSE),IF(ISBLANK(Deltagarlista!$C16),"",IF(ISBLANK(Arrangörslista!Q$8),"",IFERROR(VLOOKUP($F10,Arrangörslista!C$53:$AG$90,16,FALSE),"DNS")))))),IF(Deltagarlista!$K$3=2,
IF(ISBLANK(Deltagarlista!$C16),"",IF(ISBLANK(Arrangörslista!J$8),"",IF($GV10=Q$64," DNS ",IFERROR(VLOOKUP($F10,Arrangörslista!J$8:$AG$45,16,FALSE),"DNS")))),IF(ISBLANK(Deltagarlista!$C16),"",IF(ISBLANK(Arrangörslista!J$8),"",IFERROR(VLOOKUP($F10,Arrangörslista!J$8:$AG$45,16,FALSE),"DNS")))))</f>
        <v/>
      </c>
      <c r="R10" s="5" t="str">
        <f>IF(Deltagarlista!$K$3=4,IF(ISBLANK(Deltagarlista!$C16),"",IF(ISBLANK(Arrangörslista!D$53),"",IFERROR(VLOOKUP($F10,Arrangörslista!D$53:$AG$90,16,FALSE),IF(ISBLANK(Deltagarlista!$C16),"",IF(ISBLANK(Arrangörslista!D$53),"",IFERROR(VLOOKUP($F10,Arrangörslista!E$53:$AG$90,16,FALSE),"DNS")))))),IF(Deltagarlista!$K$3=2,
IF(ISBLANK(Deltagarlista!$C16),"",IF(ISBLANK(Arrangörslista!K$8),"",IF($GV10=R$64," DNS ",IFERROR(VLOOKUP($F10,Arrangörslista!K$8:$AG$45,16,FALSE),"DNS")))),IF(ISBLANK(Deltagarlista!$C16),"",IF(ISBLANK(Arrangörslista!K$8),"",IFERROR(VLOOKUP($F10,Arrangörslista!K$8:$AG$45,16,FALSE),"DNS")))))</f>
        <v/>
      </c>
      <c r="S10" s="5" t="str">
        <f>IF(Deltagarlista!$K$3=4,IF(ISBLANK(Deltagarlista!$C16),"",IF(ISBLANK(Arrangörslista!F$53),"",IFERROR(VLOOKUP($F10,Arrangörslista!F$53:$AG$90,16,FALSE),IF(ISBLANK(Deltagarlista!$C16),"",IF(ISBLANK(Arrangörslista!F$53),"",IFERROR(VLOOKUP($F10,Arrangörslista!G$53:$AG$90,16,FALSE),"DNS")))))),IF(Deltagarlista!$K$3=2,
IF(ISBLANK(Deltagarlista!$C16),"",IF(ISBLANK(Arrangörslista!L$8),"",IF($GV10=S$64," DNS ",IFERROR(VLOOKUP($F10,Arrangörslista!L$8:$AG$45,16,FALSE),"DNS")))),IF(ISBLANK(Deltagarlista!$C16),"",IF(ISBLANK(Arrangörslista!L$8),"",IFERROR(VLOOKUP($F10,Arrangörslista!L$8:$AG$45,16,FALSE),"DNS")))))</f>
        <v/>
      </c>
      <c r="T10" s="5" t="str">
        <f>IF(Deltagarlista!$K$3=4,IF(ISBLANK(Deltagarlista!$C16),"",IF(ISBLANK(Arrangörslista!H$53),"",IFERROR(VLOOKUP($F10,Arrangörslista!H$53:$AG$90,16,FALSE),IF(ISBLANK(Deltagarlista!$C16),"",IF(ISBLANK(Arrangörslista!H$53),"",IFERROR(VLOOKUP($F10,Arrangörslista!I$53:$AG$90,16,FALSE),"DNS")))))),IF(Deltagarlista!$K$3=2,
IF(ISBLANK(Deltagarlista!$C16),"",IF(ISBLANK(Arrangörslista!M$8),"",IF($GV10=T$64," DNS ",IFERROR(VLOOKUP($F10,Arrangörslista!M$8:$AG$45,16,FALSE),"DNS")))),IF(ISBLANK(Deltagarlista!$C16),"",IF(ISBLANK(Arrangörslista!M$8),"",IFERROR(VLOOKUP($F10,Arrangörslista!M$8:$AG$45,16,FALSE),"DNS")))))</f>
        <v/>
      </c>
      <c r="U10" s="5" t="str">
        <f>IF(Deltagarlista!$K$3=4,IF(ISBLANK(Deltagarlista!$C16),"",IF(ISBLANK(Arrangörslista!J$53),"",IFERROR(VLOOKUP($F10,Arrangörslista!J$53:$AG$90,16,FALSE),IF(ISBLANK(Deltagarlista!$C16),"",IF(ISBLANK(Arrangörslista!J$53),"",IFERROR(VLOOKUP($F10,Arrangörslista!K$53:$AG$90,16,FALSE),"DNS")))))),IF(Deltagarlista!$K$3=2,
IF(ISBLANK(Deltagarlista!$C16),"",IF(ISBLANK(Arrangörslista!N$8),"",IF($GV10=U$64," DNS ",IFERROR(VLOOKUP($F10,Arrangörslista!N$8:$AG$45,16,FALSE),"DNS")))),IF(ISBLANK(Deltagarlista!$C16),"",IF(ISBLANK(Arrangörslista!N$8),"",IFERROR(VLOOKUP($F10,Arrangörslista!N$8:$AG$45,16,FALSE),"DNS")))))</f>
        <v/>
      </c>
      <c r="V10" s="5" t="str">
        <f>IF(Deltagarlista!$K$3=4,IF(ISBLANK(Deltagarlista!$C16),"",IF(ISBLANK(Arrangörslista!L$53),"",IFERROR(VLOOKUP($F10,Arrangörslista!L$53:$AG$90,16,FALSE),IF(ISBLANK(Deltagarlista!$C16),"",IF(ISBLANK(Arrangörslista!L$53),"",IFERROR(VLOOKUP($F10,Arrangörslista!M$53:$AG$90,16,FALSE),"DNS")))))),IF(Deltagarlista!$K$3=2,
IF(ISBLANK(Deltagarlista!$C16),"",IF(ISBLANK(Arrangörslista!O$8),"",IF($GV10=V$64," DNS ",IFERROR(VLOOKUP($F10,Arrangörslista!O$8:$AG$45,16,FALSE),"DNS")))),IF(ISBLANK(Deltagarlista!$C16),"",IF(ISBLANK(Arrangörslista!O$8),"",IFERROR(VLOOKUP($F10,Arrangörslista!O$8:$AG$45,16,FALSE),"DNS")))))</f>
        <v/>
      </c>
      <c r="W10" s="5" t="str">
        <f>IF(Deltagarlista!$K$3=4,IF(ISBLANK(Deltagarlista!$C16),"",IF(ISBLANK(Arrangörslista!N$53),"",IFERROR(VLOOKUP($F10,Arrangörslista!N$53:$AG$90,16,FALSE),IF(ISBLANK(Deltagarlista!$C16),"",IF(ISBLANK(Arrangörslista!N$53),"",IFERROR(VLOOKUP($F10,Arrangörslista!O$53:$AG$90,16,FALSE),"DNS")))))),IF(Deltagarlista!$K$3=2,
IF(ISBLANK(Deltagarlista!$C16),"",IF(ISBLANK(Arrangörslista!P$8),"",IF($GV10=W$64," DNS ",IFERROR(VLOOKUP($F10,Arrangörslista!P$8:$AG$45,16,FALSE),"DNS")))),IF(ISBLANK(Deltagarlista!$C16),"",IF(ISBLANK(Arrangörslista!P$8),"",IFERROR(VLOOKUP($F10,Arrangörslista!P$8:$AG$45,16,FALSE),"DNS")))))</f>
        <v/>
      </c>
      <c r="X10" s="5" t="str">
        <f>IF(Deltagarlista!$K$3=4,IF(ISBLANK(Deltagarlista!$C16),"",IF(ISBLANK(Arrangörslista!P$53),"",IFERROR(VLOOKUP($F10,Arrangörslista!P$53:$AG$90,16,FALSE),IF(ISBLANK(Deltagarlista!$C16),"",IF(ISBLANK(Arrangörslista!P$53),"",IFERROR(VLOOKUP($F10,Arrangörslista!Q$53:$AG$90,16,FALSE),"DNS")))))),IF(Deltagarlista!$K$3=2,
IF(ISBLANK(Deltagarlista!$C16),"",IF(ISBLANK(Arrangörslista!Q$8),"",IF($GV10=X$64," DNS ",IFERROR(VLOOKUP($F10,Arrangörslista!Q$8:$AG$45,16,FALSE),"DNS")))),IF(ISBLANK(Deltagarlista!$C16),"",IF(ISBLANK(Arrangörslista!Q$8),"",IFERROR(VLOOKUP($F10,Arrangörslista!Q$8:$AG$45,16,FALSE),"DNS")))))</f>
        <v/>
      </c>
      <c r="Y10" s="5" t="str">
        <f>IF(Deltagarlista!$K$3=4,IF(ISBLANK(Deltagarlista!$C16),"",IF(ISBLANK(Arrangörslista!C$98),"",IFERROR(VLOOKUP($F10,Arrangörslista!C$98:$AG$135,16,FALSE),IF(ISBLANK(Deltagarlista!$C16),"",IF(ISBLANK(Arrangörslista!C$98),"",IFERROR(VLOOKUP($F10,Arrangörslista!D$98:$AG$135,16,FALSE),"DNS")))))),IF(Deltagarlista!$K$3=2,
IF(ISBLANK(Deltagarlista!$C16),"",IF(ISBLANK(Arrangörslista!C$53),"",IF($GV10=Y$64," DNS ",IFERROR(VLOOKUP($F10,Arrangörslista!C$53:$AG$90,16,FALSE),"DNS")))),IF(ISBLANK(Deltagarlista!$C16),"",IF(ISBLANK(Arrangörslista!C$53),"",IFERROR(VLOOKUP($F10,Arrangörslista!C$53:$AG$90,16,FALSE),"DNS")))))</f>
        <v/>
      </c>
      <c r="Z10" s="5" t="str">
        <f>IF(Deltagarlista!$K$3=4,IF(ISBLANK(Deltagarlista!$C16),"",IF(ISBLANK(Arrangörslista!E$98),"",IFERROR(VLOOKUP($F10,Arrangörslista!E$98:$AG$135,16,FALSE),IF(ISBLANK(Deltagarlista!$C16),"",IF(ISBLANK(Arrangörslista!E$98),"",IFERROR(VLOOKUP($F10,Arrangörslista!F$98:$AG$135,16,FALSE),"DNS")))))),IF(Deltagarlista!$K$3=2,
IF(ISBLANK(Deltagarlista!$C16),"",IF(ISBLANK(Arrangörslista!D$53),"",IF($GV10=Z$64," DNS ",IFERROR(VLOOKUP($F10,Arrangörslista!D$53:$AG$90,16,FALSE),"DNS")))),IF(ISBLANK(Deltagarlista!$C16),"",IF(ISBLANK(Arrangörslista!D$53),"",IFERROR(VLOOKUP($F10,Arrangörslista!D$53:$AG$90,16,FALSE),"DNS")))))</f>
        <v/>
      </c>
      <c r="AA10" s="5" t="str">
        <f>IF(Deltagarlista!$K$3=4,IF(ISBLANK(Deltagarlista!$C16),"",IF(ISBLANK(Arrangörslista!G$98),"",IFERROR(VLOOKUP($F10,Arrangörslista!G$98:$AG$135,16,FALSE),IF(ISBLANK(Deltagarlista!$C16),"",IF(ISBLANK(Arrangörslista!G$98),"",IFERROR(VLOOKUP($F10,Arrangörslista!H$98:$AG$135,16,FALSE),"DNS")))))),IF(Deltagarlista!$K$3=2,
IF(ISBLANK(Deltagarlista!$C16),"",IF(ISBLANK(Arrangörslista!E$53),"",IF($GV10=AA$64," DNS ",IFERROR(VLOOKUP($F10,Arrangörslista!E$53:$AG$90,16,FALSE),"DNS")))),IF(ISBLANK(Deltagarlista!$C16),"",IF(ISBLANK(Arrangörslista!E$53),"",IFERROR(VLOOKUP($F10,Arrangörslista!E$53:$AG$90,16,FALSE),"DNS")))))</f>
        <v/>
      </c>
      <c r="AB10" s="5" t="str">
        <f>IF(Deltagarlista!$K$3=4,IF(ISBLANK(Deltagarlista!$C16),"",IF(ISBLANK(Arrangörslista!I$98),"",IFERROR(VLOOKUP($F10,Arrangörslista!I$98:$AG$135,16,FALSE),IF(ISBLANK(Deltagarlista!$C16),"",IF(ISBLANK(Arrangörslista!I$98),"",IFERROR(VLOOKUP($F10,Arrangörslista!J$98:$AG$135,16,FALSE),"DNS")))))),IF(Deltagarlista!$K$3=2,
IF(ISBLANK(Deltagarlista!$C16),"",IF(ISBLANK(Arrangörslista!F$53),"",IF($GV10=AB$64," DNS ",IFERROR(VLOOKUP($F10,Arrangörslista!F$53:$AG$90,16,FALSE),"DNS")))),IF(ISBLANK(Deltagarlista!$C16),"",IF(ISBLANK(Arrangörslista!F$53),"",IFERROR(VLOOKUP($F10,Arrangörslista!F$53:$AG$90,16,FALSE),"DNS")))))</f>
        <v/>
      </c>
      <c r="AC10" s="5" t="str">
        <f>IF(Deltagarlista!$K$3=4,IF(ISBLANK(Deltagarlista!$C16),"",IF(ISBLANK(Arrangörslista!K$98),"",IFERROR(VLOOKUP($F10,Arrangörslista!K$98:$AG$135,16,FALSE),IF(ISBLANK(Deltagarlista!$C16),"",IF(ISBLANK(Arrangörslista!K$98),"",IFERROR(VLOOKUP($F10,Arrangörslista!L$98:$AG$135,16,FALSE),"DNS")))))),IF(Deltagarlista!$K$3=2,
IF(ISBLANK(Deltagarlista!$C16),"",IF(ISBLANK(Arrangörslista!G$53),"",IF($GV10=AC$64," DNS ",IFERROR(VLOOKUP($F10,Arrangörslista!G$53:$AG$90,16,FALSE),"DNS")))),IF(ISBLANK(Deltagarlista!$C16),"",IF(ISBLANK(Arrangörslista!G$53),"",IFERROR(VLOOKUP($F10,Arrangörslista!G$53:$AG$90,16,FALSE),"DNS")))))</f>
        <v/>
      </c>
      <c r="AD10" s="5" t="str">
        <f>IF(Deltagarlista!$K$3=4,IF(ISBLANK(Deltagarlista!$C16),"",IF(ISBLANK(Arrangörslista!M$98),"",IFERROR(VLOOKUP($F10,Arrangörslista!M$98:$AG$135,16,FALSE),IF(ISBLANK(Deltagarlista!$C16),"",IF(ISBLANK(Arrangörslista!M$98),"",IFERROR(VLOOKUP($F10,Arrangörslista!N$98:$AG$135,16,FALSE),"DNS")))))),IF(Deltagarlista!$K$3=2,
IF(ISBLANK(Deltagarlista!$C16),"",IF(ISBLANK(Arrangörslista!H$53),"",IF($GV10=AD$64," DNS ",IFERROR(VLOOKUP($F10,Arrangörslista!H$53:$AG$90,16,FALSE),"DNS")))),IF(ISBLANK(Deltagarlista!$C16),"",IF(ISBLANK(Arrangörslista!H$53),"",IFERROR(VLOOKUP($F10,Arrangörslista!H$53:$AG$90,16,FALSE),"DNS")))))</f>
        <v/>
      </c>
      <c r="AE10" s="5" t="str">
        <f>IF(Deltagarlista!$K$3=4,IF(ISBLANK(Deltagarlista!$C16),"",IF(ISBLANK(Arrangörslista!O$98),"",IFERROR(VLOOKUP($F10,Arrangörslista!O$98:$AG$135,16,FALSE),IF(ISBLANK(Deltagarlista!$C16),"",IF(ISBLANK(Arrangörslista!O$98),"",IFERROR(VLOOKUP($F10,Arrangörslista!P$98:$AG$135,16,FALSE),"DNS")))))),IF(Deltagarlista!$K$3=2,
IF(ISBLANK(Deltagarlista!$C16),"",IF(ISBLANK(Arrangörslista!I$53),"",IF($GV10=AE$64," DNS ",IFERROR(VLOOKUP($F10,Arrangörslista!I$53:$AG$90,16,FALSE),"DNS")))),IF(ISBLANK(Deltagarlista!$C16),"",IF(ISBLANK(Arrangörslista!I$53),"",IFERROR(VLOOKUP($F10,Arrangörslista!I$53:$AG$90,16,FALSE),"DNS")))))</f>
        <v/>
      </c>
      <c r="AF10" s="5" t="str">
        <f>IF(Deltagarlista!$K$3=4,IF(ISBLANK(Deltagarlista!$C16),"",IF(ISBLANK(Arrangörslista!Q$98),"",IFERROR(VLOOKUP($F10,Arrangörslista!Q$98:$AG$135,16,FALSE),IF(ISBLANK(Deltagarlista!$C16),"",IF(ISBLANK(Arrangörslista!Q$98),"",IFERROR(VLOOKUP($F10,Arrangörslista!C$143:$AG$180,16,FALSE),"DNS")))))),IF(Deltagarlista!$K$3=2,
IF(ISBLANK(Deltagarlista!$C16),"",IF(ISBLANK(Arrangörslista!J$53),"",IF($GV10=AF$64," DNS ",IFERROR(VLOOKUP($F10,Arrangörslista!J$53:$AG$90,16,FALSE),"DNS")))),IF(ISBLANK(Deltagarlista!$C16),"",IF(ISBLANK(Arrangörslista!J$53),"",IFERROR(VLOOKUP($F10,Arrangörslista!J$53:$AG$90,16,FALSE),"DNS")))))</f>
        <v/>
      </c>
      <c r="AG10" s="5" t="str">
        <f>IF(Deltagarlista!$K$3=4,IF(ISBLANK(Deltagarlista!$C16),"",IF(ISBLANK(Arrangörslista!D$143),"",IFERROR(VLOOKUP($F10,Arrangörslista!D$143:$AG$180,16,FALSE),IF(ISBLANK(Deltagarlista!$C16),"",IF(ISBLANK(Arrangörslista!D$143),"",IFERROR(VLOOKUP($F10,Arrangörslista!E$143:$AG$180,16,FALSE),"DNS")))))),IF(Deltagarlista!$K$3=2,
IF(ISBLANK(Deltagarlista!$C16),"",IF(ISBLANK(Arrangörslista!K$53),"",IF($GV10=AG$64," DNS ",IFERROR(VLOOKUP($F10,Arrangörslista!K$53:$AG$90,16,FALSE),"DNS")))),IF(ISBLANK(Deltagarlista!$C16),"",IF(ISBLANK(Arrangörslista!K$53),"",IFERROR(VLOOKUP($F10,Arrangörslista!K$53:$AG$90,16,FALSE),"DNS")))))</f>
        <v/>
      </c>
      <c r="AH10" s="5" t="str">
        <f>IF(Deltagarlista!$K$3=4,IF(ISBLANK(Deltagarlista!$C16),"",IF(ISBLANK(Arrangörslista!F$143),"",IFERROR(VLOOKUP($F10,Arrangörslista!F$143:$AG$180,16,FALSE),IF(ISBLANK(Deltagarlista!$C16),"",IF(ISBLANK(Arrangörslista!F$143),"",IFERROR(VLOOKUP($F10,Arrangörslista!G$143:$AG$180,16,FALSE),"DNS")))))),IF(Deltagarlista!$K$3=2,
IF(ISBLANK(Deltagarlista!$C16),"",IF(ISBLANK(Arrangörslista!L$53),"",IF($GV10=AH$64," DNS ",IFERROR(VLOOKUP($F10,Arrangörslista!L$53:$AG$90,16,FALSE),"DNS")))),IF(ISBLANK(Deltagarlista!$C16),"",IF(ISBLANK(Arrangörslista!L$53),"",IFERROR(VLOOKUP($F10,Arrangörslista!L$53:$AG$90,16,FALSE),"DNS")))))</f>
        <v/>
      </c>
      <c r="AI10" s="5" t="str">
        <f>IF(Deltagarlista!$K$3=4,IF(ISBLANK(Deltagarlista!$C16),"",IF(ISBLANK(Arrangörslista!H$143),"",IFERROR(VLOOKUP($F10,Arrangörslista!H$143:$AG$180,16,FALSE),IF(ISBLANK(Deltagarlista!$C16),"",IF(ISBLANK(Arrangörslista!H$143),"",IFERROR(VLOOKUP($F10,Arrangörslista!I$143:$AG$180,16,FALSE),"DNS")))))),IF(Deltagarlista!$K$3=2,
IF(ISBLANK(Deltagarlista!$C16),"",IF(ISBLANK(Arrangörslista!M$53),"",IF($GV10=AI$64," DNS ",IFERROR(VLOOKUP($F10,Arrangörslista!M$53:$AG$90,16,FALSE),"DNS")))),IF(ISBLANK(Deltagarlista!$C16),"",IF(ISBLANK(Arrangörslista!M$53),"",IFERROR(VLOOKUP($F10,Arrangörslista!M$53:$AG$90,16,FALSE),"DNS")))))</f>
        <v/>
      </c>
      <c r="AJ10" s="5" t="str">
        <f>IF(Deltagarlista!$K$3=4,IF(ISBLANK(Deltagarlista!$C16),"",IF(ISBLANK(Arrangörslista!J$143),"",IFERROR(VLOOKUP($F10,Arrangörslista!J$143:$AG$180,16,FALSE),IF(ISBLANK(Deltagarlista!$C16),"",IF(ISBLANK(Arrangörslista!J$143),"",IFERROR(VLOOKUP($F10,Arrangörslista!K$143:$AG$180,16,FALSE),"DNS")))))),IF(Deltagarlista!$K$3=2,
IF(ISBLANK(Deltagarlista!$C16),"",IF(ISBLANK(Arrangörslista!N$53),"",IF($GV10=AJ$64," DNS ",IFERROR(VLOOKUP($F10,Arrangörslista!N$53:$AG$90,16,FALSE),"DNS")))),IF(ISBLANK(Deltagarlista!$C16),"",IF(ISBLANK(Arrangörslista!N$53),"",IFERROR(VLOOKUP($F10,Arrangörslista!N$53:$AG$90,16,FALSE),"DNS")))))</f>
        <v/>
      </c>
      <c r="AK10" s="5" t="str">
        <f>IF(Deltagarlista!$K$3=4,IF(ISBLANK(Deltagarlista!$C16),"",IF(ISBLANK(Arrangörslista!L$143),"",IFERROR(VLOOKUP($F10,Arrangörslista!L$143:$AG$180,16,FALSE),IF(ISBLANK(Deltagarlista!$C16),"",IF(ISBLANK(Arrangörslista!L$143),"",IFERROR(VLOOKUP($F10,Arrangörslista!M$143:$AG$180,16,FALSE),"DNS")))))),IF(Deltagarlista!$K$3=2,
IF(ISBLANK(Deltagarlista!$C16),"",IF(ISBLANK(Arrangörslista!O$53),"",IF($GV10=AK$64," DNS ",IFERROR(VLOOKUP($F10,Arrangörslista!O$53:$AG$90,16,FALSE),"DNS")))),IF(ISBLANK(Deltagarlista!$C16),"",IF(ISBLANK(Arrangörslista!O$53),"",IFERROR(VLOOKUP($F10,Arrangörslista!O$53:$AG$90,16,FALSE),"DNS")))))</f>
        <v/>
      </c>
      <c r="AL10" s="5" t="str">
        <f>IF(Deltagarlista!$K$3=4,IF(ISBLANK(Deltagarlista!$C16),"",IF(ISBLANK(Arrangörslista!N$143),"",IFERROR(VLOOKUP($F10,Arrangörslista!N$143:$AG$180,16,FALSE),IF(ISBLANK(Deltagarlista!$C16),"",IF(ISBLANK(Arrangörslista!N$143),"",IFERROR(VLOOKUP($F10,Arrangörslista!O$143:$AG$180,16,FALSE),"DNS")))))),IF(Deltagarlista!$K$3=2,
IF(ISBLANK(Deltagarlista!$C16),"",IF(ISBLANK(Arrangörslista!P$53),"",IF($GV10=AL$64," DNS ",IFERROR(VLOOKUP($F10,Arrangörslista!P$53:$AG$90,16,FALSE),"DNS")))),IF(ISBLANK(Deltagarlista!$C16),"",IF(ISBLANK(Arrangörslista!P$53),"",IFERROR(VLOOKUP($F10,Arrangörslista!P$53:$AG$90,16,FALSE),"DNS")))))</f>
        <v/>
      </c>
      <c r="AM10" s="5" t="str">
        <f>IF(Deltagarlista!$K$3=4,IF(ISBLANK(Deltagarlista!$C16),"",IF(ISBLANK(Arrangörslista!P$143),"",IFERROR(VLOOKUP($F10,Arrangörslista!P$143:$AG$180,16,FALSE),IF(ISBLANK(Deltagarlista!$C16),"",IF(ISBLANK(Arrangörslista!P$143),"",IFERROR(VLOOKUP($F10,Arrangörslista!Q$143:$AG$180,16,FALSE),"DNS")))))),IF(Deltagarlista!$K$3=2,
IF(ISBLANK(Deltagarlista!$C16),"",IF(ISBLANK(Arrangörslista!Q$53),"",IF($GV10=AM$64," DNS ",IFERROR(VLOOKUP($F10,Arrangörslista!Q$53:$AG$90,16,FALSE),"DNS")))),IF(ISBLANK(Deltagarlista!$C16),"",IF(ISBLANK(Arrangörslista!Q$53),"",IFERROR(VLOOKUP($F10,Arrangörslista!Q$53:$AG$90,16,FALSE),"DNS")))))</f>
        <v/>
      </c>
      <c r="AN10" s="5" t="str">
        <f>IF(Deltagarlista!$K$3=2,
IF(ISBLANK(Deltagarlista!$C16),"",IF(ISBLANK(Arrangörslista!C$98),"",IF($GV10=AN$64," DNS ",IFERROR(VLOOKUP($F10,Arrangörslista!C$98:$AG$135,16,FALSE), "DNS")))), IF(Deltagarlista!$K$3=1,IF(ISBLANK(Deltagarlista!$C16),"",IF(ISBLANK(Arrangörslista!C$98),"",IFERROR(VLOOKUP($F10,Arrangörslista!C$98:$AG$135,16,FALSE), "DNS"))),""))</f>
        <v/>
      </c>
      <c r="AO10" s="5" t="str">
        <f>IF(Deltagarlista!$K$3=2,
IF(ISBLANK(Deltagarlista!$C16),"",IF(ISBLANK(Arrangörslista!D$98),"",IF($GV10=AO$64," DNS ",IFERROR(VLOOKUP($F10,Arrangörslista!D$98:$AG$135,16,FALSE), "DNS")))), IF(Deltagarlista!$K$3=1,IF(ISBLANK(Deltagarlista!$C16),"",IF(ISBLANK(Arrangörslista!D$98),"",IFERROR(VLOOKUP($F10,Arrangörslista!D$98:$AG$135,16,FALSE), "DNS"))),""))</f>
        <v/>
      </c>
      <c r="AP10" s="5" t="str">
        <f>IF(Deltagarlista!$K$3=2,
IF(ISBLANK(Deltagarlista!$C16),"",IF(ISBLANK(Arrangörslista!E$98),"",IF($GV10=AP$64," DNS ",IFERROR(VLOOKUP($F10,Arrangörslista!E$98:$AG$135,16,FALSE), "DNS")))), IF(Deltagarlista!$K$3=1,IF(ISBLANK(Deltagarlista!$C16),"",IF(ISBLANK(Arrangörslista!E$98),"",IFERROR(VLOOKUP($F10,Arrangörslista!E$98:$AG$135,16,FALSE), "DNS"))),""))</f>
        <v/>
      </c>
      <c r="AQ10" s="5" t="str">
        <f>IF(Deltagarlista!$K$3=2,
IF(ISBLANK(Deltagarlista!$C16),"",IF(ISBLANK(Arrangörslista!F$98),"",IF($GV10=AQ$64," DNS ",IFERROR(VLOOKUP($F10,Arrangörslista!F$98:$AG$135,16,FALSE), "DNS")))), IF(Deltagarlista!$K$3=1,IF(ISBLANK(Deltagarlista!$C16),"",IF(ISBLANK(Arrangörslista!F$98),"",IFERROR(VLOOKUP($F10,Arrangörslista!F$98:$AG$135,16,FALSE), "DNS"))),""))</f>
        <v/>
      </c>
      <c r="AR10" s="5" t="str">
        <f>IF(Deltagarlista!$K$3=2,
IF(ISBLANK(Deltagarlista!$C16),"",IF(ISBLANK(Arrangörslista!G$98),"",IF($GV10=AR$64," DNS ",IFERROR(VLOOKUP($F10,Arrangörslista!G$98:$AG$135,16,FALSE), "DNS")))), IF(Deltagarlista!$K$3=1,IF(ISBLANK(Deltagarlista!$C16),"",IF(ISBLANK(Arrangörslista!G$98),"",IFERROR(VLOOKUP($F10,Arrangörslista!G$98:$AG$135,16,FALSE), "DNS"))),""))</f>
        <v/>
      </c>
      <c r="AS10" s="5" t="str">
        <f>IF(Deltagarlista!$K$3=2,
IF(ISBLANK(Deltagarlista!$C16),"",IF(ISBLANK(Arrangörslista!H$98),"",IF($GV10=AS$64," DNS ",IFERROR(VLOOKUP($F10,Arrangörslista!H$98:$AG$135,16,FALSE), "DNS")))), IF(Deltagarlista!$K$3=1,IF(ISBLANK(Deltagarlista!$C16),"",IF(ISBLANK(Arrangörslista!H$98),"",IFERROR(VLOOKUP($F10,Arrangörslista!H$98:$AG$135,16,FALSE), "DNS"))),""))</f>
        <v/>
      </c>
      <c r="AT10" s="5" t="str">
        <f>IF(Deltagarlista!$K$3=2,
IF(ISBLANK(Deltagarlista!$C16),"",IF(ISBLANK(Arrangörslista!I$98),"",IF($GV10=AT$64," DNS ",IFERROR(VLOOKUP($F10,Arrangörslista!I$98:$AG$135,16,FALSE), "DNS")))), IF(Deltagarlista!$K$3=1,IF(ISBLANK(Deltagarlista!$C16),"",IF(ISBLANK(Arrangörslista!I$98),"",IFERROR(VLOOKUP($F10,Arrangörslista!I$98:$AG$135,16,FALSE), "DNS"))),""))</f>
        <v/>
      </c>
      <c r="AU10" s="5" t="str">
        <f>IF(Deltagarlista!$K$3=2,
IF(ISBLANK(Deltagarlista!$C16),"",IF(ISBLANK(Arrangörslista!J$98),"",IF($GV10=AU$64," DNS ",IFERROR(VLOOKUP($F10,Arrangörslista!J$98:$AG$135,16,FALSE), "DNS")))), IF(Deltagarlista!$K$3=1,IF(ISBLANK(Deltagarlista!$C16),"",IF(ISBLANK(Arrangörslista!J$98),"",IFERROR(VLOOKUP($F10,Arrangörslista!J$98:$AG$135,16,FALSE), "DNS"))),""))</f>
        <v/>
      </c>
      <c r="AV10" s="5" t="str">
        <f>IF(Deltagarlista!$K$3=2,
IF(ISBLANK(Deltagarlista!$C16),"",IF(ISBLANK(Arrangörslista!K$98),"",IF($GV10=AV$64," DNS ",IFERROR(VLOOKUP($F10,Arrangörslista!K$98:$AG$135,16,FALSE), "DNS")))), IF(Deltagarlista!$K$3=1,IF(ISBLANK(Deltagarlista!$C16),"",IF(ISBLANK(Arrangörslista!K$98),"",IFERROR(VLOOKUP($F10,Arrangörslista!K$98:$AG$135,16,FALSE), "DNS"))),""))</f>
        <v/>
      </c>
      <c r="AW10" s="5" t="str">
        <f>IF(Deltagarlista!$K$3=2,
IF(ISBLANK(Deltagarlista!$C16),"",IF(ISBLANK(Arrangörslista!L$98),"",IF($GV10=AW$64," DNS ",IFERROR(VLOOKUP($F10,Arrangörslista!L$98:$AG$135,16,FALSE), "DNS")))), IF(Deltagarlista!$K$3=1,IF(ISBLANK(Deltagarlista!$C16),"",IF(ISBLANK(Arrangörslista!L$98),"",IFERROR(VLOOKUP($F10,Arrangörslista!L$98:$AG$135,16,FALSE), "DNS"))),""))</f>
        <v/>
      </c>
      <c r="AX10" s="5" t="str">
        <f>IF(Deltagarlista!$K$3=2,
IF(ISBLANK(Deltagarlista!$C16),"",IF(ISBLANK(Arrangörslista!M$98),"",IF($GV10=AX$64," DNS ",IFERROR(VLOOKUP($F10,Arrangörslista!M$98:$AG$135,16,FALSE), "DNS")))), IF(Deltagarlista!$K$3=1,IF(ISBLANK(Deltagarlista!$C16),"",IF(ISBLANK(Arrangörslista!M$98),"",IFERROR(VLOOKUP($F10,Arrangörslista!M$98:$AG$135,16,FALSE), "DNS"))),""))</f>
        <v/>
      </c>
      <c r="AY10" s="5" t="str">
        <f>IF(Deltagarlista!$K$3=2,
IF(ISBLANK(Deltagarlista!$C16),"",IF(ISBLANK(Arrangörslista!N$98),"",IF($GV10=AY$64," DNS ",IFERROR(VLOOKUP($F10,Arrangörslista!N$98:$AG$135,16,FALSE), "DNS")))), IF(Deltagarlista!$K$3=1,IF(ISBLANK(Deltagarlista!$C16),"",IF(ISBLANK(Arrangörslista!N$98),"",IFERROR(VLOOKUP($F10,Arrangörslista!N$98:$AG$135,16,FALSE), "DNS"))),""))</f>
        <v/>
      </c>
      <c r="AZ10" s="5" t="str">
        <f>IF(Deltagarlista!$K$3=2,
IF(ISBLANK(Deltagarlista!$C16),"",IF(ISBLANK(Arrangörslista!O$98),"",IF($GV10=AZ$64," DNS ",IFERROR(VLOOKUP($F10,Arrangörslista!O$98:$AG$135,16,FALSE), "DNS")))), IF(Deltagarlista!$K$3=1,IF(ISBLANK(Deltagarlista!$C16),"",IF(ISBLANK(Arrangörslista!O$98),"",IFERROR(VLOOKUP($F10,Arrangörslista!O$98:$AG$135,16,FALSE), "DNS"))),""))</f>
        <v/>
      </c>
      <c r="BA10" s="5" t="str">
        <f>IF(Deltagarlista!$K$3=2,
IF(ISBLANK(Deltagarlista!$C16),"",IF(ISBLANK(Arrangörslista!P$98),"",IF($GV10=BA$64," DNS ",IFERROR(VLOOKUP($F10,Arrangörslista!P$98:$AG$135,16,FALSE), "DNS")))), IF(Deltagarlista!$K$3=1,IF(ISBLANK(Deltagarlista!$C16),"",IF(ISBLANK(Arrangörslista!P$98),"",IFERROR(VLOOKUP($F10,Arrangörslista!P$98:$AG$135,16,FALSE), "DNS"))),""))</f>
        <v/>
      </c>
      <c r="BB10" s="5" t="str">
        <f>IF(Deltagarlista!$K$3=2,
IF(ISBLANK(Deltagarlista!$C16),"",IF(ISBLANK(Arrangörslista!Q$98),"",IF($GV10=BB$64," DNS ",IFERROR(VLOOKUP($F10,Arrangörslista!Q$98:$AG$135,16,FALSE), "DNS")))), IF(Deltagarlista!$K$3=1,IF(ISBLANK(Deltagarlista!$C16),"",IF(ISBLANK(Arrangörslista!Q$98),"",IFERROR(VLOOKUP($F10,Arrangörslista!Q$98:$AG$135,16,FALSE), "DNS"))),""))</f>
        <v/>
      </c>
      <c r="BC10" s="5" t="str">
        <f>IF(Deltagarlista!$K$3=2,
IF(ISBLANK(Deltagarlista!$C16),"",IF(ISBLANK(Arrangörslista!C$143),"",IF($GV10=BC$64," DNS ",IFERROR(VLOOKUP($F10,Arrangörslista!C$143:$AG$180,16,FALSE), "DNS")))), IF(Deltagarlista!$K$3=1,IF(ISBLANK(Deltagarlista!$C16),"",IF(ISBLANK(Arrangörslista!C$143),"",IFERROR(VLOOKUP($F10,Arrangörslista!C$143:$AG$180,16,FALSE), "DNS"))),""))</f>
        <v/>
      </c>
      <c r="BD10" s="5" t="str">
        <f>IF(Deltagarlista!$K$3=2,
IF(ISBLANK(Deltagarlista!$C16),"",IF(ISBLANK(Arrangörslista!D$143),"",IF($GV10=BD$64," DNS ",IFERROR(VLOOKUP($F10,Arrangörslista!D$143:$AG$180,16,FALSE), "DNS")))), IF(Deltagarlista!$K$3=1,IF(ISBLANK(Deltagarlista!$C16),"",IF(ISBLANK(Arrangörslista!D$143),"",IFERROR(VLOOKUP($F10,Arrangörslista!D$143:$AG$180,16,FALSE), "DNS"))),""))</f>
        <v/>
      </c>
      <c r="BE10" s="5" t="str">
        <f>IF(Deltagarlista!$K$3=2,
IF(ISBLANK(Deltagarlista!$C16),"",IF(ISBLANK(Arrangörslista!E$143),"",IF($GV10=BE$64," DNS ",IFERROR(VLOOKUP($F10,Arrangörslista!E$143:$AG$180,16,FALSE), "DNS")))), IF(Deltagarlista!$K$3=1,IF(ISBLANK(Deltagarlista!$C16),"",IF(ISBLANK(Arrangörslista!E$143),"",IFERROR(VLOOKUP($F10,Arrangörslista!E$143:$AG$180,16,FALSE), "DNS"))),""))</f>
        <v/>
      </c>
      <c r="BF10" s="5" t="str">
        <f>IF(Deltagarlista!$K$3=2,
IF(ISBLANK(Deltagarlista!$C16),"",IF(ISBLANK(Arrangörslista!F$143),"",IF($GV10=BF$64," DNS ",IFERROR(VLOOKUP($F10,Arrangörslista!F$143:$AG$180,16,FALSE), "DNS")))), IF(Deltagarlista!$K$3=1,IF(ISBLANK(Deltagarlista!$C16),"",IF(ISBLANK(Arrangörslista!F$143),"",IFERROR(VLOOKUP($F10,Arrangörslista!F$143:$AG$180,16,FALSE), "DNS"))),""))</f>
        <v/>
      </c>
      <c r="BG10" s="5" t="str">
        <f>IF(Deltagarlista!$K$3=2,
IF(ISBLANK(Deltagarlista!$C16),"",IF(ISBLANK(Arrangörslista!G$143),"",IF($GV10=BG$64," DNS ",IFERROR(VLOOKUP($F10,Arrangörslista!G$143:$AG$180,16,FALSE), "DNS")))), IF(Deltagarlista!$K$3=1,IF(ISBLANK(Deltagarlista!$C16),"",IF(ISBLANK(Arrangörslista!G$143),"",IFERROR(VLOOKUP($F10,Arrangörslista!G$143:$AG$180,16,FALSE), "DNS"))),""))</f>
        <v/>
      </c>
      <c r="BH10" s="5" t="str">
        <f>IF(Deltagarlista!$K$3=2,
IF(ISBLANK(Deltagarlista!$C16),"",IF(ISBLANK(Arrangörslista!H$143),"",IF($GV10=BH$64," DNS ",IFERROR(VLOOKUP($F10,Arrangörslista!H$143:$AG$180,16,FALSE), "DNS")))), IF(Deltagarlista!$K$3=1,IF(ISBLANK(Deltagarlista!$C16),"",IF(ISBLANK(Arrangörslista!H$143),"",IFERROR(VLOOKUP($F10,Arrangörslista!H$143:$AG$180,16,FALSE), "DNS"))),""))</f>
        <v/>
      </c>
      <c r="BI10" s="5" t="str">
        <f>IF(Deltagarlista!$K$3=2,
IF(ISBLANK(Deltagarlista!$C16),"",IF(ISBLANK(Arrangörslista!I$143),"",IF($GV10=BI$64," DNS ",IFERROR(VLOOKUP($F10,Arrangörslista!I$143:$AG$180,16,FALSE), "DNS")))), IF(Deltagarlista!$K$3=1,IF(ISBLANK(Deltagarlista!$C16),"",IF(ISBLANK(Arrangörslista!I$143),"",IFERROR(VLOOKUP($F10,Arrangörslista!I$143:$AG$180,16,FALSE), "DNS"))),""))</f>
        <v/>
      </c>
      <c r="BJ10" s="5" t="str">
        <f>IF(Deltagarlista!$K$3=2,
IF(ISBLANK(Deltagarlista!$C16),"",IF(ISBLANK(Arrangörslista!J$143),"",IF($GV10=BJ$64," DNS ",IFERROR(VLOOKUP($F10,Arrangörslista!J$143:$AG$180,16,FALSE), "DNS")))), IF(Deltagarlista!$K$3=1,IF(ISBLANK(Deltagarlista!$C16),"",IF(ISBLANK(Arrangörslista!J$143),"",IFERROR(VLOOKUP($F10,Arrangörslista!J$143:$AG$180,16,FALSE), "DNS"))),""))</f>
        <v/>
      </c>
      <c r="BK10" s="5" t="str">
        <f>IF(Deltagarlista!$K$3=2,
IF(ISBLANK(Deltagarlista!$C16),"",IF(ISBLANK(Arrangörslista!K$143),"",IF($GV10=BK$64," DNS ",IFERROR(VLOOKUP($F10,Arrangörslista!K$143:$AG$180,16,FALSE), "DNS")))), IF(Deltagarlista!$K$3=1,IF(ISBLANK(Deltagarlista!$C16),"",IF(ISBLANK(Arrangörslista!K$143),"",IFERROR(VLOOKUP($F10,Arrangörslista!K$143:$AG$180,16,FALSE), "DNS"))),""))</f>
        <v/>
      </c>
      <c r="BL10" s="5" t="str">
        <f>IF(Deltagarlista!$K$3=2,
IF(ISBLANK(Deltagarlista!$C16),"",IF(ISBLANK(Arrangörslista!L$143),"",IF($GV10=BL$64," DNS ",IFERROR(VLOOKUP($F10,Arrangörslista!L$143:$AG$180,16,FALSE), "DNS")))), IF(Deltagarlista!$K$3=1,IF(ISBLANK(Deltagarlista!$C16),"",IF(ISBLANK(Arrangörslista!L$143),"",IFERROR(VLOOKUP($F10,Arrangörslista!L$143:$AG$180,16,FALSE), "DNS"))),""))</f>
        <v/>
      </c>
      <c r="BM10" s="5" t="str">
        <f>IF(Deltagarlista!$K$3=2,
IF(ISBLANK(Deltagarlista!$C16),"",IF(ISBLANK(Arrangörslista!M$143),"",IF($GV10=BM$64," DNS ",IFERROR(VLOOKUP($F10,Arrangörslista!M$143:$AG$180,16,FALSE), "DNS")))), IF(Deltagarlista!$K$3=1,IF(ISBLANK(Deltagarlista!$C16),"",IF(ISBLANK(Arrangörslista!M$143),"",IFERROR(VLOOKUP($F10,Arrangörslista!M$143:$AG$180,16,FALSE), "DNS"))),""))</f>
        <v/>
      </c>
      <c r="BN10" s="5" t="str">
        <f>IF(Deltagarlista!$K$3=2,
IF(ISBLANK(Deltagarlista!$C16),"",IF(ISBLANK(Arrangörslista!N$143),"",IF($GV10=BN$64," DNS ",IFERROR(VLOOKUP($F10,Arrangörslista!N$143:$AG$180,16,FALSE), "DNS")))), IF(Deltagarlista!$K$3=1,IF(ISBLANK(Deltagarlista!$C16),"",IF(ISBLANK(Arrangörslista!N$143),"",IFERROR(VLOOKUP($F10,Arrangörslista!N$143:$AG$180,16,FALSE), "DNS"))),""))</f>
        <v/>
      </c>
      <c r="BO10" s="5" t="str">
        <f>IF(Deltagarlista!$K$3=2,
IF(ISBLANK(Deltagarlista!$C16),"",IF(ISBLANK(Arrangörslista!O$143),"",IF($GV10=BO$64," DNS ",IFERROR(VLOOKUP($F10,Arrangörslista!O$143:$AG$180,16,FALSE), "DNS")))), IF(Deltagarlista!$K$3=1,IF(ISBLANK(Deltagarlista!$C16),"",IF(ISBLANK(Arrangörslista!O$143),"",IFERROR(VLOOKUP($F10,Arrangörslista!O$143:$AG$180,16,FALSE), "DNS"))),""))</f>
        <v/>
      </c>
      <c r="BP10" s="5" t="str">
        <f>IF(Deltagarlista!$K$3=2,
IF(ISBLANK(Deltagarlista!$C16),"",IF(ISBLANK(Arrangörslista!P$143),"",IF($GV10=BP$64," DNS ",IFERROR(VLOOKUP($F10,Arrangörslista!P$143:$AG$180,16,FALSE), "DNS")))), IF(Deltagarlista!$K$3=1,IF(ISBLANK(Deltagarlista!$C16),"",IF(ISBLANK(Arrangörslista!P$143),"",IFERROR(VLOOKUP($F10,Arrangörslista!P$143:$AG$180,16,FALSE), "DNS"))),""))</f>
        <v/>
      </c>
      <c r="BQ10" s="80" t="str">
        <f>IF(Deltagarlista!$K$3=2,
IF(ISBLANK(Deltagarlista!$C16),"",IF(ISBLANK(Arrangörslista!Q$143),"",IF($GV10=BQ$64," DNS ",IFERROR(VLOOKUP($F10,Arrangörslista!Q$143:$AG$180,16,FALSE), "DNS")))), IF(Deltagarlista!$K$3=1,IF(ISBLANK(Deltagarlista!$C16),"",IF(ISBLANK(Arrangörslista!Q$143),"",IFERROR(VLOOKUP($F10,Arrangörslista!Q$143:$AG$180,16,FALSE), "DNS"))),""))</f>
        <v/>
      </c>
      <c r="BR10" s="51"/>
      <c r="BS10" s="51"/>
      <c r="BT10" s="51"/>
      <c r="BU10" s="71">
        <f>SUM(BV10:EC10)</f>
        <v>0</v>
      </c>
      <c r="BV10" s="61">
        <f>IF(J10="",0,IF(OR(J10="DNF",J10="OCS",J10="DSQ",J10="DNS",J10=" DNS "),$BW$3+1,J10))</f>
        <v>0</v>
      </c>
      <c r="BW10" s="61">
        <f>IF(K10="",0,IF(OR(K10="DNF",K10="OCS",K10="DSQ",K10="DNS",K10=" DNS "),$BW$3+1,K10))</f>
        <v>0</v>
      </c>
      <c r="BX10" s="61">
        <f>IF(L10="",0,IF(OR(L10="DNF",L10="OCS",L10="DSQ",L10="DNS",L10=" DNS "),$BW$3+1,L10))</f>
        <v>0</v>
      </c>
      <c r="BY10" s="61">
        <f>IF(M10="",0,IF(OR(M10="DNF",M10="OCS",M10="DSQ",M10="DNS",M10=" DNS "),$BW$3+1,M10))</f>
        <v>0</v>
      </c>
      <c r="BZ10" s="61">
        <f>IF(N10="",0,IF(OR(N10="DNF",N10="OCS",N10="DSQ",N10="DNS",N10=" DNS "),$BW$3+1,N10))</f>
        <v>0</v>
      </c>
      <c r="CA10" s="61">
        <f>IF(O10="",0,IF(OR(O10="DNF",O10="OCS",O10="DSQ",O10="DNS",O10=" DNS "),$BW$3+1,O10))</f>
        <v>0</v>
      </c>
      <c r="CB10" s="61">
        <f>IF(P10="",0,IF(OR(P10="DNF",P10="OCS",P10="DSQ",P10="DNS",P10=" DNS "),$BW$3+1,P10))</f>
        <v>0</v>
      </c>
      <c r="CC10" s="61">
        <f>IF(Q10="",0,IF(OR(Q10="DNF",Q10="OCS",Q10="DSQ",Q10="DNS",Q10=" DNS "),$BW$3+1,Q10))</f>
        <v>0</v>
      </c>
      <c r="CD10" s="61">
        <f>IF(R10="",0,IF(OR(R10="DNF",R10="OCS",R10="DSQ",R10="DNS",R10=" DNS "),$BW$3+1,R10))</f>
        <v>0</v>
      </c>
      <c r="CE10" s="61">
        <f>IF(S10="",0,IF(OR(S10="DNF",S10="OCS",S10="DSQ",S10="DNS",S10=" DNS "),$BW$3+1,S10))</f>
        <v>0</v>
      </c>
      <c r="CF10" s="61">
        <f>IF(T10="",0,IF(OR(T10="DNF",T10="OCS",T10="DSQ",T10="DNS",T10=" DNS "),$BW$3+1,T10))</f>
        <v>0</v>
      </c>
      <c r="CG10" s="61">
        <f>IF(U10="",0,IF(OR(U10="DNF",U10="OCS",U10="DSQ",U10="DNS",U10=" DNS "),$BW$3+1,U10))</f>
        <v>0</v>
      </c>
      <c r="CH10" s="61">
        <f>IF(V10="",0,IF(OR(V10="DNF",V10="OCS",V10="DSQ",V10="DNS",V10=" DNS "),$BW$3+1,V10))</f>
        <v>0</v>
      </c>
      <c r="CI10" s="61">
        <f>IF(W10="",0,IF(OR(W10="DNF",W10="OCS",W10="DSQ",W10="DNS",W10=" DNS "),$BW$3+1,W10))</f>
        <v>0</v>
      </c>
      <c r="CJ10" s="61">
        <f>IF(X10="",0,IF(OR(X10="DNF",X10="OCS",X10="DSQ",X10="DNS",X10=" DNS "),$BW$3+1,X10))</f>
        <v>0</v>
      </c>
      <c r="CK10" s="61">
        <f>IF(Y10="",0,IF(OR(Y10="DNF",Y10="OCS",Y10="DSQ",Y10="DNS",Y10=" DNS "),$BW$3+1,Y10))</f>
        <v>0</v>
      </c>
      <c r="CL10" s="61">
        <f>IF(Z10="",0,IF(OR(Z10="DNF",Z10="OCS",Z10="DSQ",Z10="DNS",Z10=" DNS "),$BW$3+1,Z10))</f>
        <v>0</v>
      </c>
      <c r="CM10" s="61">
        <f>IF(AA10="",0,IF(OR(AA10="DNF",AA10="OCS",AA10="DSQ",AA10="DNS",AA10=" DNS "),$BW$3+1,AA10))</f>
        <v>0</v>
      </c>
      <c r="CN10" s="61">
        <f>IF(AB10="",0,IF(OR(AB10="DNF",AB10="OCS",AB10="DSQ",AB10="DNS",AB10=" DNS "),$BW$3+1,AB10))</f>
        <v>0</v>
      </c>
      <c r="CO10" s="61">
        <f>IF(AC10="",0,IF(OR(AC10="DNF",AC10="OCS",AC10="DSQ",AC10="DNS",AC10=" DNS "),$BW$3+1,AC10))</f>
        <v>0</v>
      </c>
      <c r="CP10" s="61">
        <f>IF(AD10="",0,IF(OR(AD10="DNF",AD10="OCS",AD10="DSQ",AD10="DNS",AD10=" DNS "),$BW$3+1,AD10))</f>
        <v>0</v>
      </c>
      <c r="CQ10" s="61">
        <f>IF(AE10="",0,IF(OR(AE10="DNF",AE10="OCS",AE10="DSQ",AE10="DNS",AE10=" DNS "),$BW$3+1,AE10))</f>
        <v>0</v>
      </c>
      <c r="CR10" s="61">
        <f>IF(AF10="",0,IF(OR(AF10="DNF",AF10="OCS",AF10="DSQ",AF10="DNS",AF10=" DNS "),$BW$3+1,AF10))</f>
        <v>0</v>
      </c>
      <c r="CS10" s="61">
        <f>IF(AG10="",0,IF(OR(AG10="DNF",AG10="OCS",AG10="DSQ",AG10="DNS",AG10=" DNS "),$BW$3+1,AG10))</f>
        <v>0</v>
      </c>
      <c r="CT10" s="61">
        <f>IF(AH10="",0,IF(OR(AH10="DNF",AH10="OCS",AH10="DSQ",AH10="DNS",AH10=" DNS "),$BW$3+1,AH10))</f>
        <v>0</v>
      </c>
      <c r="CU10" s="61">
        <f>IF(AI10="",0,IF(OR(AI10="DNF",AI10="OCS",AI10="DSQ",AI10="DNS",AI10=" DNS "),$BW$3+1,AI10))</f>
        <v>0</v>
      </c>
      <c r="CV10" s="61">
        <f>IF(AJ10="",0,IF(OR(AJ10="DNF",AJ10="OCS",AJ10="DSQ",AJ10="DNS",AJ10=" DNS "),$BW$3+1,AJ10))</f>
        <v>0</v>
      </c>
      <c r="CW10" s="61">
        <f>IF(AK10="",0,IF(OR(AK10="DNF",AK10="OCS",AK10="DSQ",AK10="DNS",AK10=" DNS "),$BW$3+1,AK10))</f>
        <v>0</v>
      </c>
      <c r="CX10" s="61">
        <f>IF(AL10="",0,IF(OR(AL10="DNF",AL10="OCS",AL10="DSQ",AL10="DNS",AL10=" DNS "),$BW$3+1,AL10))</f>
        <v>0</v>
      </c>
      <c r="CY10" s="61">
        <f>IF(AM10="",0,IF(OR(AM10="DNF",AM10="OCS",AM10="DSQ",AM10="DNS",AM10=" DNS "),$BW$3+1,AM10))</f>
        <v>0</v>
      </c>
      <c r="CZ10" s="61">
        <f>IF(AN10="",0,IF(OR(AN10="DNF",AN10="OCS",AN10="DSQ",AN10="DNS",AN10=" DNS "),$BW$3+1,AN10))</f>
        <v>0</v>
      </c>
      <c r="DA10" s="61">
        <f>IF(AO10="",0,IF(OR(AO10="DNF",AO10="OCS",AO10="DSQ",AO10="DNS",AO10=" DNS "),$BW$3+1,AO10))</f>
        <v>0</v>
      </c>
      <c r="DB10" s="61">
        <f>IF(AP10="",0,IF(OR(AP10="DNF",AP10="OCS",AP10="DSQ",AP10="DNS",AP10=" DNS "),$BW$3+1,AP10))</f>
        <v>0</v>
      </c>
      <c r="DC10" s="61">
        <f>IF(AQ10="",0,IF(OR(AQ10="DNF",AQ10="OCS",AQ10="DSQ",AQ10="DNS",AQ10=" DNS "),$BW$3+1,AQ10))</f>
        <v>0</v>
      </c>
      <c r="DD10" s="61">
        <f>IF(AR10="",0,IF(OR(AR10="DNF",AR10="OCS",AR10="DSQ",AR10="DNS",AR10=" DNS "),$BW$3+1,AR10))</f>
        <v>0</v>
      </c>
      <c r="DE10" s="61">
        <f>IF(AS10="",0,IF(OR(AS10="DNF",AS10="OCS",AS10="DSQ",AS10="DNS",AS10=" DNS "),$BW$3+1,AS10))</f>
        <v>0</v>
      </c>
      <c r="DF10" s="61">
        <f>IF(AT10="",0,IF(OR(AT10="DNF",AT10="OCS",AT10="DSQ",AT10="DNS",AT10=" DNS "),$BW$3+1,AT10))</f>
        <v>0</v>
      </c>
      <c r="DG10" s="61">
        <f>IF(AU10="",0,IF(OR(AU10="DNF",AU10="OCS",AU10="DSQ",AU10="DNS",AU10=" DNS "),$BW$3+1,AU10))</f>
        <v>0</v>
      </c>
      <c r="DH10" s="61">
        <f>IF(AV10="",0,IF(OR(AV10="DNF",AV10="OCS",AV10="DSQ",AV10="DNS",AV10=" DNS "),$BW$3+1,AV10))</f>
        <v>0</v>
      </c>
      <c r="DI10" s="61">
        <f>IF(AW10="",0,IF(OR(AW10="DNF",AW10="OCS",AW10="DSQ",AW10="DNS",AW10=" DNS "),$BW$3+1,AW10))</f>
        <v>0</v>
      </c>
      <c r="DJ10" s="61">
        <f>IF(AX10="",0,IF(OR(AX10="DNF",AX10="OCS",AX10="DSQ",AX10="DNS",AX10=" DNS "),$BW$3+1,AX10))</f>
        <v>0</v>
      </c>
      <c r="DK10" s="61">
        <f>IF(AY10="",0,IF(OR(AY10="DNF",AY10="OCS",AY10="DSQ",AY10="DNS",AY10=" DNS "),$BW$3+1,AY10))</f>
        <v>0</v>
      </c>
      <c r="DL10" s="61">
        <f>IF(AZ10="",0,IF(OR(AZ10="DNF",AZ10="OCS",AZ10="DSQ",AZ10="DNS",AZ10=" DNS "),$BW$3+1,AZ10))</f>
        <v>0</v>
      </c>
      <c r="DM10" s="61">
        <f>IF(BA10="",0,IF(OR(BA10="DNF",BA10="OCS",BA10="DSQ",BA10="DNS",BA10=" DNS "),$BW$3+1,BA10))</f>
        <v>0</v>
      </c>
      <c r="DN10" s="61">
        <f>IF(BB10="",0,IF(OR(BB10="DNF",BB10="OCS",BB10="DSQ",BB10="DNS",BB10=" DNS "),$BW$3+1,BB10))</f>
        <v>0</v>
      </c>
      <c r="DO10" s="61">
        <f>IF(BC10="",0,IF(OR(BC10="DNF",BC10="OCS",BC10="DSQ",BC10="DNS",BC10=" DNS "),$BW$3+1,BC10))</f>
        <v>0</v>
      </c>
      <c r="DP10" s="61">
        <f>IF(BD10="",0,IF(OR(BD10="DNF",BD10="OCS",BD10="DSQ",BD10="DNS",BD10=" DNS "),$BW$3+1,BD10))</f>
        <v>0</v>
      </c>
      <c r="DQ10" s="61">
        <f>IF(BE10="",0,IF(OR(BE10="DNF",BE10="OCS",BE10="DSQ",BE10="DNS",BE10=" DNS "),$BW$3+1,BE10))</f>
        <v>0</v>
      </c>
      <c r="DR10" s="61">
        <f>IF(BF10="",0,IF(OR(BF10="DNF",BF10="OCS",BF10="DSQ",BF10="DNS",BF10=" DNS "),$BW$3+1,BF10))</f>
        <v>0</v>
      </c>
      <c r="DS10" s="61">
        <f>IF(BG10="",0,IF(OR(BG10="DNF",BG10="OCS",BG10="DSQ",BG10="DNS",BG10=" DNS "),$BW$3+1,BG10))</f>
        <v>0</v>
      </c>
      <c r="DT10" s="61">
        <f>IF(BH10="",0,IF(OR(BH10="DNF",BH10="OCS",BH10="DSQ",BH10="DNS",BH10=" DNS "),$BW$3+1,BH10))</f>
        <v>0</v>
      </c>
      <c r="DU10" s="61">
        <f>IF(BI10="",0,IF(OR(BI10="DNF",BI10="OCS",BI10="DSQ",BI10="DNS",BI10=" DNS "),$BW$3+1,BI10))</f>
        <v>0</v>
      </c>
      <c r="DV10" s="61">
        <f>IF(BJ10="",0,IF(OR(BJ10="DNF",BJ10="OCS",BJ10="DSQ",BJ10="DNS",BJ10=" DNS "),$BW$3+1,BJ10))</f>
        <v>0</v>
      </c>
      <c r="DW10" s="61">
        <f>IF(BK10="",0,IF(OR(BK10="DNF",BK10="OCS",BK10="DSQ",BK10="DNS",BK10=" DNS "),$BW$3+1,BK10))</f>
        <v>0</v>
      </c>
      <c r="DX10" s="61">
        <f>IF(BL10="",0,IF(OR(BL10="DNF",BL10="OCS",BL10="DSQ",BL10="DNS",BL10=" DNS "),$BW$3+1,BL10))</f>
        <v>0</v>
      </c>
      <c r="DY10" s="61">
        <f>IF(BM10="",0,IF(OR(BM10="DNF",BM10="OCS",BM10="DSQ",BM10="DNS",BM10=" DNS "),$BW$3+1,BM10))</f>
        <v>0</v>
      </c>
      <c r="DZ10" s="61">
        <f>IF(BN10="",0,IF(OR(BN10="DNF",BN10="OCS",BN10="DSQ",BN10="DNS",BN10=" DNS "),$BW$3+1,BN10))</f>
        <v>0</v>
      </c>
      <c r="EA10" s="61">
        <f>IF(BO10="",0,IF(OR(BO10="DNF",BO10="OCS",BO10="DSQ",BO10="DNS",BO10=" DNS "),$BW$3+1,BO10))</f>
        <v>0</v>
      </c>
      <c r="EB10" s="61">
        <f>IF(BP10="",0,IF(OR(BP10="DNF",BP10="OCS",BP10="DSQ",BP10="DNS",BP10=" DNS "),$BW$3+1,BP10))</f>
        <v>0</v>
      </c>
      <c r="EC10" s="61">
        <f>IF(BQ10="",0,IF(OR(BQ10="DNF",BQ10="OCS",BQ10="DSQ",BQ10="DNS",BQ10=" DNS "),$BW$3+1,BQ10))</f>
        <v>0</v>
      </c>
      <c r="EE10" s="61">
        <f xml:space="preserve">
IF(OR(Deltagarlista!$K$3=3,Deltagarlista!$K$3=4),
IF(Arrangörslista!$U$5&lt;8,0,
IF(Arrangörslista!$U$5&lt;16,SUM(LARGE(BV10:CJ10,1)),
IF(Arrangörslista!$U$5&lt;24,SUM(LARGE(BV10:CR10,{1;2})),
IF(Arrangörslista!$U$5&lt;32,SUM(LARGE(BV10:CZ10,{1;2;3})),
IF(Arrangörslista!$U$5&lt;40,SUM(LARGE(BV10:DH10,{1;2;3;4})),
IF(Arrangörslista!$U$5&lt;48,SUM(LARGE(BV10:DP10,{1;2;3;4;5})),
IF(Arrangörslista!$U$5&lt;56,SUM(LARGE(BV10:DX10,{1;2;3;4;5;6})),
IF(Arrangörslista!$U$5&lt;64,SUM(LARGE(BV10:EC10,{1;2;3;4;5;6;7})),0)))))))),
IF(Deltagarlista!$K$3=2,
IF(Arrangörslista!$U$5&lt;4,LARGE(BV10:BX10,1),
IF(Arrangörslista!$U$5&lt;7,SUM(LARGE(BV10:CA10,{1;2;3})),
IF(Arrangörslista!$U$5&lt;10,SUM(LARGE(BV10:CD10,{1;2;3;4})),
IF(Arrangörslista!$U$5&lt;13,SUM(LARGE(BV10:CG10,{1;2;3;4;5;6})),
IF(Arrangörslista!$U$5&lt;16,SUM(LARGE(BV10:CJ10,{1;2;3;4;5;6;7})),
IF(Arrangörslista!$U$5&lt;19,SUM(LARGE(BV10:CM10,{1;2;3;4;5;6;7;8;9})),
IF(Arrangörslista!$U$5&lt;22,SUM(LARGE(BV10:CP10,{1;2;3;4;5;6;7;8;9;10})),
IF(Arrangörslista!$U$5&lt;25,SUM(LARGE(BV10:CS10,{1;2;3;4;5;6;7;8;9;10;11;12})),
IF(Arrangörslista!$U$5&lt;28,SUM(LARGE(BV10:CV10,{1;2;3;4;5;6;7;8;9;10;11;12;13})),
IF(Arrangörslista!$U$5&lt;31,SUM(LARGE(BV10:CY10,{1;2;3;4;5;6;7;8;9;10;11;12;13;14;15})),
IF(Arrangörslista!$U$5&lt;34,SUM(LARGE(BV10:DB10,{1;2;3;4;5;6;7;8;9;10;11;12;13;14;15;16})),
IF(Arrangörslista!$U$5&lt;37,SUM(LARGE(BV10:DE10,{1;2;3;4;5;6;7;8;9;10;11;12;13;14;15;16;17;18})),
IF(Arrangörslista!$U$5&lt;40,SUM(LARGE(BV10:DH10,{1;2;3;4;5;6;7;8;9;10;11;12;13;14;15;16;17;18;19})),
IF(Arrangörslista!$U$5&lt;43,SUM(LARGE(BV10:DK10,{1;2;3;4;5;6;7;8;9;10;11;12;13;14;15;16;17;18;19;20;21})),
IF(Arrangörslista!$U$5&lt;46,SUM(LARGE(BV10:DN10,{1;2;3;4;5;6;7;8;9;10;11;12;13;14;15;16;17;18;19;20;21;22})),
IF(Arrangörslista!$U$5&lt;49,SUM(LARGE(BV10:DQ10,{1;2;3;4;5;6;7;8;9;10;11;12;13;14;15;16;17;18;19;20;21;22;23;24})),
IF(Arrangörslista!$U$5&lt;52,SUM(LARGE(BV10:DT10,{1;2;3;4;5;6;7;8;9;10;11;12;13;14;15;16;17;18;19;20;21;22;23;24;25})),
IF(Arrangörslista!$U$5&lt;55,SUM(LARGE(BV10:DW10,{1;2;3;4;5;6;7;8;9;10;11;12;13;14;15;16;17;18;19;20;21;22;23;24;25;26;27})),
IF(Arrangörslista!$U$5&lt;58,SUM(LARGE(BV10:DZ10,{1;2;3;4;5;6;7;8;9;10;11;12;13;14;15;16;17;18;19;20;21;22;23;24;25;26;27;28})),
IF(Arrangörslista!$U$5&lt;61,SUM(LARGE(BV10:EC10,{1;2;3;4;5;6;7;8;9;10;11;12;13;14;15;16;17;18;19;20;21;22;23;24;25;26;27;28;29;30})),0)))))))))))))))))))),
IF(Arrangörslista!$U$5&lt;4,0,
IF(Arrangörslista!$U$5&lt;8,SUM(LARGE(BV10:CB10,1)),
IF(Arrangörslista!$U$5&lt;12,SUM(LARGE(BV10:CF10,{1;2})),
IF(Arrangörslista!$U$5&lt;16,SUM(LARGE(BV10:CJ10,{1;2;3})),
IF(Arrangörslista!$U$5&lt;20,SUM(LARGE(BV10:CN10,{1;2;3;4})),
IF(Arrangörslista!$U$5&lt;24,SUM(LARGE(BV10:CR10,{1;2;3;4;5})),
IF(Arrangörslista!$U$5&lt;28,SUM(LARGE(BV10:CV10,{1;2;3;4;5;6})),
IF(Arrangörslista!$U$5&lt;32,SUM(LARGE(BV10:CZ10,{1;2;3;4;5;6;7})),
IF(Arrangörslista!$U$5&lt;36,SUM(LARGE(BV10:DD10,{1;2;3;4;5;6;7;8})),
IF(Arrangörslista!$U$5&lt;40,SUM(LARGE(BV10:DH10,{1;2;3;4;5;6;7;8;9})),
IF(Arrangörslista!$U$5&lt;44,SUM(LARGE(BV10:DL10,{1;2;3;4;5;6;7;8;9;10})),
IF(Arrangörslista!$U$5&lt;48,SUM(LARGE(BV10:DP10,{1;2;3;4;5;6;7;8;9;10;11})),
IF(Arrangörslista!$U$5&lt;52,SUM(LARGE(BV10:DT10,{1;2;3;4;5;6;7;8;9;10;11;12})),
IF(Arrangörslista!$U$5&lt;56,SUM(LARGE(BV10:DX10,{1;2;3;4;5;6;7;8;9;10;11;12;13})),
IF(Arrangörslista!$U$5&lt;60,SUM(LARGE(BV10:EB10,{1;2;3;4;5;6;7;8;9;10;11;12;13;14})),
IF(Arrangörslista!$U$5=60,SUM(LARGE(BV10:EC10,{1;2;3;4;5;6;7;8;9;10;11;12;13;14;15})),0))))))))))))))))))</f>
        <v>0</v>
      </c>
      <c r="EG10" s="67">
        <f>IF(F10="",,1)</f>
        <v>0</v>
      </c>
      <c r="EH10" s="61"/>
      <c r="EI10" s="61"/>
      <c r="EK10" s="62">
        <f>SMALL($J73:$BQ73,1)</f>
        <v>61</v>
      </c>
      <c r="EL10" s="62">
        <f>SMALL($J73:$BQ73,2)</f>
        <v>61</v>
      </c>
      <c r="EM10" s="62">
        <f>SMALL($J73:$BQ73,3)</f>
        <v>61</v>
      </c>
      <c r="EN10" s="62">
        <f>SMALL($J73:$BQ73,4)</f>
        <v>61</v>
      </c>
      <c r="EO10" s="62">
        <f>SMALL($J73:$BQ73,5)</f>
        <v>61</v>
      </c>
      <c r="EP10" s="62">
        <f>SMALL($J73:$BQ73,6)</f>
        <v>61</v>
      </c>
      <c r="EQ10" s="62">
        <f>SMALL($J73:$BQ73,7)</f>
        <v>61</v>
      </c>
      <c r="ER10" s="62">
        <f>SMALL($J73:$BQ73,8)</f>
        <v>61</v>
      </c>
      <c r="ES10" s="62">
        <f>SMALL($J73:$BQ73,9)</f>
        <v>61</v>
      </c>
      <c r="ET10" s="62">
        <f>SMALL($J73:$BQ73,10)</f>
        <v>61</v>
      </c>
      <c r="EU10" s="62">
        <f>SMALL($J73:$BQ73,11)</f>
        <v>61</v>
      </c>
      <c r="EV10" s="62">
        <f>SMALL($J73:$BQ73,12)</f>
        <v>61</v>
      </c>
      <c r="EW10" s="62">
        <f>SMALL($J73:$BQ73,13)</f>
        <v>61</v>
      </c>
      <c r="EX10" s="62">
        <f>SMALL($J73:$BQ73,14)</f>
        <v>61</v>
      </c>
      <c r="EY10" s="62">
        <f>SMALL($J73:$BQ73,15)</f>
        <v>61</v>
      </c>
      <c r="EZ10" s="62">
        <f>SMALL($J73:$BQ73,16)</f>
        <v>61</v>
      </c>
      <c r="FA10" s="62">
        <f>SMALL($J73:$BQ73,17)</f>
        <v>61</v>
      </c>
      <c r="FB10" s="62">
        <f>SMALL($J73:$BQ73,18)</f>
        <v>61</v>
      </c>
      <c r="FC10" s="62">
        <f>SMALL($J73:$BQ73,19)</f>
        <v>61</v>
      </c>
      <c r="FD10" s="62">
        <f>SMALL($J73:$BQ73,20)</f>
        <v>61</v>
      </c>
      <c r="FE10" s="62">
        <f>SMALL($J73:$BQ73,21)</f>
        <v>61</v>
      </c>
      <c r="FF10" s="62">
        <f>SMALL($J73:$BQ73,22)</f>
        <v>61</v>
      </c>
      <c r="FG10" s="62">
        <f>SMALL($J73:$BQ73,23)</f>
        <v>61</v>
      </c>
      <c r="FH10" s="62">
        <f>SMALL($J73:$BQ73,24)</f>
        <v>61</v>
      </c>
      <c r="FI10" s="62">
        <f>SMALL($J73:$BQ73,25)</f>
        <v>61</v>
      </c>
      <c r="FJ10" s="62">
        <f>SMALL($J73:$BQ73,26)</f>
        <v>61</v>
      </c>
      <c r="FK10" s="62">
        <f>SMALL($J73:$BQ73,27)</f>
        <v>61</v>
      </c>
      <c r="FL10" s="62">
        <f>SMALL($J73:$BQ73,28)</f>
        <v>61</v>
      </c>
      <c r="FM10" s="62">
        <f>SMALL($J73:$BQ73,29)</f>
        <v>61</v>
      </c>
      <c r="FN10" s="62">
        <f>SMALL($J73:$BQ73,30)</f>
        <v>61</v>
      </c>
      <c r="FO10" s="62">
        <f>SMALL($J73:$BQ73,31)</f>
        <v>61</v>
      </c>
      <c r="FP10" s="62">
        <f>SMALL($J73:$BQ73,32)</f>
        <v>61</v>
      </c>
      <c r="FQ10" s="62">
        <f>SMALL($J73:$BQ73,33)</f>
        <v>61</v>
      </c>
      <c r="FR10" s="62">
        <f>SMALL($J73:$BQ73,34)</f>
        <v>61</v>
      </c>
      <c r="FS10" s="62">
        <f>SMALL($J73:$BQ73,35)</f>
        <v>61</v>
      </c>
      <c r="FT10" s="62">
        <f>SMALL($J73:$BQ73,36)</f>
        <v>61</v>
      </c>
      <c r="FU10" s="62">
        <f>SMALL($J73:$BQ73,37)</f>
        <v>61</v>
      </c>
      <c r="FV10" s="62">
        <f>SMALL($J73:$BQ73,38)</f>
        <v>61</v>
      </c>
      <c r="FW10" s="62">
        <f>SMALL($J73:$BQ73,39)</f>
        <v>61</v>
      </c>
      <c r="FX10" s="62">
        <f>SMALL($J73:$BQ73,40)</f>
        <v>61</v>
      </c>
      <c r="FY10" s="62">
        <f>SMALL($J73:$BQ73,41)</f>
        <v>61</v>
      </c>
      <c r="FZ10" s="62">
        <f>SMALL($J73:$BQ73,42)</f>
        <v>61</v>
      </c>
      <c r="GA10" s="62">
        <f>SMALL($J73:$BQ73,43)</f>
        <v>61</v>
      </c>
      <c r="GB10" s="62">
        <f>SMALL($J73:$BQ73,44)</f>
        <v>61</v>
      </c>
      <c r="GC10" s="62">
        <f>SMALL($J73:$BQ73,45)</f>
        <v>61</v>
      </c>
      <c r="GD10" s="62">
        <f>SMALL($J73:$BQ73,46)</f>
        <v>61</v>
      </c>
      <c r="GE10" s="62">
        <f>SMALL($J73:$BQ73,47)</f>
        <v>61</v>
      </c>
      <c r="GF10" s="62">
        <f>SMALL($J73:$BQ73,48)</f>
        <v>61</v>
      </c>
      <c r="GG10" s="62">
        <f>SMALL($J73:$BQ73,49)</f>
        <v>61</v>
      </c>
      <c r="GH10" s="62">
        <f>SMALL($J73:$BQ73,50)</f>
        <v>61</v>
      </c>
      <c r="GI10" s="62">
        <f>SMALL($J73:$BQ73,51)</f>
        <v>61</v>
      </c>
      <c r="GJ10" s="62">
        <f>SMALL($J73:$BQ73,52)</f>
        <v>61</v>
      </c>
      <c r="GK10" s="62">
        <f>SMALL($J73:$BQ73,53)</f>
        <v>61</v>
      </c>
      <c r="GL10" s="62">
        <f>SMALL($J73:$BQ73,54)</f>
        <v>61</v>
      </c>
      <c r="GM10" s="62">
        <f>SMALL($J73:$BQ73,55)</f>
        <v>61</v>
      </c>
      <c r="GN10" s="62">
        <f>SMALL($J73:$BQ73,56)</f>
        <v>61</v>
      </c>
      <c r="GO10" s="62">
        <f>SMALL($J73:$BQ73,57)</f>
        <v>61</v>
      </c>
      <c r="GP10" s="62">
        <f>SMALL($J73:$BQ73,58)</f>
        <v>61</v>
      </c>
      <c r="GQ10" s="62">
        <f>SMALL($J73:$BQ73,59)</f>
        <v>61</v>
      </c>
      <c r="GR10" s="62">
        <f>SMALL($J73:$BQ73,60)</f>
        <v>61</v>
      </c>
      <c r="GT10" s="62">
        <f>IF(Deltagarlista!$K$3=2,
IF(GW10="1",
      IF(Arrangörslista!$U$5=1,J73,
IF(Arrangörslista!$U$5=2,K73,
IF(Arrangörslista!$U$5=3,L73,
IF(Arrangörslista!$U$5=4,M73,
IF(Arrangörslista!$U$5=5,N73,
IF(Arrangörslista!$U$5=6,O73,
IF(Arrangörslista!$U$5=7,P73,
IF(Arrangörslista!$U$5=8,Q73,
IF(Arrangörslista!$U$5=9,R73,
IF(Arrangörslista!$U$5=10,S73,
IF(Arrangörslista!$U$5=11,T73,
IF(Arrangörslista!$U$5=12,U73,
IF(Arrangörslista!$U$5=13,V73,
IF(Arrangörslista!$U$5=14,W73,
IF(Arrangörslista!$U$5=15,X73,
IF(Arrangörslista!$U$5=16,Y73,IF(Arrangörslista!$U$5=17,Z73,IF(Arrangörslista!$U$5=18,AA73,IF(Arrangörslista!$U$5=19,AB73,IF(Arrangörslista!$U$5=20,AC73,IF(Arrangörslista!$U$5=21,AD73,IF(Arrangörslista!$U$5=22,AE73,IF(Arrangörslista!$U$5=23,AF73, IF(Arrangörslista!$U$5=24,AG73, IF(Arrangörslista!$U$5=25,AH73, IF(Arrangörslista!$U$5=26,AI73, IF(Arrangörslista!$U$5=27,AJ73, IF(Arrangörslista!$U$5=28,AK73, IF(Arrangörslista!$U$5=29,AL73, IF(Arrangörslista!$U$5=30,AM73, IF(Arrangörslista!$U$5=31,AN73, IF(Arrangörslista!$U$5=32,AO73, IF(Arrangörslista!$U$5=33,AP73, IF(Arrangörslista!$U$5=34,AQ73, IF(Arrangörslista!$U$5=35,AR73, IF(Arrangörslista!$U$5=36,AS73, IF(Arrangörslista!$U$5=37,AT73, IF(Arrangörslista!$U$5=38,AU73, IF(Arrangörslista!$U$5=39,AV73, IF(Arrangörslista!$U$5=40,AW73, IF(Arrangörslista!$U$5=41,AX73, IF(Arrangörslista!$U$5=42,AY73, IF(Arrangörslista!$U$5=43,AZ73, IF(Arrangörslista!$U$5=44,BA73, IF(Arrangörslista!$U$5=45,BB73, IF(Arrangörslista!$U$5=46,BC73, IF(Arrangörslista!$U$5=47,BD73, IF(Arrangörslista!$U$5=48,BE73, IF(Arrangörslista!$U$5=49,BF73, IF(Arrangörslista!$U$5=50,BG73, IF(Arrangörslista!$U$5=51,BH73, IF(Arrangörslista!$U$5=52,BI73, IF(Arrangörslista!$U$5=53,BJ73, IF(Arrangörslista!$U$5=54,BK73, IF(Arrangörslista!$U$5=55,BL73, IF(Arrangörslista!$U$5=56,BM73, IF(Arrangörslista!$U$5=57,BN73, IF(Arrangörslista!$U$5=58,BO73, IF(Arrangörslista!$U$5=59,BP73, IF(Arrangörslista!$U$5=60,BQ73,0))))))))))))))))))))))))))))))))))))))))))))))))))))))))))))),IF(Deltagarlista!$K$3=4, IF(Arrangörslista!$U$5=1,J73,
IF(Arrangörslista!$U$5=2,J73,
IF(Arrangörslista!$U$5=3,K73,
IF(Arrangörslista!$U$5=4,K73,
IF(Arrangörslista!$U$5=5,L73,
IF(Arrangörslista!$U$5=6,L73,
IF(Arrangörslista!$U$5=7,M73,
IF(Arrangörslista!$U$5=8,M73,
IF(Arrangörslista!$U$5=9,N73,
IF(Arrangörslista!$U$5=10,N73,
IF(Arrangörslista!$U$5=11,O73,
IF(Arrangörslista!$U$5=12,O73,
IF(Arrangörslista!$U$5=13,P73,
IF(Arrangörslista!$U$5=14,P73,
IF(Arrangörslista!$U$5=15,Q73,
IF(Arrangörslista!$U$5=16,Q73,
IF(Arrangörslista!$U$5=17,R73,
IF(Arrangörslista!$U$5=18,R73,
IF(Arrangörslista!$U$5=19,S73,
IF(Arrangörslista!$U$5=20,S73,
IF(Arrangörslista!$U$5=21,T73,
IF(Arrangörslista!$U$5=22,T73,IF(Arrangörslista!$U$5=23,U73, IF(Arrangörslista!$U$5=24,U73, IF(Arrangörslista!$U$5=25,V73, IF(Arrangörslista!$U$5=26,V73, IF(Arrangörslista!$U$5=27,W73, IF(Arrangörslista!$U$5=28,W73, IF(Arrangörslista!$U$5=29,X73, IF(Arrangörslista!$U$5=30,X73, IF(Arrangörslista!$U$5=31,X73, IF(Arrangörslista!$U$5=32,Y73, IF(Arrangörslista!$U$5=33,AO73, IF(Arrangörslista!$U$5=34,Y73, IF(Arrangörslista!$U$5=35,Z73, IF(Arrangörslista!$U$5=36,AR73, IF(Arrangörslista!$U$5=37,Z73, IF(Arrangörslista!$U$5=38,AA73, IF(Arrangörslista!$U$5=39,AU73, IF(Arrangörslista!$U$5=40,AA73, IF(Arrangörslista!$U$5=41,AB73, IF(Arrangörslista!$U$5=42,AX73, IF(Arrangörslista!$U$5=43,AB73, IF(Arrangörslista!$U$5=44,AC73, IF(Arrangörslista!$U$5=45,BA73, IF(Arrangörslista!$U$5=46,AC73, IF(Arrangörslista!$U$5=47,AD73, IF(Arrangörslista!$U$5=48,BD73, IF(Arrangörslista!$U$5=49,AD73, IF(Arrangörslista!$U$5=50,AE73, IF(Arrangörslista!$U$5=51,BG73, IF(Arrangörslista!$U$5=52,AE73, IF(Arrangörslista!$U$5=53,AF73, IF(Arrangörslista!$U$5=54,BJ73, IF(Arrangörslista!$U$5=55,AF73, IF(Arrangörslista!$U$5=56,AG73, IF(Arrangörslista!$U$5=57,BM73, IF(Arrangörslista!$U$5=58,AG73, IF(Arrangörslista!$U$5=59,AH73, IF(Arrangörslista!$U$5=60,AH73,0)))))))))))))))))))))))))))))))))))))))))))))))))))))))))))),IF(Arrangörslista!$U$5=1,J73,
IF(Arrangörslista!$U$5=2,K73,
IF(Arrangörslista!$U$5=3,L73,
IF(Arrangörslista!$U$5=4,M73,
IF(Arrangörslista!$U$5=5,N73,
IF(Arrangörslista!$U$5=6,O73,
IF(Arrangörslista!$U$5=7,P73,
IF(Arrangörslista!$U$5=8,Q73,
IF(Arrangörslista!$U$5=9,R73,
IF(Arrangörslista!$U$5=10,S73,
IF(Arrangörslista!$U$5=11,T73,
IF(Arrangörslista!$U$5=12,U73,
IF(Arrangörslista!$U$5=13,V73,
IF(Arrangörslista!$U$5=14,W73,
IF(Arrangörslista!$U$5=15,X73,
IF(Arrangörslista!$U$5=16,Y73,IF(Arrangörslista!$U$5=17,Z73,IF(Arrangörslista!$U$5=18,AA73,IF(Arrangörslista!$U$5=19,AB73,IF(Arrangörslista!$U$5=20,AC73,IF(Arrangörslista!$U$5=21,AD73,IF(Arrangörslista!$U$5=22,AE73,IF(Arrangörslista!$U$5=23,AF73, IF(Arrangörslista!$U$5=24,AG73, IF(Arrangörslista!$U$5=25,AH73, IF(Arrangörslista!$U$5=26,AI73, IF(Arrangörslista!$U$5=27,AJ73, IF(Arrangörslista!$U$5=28,AK73, IF(Arrangörslista!$U$5=29,AL73, IF(Arrangörslista!$U$5=30,AM73, IF(Arrangörslista!$U$5=31,AN73, IF(Arrangörslista!$U$5=32,AO73, IF(Arrangörslista!$U$5=33,AP73, IF(Arrangörslista!$U$5=34,AQ73, IF(Arrangörslista!$U$5=35,AR73, IF(Arrangörslista!$U$5=36,AS73, IF(Arrangörslista!$U$5=37,AT73, IF(Arrangörslista!$U$5=38,AU73, IF(Arrangörslista!$U$5=39,AV73, IF(Arrangörslista!$U$5=40,AW73, IF(Arrangörslista!$U$5=41,AX73, IF(Arrangörslista!$U$5=42,AY73, IF(Arrangörslista!$U$5=43,AZ73, IF(Arrangörslista!$U$5=44,BA73, IF(Arrangörslista!$U$5=45,BB73, IF(Arrangörslista!$U$5=46,BC73, IF(Arrangörslista!$U$5=47,BD73, IF(Arrangörslista!$U$5=48,BE73, IF(Arrangörslista!$U$5=49,BF73, IF(Arrangörslista!$U$5=50,BG73, IF(Arrangörslista!$U$5=51,BH73, IF(Arrangörslista!$U$5=52,BI73, IF(Arrangörslista!$U$5=53,BJ73, IF(Arrangörslista!$U$5=54,BK73, IF(Arrangörslista!$U$5=55,BL73, IF(Arrangörslista!$U$5=56,BM73, IF(Arrangörslista!$U$5=57,BN73, IF(Arrangörslista!$U$5=58,BO73, IF(Arrangörslista!$U$5=59,BP73, IF(Arrangörslista!$U$5=60,BQ73,0))))))))))))))))))))))))))))))))))))))))))))))))))))))))))))
))</f>
        <v>0</v>
      </c>
      <c r="GV10" s="65" t="str">
        <f>IFERROR(IF(VLOOKUP(F10,Deltagarlista!$E$5:$I$64,5,FALSE)="Grön","Gr",IF(VLOOKUP(F10,Deltagarlista!$E$5:$I$64,5,FALSE)="Röd","R",IF(VLOOKUP(F10,Deltagarlista!$E$5:$I$64,5,FALSE)="Blå","B","Gu"))),"")</f>
        <v/>
      </c>
      <c r="GW10" s="62" t="str">
        <f t="shared" ref="GW10:GW63" si="1">IF(GV10="","",IF(AND($GX$2="R/B",OR(GV10="R",GV10="B")),"JA",IF(AND($GX$2="G/R",OR(GV10="R",GV10="G")),"JA",IF(AND($GX$2="G/B",OR(GV10="B",GV10="G")),"JA","NEJ"))))</f>
        <v/>
      </c>
    </row>
    <row r="11" spans="1:206" x14ac:dyDescent="0.3">
      <c r="B11" s="23" t="str">
        <f>IF($BW$3&gt;7,8,"")</f>
        <v/>
      </c>
      <c r="C11" s="92" t="str">
        <f>IF(ISBLANK(Deltagarlista!C12),"",Deltagarlista!C12)</f>
        <v/>
      </c>
      <c r="D11" s="109" t="str">
        <f>CONCATENATE(IF(AND(Deltagarlista!H12="GM",Deltagarlista!$S$14=TRUE),"GM   ",""), IF(OR(Deltagarlista!$K$3=4,Deltagarlista!$K$3=2),Deltagarlista!I12,""))</f>
        <v/>
      </c>
      <c r="E11" s="8" t="str">
        <f>IF(ISBLANK(Deltagarlista!D12),"",Deltagarlista!D12)</f>
        <v/>
      </c>
      <c r="F11" s="8" t="str">
        <f>IF(ISBLANK(Deltagarlista!E12),"",Deltagarlista!E12)</f>
        <v/>
      </c>
      <c r="G11" s="95" t="str">
        <f>IF(ISBLANK(Deltagarlista!F12),"",Deltagarlista!F12)</f>
        <v/>
      </c>
      <c r="H11" s="72" t="str">
        <f>IF(ISBLANK(Deltagarlista!C12),"",BU11-EE11)</f>
        <v/>
      </c>
      <c r="I11" s="13" t="str">
        <f>IF(ISBLANK(Deltagarlista!C12),"",IF(AND(Deltagarlista!$K$3=2,Deltagarlista!$L$3&lt;37),SUM(SUM(BV11:EC11)-(ROUNDDOWN(Arrangörslista!$U$5/3,1))*($BW$3+1)),SUM(BV11:EC11)))</f>
        <v/>
      </c>
      <c r="J11" s="79" t="str">
        <f>IF(Deltagarlista!$K$3=4,IF(ISBLANK(Deltagarlista!$C12),"",IF(ISBLANK(Arrangörslista!C$8),"",IFERROR(VLOOKUP($F11,Arrangörslista!C$8:$AG$45,16,FALSE),IF(ISBLANK(Deltagarlista!$C12),"",IF(ISBLANK(Arrangörslista!C$8),"",IFERROR(VLOOKUP($F11,Arrangörslista!D$8:$AG$45,16,FALSE),"DNS")))))),IF(Deltagarlista!$K$3=2,
IF(ISBLANK(Deltagarlista!$C12),"",IF(ISBLANK(Arrangörslista!C$8),"",IF($GV11=J$64," DNS ",IFERROR(VLOOKUP($F11,Arrangörslista!C$8:$AG$45,16,FALSE),"DNS")))),IF(ISBLANK(Deltagarlista!$C12),"",IF(ISBLANK(Arrangörslista!C$8),"",IFERROR(VLOOKUP($F11,Arrangörslista!C$8:$AG$45,16,FALSE),"DNS")))))</f>
        <v/>
      </c>
      <c r="K11" s="5" t="str">
        <f>IF(Deltagarlista!$K$3=4,IF(ISBLANK(Deltagarlista!$C12),"",IF(ISBLANK(Arrangörslista!E$8),"",IFERROR(VLOOKUP($F11,Arrangörslista!E$8:$AG$45,16,FALSE),IF(ISBLANK(Deltagarlista!$C12),"",IF(ISBLANK(Arrangörslista!E$8),"",IFERROR(VLOOKUP($F11,Arrangörslista!F$8:$AG$45,16,FALSE),"DNS")))))),IF(Deltagarlista!$K$3=2,
IF(ISBLANK(Deltagarlista!$C12),"",IF(ISBLANK(Arrangörslista!D$8),"",IF($GV11=K$64," DNS ",IFERROR(VLOOKUP($F11,Arrangörslista!D$8:$AG$45,16,FALSE),"DNS")))),IF(ISBLANK(Deltagarlista!$C12),"",IF(ISBLANK(Arrangörslista!D$8),"",IFERROR(VLOOKUP($F11,Arrangörslista!D$8:$AG$45,16,FALSE),"DNS")))))</f>
        <v/>
      </c>
      <c r="L11" s="5" t="str">
        <f>IF(Deltagarlista!$K$3=4,IF(ISBLANK(Deltagarlista!$C12),"",IF(ISBLANK(Arrangörslista!G$8),"",IFERROR(VLOOKUP($F11,Arrangörslista!G$8:$AG$45,16,FALSE),IF(ISBLANK(Deltagarlista!$C12),"",IF(ISBLANK(Arrangörslista!G$8),"",IFERROR(VLOOKUP($F11,Arrangörslista!H$8:$AG$45,16,FALSE),"DNS")))))),IF(Deltagarlista!$K$3=2,
IF(ISBLANK(Deltagarlista!$C12),"",IF(ISBLANK(Arrangörslista!E$8),"",IF($GV11=L$64," DNS ",IFERROR(VLOOKUP($F11,Arrangörslista!E$8:$AG$45,16,FALSE),"DNS")))),IF(ISBLANK(Deltagarlista!$C12),"",IF(ISBLANK(Arrangörslista!E$8),"",IFERROR(VLOOKUP($F11,Arrangörslista!E$8:$AG$45,16,FALSE),"DNS")))))</f>
        <v/>
      </c>
      <c r="M11" s="5" t="str">
        <f>IF(Deltagarlista!$K$3=4,IF(ISBLANK(Deltagarlista!$C12),"",IF(ISBLANK(Arrangörslista!I$8),"",IFERROR(VLOOKUP($F11,Arrangörslista!I$8:$AG$45,16,FALSE),IF(ISBLANK(Deltagarlista!$C12),"",IF(ISBLANK(Arrangörslista!I$8),"",IFERROR(VLOOKUP($F11,Arrangörslista!J$8:$AG$45,16,FALSE),"DNS")))))),IF(Deltagarlista!$K$3=2,
IF(ISBLANK(Deltagarlista!$C12),"",IF(ISBLANK(Arrangörslista!F$8),"",IF($GV11=M$64," DNS ",IFERROR(VLOOKUP($F11,Arrangörslista!F$8:$AG$45,16,FALSE),"DNS")))),IF(ISBLANK(Deltagarlista!$C12),"",IF(ISBLANK(Arrangörslista!F$8),"",IFERROR(VLOOKUP($F11,Arrangörslista!F$8:$AG$45,16,FALSE),"DNS")))))</f>
        <v/>
      </c>
      <c r="N11" s="5" t="str">
        <f>IF(Deltagarlista!$K$3=4,IF(ISBLANK(Deltagarlista!$C12),"",IF(ISBLANK(Arrangörslista!K$8),"",IFERROR(VLOOKUP($F11,Arrangörslista!K$8:$AG$45,16,FALSE),IF(ISBLANK(Deltagarlista!$C12),"",IF(ISBLANK(Arrangörslista!K$8),"",IFERROR(VLOOKUP($F11,Arrangörslista!L$8:$AG$45,16,FALSE),"DNS")))))),IF(Deltagarlista!$K$3=2,
IF(ISBLANK(Deltagarlista!$C12),"",IF(ISBLANK(Arrangörslista!G$8),"",IF($GV11=N$64," DNS ",IFERROR(VLOOKUP($F11,Arrangörslista!G$8:$AG$45,16,FALSE),"DNS")))),IF(ISBLANK(Deltagarlista!$C12),"",IF(ISBLANK(Arrangörslista!G$8),"",IFERROR(VLOOKUP($F11,Arrangörslista!G$8:$AG$45,16,FALSE),"DNS")))))</f>
        <v/>
      </c>
      <c r="O11" s="5" t="str">
        <f>IF(Deltagarlista!$K$3=4,IF(ISBLANK(Deltagarlista!$C12),"",IF(ISBLANK(Arrangörslista!M$8),"",IFERROR(VLOOKUP($F11,Arrangörslista!M$8:$AG$45,16,FALSE),IF(ISBLANK(Deltagarlista!$C12),"",IF(ISBLANK(Arrangörslista!M$8),"",IFERROR(VLOOKUP($F11,Arrangörslista!N$8:$AG$45,16,FALSE),"DNS")))))),IF(Deltagarlista!$K$3=2,
IF(ISBLANK(Deltagarlista!$C12),"",IF(ISBLANK(Arrangörslista!H$8),"",IF($GV11=O$64," DNS ",IFERROR(VLOOKUP($F11,Arrangörslista!H$8:$AG$45,16,FALSE),"DNS")))),IF(ISBLANK(Deltagarlista!$C12),"",IF(ISBLANK(Arrangörslista!H$8),"",IFERROR(VLOOKUP($F11,Arrangörslista!H$8:$AG$45,16,FALSE),"DNS")))))</f>
        <v/>
      </c>
      <c r="P11" s="5" t="str">
        <f>IF(Deltagarlista!$K$3=4,IF(ISBLANK(Deltagarlista!$C12),"",IF(ISBLANK(Arrangörslista!O$8),"",IFERROR(VLOOKUP($F11,Arrangörslista!O$8:$AG$45,16,FALSE),IF(ISBLANK(Deltagarlista!$C12),"",IF(ISBLANK(Arrangörslista!O$8),"",IFERROR(VLOOKUP($F11,Arrangörslista!P$8:$AG$45,16,FALSE),"DNS")))))),IF(Deltagarlista!$K$3=2,
IF(ISBLANK(Deltagarlista!$C12),"",IF(ISBLANK(Arrangörslista!I$8),"",IF($GV11=P$64," DNS ",IFERROR(VLOOKUP($F11,Arrangörslista!I$8:$AG$45,16,FALSE),"DNS")))),IF(ISBLANK(Deltagarlista!$C12),"",IF(ISBLANK(Arrangörslista!I$8),"",IFERROR(VLOOKUP($F11,Arrangörslista!I$8:$AG$45,16,FALSE),"DNS")))))</f>
        <v/>
      </c>
      <c r="Q11" s="5" t="str">
        <f>IF(Deltagarlista!$K$3=4,IF(ISBLANK(Deltagarlista!$C12),"",IF(ISBLANK(Arrangörslista!Q$8),"",IFERROR(VLOOKUP($F11,Arrangörslista!Q$8:$AG$45,16,FALSE),IF(ISBLANK(Deltagarlista!$C12),"",IF(ISBLANK(Arrangörslista!Q$8),"",IFERROR(VLOOKUP($F11,Arrangörslista!C$53:$AG$90,16,FALSE),"DNS")))))),IF(Deltagarlista!$K$3=2,
IF(ISBLANK(Deltagarlista!$C12),"",IF(ISBLANK(Arrangörslista!J$8),"",IF($GV11=Q$64," DNS ",IFERROR(VLOOKUP($F11,Arrangörslista!J$8:$AG$45,16,FALSE),"DNS")))),IF(ISBLANK(Deltagarlista!$C12),"",IF(ISBLANK(Arrangörslista!J$8),"",IFERROR(VLOOKUP($F11,Arrangörslista!J$8:$AG$45,16,FALSE),"DNS")))))</f>
        <v/>
      </c>
      <c r="R11" s="5" t="str">
        <f>IF(Deltagarlista!$K$3=4,IF(ISBLANK(Deltagarlista!$C12),"",IF(ISBLANK(Arrangörslista!D$53),"",IFERROR(VLOOKUP($F11,Arrangörslista!D$53:$AG$90,16,FALSE),IF(ISBLANK(Deltagarlista!$C12),"",IF(ISBLANK(Arrangörslista!D$53),"",IFERROR(VLOOKUP($F11,Arrangörslista!E$53:$AG$90,16,FALSE),"DNS")))))),IF(Deltagarlista!$K$3=2,
IF(ISBLANK(Deltagarlista!$C12),"",IF(ISBLANK(Arrangörslista!K$8),"",IF($GV11=R$64," DNS ",IFERROR(VLOOKUP($F11,Arrangörslista!K$8:$AG$45,16,FALSE),"DNS")))),IF(ISBLANK(Deltagarlista!$C12),"",IF(ISBLANK(Arrangörslista!K$8),"",IFERROR(VLOOKUP($F11,Arrangörslista!K$8:$AG$45,16,FALSE),"DNS")))))</f>
        <v/>
      </c>
      <c r="S11" s="5" t="str">
        <f>IF(Deltagarlista!$K$3=4,IF(ISBLANK(Deltagarlista!$C12),"",IF(ISBLANK(Arrangörslista!F$53),"",IFERROR(VLOOKUP($F11,Arrangörslista!F$53:$AG$90,16,FALSE),IF(ISBLANK(Deltagarlista!$C12),"",IF(ISBLANK(Arrangörslista!F$53),"",IFERROR(VLOOKUP($F11,Arrangörslista!G$53:$AG$90,16,FALSE),"DNS")))))),IF(Deltagarlista!$K$3=2,
IF(ISBLANK(Deltagarlista!$C12),"",IF(ISBLANK(Arrangörslista!L$8),"",IF($GV11=S$64," DNS ",IFERROR(VLOOKUP($F11,Arrangörslista!L$8:$AG$45,16,FALSE),"DNS")))),IF(ISBLANK(Deltagarlista!$C12),"",IF(ISBLANK(Arrangörslista!L$8),"",IFERROR(VLOOKUP($F11,Arrangörslista!L$8:$AG$45,16,FALSE),"DNS")))))</f>
        <v/>
      </c>
      <c r="T11" s="5" t="str">
        <f>IF(Deltagarlista!$K$3=4,IF(ISBLANK(Deltagarlista!$C12),"",IF(ISBLANK(Arrangörslista!H$53),"",IFERROR(VLOOKUP($F11,Arrangörslista!H$53:$AG$90,16,FALSE),IF(ISBLANK(Deltagarlista!$C12),"",IF(ISBLANK(Arrangörslista!H$53),"",IFERROR(VLOOKUP($F11,Arrangörslista!I$53:$AG$90,16,FALSE),"DNS")))))),IF(Deltagarlista!$K$3=2,
IF(ISBLANK(Deltagarlista!$C12),"",IF(ISBLANK(Arrangörslista!M$8),"",IF($GV11=T$64," DNS ",IFERROR(VLOOKUP($F11,Arrangörslista!M$8:$AG$45,16,FALSE),"DNS")))),IF(ISBLANK(Deltagarlista!$C12),"",IF(ISBLANK(Arrangörslista!M$8),"",IFERROR(VLOOKUP($F11,Arrangörslista!M$8:$AG$45,16,FALSE),"DNS")))))</f>
        <v/>
      </c>
      <c r="U11" s="5" t="str">
        <f>IF(Deltagarlista!$K$3=4,IF(ISBLANK(Deltagarlista!$C12),"",IF(ISBLANK(Arrangörslista!J$53),"",IFERROR(VLOOKUP($F11,Arrangörslista!J$53:$AG$90,16,FALSE),IF(ISBLANK(Deltagarlista!$C12),"",IF(ISBLANK(Arrangörslista!J$53),"",IFERROR(VLOOKUP($F11,Arrangörslista!K$53:$AG$90,16,FALSE),"DNS")))))),IF(Deltagarlista!$K$3=2,
IF(ISBLANK(Deltagarlista!$C12),"",IF(ISBLANK(Arrangörslista!N$8),"",IF($GV11=U$64," DNS ",IFERROR(VLOOKUP($F11,Arrangörslista!N$8:$AG$45,16,FALSE),"DNS")))),IF(ISBLANK(Deltagarlista!$C12),"",IF(ISBLANK(Arrangörslista!N$8),"",IFERROR(VLOOKUP($F11,Arrangörslista!N$8:$AG$45,16,FALSE),"DNS")))))</f>
        <v/>
      </c>
      <c r="V11" s="5" t="str">
        <f>IF(Deltagarlista!$K$3=4,IF(ISBLANK(Deltagarlista!$C12),"",IF(ISBLANK(Arrangörslista!L$53),"",IFERROR(VLOOKUP($F11,Arrangörslista!L$53:$AG$90,16,FALSE),IF(ISBLANK(Deltagarlista!$C12),"",IF(ISBLANK(Arrangörslista!L$53),"",IFERROR(VLOOKUP($F11,Arrangörslista!M$53:$AG$90,16,FALSE),"DNS")))))),IF(Deltagarlista!$K$3=2,
IF(ISBLANK(Deltagarlista!$C12),"",IF(ISBLANK(Arrangörslista!O$8),"",IF($GV11=V$64," DNS ",IFERROR(VLOOKUP($F11,Arrangörslista!O$8:$AG$45,16,FALSE),"DNS")))),IF(ISBLANK(Deltagarlista!$C12),"",IF(ISBLANK(Arrangörslista!O$8),"",IFERROR(VLOOKUP($F11,Arrangörslista!O$8:$AG$45,16,FALSE),"DNS")))))</f>
        <v/>
      </c>
      <c r="W11" s="5" t="str">
        <f>IF(Deltagarlista!$K$3=4,IF(ISBLANK(Deltagarlista!$C12),"",IF(ISBLANK(Arrangörslista!N$53),"",IFERROR(VLOOKUP($F11,Arrangörslista!N$53:$AG$90,16,FALSE),IF(ISBLANK(Deltagarlista!$C12),"",IF(ISBLANK(Arrangörslista!N$53),"",IFERROR(VLOOKUP($F11,Arrangörslista!O$53:$AG$90,16,FALSE),"DNS")))))),IF(Deltagarlista!$K$3=2,
IF(ISBLANK(Deltagarlista!$C12),"",IF(ISBLANK(Arrangörslista!P$8),"",IF($GV11=W$64," DNS ",IFERROR(VLOOKUP($F11,Arrangörslista!P$8:$AG$45,16,FALSE),"DNS")))),IF(ISBLANK(Deltagarlista!$C12),"",IF(ISBLANK(Arrangörslista!P$8),"",IFERROR(VLOOKUP($F11,Arrangörslista!P$8:$AG$45,16,FALSE),"DNS")))))</f>
        <v/>
      </c>
      <c r="X11" s="5" t="str">
        <f>IF(Deltagarlista!$K$3=4,IF(ISBLANK(Deltagarlista!$C12),"",IF(ISBLANK(Arrangörslista!P$53),"",IFERROR(VLOOKUP($F11,Arrangörslista!P$53:$AG$90,16,FALSE),IF(ISBLANK(Deltagarlista!$C12),"",IF(ISBLANK(Arrangörslista!P$53),"",IFERROR(VLOOKUP($F11,Arrangörslista!Q$53:$AG$90,16,FALSE),"DNS")))))),IF(Deltagarlista!$K$3=2,
IF(ISBLANK(Deltagarlista!$C12),"",IF(ISBLANK(Arrangörslista!Q$8),"",IF($GV11=X$64," DNS ",IFERROR(VLOOKUP($F11,Arrangörslista!Q$8:$AG$45,16,FALSE),"DNS")))),IF(ISBLANK(Deltagarlista!$C12),"",IF(ISBLANK(Arrangörslista!Q$8),"",IFERROR(VLOOKUP($F11,Arrangörslista!Q$8:$AG$45,16,FALSE),"DNS")))))</f>
        <v/>
      </c>
      <c r="Y11" s="5" t="str">
        <f>IF(Deltagarlista!$K$3=4,IF(ISBLANK(Deltagarlista!$C12),"",IF(ISBLANK(Arrangörslista!C$98),"",IFERROR(VLOOKUP($F11,Arrangörslista!C$98:$AG$135,16,FALSE),IF(ISBLANK(Deltagarlista!$C12),"",IF(ISBLANK(Arrangörslista!C$98),"",IFERROR(VLOOKUP($F11,Arrangörslista!D$98:$AG$135,16,FALSE),"DNS")))))),IF(Deltagarlista!$K$3=2,
IF(ISBLANK(Deltagarlista!$C12),"",IF(ISBLANK(Arrangörslista!C$53),"",IF($GV11=Y$64," DNS ",IFERROR(VLOOKUP($F11,Arrangörslista!C$53:$AG$90,16,FALSE),"DNS")))),IF(ISBLANK(Deltagarlista!$C12),"",IF(ISBLANK(Arrangörslista!C$53),"",IFERROR(VLOOKUP($F11,Arrangörslista!C$53:$AG$90,16,FALSE),"DNS")))))</f>
        <v/>
      </c>
      <c r="Z11" s="5" t="str">
        <f>IF(Deltagarlista!$K$3=4,IF(ISBLANK(Deltagarlista!$C12),"",IF(ISBLANK(Arrangörslista!E$98),"",IFERROR(VLOOKUP($F11,Arrangörslista!E$98:$AG$135,16,FALSE),IF(ISBLANK(Deltagarlista!$C12),"",IF(ISBLANK(Arrangörslista!E$98),"",IFERROR(VLOOKUP($F11,Arrangörslista!F$98:$AG$135,16,FALSE),"DNS")))))),IF(Deltagarlista!$K$3=2,
IF(ISBLANK(Deltagarlista!$C12),"",IF(ISBLANK(Arrangörslista!D$53),"",IF($GV11=Z$64," DNS ",IFERROR(VLOOKUP($F11,Arrangörslista!D$53:$AG$90,16,FALSE),"DNS")))),IF(ISBLANK(Deltagarlista!$C12),"",IF(ISBLANK(Arrangörslista!D$53),"",IFERROR(VLOOKUP($F11,Arrangörslista!D$53:$AG$90,16,FALSE),"DNS")))))</f>
        <v/>
      </c>
      <c r="AA11" s="5" t="str">
        <f>IF(Deltagarlista!$K$3=4,IF(ISBLANK(Deltagarlista!$C12),"",IF(ISBLANK(Arrangörslista!G$98),"",IFERROR(VLOOKUP($F11,Arrangörslista!G$98:$AG$135,16,FALSE),IF(ISBLANK(Deltagarlista!$C12),"",IF(ISBLANK(Arrangörslista!G$98),"",IFERROR(VLOOKUP($F11,Arrangörslista!H$98:$AG$135,16,FALSE),"DNS")))))),IF(Deltagarlista!$K$3=2,
IF(ISBLANK(Deltagarlista!$C12),"",IF(ISBLANK(Arrangörslista!E$53),"",IF($GV11=AA$64," DNS ",IFERROR(VLOOKUP($F11,Arrangörslista!E$53:$AG$90,16,FALSE),"DNS")))),IF(ISBLANK(Deltagarlista!$C12),"",IF(ISBLANK(Arrangörslista!E$53),"",IFERROR(VLOOKUP($F11,Arrangörslista!E$53:$AG$90,16,FALSE),"DNS")))))</f>
        <v/>
      </c>
      <c r="AB11" s="5" t="str">
        <f>IF(Deltagarlista!$K$3=4,IF(ISBLANK(Deltagarlista!$C12),"",IF(ISBLANK(Arrangörslista!I$98),"",IFERROR(VLOOKUP($F11,Arrangörslista!I$98:$AG$135,16,FALSE),IF(ISBLANK(Deltagarlista!$C12),"",IF(ISBLANK(Arrangörslista!I$98),"",IFERROR(VLOOKUP($F11,Arrangörslista!J$98:$AG$135,16,FALSE),"DNS")))))),IF(Deltagarlista!$K$3=2,
IF(ISBLANK(Deltagarlista!$C12),"",IF(ISBLANK(Arrangörslista!F$53),"",IF($GV11=AB$64," DNS ",IFERROR(VLOOKUP($F11,Arrangörslista!F$53:$AG$90,16,FALSE),"DNS")))),IF(ISBLANK(Deltagarlista!$C12),"",IF(ISBLANK(Arrangörslista!F$53),"",IFERROR(VLOOKUP($F11,Arrangörslista!F$53:$AG$90,16,FALSE),"DNS")))))</f>
        <v/>
      </c>
      <c r="AC11" s="5" t="str">
        <f>IF(Deltagarlista!$K$3=4,IF(ISBLANK(Deltagarlista!$C12),"",IF(ISBLANK(Arrangörslista!K$98),"",IFERROR(VLOOKUP($F11,Arrangörslista!K$98:$AG$135,16,FALSE),IF(ISBLANK(Deltagarlista!$C12),"",IF(ISBLANK(Arrangörslista!K$98),"",IFERROR(VLOOKUP($F11,Arrangörslista!L$98:$AG$135,16,FALSE),"DNS")))))),IF(Deltagarlista!$K$3=2,
IF(ISBLANK(Deltagarlista!$C12),"",IF(ISBLANK(Arrangörslista!G$53),"",IF($GV11=AC$64," DNS ",IFERROR(VLOOKUP($F11,Arrangörslista!G$53:$AG$90,16,FALSE),"DNS")))),IF(ISBLANK(Deltagarlista!$C12),"",IF(ISBLANK(Arrangörslista!G$53),"",IFERROR(VLOOKUP($F11,Arrangörslista!G$53:$AG$90,16,FALSE),"DNS")))))</f>
        <v/>
      </c>
      <c r="AD11" s="5" t="str">
        <f>IF(Deltagarlista!$K$3=4,IF(ISBLANK(Deltagarlista!$C12),"",IF(ISBLANK(Arrangörslista!M$98),"",IFERROR(VLOOKUP($F11,Arrangörslista!M$98:$AG$135,16,FALSE),IF(ISBLANK(Deltagarlista!$C12),"",IF(ISBLANK(Arrangörslista!M$98),"",IFERROR(VLOOKUP($F11,Arrangörslista!N$98:$AG$135,16,FALSE),"DNS")))))),IF(Deltagarlista!$K$3=2,
IF(ISBLANK(Deltagarlista!$C12),"",IF(ISBLANK(Arrangörslista!H$53),"",IF($GV11=AD$64," DNS ",IFERROR(VLOOKUP($F11,Arrangörslista!H$53:$AG$90,16,FALSE),"DNS")))),IF(ISBLANK(Deltagarlista!$C12),"",IF(ISBLANK(Arrangörslista!H$53),"",IFERROR(VLOOKUP($F11,Arrangörslista!H$53:$AG$90,16,FALSE),"DNS")))))</f>
        <v/>
      </c>
      <c r="AE11" s="5" t="str">
        <f>IF(Deltagarlista!$K$3=4,IF(ISBLANK(Deltagarlista!$C12),"",IF(ISBLANK(Arrangörslista!O$98),"",IFERROR(VLOOKUP($F11,Arrangörslista!O$98:$AG$135,16,FALSE),IF(ISBLANK(Deltagarlista!$C12),"",IF(ISBLANK(Arrangörslista!O$98),"",IFERROR(VLOOKUP($F11,Arrangörslista!P$98:$AG$135,16,FALSE),"DNS")))))),IF(Deltagarlista!$K$3=2,
IF(ISBLANK(Deltagarlista!$C12),"",IF(ISBLANK(Arrangörslista!I$53),"",IF($GV11=AE$64," DNS ",IFERROR(VLOOKUP($F11,Arrangörslista!I$53:$AG$90,16,FALSE),"DNS")))),IF(ISBLANK(Deltagarlista!$C12),"",IF(ISBLANK(Arrangörslista!I$53),"",IFERROR(VLOOKUP($F11,Arrangörslista!I$53:$AG$90,16,FALSE),"DNS")))))</f>
        <v/>
      </c>
      <c r="AF11" s="5" t="str">
        <f>IF(Deltagarlista!$K$3=4,IF(ISBLANK(Deltagarlista!$C12),"",IF(ISBLANK(Arrangörslista!Q$98),"",IFERROR(VLOOKUP($F11,Arrangörslista!Q$98:$AG$135,16,FALSE),IF(ISBLANK(Deltagarlista!$C12),"",IF(ISBLANK(Arrangörslista!Q$98),"",IFERROR(VLOOKUP($F11,Arrangörslista!C$143:$AG$180,16,FALSE),"DNS")))))),IF(Deltagarlista!$K$3=2,
IF(ISBLANK(Deltagarlista!$C12),"",IF(ISBLANK(Arrangörslista!J$53),"",IF($GV11=AF$64," DNS ",IFERROR(VLOOKUP($F11,Arrangörslista!J$53:$AG$90,16,FALSE),"DNS")))),IF(ISBLANK(Deltagarlista!$C12),"",IF(ISBLANK(Arrangörslista!J$53),"",IFERROR(VLOOKUP($F11,Arrangörslista!J$53:$AG$90,16,FALSE),"DNS")))))</f>
        <v/>
      </c>
      <c r="AG11" s="5" t="str">
        <f>IF(Deltagarlista!$K$3=4,IF(ISBLANK(Deltagarlista!$C12),"",IF(ISBLANK(Arrangörslista!D$143),"",IFERROR(VLOOKUP($F11,Arrangörslista!D$143:$AG$180,16,FALSE),IF(ISBLANK(Deltagarlista!$C12),"",IF(ISBLANK(Arrangörslista!D$143),"",IFERROR(VLOOKUP($F11,Arrangörslista!E$143:$AG$180,16,FALSE),"DNS")))))),IF(Deltagarlista!$K$3=2,
IF(ISBLANK(Deltagarlista!$C12),"",IF(ISBLANK(Arrangörslista!K$53),"",IF($GV11=AG$64," DNS ",IFERROR(VLOOKUP($F11,Arrangörslista!K$53:$AG$90,16,FALSE),"DNS")))),IF(ISBLANK(Deltagarlista!$C12),"",IF(ISBLANK(Arrangörslista!K$53),"",IFERROR(VLOOKUP($F11,Arrangörslista!K$53:$AG$90,16,FALSE),"DNS")))))</f>
        <v/>
      </c>
      <c r="AH11" s="5" t="str">
        <f>IF(Deltagarlista!$K$3=4,IF(ISBLANK(Deltagarlista!$C12),"",IF(ISBLANK(Arrangörslista!F$143),"",IFERROR(VLOOKUP($F11,Arrangörslista!F$143:$AG$180,16,FALSE),IF(ISBLANK(Deltagarlista!$C12),"",IF(ISBLANK(Arrangörslista!F$143),"",IFERROR(VLOOKUP($F11,Arrangörslista!G$143:$AG$180,16,FALSE),"DNS")))))),IF(Deltagarlista!$K$3=2,
IF(ISBLANK(Deltagarlista!$C12),"",IF(ISBLANK(Arrangörslista!L$53),"",IF($GV11=AH$64," DNS ",IFERROR(VLOOKUP($F11,Arrangörslista!L$53:$AG$90,16,FALSE),"DNS")))),IF(ISBLANK(Deltagarlista!$C12),"",IF(ISBLANK(Arrangörslista!L$53),"",IFERROR(VLOOKUP($F11,Arrangörslista!L$53:$AG$90,16,FALSE),"DNS")))))</f>
        <v/>
      </c>
      <c r="AI11" s="5" t="str">
        <f>IF(Deltagarlista!$K$3=4,IF(ISBLANK(Deltagarlista!$C12),"",IF(ISBLANK(Arrangörslista!H$143),"",IFERROR(VLOOKUP($F11,Arrangörslista!H$143:$AG$180,16,FALSE),IF(ISBLANK(Deltagarlista!$C12),"",IF(ISBLANK(Arrangörslista!H$143),"",IFERROR(VLOOKUP($F11,Arrangörslista!I$143:$AG$180,16,FALSE),"DNS")))))),IF(Deltagarlista!$K$3=2,
IF(ISBLANK(Deltagarlista!$C12),"",IF(ISBLANK(Arrangörslista!M$53),"",IF($GV11=AI$64," DNS ",IFERROR(VLOOKUP($F11,Arrangörslista!M$53:$AG$90,16,FALSE),"DNS")))),IF(ISBLANK(Deltagarlista!$C12),"",IF(ISBLANK(Arrangörslista!M$53),"",IFERROR(VLOOKUP($F11,Arrangörslista!M$53:$AG$90,16,FALSE),"DNS")))))</f>
        <v/>
      </c>
      <c r="AJ11" s="5" t="str">
        <f>IF(Deltagarlista!$K$3=4,IF(ISBLANK(Deltagarlista!$C12),"",IF(ISBLANK(Arrangörslista!J$143),"",IFERROR(VLOOKUP($F11,Arrangörslista!J$143:$AG$180,16,FALSE),IF(ISBLANK(Deltagarlista!$C12),"",IF(ISBLANK(Arrangörslista!J$143),"",IFERROR(VLOOKUP($F11,Arrangörslista!K$143:$AG$180,16,FALSE),"DNS")))))),IF(Deltagarlista!$K$3=2,
IF(ISBLANK(Deltagarlista!$C12),"",IF(ISBLANK(Arrangörslista!N$53),"",IF($GV11=AJ$64," DNS ",IFERROR(VLOOKUP($F11,Arrangörslista!N$53:$AG$90,16,FALSE),"DNS")))),IF(ISBLANK(Deltagarlista!$C12),"",IF(ISBLANK(Arrangörslista!N$53),"",IFERROR(VLOOKUP($F11,Arrangörslista!N$53:$AG$90,16,FALSE),"DNS")))))</f>
        <v/>
      </c>
      <c r="AK11" s="5" t="str">
        <f>IF(Deltagarlista!$K$3=4,IF(ISBLANK(Deltagarlista!$C12),"",IF(ISBLANK(Arrangörslista!L$143),"",IFERROR(VLOOKUP($F11,Arrangörslista!L$143:$AG$180,16,FALSE),IF(ISBLANK(Deltagarlista!$C12),"",IF(ISBLANK(Arrangörslista!L$143),"",IFERROR(VLOOKUP($F11,Arrangörslista!M$143:$AG$180,16,FALSE),"DNS")))))),IF(Deltagarlista!$K$3=2,
IF(ISBLANK(Deltagarlista!$C12),"",IF(ISBLANK(Arrangörslista!O$53),"",IF($GV11=AK$64," DNS ",IFERROR(VLOOKUP($F11,Arrangörslista!O$53:$AG$90,16,FALSE),"DNS")))),IF(ISBLANK(Deltagarlista!$C12),"",IF(ISBLANK(Arrangörslista!O$53),"",IFERROR(VLOOKUP($F11,Arrangörslista!O$53:$AG$90,16,FALSE),"DNS")))))</f>
        <v/>
      </c>
      <c r="AL11" s="5" t="str">
        <f>IF(Deltagarlista!$K$3=4,IF(ISBLANK(Deltagarlista!$C12),"",IF(ISBLANK(Arrangörslista!N$143),"",IFERROR(VLOOKUP($F11,Arrangörslista!N$143:$AG$180,16,FALSE),IF(ISBLANK(Deltagarlista!$C12),"",IF(ISBLANK(Arrangörslista!N$143),"",IFERROR(VLOOKUP($F11,Arrangörslista!O$143:$AG$180,16,FALSE),"DNS")))))),IF(Deltagarlista!$K$3=2,
IF(ISBLANK(Deltagarlista!$C12),"",IF(ISBLANK(Arrangörslista!P$53),"",IF($GV11=AL$64," DNS ",IFERROR(VLOOKUP($F11,Arrangörslista!P$53:$AG$90,16,FALSE),"DNS")))),IF(ISBLANK(Deltagarlista!$C12),"",IF(ISBLANK(Arrangörslista!P$53),"",IFERROR(VLOOKUP($F11,Arrangörslista!P$53:$AG$90,16,FALSE),"DNS")))))</f>
        <v/>
      </c>
      <c r="AM11" s="5" t="str">
        <f>IF(Deltagarlista!$K$3=4,IF(ISBLANK(Deltagarlista!$C12),"",IF(ISBLANK(Arrangörslista!P$143),"",IFERROR(VLOOKUP($F11,Arrangörslista!P$143:$AG$180,16,FALSE),IF(ISBLANK(Deltagarlista!$C12),"",IF(ISBLANK(Arrangörslista!P$143),"",IFERROR(VLOOKUP($F11,Arrangörslista!Q$143:$AG$180,16,FALSE),"DNS")))))),IF(Deltagarlista!$K$3=2,
IF(ISBLANK(Deltagarlista!$C12),"",IF(ISBLANK(Arrangörslista!Q$53),"",IF($GV11=AM$64," DNS ",IFERROR(VLOOKUP($F11,Arrangörslista!Q$53:$AG$90,16,FALSE),"DNS")))),IF(ISBLANK(Deltagarlista!$C12),"",IF(ISBLANK(Arrangörslista!Q$53),"",IFERROR(VLOOKUP($F11,Arrangörslista!Q$53:$AG$90,16,FALSE),"DNS")))))</f>
        <v/>
      </c>
      <c r="AN11" s="5" t="str">
        <f>IF(Deltagarlista!$K$3=2,
IF(ISBLANK(Deltagarlista!$C12),"",IF(ISBLANK(Arrangörslista!C$98),"",IF($GV11=AN$64," DNS ",IFERROR(VLOOKUP($F11,Arrangörslista!C$98:$AG$135,16,FALSE), "DNS")))), IF(Deltagarlista!$K$3=1,IF(ISBLANK(Deltagarlista!$C12),"",IF(ISBLANK(Arrangörslista!C$98),"",IFERROR(VLOOKUP($F11,Arrangörslista!C$98:$AG$135,16,FALSE), "DNS"))),""))</f>
        <v/>
      </c>
      <c r="AO11" s="5" t="str">
        <f>IF(Deltagarlista!$K$3=2,
IF(ISBLANK(Deltagarlista!$C12),"",IF(ISBLANK(Arrangörslista!D$98),"",IF($GV11=AO$64," DNS ",IFERROR(VLOOKUP($F11,Arrangörslista!D$98:$AG$135,16,FALSE), "DNS")))), IF(Deltagarlista!$K$3=1,IF(ISBLANK(Deltagarlista!$C12),"",IF(ISBLANK(Arrangörslista!D$98),"",IFERROR(VLOOKUP($F11,Arrangörslista!D$98:$AG$135,16,FALSE), "DNS"))),""))</f>
        <v/>
      </c>
      <c r="AP11" s="5" t="str">
        <f>IF(Deltagarlista!$K$3=2,
IF(ISBLANK(Deltagarlista!$C12),"",IF(ISBLANK(Arrangörslista!E$98),"",IF($GV11=AP$64," DNS ",IFERROR(VLOOKUP($F11,Arrangörslista!E$98:$AG$135,16,FALSE), "DNS")))), IF(Deltagarlista!$K$3=1,IF(ISBLANK(Deltagarlista!$C12),"",IF(ISBLANK(Arrangörslista!E$98),"",IFERROR(VLOOKUP($F11,Arrangörslista!E$98:$AG$135,16,FALSE), "DNS"))),""))</f>
        <v/>
      </c>
      <c r="AQ11" s="5" t="str">
        <f>IF(Deltagarlista!$K$3=2,
IF(ISBLANK(Deltagarlista!$C12),"",IF(ISBLANK(Arrangörslista!F$98),"",IF($GV11=AQ$64," DNS ",IFERROR(VLOOKUP($F11,Arrangörslista!F$98:$AG$135,16,FALSE), "DNS")))), IF(Deltagarlista!$K$3=1,IF(ISBLANK(Deltagarlista!$C12),"",IF(ISBLANK(Arrangörslista!F$98),"",IFERROR(VLOOKUP($F11,Arrangörslista!F$98:$AG$135,16,FALSE), "DNS"))),""))</f>
        <v/>
      </c>
      <c r="AR11" s="5" t="str">
        <f>IF(Deltagarlista!$K$3=2,
IF(ISBLANK(Deltagarlista!$C12),"",IF(ISBLANK(Arrangörslista!G$98),"",IF($GV11=AR$64," DNS ",IFERROR(VLOOKUP($F11,Arrangörslista!G$98:$AG$135,16,FALSE), "DNS")))), IF(Deltagarlista!$K$3=1,IF(ISBLANK(Deltagarlista!$C12),"",IF(ISBLANK(Arrangörslista!G$98),"",IFERROR(VLOOKUP($F11,Arrangörslista!G$98:$AG$135,16,FALSE), "DNS"))),""))</f>
        <v/>
      </c>
      <c r="AS11" s="5" t="str">
        <f>IF(Deltagarlista!$K$3=2,
IF(ISBLANK(Deltagarlista!$C12),"",IF(ISBLANK(Arrangörslista!H$98),"",IF($GV11=AS$64," DNS ",IFERROR(VLOOKUP($F11,Arrangörslista!H$98:$AG$135,16,FALSE), "DNS")))), IF(Deltagarlista!$K$3=1,IF(ISBLANK(Deltagarlista!$C12),"",IF(ISBLANK(Arrangörslista!H$98),"",IFERROR(VLOOKUP($F11,Arrangörslista!H$98:$AG$135,16,FALSE), "DNS"))),""))</f>
        <v/>
      </c>
      <c r="AT11" s="5" t="str">
        <f>IF(Deltagarlista!$K$3=2,
IF(ISBLANK(Deltagarlista!$C12),"",IF(ISBLANK(Arrangörslista!I$98),"",IF($GV11=AT$64," DNS ",IFERROR(VLOOKUP($F11,Arrangörslista!I$98:$AG$135,16,FALSE), "DNS")))), IF(Deltagarlista!$K$3=1,IF(ISBLANK(Deltagarlista!$C12),"",IF(ISBLANK(Arrangörslista!I$98),"",IFERROR(VLOOKUP($F11,Arrangörslista!I$98:$AG$135,16,FALSE), "DNS"))),""))</f>
        <v/>
      </c>
      <c r="AU11" s="5" t="str">
        <f>IF(Deltagarlista!$K$3=2,
IF(ISBLANK(Deltagarlista!$C12),"",IF(ISBLANK(Arrangörslista!J$98),"",IF($GV11=AU$64," DNS ",IFERROR(VLOOKUP($F11,Arrangörslista!J$98:$AG$135,16,FALSE), "DNS")))), IF(Deltagarlista!$K$3=1,IF(ISBLANK(Deltagarlista!$C12),"",IF(ISBLANK(Arrangörslista!J$98),"",IFERROR(VLOOKUP($F11,Arrangörslista!J$98:$AG$135,16,FALSE), "DNS"))),""))</f>
        <v/>
      </c>
      <c r="AV11" s="5" t="str">
        <f>IF(Deltagarlista!$K$3=2,
IF(ISBLANK(Deltagarlista!$C12),"",IF(ISBLANK(Arrangörslista!K$98),"",IF($GV11=AV$64," DNS ",IFERROR(VLOOKUP($F11,Arrangörslista!K$98:$AG$135,16,FALSE), "DNS")))), IF(Deltagarlista!$K$3=1,IF(ISBLANK(Deltagarlista!$C12),"",IF(ISBLANK(Arrangörslista!K$98),"",IFERROR(VLOOKUP($F11,Arrangörslista!K$98:$AG$135,16,FALSE), "DNS"))),""))</f>
        <v/>
      </c>
      <c r="AW11" s="5" t="str">
        <f>IF(Deltagarlista!$K$3=2,
IF(ISBLANK(Deltagarlista!$C12),"",IF(ISBLANK(Arrangörslista!L$98),"",IF($GV11=AW$64," DNS ",IFERROR(VLOOKUP($F11,Arrangörslista!L$98:$AG$135,16,FALSE), "DNS")))), IF(Deltagarlista!$K$3=1,IF(ISBLANK(Deltagarlista!$C12),"",IF(ISBLANK(Arrangörslista!L$98),"",IFERROR(VLOOKUP($F11,Arrangörslista!L$98:$AG$135,16,FALSE), "DNS"))),""))</f>
        <v/>
      </c>
      <c r="AX11" s="5" t="str">
        <f>IF(Deltagarlista!$K$3=2,
IF(ISBLANK(Deltagarlista!$C12),"",IF(ISBLANK(Arrangörslista!M$98),"",IF($GV11=AX$64," DNS ",IFERROR(VLOOKUP($F11,Arrangörslista!M$98:$AG$135,16,FALSE), "DNS")))), IF(Deltagarlista!$K$3=1,IF(ISBLANK(Deltagarlista!$C12),"",IF(ISBLANK(Arrangörslista!M$98),"",IFERROR(VLOOKUP($F11,Arrangörslista!M$98:$AG$135,16,FALSE), "DNS"))),""))</f>
        <v/>
      </c>
      <c r="AY11" s="5" t="str">
        <f>IF(Deltagarlista!$K$3=2,
IF(ISBLANK(Deltagarlista!$C12),"",IF(ISBLANK(Arrangörslista!N$98),"",IF($GV11=AY$64," DNS ",IFERROR(VLOOKUP($F11,Arrangörslista!N$98:$AG$135,16,FALSE), "DNS")))), IF(Deltagarlista!$K$3=1,IF(ISBLANK(Deltagarlista!$C12),"",IF(ISBLANK(Arrangörslista!N$98),"",IFERROR(VLOOKUP($F11,Arrangörslista!N$98:$AG$135,16,FALSE), "DNS"))),""))</f>
        <v/>
      </c>
      <c r="AZ11" s="5" t="str">
        <f>IF(Deltagarlista!$K$3=2,
IF(ISBLANK(Deltagarlista!$C12),"",IF(ISBLANK(Arrangörslista!O$98),"",IF($GV11=AZ$64," DNS ",IFERROR(VLOOKUP($F11,Arrangörslista!O$98:$AG$135,16,FALSE), "DNS")))), IF(Deltagarlista!$K$3=1,IF(ISBLANK(Deltagarlista!$C12),"",IF(ISBLANK(Arrangörslista!O$98),"",IFERROR(VLOOKUP($F11,Arrangörslista!O$98:$AG$135,16,FALSE), "DNS"))),""))</f>
        <v/>
      </c>
      <c r="BA11" s="5" t="str">
        <f>IF(Deltagarlista!$K$3=2,
IF(ISBLANK(Deltagarlista!$C12),"",IF(ISBLANK(Arrangörslista!P$98),"",IF($GV11=BA$64," DNS ",IFERROR(VLOOKUP($F11,Arrangörslista!P$98:$AG$135,16,FALSE), "DNS")))), IF(Deltagarlista!$K$3=1,IF(ISBLANK(Deltagarlista!$C12),"",IF(ISBLANK(Arrangörslista!P$98),"",IFERROR(VLOOKUP($F11,Arrangörslista!P$98:$AG$135,16,FALSE), "DNS"))),""))</f>
        <v/>
      </c>
      <c r="BB11" s="5" t="str">
        <f>IF(Deltagarlista!$K$3=2,
IF(ISBLANK(Deltagarlista!$C12),"",IF(ISBLANK(Arrangörslista!Q$98),"",IF($GV11=BB$64," DNS ",IFERROR(VLOOKUP($F11,Arrangörslista!Q$98:$AG$135,16,FALSE), "DNS")))), IF(Deltagarlista!$K$3=1,IF(ISBLANK(Deltagarlista!$C12),"",IF(ISBLANK(Arrangörslista!Q$98),"",IFERROR(VLOOKUP($F11,Arrangörslista!Q$98:$AG$135,16,FALSE), "DNS"))),""))</f>
        <v/>
      </c>
      <c r="BC11" s="5" t="str">
        <f>IF(Deltagarlista!$K$3=2,
IF(ISBLANK(Deltagarlista!$C12),"",IF(ISBLANK(Arrangörslista!C$143),"",IF($GV11=BC$64," DNS ",IFERROR(VLOOKUP($F11,Arrangörslista!C$143:$AG$180,16,FALSE), "DNS")))), IF(Deltagarlista!$K$3=1,IF(ISBLANK(Deltagarlista!$C12),"",IF(ISBLANK(Arrangörslista!C$143),"",IFERROR(VLOOKUP($F11,Arrangörslista!C$143:$AG$180,16,FALSE), "DNS"))),""))</f>
        <v/>
      </c>
      <c r="BD11" s="5" t="str">
        <f>IF(Deltagarlista!$K$3=2,
IF(ISBLANK(Deltagarlista!$C12),"",IF(ISBLANK(Arrangörslista!D$143),"",IF($GV11=BD$64," DNS ",IFERROR(VLOOKUP($F11,Arrangörslista!D$143:$AG$180,16,FALSE), "DNS")))), IF(Deltagarlista!$K$3=1,IF(ISBLANK(Deltagarlista!$C12),"",IF(ISBLANK(Arrangörslista!D$143),"",IFERROR(VLOOKUP($F11,Arrangörslista!D$143:$AG$180,16,FALSE), "DNS"))),""))</f>
        <v/>
      </c>
      <c r="BE11" s="5" t="str">
        <f>IF(Deltagarlista!$K$3=2,
IF(ISBLANK(Deltagarlista!$C12),"",IF(ISBLANK(Arrangörslista!E$143),"",IF($GV11=BE$64," DNS ",IFERROR(VLOOKUP($F11,Arrangörslista!E$143:$AG$180,16,FALSE), "DNS")))), IF(Deltagarlista!$K$3=1,IF(ISBLANK(Deltagarlista!$C12),"",IF(ISBLANK(Arrangörslista!E$143),"",IFERROR(VLOOKUP($F11,Arrangörslista!E$143:$AG$180,16,FALSE), "DNS"))),""))</f>
        <v/>
      </c>
      <c r="BF11" s="5" t="str">
        <f>IF(Deltagarlista!$K$3=2,
IF(ISBLANK(Deltagarlista!$C12),"",IF(ISBLANK(Arrangörslista!F$143),"",IF($GV11=BF$64," DNS ",IFERROR(VLOOKUP($F11,Arrangörslista!F$143:$AG$180,16,FALSE), "DNS")))), IF(Deltagarlista!$K$3=1,IF(ISBLANK(Deltagarlista!$C12),"",IF(ISBLANK(Arrangörslista!F$143),"",IFERROR(VLOOKUP($F11,Arrangörslista!F$143:$AG$180,16,FALSE), "DNS"))),""))</f>
        <v/>
      </c>
      <c r="BG11" s="5" t="str">
        <f>IF(Deltagarlista!$K$3=2,
IF(ISBLANK(Deltagarlista!$C12),"",IF(ISBLANK(Arrangörslista!G$143),"",IF($GV11=BG$64," DNS ",IFERROR(VLOOKUP($F11,Arrangörslista!G$143:$AG$180,16,FALSE), "DNS")))), IF(Deltagarlista!$K$3=1,IF(ISBLANK(Deltagarlista!$C12),"",IF(ISBLANK(Arrangörslista!G$143),"",IFERROR(VLOOKUP($F11,Arrangörslista!G$143:$AG$180,16,FALSE), "DNS"))),""))</f>
        <v/>
      </c>
      <c r="BH11" s="5" t="str">
        <f>IF(Deltagarlista!$K$3=2,
IF(ISBLANK(Deltagarlista!$C12),"",IF(ISBLANK(Arrangörslista!H$143),"",IF($GV11=BH$64," DNS ",IFERROR(VLOOKUP($F11,Arrangörslista!H$143:$AG$180,16,FALSE), "DNS")))), IF(Deltagarlista!$K$3=1,IF(ISBLANK(Deltagarlista!$C12),"",IF(ISBLANK(Arrangörslista!H$143),"",IFERROR(VLOOKUP($F11,Arrangörslista!H$143:$AG$180,16,FALSE), "DNS"))),""))</f>
        <v/>
      </c>
      <c r="BI11" s="5" t="str">
        <f>IF(Deltagarlista!$K$3=2,
IF(ISBLANK(Deltagarlista!$C12),"",IF(ISBLANK(Arrangörslista!I$143),"",IF($GV11=BI$64," DNS ",IFERROR(VLOOKUP($F11,Arrangörslista!I$143:$AG$180,16,FALSE), "DNS")))), IF(Deltagarlista!$K$3=1,IF(ISBLANK(Deltagarlista!$C12),"",IF(ISBLANK(Arrangörslista!I$143),"",IFERROR(VLOOKUP($F11,Arrangörslista!I$143:$AG$180,16,FALSE), "DNS"))),""))</f>
        <v/>
      </c>
      <c r="BJ11" s="5" t="str">
        <f>IF(Deltagarlista!$K$3=2,
IF(ISBLANK(Deltagarlista!$C12),"",IF(ISBLANK(Arrangörslista!J$143),"",IF($GV11=BJ$64," DNS ",IFERROR(VLOOKUP($F11,Arrangörslista!J$143:$AG$180,16,FALSE), "DNS")))), IF(Deltagarlista!$K$3=1,IF(ISBLANK(Deltagarlista!$C12),"",IF(ISBLANK(Arrangörslista!J$143),"",IFERROR(VLOOKUP($F11,Arrangörslista!J$143:$AG$180,16,FALSE), "DNS"))),""))</f>
        <v/>
      </c>
      <c r="BK11" s="5" t="str">
        <f>IF(Deltagarlista!$K$3=2,
IF(ISBLANK(Deltagarlista!$C12),"",IF(ISBLANK(Arrangörslista!K$143),"",IF($GV11=BK$64," DNS ",IFERROR(VLOOKUP($F11,Arrangörslista!K$143:$AG$180,16,FALSE), "DNS")))), IF(Deltagarlista!$K$3=1,IF(ISBLANK(Deltagarlista!$C12),"",IF(ISBLANK(Arrangörslista!K$143),"",IFERROR(VLOOKUP($F11,Arrangörslista!K$143:$AG$180,16,FALSE), "DNS"))),""))</f>
        <v/>
      </c>
      <c r="BL11" s="5" t="str">
        <f>IF(Deltagarlista!$K$3=2,
IF(ISBLANK(Deltagarlista!$C12),"",IF(ISBLANK(Arrangörslista!L$143),"",IF($GV11=BL$64," DNS ",IFERROR(VLOOKUP($F11,Arrangörslista!L$143:$AG$180,16,FALSE), "DNS")))), IF(Deltagarlista!$K$3=1,IF(ISBLANK(Deltagarlista!$C12),"",IF(ISBLANK(Arrangörslista!L$143),"",IFERROR(VLOOKUP($F11,Arrangörslista!L$143:$AG$180,16,FALSE), "DNS"))),""))</f>
        <v/>
      </c>
      <c r="BM11" s="5" t="str">
        <f>IF(Deltagarlista!$K$3=2,
IF(ISBLANK(Deltagarlista!$C12),"",IF(ISBLANK(Arrangörslista!M$143),"",IF($GV11=BM$64," DNS ",IFERROR(VLOOKUP($F11,Arrangörslista!M$143:$AG$180,16,FALSE), "DNS")))), IF(Deltagarlista!$K$3=1,IF(ISBLANK(Deltagarlista!$C12),"",IF(ISBLANK(Arrangörslista!M$143),"",IFERROR(VLOOKUP($F11,Arrangörslista!M$143:$AG$180,16,FALSE), "DNS"))),""))</f>
        <v/>
      </c>
      <c r="BN11" s="5" t="str">
        <f>IF(Deltagarlista!$K$3=2,
IF(ISBLANK(Deltagarlista!$C12),"",IF(ISBLANK(Arrangörslista!N$143),"",IF($GV11=BN$64," DNS ",IFERROR(VLOOKUP($F11,Arrangörslista!N$143:$AG$180,16,FALSE), "DNS")))), IF(Deltagarlista!$K$3=1,IF(ISBLANK(Deltagarlista!$C12),"",IF(ISBLANK(Arrangörslista!N$143),"",IFERROR(VLOOKUP($F11,Arrangörslista!N$143:$AG$180,16,FALSE), "DNS"))),""))</f>
        <v/>
      </c>
      <c r="BO11" s="5" t="str">
        <f>IF(Deltagarlista!$K$3=2,
IF(ISBLANK(Deltagarlista!$C12),"",IF(ISBLANK(Arrangörslista!O$143),"",IF($GV11=BO$64," DNS ",IFERROR(VLOOKUP($F11,Arrangörslista!O$143:$AG$180,16,FALSE), "DNS")))), IF(Deltagarlista!$K$3=1,IF(ISBLANK(Deltagarlista!$C12),"",IF(ISBLANK(Arrangörslista!O$143),"",IFERROR(VLOOKUP($F11,Arrangörslista!O$143:$AG$180,16,FALSE), "DNS"))),""))</f>
        <v/>
      </c>
      <c r="BP11" s="5" t="str">
        <f>IF(Deltagarlista!$K$3=2,
IF(ISBLANK(Deltagarlista!$C12),"",IF(ISBLANK(Arrangörslista!P$143),"",IF($GV11=BP$64," DNS ",IFERROR(VLOOKUP($F11,Arrangörslista!P$143:$AG$180,16,FALSE), "DNS")))), IF(Deltagarlista!$K$3=1,IF(ISBLANK(Deltagarlista!$C12),"",IF(ISBLANK(Arrangörslista!P$143),"",IFERROR(VLOOKUP($F11,Arrangörslista!P$143:$AG$180,16,FALSE), "DNS"))),""))</f>
        <v/>
      </c>
      <c r="BQ11" s="80" t="str">
        <f>IF(Deltagarlista!$K$3=2,
IF(ISBLANK(Deltagarlista!$C12),"",IF(ISBLANK(Arrangörslista!Q$143),"",IF($GV11=BQ$64," DNS ",IFERROR(VLOOKUP($F11,Arrangörslista!Q$143:$AG$180,16,FALSE), "DNS")))), IF(Deltagarlista!$K$3=1,IF(ISBLANK(Deltagarlista!$C12),"",IF(ISBLANK(Arrangörslista!Q$143),"",IFERROR(VLOOKUP($F11,Arrangörslista!Q$143:$AG$180,16,FALSE), "DNS"))),""))</f>
        <v/>
      </c>
      <c r="BR11" s="51"/>
      <c r="BS11" s="51"/>
      <c r="BT11" s="51"/>
      <c r="BU11" s="71">
        <f>SUM(BV11:EC11)</f>
        <v>0</v>
      </c>
      <c r="BV11" s="61">
        <f>IF(J11="",0,IF(OR(J11="DNF",J11="OCS",J11="DSQ",J11="DNS",J11=" DNS "),$BW$3+1,J11))</f>
        <v>0</v>
      </c>
      <c r="BW11" s="61">
        <f>IF(K11="",0,IF(OR(K11="DNF",K11="OCS",K11="DSQ",K11="DNS",K11=" DNS "),$BW$3+1,K11))</f>
        <v>0</v>
      </c>
      <c r="BX11" s="61">
        <f>IF(L11="",0,IF(OR(L11="DNF",L11="OCS",L11="DSQ",L11="DNS",L11=" DNS "),$BW$3+1,L11))</f>
        <v>0</v>
      </c>
      <c r="BY11" s="61">
        <f>IF(M11="",0,IF(OR(M11="DNF",M11="OCS",M11="DSQ",M11="DNS",M11=" DNS "),$BW$3+1,M11))</f>
        <v>0</v>
      </c>
      <c r="BZ11" s="61">
        <f>IF(N11="",0,IF(OR(N11="DNF",N11="OCS",N11="DSQ",N11="DNS",N11=" DNS "),$BW$3+1,N11))</f>
        <v>0</v>
      </c>
      <c r="CA11" s="61">
        <f>IF(O11="",0,IF(OR(O11="DNF",O11="OCS",O11="DSQ",O11="DNS",O11=" DNS "),$BW$3+1,O11))</f>
        <v>0</v>
      </c>
      <c r="CB11" s="61">
        <f>IF(P11="",0,IF(OR(P11="DNF",P11="OCS",P11="DSQ",P11="DNS",P11=" DNS "),$BW$3+1,P11))</f>
        <v>0</v>
      </c>
      <c r="CC11" s="61">
        <f>IF(Q11="",0,IF(OR(Q11="DNF",Q11="OCS",Q11="DSQ",Q11="DNS",Q11=" DNS "),$BW$3+1,Q11))</f>
        <v>0</v>
      </c>
      <c r="CD11" s="61">
        <f>IF(R11="",0,IF(OR(R11="DNF",R11="OCS",R11="DSQ",R11="DNS",R11=" DNS "),$BW$3+1,R11))</f>
        <v>0</v>
      </c>
      <c r="CE11" s="61">
        <f>IF(S11="",0,IF(OR(S11="DNF",S11="OCS",S11="DSQ",S11="DNS",S11=" DNS "),$BW$3+1,S11))</f>
        <v>0</v>
      </c>
      <c r="CF11" s="61">
        <f>IF(T11="",0,IF(OR(T11="DNF",T11="OCS",T11="DSQ",T11="DNS",T11=" DNS "),$BW$3+1,T11))</f>
        <v>0</v>
      </c>
      <c r="CG11" s="61">
        <f>IF(U11="",0,IF(OR(U11="DNF",U11="OCS",U11="DSQ",U11="DNS",U11=" DNS "),$BW$3+1,U11))</f>
        <v>0</v>
      </c>
      <c r="CH11" s="61">
        <f>IF(V11="",0,IF(OR(V11="DNF",V11="OCS",V11="DSQ",V11="DNS",V11=" DNS "),$BW$3+1,V11))</f>
        <v>0</v>
      </c>
      <c r="CI11" s="61">
        <f>IF(W11="",0,IF(OR(W11="DNF",W11="OCS",W11="DSQ",W11="DNS",W11=" DNS "),$BW$3+1,W11))</f>
        <v>0</v>
      </c>
      <c r="CJ11" s="61">
        <f>IF(X11="",0,IF(OR(X11="DNF",X11="OCS",X11="DSQ",X11="DNS",X11=" DNS "),$BW$3+1,X11))</f>
        <v>0</v>
      </c>
      <c r="CK11" s="61">
        <f>IF(Y11="",0,IF(OR(Y11="DNF",Y11="OCS",Y11="DSQ",Y11="DNS",Y11=" DNS "),$BW$3+1,Y11))</f>
        <v>0</v>
      </c>
      <c r="CL11" s="61">
        <f>IF(Z11="",0,IF(OR(Z11="DNF",Z11="OCS",Z11="DSQ",Z11="DNS",Z11=" DNS "),$BW$3+1,Z11))</f>
        <v>0</v>
      </c>
      <c r="CM11" s="61">
        <f>IF(AA11="",0,IF(OR(AA11="DNF",AA11="OCS",AA11="DSQ",AA11="DNS",AA11=" DNS "),$BW$3+1,AA11))</f>
        <v>0</v>
      </c>
      <c r="CN11" s="61">
        <f>IF(AB11="",0,IF(OR(AB11="DNF",AB11="OCS",AB11="DSQ",AB11="DNS",AB11=" DNS "),$BW$3+1,AB11))</f>
        <v>0</v>
      </c>
      <c r="CO11" s="61">
        <f>IF(AC11="",0,IF(OR(AC11="DNF",AC11="OCS",AC11="DSQ",AC11="DNS",AC11=" DNS "),$BW$3+1,AC11))</f>
        <v>0</v>
      </c>
      <c r="CP11" s="61">
        <f>IF(AD11="",0,IF(OR(AD11="DNF",AD11="OCS",AD11="DSQ",AD11="DNS",AD11=" DNS "),$BW$3+1,AD11))</f>
        <v>0</v>
      </c>
      <c r="CQ11" s="61">
        <f>IF(AE11="",0,IF(OR(AE11="DNF",AE11="OCS",AE11="DSQ",AE11="DNS",AE11=" DNS "),$BW$3+1,AE11))</f>
        <v>0</v>
      </c>
      <c r="CR11" s="61">
        <f>IF(AF11="",0,IF(OR(AF11="DNF",AF11="OCS",AF11="DSQ",AF11="DNS",AF11=" DNS "),$BW$3+1,AF11))</f>
        <v>0</v>
      </c>
      <c r="CS11" s="61">
        <f>IF(AG11="",0,IF(OR(AG11="DNF",AG11="OCS",AG11="DSQ",AG11="DNS",AG11=" DNS "),$BW$3+1,AG11))</f>
        <v>0</v>
      </c>
      <c r="CT11" s="61">
        <f>IF(AH11="",0,IF(OR(AH11="DNF",AH11="OCS",AH11="DSQ",AH11="DNS",AH11=" DNS "),$BW$3+1,AH11))</f>
        <v>0</v>
      </c>
      <c r="CU11" s="61">
        <f>IF(AI11="",0,IF(OR(AI11="DNF",AI11="OCS",AI11="DSQ",AI11="DNS",AI11=" DNS "),$BW$3+1,AI11))</f>
        <v>0</v>
      </c>
      <c r="CV11" s="61">
        <f>IF(AJ11="",0,IF(OR(AJ11="DNF",AJ11="OCS",AJ11="DSQ",AJ11="DNS",AJ11=" DNS "),$BW$3+1,AJ11))</f>
        <v>0</v>
      </c>
      <c r="CW11" s="61">
        <f>IF(AK11="",0,IF(OR(AK11="DNF",AK11="OCS",AK11="DSQ",AK11="DNS",AK11=" DNS "),$BW$3+1,AK11))</f>
        <v>0</v>
      </c>
      <c r="CX11" s="61">
        <f>IF(AL11="",0,IF(OR(AL11="DNF",AL11="OCS",AL11="DSQ",AL11="DNS",AL11=" DNS "),$BW$3+1,AL11))</f>
        <v>0</v>
      </c>
      <c r="CY11" s="61">
        <f>IF(AM11="",0,IF(OR(AM11="DNF",AM11="OCS",AM11="DSQ",AM11="DNS",AM11=" DNS "),$BW$3+1,AM11))</f>
        <v>0</v>
      </c>
      <c r="CZ11" s="61">
        <f>IF(AN11="",0,IF(OR(AN11="DNF",AN11="OCS",AN11="DSQ",AN11="DNS",AN11=" DNS "),$BW$3+1,AN11))</f>
        <v>0</v>
      </c>
      <c r="DA11" s="61">
        <f>IF(AO11="",0,IF(OR(AO11="DNF",AO11="OCS",AO11="DSQ",AO11="DNS",AO11=" DNS "),$BW$3+1,AO11))</f>
        <v>0</v>
      </c>
      <c r="DB11" s="61">
        <f>IF(AP11="",0,IF(OR(AP11="DNF",AP11="OCS",AP11="DSQ",AP11="DNS",AP11=" DNS "),$BW$3+1,AP11))</f>
        <v>0</v>
      </c>
      <c r="DC11" s="61">
        <f>IF(AQ11="",0,IF(OR(AQ11="DNF",AQ11="OCS",AQ11="DSQ",AQ11="DNS",AQ11=" DNS "),$BW$3+1,AQ11))</f>
        <v>0</v>
      </c>
      <c r="DD11" s="61">
        <f>IF(AR11="",0,IF(OR(AR11="DNF",AR11="OCS",AR11="DSQ",AR11="DNS",AR11=" DNS "),$BW$3+1,AR11))</f>
        <v>0</v>
      </c>
      <c r="DE11" s="61">
        <f>IF(AS11="",0,IF(OR(AS11="DNF",AS11="OCS",AS11="DSQ",AS11="DNS",AS11=" DNS "),$BW$3+1,AS11))</f>
        <v>0</v>
      </c>
      <c r="DF11" s="61">
        <f>IF(AT11="",0,IF(OR(AT11="DNF",AT11="OCS",AT11="DSQ",AT11="DNS",AT11=" DNS "),$BW$3+1,AT11))</f>
        <v>0</v>
      </c>
      <c r="DG11" s="61">
        <f>IF(AU11="",0,IF(OR(AU11="DNF",AU11="OCS",AU11="DSQ",AU11="DNS",AU11=" DNS "),$BW$3+1,AU11))</f>
        <v>0</v>
      </c>
      <c r="DH11" s="61">
        <f>IF(AV11="",0,IF(OR(AV11="DNF",AV11="OCS",AV11="DSQ",AV11="DNS",AV11=" DNS "),$BW$3+1,AV11))</f>
        <v>0</v>
      </c>
      <c r="DI11" s="61">
        <f>IF(AW11="",0,IF(OR(AW11="DNF",AW11="OCS",AW11="DSQ",AW11="DNS",AW11=" DNS "),$BW$3+1,AW11))</f>
        <v>0</v>
      </c>
      <c r="DJ11" s="61">
        <f>IF(AX11="",0,IF(OR(AX11="DNF",AX11="OCS",AX11="DSQ",AX11="DNS",AX11=" DNS "),$BW$3+1,AX11))</f>
        <v>0</v>
      </c>
      <c r="DK11" s="61">
        <f>IF(AY11="",0,IF(OR(AY11="DNF",AY11="OCS",AY11="DSQ",AY11="DNS",AY11=" DNS "),$BW$3+1,AY11))</f>
        <v>0</v>
      </c>
      <c r="DL11" s="61">
        <f>IF(AZ11="",0,IF(OR(AZ11="DNF",AZ11="OCS",AZ11="DSQ",AZ11="DNS",AZ11=" DNS "),$BW$3+1,AZ11))</f>
        <v>0</v>
      </c>
      <c r="DM11" s="61">
        <f>IF(BA11="",0,IF(OR(BA11="DNF",BA11="OCS",BA11="DSQ",BA11="DNS",BA11=" DNS "),$BW$3+1,BA11))</f>
        <v>0</v>
      </c>
      <c r="DN11" s="61">
        <f>IF(BB11="",0,IF(OR(BB11="DNF",BB11="OCS",BB11="DSQ",BB11="DNS",BB11=" DNS "),$BW$3+1,BB11))</f>
        <v>0</v>
      </c>
      <c r="DO11" s="61">
        <f>IF(BC11="",0,IF(OR(BC11="DNF",BC11="OCS",BC11="DSQ",BC11="DNS",BC11=" DNS "),$BW$3+1,BC11))</f>
        <v>0</v>
      </c>
      <c r="DP11" s="61">
        <f>IF(BD11="",0,IF(OR(BD11="DNF",BD11="OCS",BD11="DSQ",BD11="DNS",BD11=" DNS "),$BW$3+1,BD11))</f>
        <v>0</v>
      </c>
      <c r="DQ11" s="61">
        <f>IF(BE11="",0,IF(OR(BE11="DNF",BE11="OCS",BE11="DSQ",BE11="DNS",BE11=" DNS "),$BW$3+1,BE11))</f>
        <v>0</v>
      </c>
      <c r="DR11" s="61">
        <f>IF(BF11="",0,IF(OR(BF11="DNF",BF11="OCS",BF11="DSQ",BF11="DNS",BF11=" DNS "),$BW$3+1,BF11))</f>
        <v>0</v>
      </c>
      <c r="DS11" s="61">
        <f>IF(BG11="",0,IF(OR(BG11="DNF",BG11="OCS",BG11="DSQ",BG11="DNS",BG11=" DNS "),$BW$3+1,BG11))</f>
        <v>0</v>
      </c>
      <c r="DT11" s="61">
        <f>IF(BH11="",0,IF(OR(BH11="DNF",BH11="OCS",BH11="DSQ",BH11="DNS",BH11=" DNS "),$BW$3+1,BH11))</f>
        <v>0</v>
      </c>
      <c r="DU11" s="61">
        <f>IF(BI11="",0,IF(OR(BI11="DNF",BI11="OCS",BI11="DSQ",BI11="DNS",BI11=" DNS "),$BW$3+1,BI11))</f>
        <v>0</v>
      </c>
      <c r="DV11" s="61">
        <f>IF(BJ11="",0,IF(OR(BJ11="DNF",BJ11="OCS",BJ11="DSQ",BJ11="DNS",BJ11=" DNS "),$BW$3+1,BJ11))</f>
        <v>0</v>
      </c>
      <c r="DW11" s="61">
        <f>IF(BK11="",0,IF(OR(BK11="DNF",BK11="OCS",BK11="DSQ",BK11="DNS",BK11=" DNS "),$BW$3+1,BK11))</f>
        <v>0</v>
      </c>
      <c r="DX11" s="61">
        <f>IF(BL11="",0,IF(OR(BL11="DNF",BL11="OCS",BL11="DSQ",BL11="DNS",BL11=" DNS "),$BW$3+1,BL11))</f>
        <v>0</v>
      </c>
      <c r="DY11" s="61">
        <f>IF(BM11="",0,IF(OR(BM11="DNF",BM11="OCS",BM11="DSQ",BM11="DNS",BM11=" DNS "),$BW$3+1,BM11))</f>
        <v>0</v>
      </c>
      <c r="DZ11" s="61">
        <f>IF(BN11="",0,IF(OR(BN11="DNF",BN11="OCS",BN11="DSQ",BN11="DNS",BN11=" DNS "),$BW$3+1,BN11))</f>
        <v>0</v>
      </c>
      <c r="EA11" s="61">
        <f>IF(BO11="",0,IF(OR(BO11="DNF",BO11="OCS",BO11="DSQ",BO11="DNS",BO11=" DNS "),$BW$3+1,BO11))</f>
        <v>0</v>
      </c>
      <c r="EB11" s="61">
        <f>IF(BP11="",0,IF(OR(BP11="DNF",BP11="OCS",BP11="DSQ",BP11="DNS",BP11=" DNS "),$BW$3+1,BP11))</f>
        <v>0</v>
      </c>
      <c r="EC11" s="61">
        <f>IF(BQ11="",0,IF(OR(BQ11="DNF",BQ11="OCS",BQ11="DSQ",BQ11="DNS",BQ11=" DNS "),$BW$3+1,BQ11))</f>
        <v>0</v>
      </c>
      <c r="EE11" s="61">
        <f xml:space="preserve">
IF(OR(Deltagarlista!$K$3=3,Deltagarlista!$K$3=4),
IF(Arrangörslista!$U$5&lt;8,0,
IF(Arrangörslista!$U$5&lt;16,SUM(LARGE(BV11:CJ11,1)),
IF(Arrangörslista!$U$5&lt;24,SUM(LARGE(BV11:CR11,{1;2})),
IF(Arrangörslista!$U$5&lt;32,SUM(LARGE(BV11:CZ11,{1;2;3})),
IF(Arrangörslista!$U$5&lt;40,SUM(LARGE(BV11:DH11,{1;2;3;4})),
IF(Arrangörslista!$U$5&lt;48,SUM(LARGE(BV11:DP11,{1;2;3;4;5})),
IF(Arrangörslista!$U$5&lt;56,SUM(LARGE(BV11:DX11,{1;2;3;4;5;6})),
IF(Arrangörslista!$U$5&lt;64,SUM(LARGE(BV11:EC11,{1;2;3;4;5;6;7})),0)))))))),
IF(Deltagarlista!$K$3=2,
IF(Arrangörslista!$U$5&lt;4,LARGE(BV11:BX11,1),
IF(Arrangörslista!$U$5&lt;7,SUM(LARGE(BV11:CA11,{1;2;3})),
IF(Arrangörslista!$U$5&lt;10,SUM(LARGE(BV11:CD11,{1;2;3;4})),
IF(Arrangörslista!$U$5&lt;13,SUM(LARGE(BV11:CG11,{1;2;3;4;5;6})),
IF(Arrangörslista!$U$5&lt;16,SUM(LARGE(BV11:CJ11,{1;2;3;4;5;6;7})),
IF(Arrangörslista!$U$5&lt;19,SUM(LARGE(BV11:CM11,{1;2;3;4;5;6;7;8;9})),
IF(Arrangörslista!$U$5&lt;22,SUM(LARGE(BV11:CP11,{1;2;3;4;5;6;7;8;9;10})),
IF(Arrangörslista!$U$5&lt;25,SUM(LARGE(BV11:CS11,{1;2;3;4;5;6;7;8;9;10;11;12})),
IF(Arrangörslista!$U$5&lt;28,SUM(LARGE(BV11:CV11,{1;2;3;4;5;6;7;8;9;10;11;12;13})),
IF(Arrangörslista!$U$5&lt;31,SUM(LARGE(BV11:CY11,{1;2;3;4;5;6;7;8;9;10;11;12;13;14;15})),
IF(Arrangörslista!$U$5&lt;34,SUM(LARGE(BV11:DB11,{1;2;3;4;5;6;7;8;9;10;11;12;13;14;15;16})),
IF(Arrangörslista!$U$5&lt;37,SUM(LARGE(BV11:DE11,{1;2;3;4;5;6;7;8;9;10;11;12;13;14;15;16;17;18})),
IF(Arrangörslista!$U$5&lt;40,SUM(LARGE(BV11:DH11,{1;2;3;4;5;6;7;8;9;10;11;12;13;14;15;16;17;18;19})),
IF(Arrangörslista!$U$5&lt;43,SUM(LARGE(BV11:DK11,{1;2;3;4;5;6;7;8;9;10;11;12;13;14;15;16;17;18;19;20;21})),
IF(Arrangörslista!$U$5&lt;46,SUM(LARGE(BV11:DN11,{1;2;3;4;5;6;7;8;9;10;11;12;13;14;15;16;17;18;19;20;21;22})),
IF(Arrangörslista!$U$5&lt;49,SUM(LARGE(BV11:DQ11,{1;2;3;4;5;6;7;8;9;10;11;12;13;14;15;16;17;18;19;20;21;22;23;24})),
IF(Arrangörslista!$U$5&lt;52,SUM(LARGE(BV11:DT11,{1;2;3;4;5;6;7;8;9;10;11;12;13;14;15;16;17;18;19;20;21;22;23;24;25})),
IF(Arrangörslista!$U$5&lt;55,SUM(LARGE(BV11:DW11,{1;2;3;4;5;6;7;8;9;10;11;12;13;14;15;16;17;18;19;20;21;22;23;24;25;26;27})),
IF(Arrangörslista!$U$5&lt;58,SUM(LARGE(BV11:DZ11,{1;2;3;4;5;6;7;8;9;10;11;12;13;14;15;16;17;18;19;20;21;22;23;24;25;26;27;28})),
IF(Arrangörslista!$U$5&lt;61,SUM(LARGE(BV11:EC11,{1;2;3;4;5;6;7;8;9;10;11;12;13;14;15;16;17;18;19;20;21;22;23;24;25;26;27;28;29;30})),0)))))))))))))))))))),
IF(Arrangörslista!$U$5&lt;4,0,
IF(Arrangörslista!$U$5&lt;8,SUM(LARGE(BV11:CB11,1)),
IF(Arrangörslista!$U$5&lt;12,SUM(LARGE(BV11:CF11,{1;2})),
IF(Arrangörslista!$U$5&lt;16,SUM(LARGE(BV11:CJ11,{1;2;3})),
IF(Arrangörslista!$U$5&lt;20,SUM(LARGE(BV11:CN11,{1;2;3;4})),
IF(Arrangörslista!$U$5&lt;24,SUM(LARGE(BV11:CR11,{1;2;3;4;5})),
IF(Arrangörslista!$U$5&lt;28,SUM(LARGE(BV11:CV11,{1;2;3;4;5;6})),
IF(Arrangörslista!$U$5&lt;32,SUM(LARGE(BV11:CZ11,{1;2;3;4;5;6;7})),
IF(Arrangörslista!$U$5&lt;36,SUM(LARGE(BV11:DD11,{1;2;3;4;5;6;7;8})),
IF(Arrangörslista!$U$5&lt;40,SUM(LARGE(BV11:DH11,{1;2;3;4;5;6;7;8;9})),
IF(Arrangörslista!$U$5&lt;44,SUM(LARGE(BV11:DL11,{1;2;3;4;5;6;7;8;9;10})),
IF(Arrangörslista!$U$5&lt;48,SUM(LARGE(BV11:DP11,{1;2;3;4;5;6;7;8;9;10;11})),
IF(Arrangörslista!$U$5&lt;52,SUM(LARGE(BV11:DT11,{1;2;3;4;5;6;7;8;9;10;11;12})),
IF(Arrangörslista!$U$5&lt;56,SUM(LARGE(BV11:DX11,{1;2;3;4;5;6;7;8;9;10;11;12;13})),
IF(Arrangörslista!$U$5&lt;60,SUM(LARGE(BV11:EB11,{1;2;3;4;5;6;7;8;9;10;11;12;13;14})),
IF(Arrangörslista!$U$5=60,SUM(LARGE(BV11:EC11,{1;2;3;4;5;6;7;8;9;10;11;12;13;14;15})),0))))))))))))))))))</f>
        <v>0</v>
      </c>
      <c r="EG11" s="67">
        <f>IF(F11="",,1)</f>
        <v>0</v>
      </c>
      <c r="EH11" s="61"/>
      <c r="EI11" s="61"/>
      <c r="EK11" s="62">
        <f>SMALL($J74:$BQ74,1)</f>
        <v>61</v>
      </c>
      <c r="EL11" s="62">
        <f>SMALL($J74:$BQ74,2)</f>
        <v>61</v>
      </c>
      <c r="EM11" s="62">
        <f>SMALL($J74:$BQ74,3)</f>
        <v>61</v>
      </c>
      <c r="EN11" s="62">
        <f>SMALL($J74:$BQ74,4)</f>
        <v>61</v>
      </c>
      <c r="EO11" s="62">
        <f>SMALL($J74:$BQ74,5)</f>
        <v>61</v>
      </c>
      <c r="EP11" s="62">
        <f>SMALL($J74:$BQ74,6)</f>
        <v>61</v>
      </c>
      <c r="EQ11" s="62">
        <f>SMALL($J74:$BQ74,7)</f>
        <v>61</v>
      </c>
      <c r="ER11" s="62">
        <f>SMALL($J74:$BQ74,8)</f>
        <v>61</v>
      </c>
      <c r="ES11" s="62">
        <f>SMALL($J74:$BQ74,9)</f>
        <v>61</v>
      </c>
      <c r="ET11" s="62">
        <f>SMALL($J74:$BQ74,10)</f>
        <v>61</v>
      </c>
      <c r="EU11" s="62">
        <f>SMALL($J74:$BQ74,11)</f>
        <v>61</v>
      </c>
      <c r="EV11" s="62">
        <f>SMALL($J74:$BQ74,12)</f>
        <v>61</v>
      </c>
      <c r="EW11" s="62">
        <f>SMALL($J74:$BQ74,13)</f>
        <v>61</v>
      </c>
      <c r="EX11" s="62">
        <f>SMALL($J74:$BQ74,14)</f>
        <v>61</v>
      </c>
      <c r="EY11" s="62">
        <f>SMALL($J74:$BQ74,15)</f>
        <v>61</v>
      </c>
      <c r="EZ11" s="62">
        <f>SMALL($J74:$BQ74,16)</f>
        <v>61</v>
      </c>
      <c r="FA11" s="62">
        <f>SMALL($J74:$BQ74,17)</f>
        <v>61</v>
      </c>
      <c r="FB11" s="62">
        <f>SMALL($J74:$BQ74,18)</f>
        <v>61</v>
      </c>
      <c r="FC11" s="62">
        <f>SMALL($J74:$BQ74,19)</f>
        <v>61</v>
      </c>
      <c r="FD11" s="62">
        <f>SMALL($J74:$BQ74,20)</f>
        <v>61</v>
      </c>
      <c r="FE11" s="62">
        <f>SMALL($J74:$BQ74,21)</f>
        <v>61</v>
      </c>
      <c r="FF11" s="62">
        <f>SMALL($J74:$BQ74,22)</f>
        <v>61</v>
      </c>
      <c r="FG11" s="62">
        <f>SMALL($J74:$BQ74,23)</f>
        <v>61</v>
      </c>
      <c r="FH11" s="62">
        <f>SMALL($J74:$BQ74,24)</f>
        <v>61</v>
      </c>
      <c r="FI11" s="62">
        <f>SMALL($J74:$BQ74,25)</f>
        <v>61</v>
      </c>
      <c r="FJ11" s="62">
        <f>SMALL($J74:$BQ74,26)</f>
        <v>61</v>
      </c>
      <c r="FK11" s="62">
        <f>SMALL($J74:$BQ74,27)</f>
        <v>61</v>
      </c>
      <c r="FL11" s="62">
        <f>SMALL($J74:$BQ74,28)</f>
        <v>61</v>
      </c>
      <c r="FM11" s="62">
        <f>SMALL($J74:$BQ74,29)</f>
        <v>61</v>
      </c>
      <c r="FN11" s="62">
        <f>SMALL($J74:$BQ74,30)</f>
        <v>61</v>
      </c>
      <c r="FO11" s="62">
        <f>SMALL($J74:$BQ74,31)</f>
        <v>61</v>
      </c>
      <c r="FP11" s="62">
        <f>SMALL($J74:$BQ74,32)</f>
        <v>61</v>
      </c>
      <c r="FQ11" s="62">
        <f>SMALL($J74:$BQ74,33)</f>
        <v>61</v>
      </c>
      <c r="FR11" s="62">
        <f>SMALL($J74:$BQ74,34)</f>
        <v>61</v>
      </c>
      <c r="FS11" s="62">
        <f>SMALL($J74:$BQ74,35)</f>
        <v>61</v>
      </c>
      <c r="FT11" s="62">
        <f>SMALL($J74:$BQ74,36)</f>
        <v>61</v>
      </c>
      <c r="FU11" s="62">
        <f>SMALL($J74:$BQ74,37)</f>
        <v>61</v>
      </c>
      <c r="FV11" s="62">
        <f>SMALL($J74:$BQ74,38)</f>
        <v>61</v>
      </c>
      <c r="FW11" s="62">
        <f>SMALL($J74:$BQ74,39)</f>
        <v>61</v>
      </c>
      <c r="FX11" s="62">
        <f>SMALL($J74:$BQ74,40)</f>
        <v>61</v>
      </c>
      <c r="FY11" s="62">
        <f>SMALL($J74:$BQ74,41)</f>
        <v>61</v>
      </c>
      <c r="FZ11" s="62">
        <f>SMALL($J74:$BQ74,42)</f>
        <v>61</v>
      </c>
      <c r="GA11" s="62">
        <f>SMALL($J74:$BQ74,43)</f>
        <v>61</v>
      </c>
      <c r="GB11" s="62">
        <f>SMALL($J74:$BQ74,44)</f>
        <v>61</v>
      </c>
      <c r="GC11" s="62">
        <f>SMALL($J74:$BQ74,45)</f>
        <v>61</v>
      </c>
      <c r="GD11" s="62">
        <f>SMALL($J74:$BQ74,46)</f>
        <v>61</v>
      </c>
      <c r="GE11" s="62">
        <f>SMALL($J74:$BQ74,47)</f>
        <v>61</v>
      </c>
      <c r="GF11" s="62">
        <f>SMALL($J74:$BQ74,48)</f>
        <v>61</v>
      </c>
      <c r="GG11" s="62">
        <f>SMALL($J74:$BQ74,49)</f>
        <v>61</v>
      </c>
      <c r="GH11" s="62">
        <f>SMALL($J74:$BQ74,50)</f>
        <v>61</v>
      </c>
      <c r="GI11" s="62">
        <f>SMALL($J74:$BQ74,51)</f>
        <v>61</v>
      </c>
      <c r="GJ11" s="62">
        <f>SMALL($J74:$BQ74,52)</f>
        <v>61</v>
      </c>
      <c r="GK11" s="62">
        <f>SMALL($J74:$BQ74,53)</f>
        <v>61</v>
      </c>
      <c r="GL11" s="62">
        <f>SMALL($J74:$BQ74,54)</f>
        <v>61</v>
      </c>
      <c r="GM11" s="62">
        <f>SMALL($J74:$BQ74,55)</f>
        <v>61</v>
      </c>
      <c r="GN11" s="62">
        <f>SMALL($J74:$BQ74,56)</f>
        <v>61</v>
      </c>
      <c r="GO11" s="62">
        <f>SMALL($J74:$BQ74,57)</f>
        <v>61</v>
      </c>
      <c r="GP11" s="62">
        <f>SMALL($J74:$BQ74,58)</f>
        <v>61</v>
      </c>
      <c r="GQ11" s="62">
        <f>SMALL($J74:$BQ74,59)</f>
        <v>61</v>
      </c>
      <c r="GR11" s="62">
        <f>SMALL($J74:$BQ74,60)</f>
        <v>61</v>
      </c>
      <c r="GT11" s="62">
        <f>IF(Deltagarlista!$K$3=2,
IF(GW11="1",
      IF(Arrangörslista!$U$5=1,J74,
IF(Arrangörslista!$U$5=2,K74,
IF(Arrangörslista!$U$5=3,L74,
IF(Arrangörslista!$U$5=4,M74,
IF(Arrangörslista!$U$5=5,N74,
IF(Arrangörslista!$U$5=6,O74,
IF(Arrangörslista!$U$5=7,P74,
IF(Arrangörslista!$U$5=8,Q74,
IF(Arrangörslista!$U$5=9,R74,
IF(Arrangörslista!$U$5=10,S74,
IF(Arrangörslista!$U$5=11,T74,
IF(Arrangörslista!$U$5=12,U74,
IF(Arrangörslista!$U$5=13,V74,
IF(Arrangörslista!$U$5=14,W74,
IF(Arrangörslista!$U$5=15,X74,
IF(Arrangörslista!$U$5=16,Y74,IF(Arrangörslista!$U$5=17,Z74,IF(Arrangörslista!$U$5=18,AA74,IF(Arrangörslista!$U$5=19,AB74,IF(Arrangörslista!$U$5=20,AC74,IF(Arrangörslista!$U$5=21,AD74,IF(Arrangörslista!$U$5=22,AE74,IF(Arrangörslista!$U$5=23,AF74, IF(Arrangörslista!$U$5=24,AG74, IF(Arrangörslista!$U$5=25,AH74, IF(Arrangörslista!$U$5=26,AI74, IF(Arrangörslista!$U$5=27,AJ74, IF(Arrangörslista!$U$5=28,AK74, IF(Arrangörslista!$U$5=29,AL74, IF(Arrangörslista!$U$5=30,AM74, IF(Arrangörslista!$U$5=31,AN74, IF(Arrangörslista!$U$5=32,AO74, IF(Arrangörslista!$U$5=33,AP74, IF(Arrangörslista!$U$5=34,AQ74, IF(Arrangörslista!$U$5=35,AR74, IF(Arrangörslista!$U$5=36,AS74, IF(Arrangörslista!$U$5=37,AT74, IF(Arrangörslista!$U$5=38,AU74, IF(Arrangörslista!$U$5=39,AV74, IF(Arrangörslista!$U$5=40,AW74, IF(Arrangörslista!$U$5=41,AX74, IF(Arrangörslista!$U$5=42,AY74, IF(Arrangörslista!$U$5=43,AZ74, IF(Arrangörslista!$U$5=44,BA74, IF(Arrangörslista!$U$5=45,BB74, IF(Arrangörslista!$U$5=46,BC74, IF(Arrangörslista!$U$5=47,BD74, IF(Arrangörslista!$U$5=48,BE74, IF(Arrangörslista!$U$5=49,BF74, IF(Arrangörslista!$U$5=50,BG74, IF(Arrangörslista!$U$5=51,BH74, IF(Arrangörslista!$U$5=52,BI74, IF(Arrangörslista!$U$5=53,BJ74, IF(Arrangörslista!$U$5=54,BK74, IF(Arrangörslista!$U$5=55,BL74, IF(Arrangörslista!$U$5=56,BM74, IF(Arrangörslista!$U$5=57,BN74, IF(Arrangörslista!$U$5=58,BO74, IF(Arrangörslista!$U$5=59,BP74, IF(Arrangörslista!$U$5=60,BQ74,0))))))))))))))))))))))))))))))))))))))))))))))))))))))))))))),IF(Deltagarlista!$K$3=4, IF(Arrangörslista!$U$5=1,J74,
IF(Arrangörslista!$U$5=2,J74,
IF(Arrangörslista!$U$5=3,K74,
IF(Arrangörslista!$U$5=4,K74,
IF(Arrangörslista!$U$5=5,L74,
IF(Arrangörslista!$U$5=6,L74,
IF(Arrangörslista!$U$5=7,M74,
IF(Arrangörslista!$U$5=8,M74,
IF(Arrangörslista!$U$5=9,N74,
IF(Arrangörslista!$U$5=10,N74,
IF(Arrangörslista!$U$5=11,O74,
IF(Arrangörslista!$U$5=12,O74,
IF(Arrangörslista!$U$5=13,P74,
IF(Arrangörslista!$U$5=14,P74,
IF(Arrangörslista!$U$5=15,Q74,
IF(Arrangörslista!$U$5=16,Q74,
IF(Arrangörslista!$U$5=17,R74,
IF(Arrangörslista!$U$5=18,R74,
IF(Arrangörslista!$U$5=19,S74,
IF(Arrangörslista!$U$5=20,S74,
IF(Arrangörslista!$U$5=21,T74,
IF(Arrangörslista!$U$5=22,T74,IF(Arrangörslista!$U$5=23,U74, IF(Arrangörslista!$U$5=24,U74, IF(Arrangörslista!$U$5=25,V74, IF(Arrangörslista!$U$5=26,V74, IF(Arrangörslista!$U$5=27,W74, IF(Arrangörslista!$U$5=28,W74, IF(Arrangörslista!$U$5=29,X74, IF(Arrangörslista!$U$5=30,X74, IF(Arrangörslista!$U$5=31,X74, IF(Arrangörslista!$U$5=32,Y74, IF(Arrangörslista!$U$5=33,AO74, IF(Arrangörslista!$U$5=34,Y74, IF(Arrangörslista!$U$5=35,Z74, IF(Arrangörslista!$U$5=36,AR74, IF(Arrangörslista!$U$5=37,Z74, IF(Arrangörslista!$U$5=38,AA74, IF(Arrangörslista!$U$5=39,AU74, IF(Arrangörslista!$U$5=40,AA74, IF(Arrangörslista!$U$5=41,AB74, IF(Arrangörslista!$U$5=42,AX74, IF(Arrangörslista!$U$5=43,AB74, IF(Arrangörslista!$U$5=44,AC74, IF(Arrangörslista!$U$5=45,BA74, IF(Arrangörslista!$U$5=46,AC74, IF(Arrangörslista!$U$5=47,AD74, IF(Arrangörslista!$U$5=48,BD74, IF(Arrangörslista!$U$5=49,AD74, IF(Arrangörslista!$U$5=50,AE74, IF(Arrangörslista!$U$5=51,BG74, IF(Arrangörslista!$U$5=52,AE74, IF(Arrangörslista!$U$5=53,AF74, IF(Arrangörslista!$U$5=54,BJ74, IF(Arrangörslista!$U$5=55,AF74, IF(Arrangörslista!$U$5=56,AG74, IF(Arrangörslista!$U$5=57,BM74, IF(Arrangörslista!$U$5=58,AG74, IF(Arrangörslista!$U$5=59,AH74, IF(Arrangörslista!$U$5=60,AH74,0)))))))))))))))))))))))))))))))))))))))))))))))))))))))))))),IF(Arrangörslista!$U$5=1,J74,
IF(Arrangörslista!$U$5=2,K74,
IF(Arrangörslista!$U$5=3,L74,
IF(Arrangörslista!$U$5=4,M74,
IF(Arrangörslista!$U$5=5,N74,
IF(Arrangörslista!$U$5=6,O74,
IF(Arrangörslista!$U$5=7,P74,
IF(Arrangörslista!$U$5=8,Q74,
IF(Arrangörslista!$U$5=9,R74,
IF(Arrangörslista!$U$5=10,S74,
IF(Arrangörslista!$U$5=11,T74,
IF(Arrangörslista!$U$5=12,U74,
IF(Arrangörslista!$U$5=13,V74,
IF(Arrangörslista!$U$5=14,W74,
IF(Arrangörslista!$U$5=15,X74,
IF(Arrangörslista!$U$5=16,Y74,IF(Arrangörslista!$U$5=17,Z74,IF(Arrangörslista!$U$5=18,AA74,IF(Arrangörslista!$U$5=19,AB74,IF(Arrangörslista!$U$5=20,AC74,IF(Arrangörslista!$U$5=21,AD74,IF(Arrangörslista!$U$5=22,AE74,IF(Arrangörslista!$U$5=23,AF74, IF(Arrangörslista!$U$5=24,AG74, IF(Arrangörslista!$U$5=25,AH74, IF(Arrangörslista!$U$5=26,AI74, IF(Arrangörslista!$U$5=27,AJ74, IF(Arrangörslista!$U$5=28,AK74, IF(Arrangörslista!$U$5=29,AL74, IF(Arrangörslista!$U$5=30,AM74, IF(Arrangörslista!$U$5=31,AN74, IF(Arrangörslista!$U$5=32,AO74, IF(Arrangörslista!$U$5=33,AP74, IF(Arrangörslista!$U$5=34,AQ74, IF(Arrangörslista!$U$5=35,AR74, IF(Arrangörslista!$U$5=36,AS74, IF(Arrangörslista!$U$5=37,AT74, IF(Arrangörslista!$U$5=38,AU74, IF(Arrangörslista!$U$5=39,AV74, IF(Arrangörslista!$U$5=40,AW74, IF(Arrangörslista!$U$5=41,AX74, IF(Arrangörslista!$U$5=42,AY74, IF(Arrangörslista!$U$5=43,AZ74, IF(Arrangörslista!$U$5=44,BA74, IF(Arrangörslista!$U$5=45,BB74, IF(Arrangörslista!$U$5=46,BC74, IF(Arrangörslista!$U$5=47,BD74, IF(Arrangörslista!$U$5=48,BE74, IF(Arrangörslista!$U$5=49,BF74, IF(Arrangörslista!$U$5=50,BG74, IF(Arrangörslista!$U$5=51,BH74, IF(Arrangörslista!$U$5=52,BI74, IF(Arrangörslista!$U$5=53,BJ74, IF(Arrangörslista!$U$5=54,BK74, IF(Arrangörslista!$U$5=55,BL74, IF(Arrangörslista!$U$5=56,BM74, IF(Arrangörslista!$U$5=57,BN74, IF(Arrangörslista!$U$5=58,BO74, IF(Arrangörslista!$U$5=59,BP74, IF(Arrangörslista!$U$5=60,BQ74,0))))))))))))))))))))))))))))))))))))))))))))))))))))))))))))
))</f>
        <v>0</v>
      </c>
      <c r="GV11" s="65" t="str">
        <f>IFERROR(IF(VLOOKUP(F11,Deltagarlista!$E$5:$I$64,5,FALSE)="Grön","Gr",IF(VLOOKUP(F11,Deltagarlista!$E$5:$I$64,5,FALSE)="Röd","R",IF(VLOOKUP(F11,Deltagarlista!$E$5:$I$64,5,FALSE)="Blå","B","Gu"))),"")</f>
        <v/>
      </c>
      <c r="GW11" s="62" t="str">
        <f t="shared" si="1"/>
        <v/>
      </c>
    </row>
    <row r="12" spans="1:206" x14ac:dyDescent="0.3">
      <c r="B12" s="23" t="str">
        <f>IF($BW$3&gt;8,9,"")</f>
        <v/>
      </c>
      <c r="C12" s="92" t="str">
        <f>IF(ISBLANK(Deltagarlista!C7),"",Deltagarlista!C7)</f>
        <v/>
      </c>
      <c r="D12" s="109" t="str">
        <f>CONCATENATE(IF(AND(Deltagarlista!H7="GM",Deltagarlista!$S$14=TRUE),"GM   ",""),  IF(OR(Deltagarlista!$K$3=4,Deltagarlista!$K$3=2),Deltagarlista!I7,""))</f>
        <v/>
      </c>
      <c r="E12" s="8" t="str">
        <f>IF(ISBLANK(Deltagarlista!D7),"",Deltagarlista!D7)</f>
        <v/>
      </c>
      <c r="F12" s="8" t="str">
        <f>IF(ISBLANK(Deltagarlista!E7),"",Deltagarlista!E7)</f>
        <v/>
      </c>
      <c r="G12" s="95" t="str">
        <f>IF(ISBLANK(Deltagarlista!F7),"",Deltagarlista!F7)</f>
        <v/>
      </c>
      <c r="H12" s="72" t="str">
        <f>IF(ISBLANK(Deltagarlista!C7),"",BU12-EE12)</f>
        <v/>
      </c>
      <c r="I12" s="13" t="str">
        <f>IF(ISBLANK(Deltagarlista!C7),"",IF(AND(Deltagarlista!$K$3=2,Deltagarlista!$L$3&lt;37),SUM(SUM(BV12:EC12)-(ROUNDDOWN(Arrangörslista!$U$5/3,1))*($BW$3+1)),SUM(BV12:EC12)))</f>
        <v/>
      </c>
      <c r="J12" s="79" t="str">
        <f>IF(Deltagarlista!$K$3=4,IF(ISBLANK(Deltagarlista!$C7),"",IF(ISBLANK(Arrangörslista!C$8),"",IFERROR(VLOOKUP($F12,Arrangörslista!C$8:$AG$45,16,FALSE),IF(ISBLANK(Deltagarlista!$C7),"",IF(ISBLANK(Arrangörslista!C$8),"",IFERROR(VLOOKUP($F12,Arrangörslista!D$8:$AG$45,16,FALSE),"DNS")))))),IF(Deltagarlista!$K$3=2,
IF(ISBLANK(Deltagarlista!$C7),"",IF(ISBLANK(Arrangörslista!C$8),"",IF($GV12=J$64," DNS ",IFERROR(VLOOKUP($F12,Arrangörslista!C$8:$AG$45,16,FALSE),"DNS")))),IF(ISBLANK(Deltagarlista!$C7),"",IF(ISBLANK(Arrangörslista!C$8),"",IFERROR(VLOOKUP($F12,Arrangörslista!C$8:$AG$45,16,FALSE),"DNS")))))</f>
        <v/>
      </c>
      <c r="K12" s="5" t="str">
        <f>IF(Deltagarlista!$K$3=4,IF(ISBLANK(Deltagarlista!$C7),"",IF(ISBLANK(Arrangörslista!E$8),"",IFERROR(VLOOKUP($F12,Arrangörslista!E$8:$AG$45,16,FALSE),IF(ISBLANK(Deltagarlista!$C7),"",IF(ISBLANK(Arrangörslista!E$8),"",IFERROR(VLOOKUP($F12,Arrangörslista!F$8:$AG$45,16,FALSE),"DNS")))))),IF(Deltagarlista!$K$3=2,
IF(ISBLANK(Deltagarlista!$C7),"",IF(ISBLANK(Arrangörslista!D$8),"",IF($GV12=K$64," DNS ",IFERROR(VLOOKUP($F12,Arrangörslista!D$8:$AG$45,16,FALSE),"DNS")))),IF(ISBLANK(Deltagarlista!$C7),"",IF(ISBLANK(Arrangörslista!D$8),"",IFERROR(VLOOKUP($F12,Arrangörslista!D$8:$AG$45,16,FALSE),"DNS")))))</f>
        <v/>
      </c>
      <c r="L12" s="5" t="str">
        <f>IF(Deltagarlista!$K$3=4,IF(ISBLANK(Deltagarlista!$C7),"",IF(ISBLANK(Arrangörslista!G$8),"",IFERROR(VLOOKUP($F12,Arrangörslista!G$8:$AG$45,16,FALSE),IF(ISBLANK(Deltagarlista!$C7),"",IF(ISBLANK(Arrangörslista!G$8),"",IFERROR(VLOOKUP($F12,Arrangörslista!H$8:$AG$45,16,FALSE),"DNS")))))),IF(Deltagarlista!$K$3=2,
IF(ISBLANK(Deltagarlista!$C7),"",IF(ISBLANK(Arrangörslista!E$8),"",IF($GV12=L$64," DNS ",IFERROR(VLOOKUP($F12,Arrangörslista!E$8:$AG$45,16,FALSE),"DNS")))),IF(ISBLANK(Deltagarlista!$C7),"",IF(ISBLANK(Arrangörslista!E$8),"",IFERROR(VLOOKUP($F12,Arrangörslista!E$8:$AG$45,16,FALSE),"DNS")))))</f>
        <v/>
      </c>
      <c r="M12" s="5" t="str">
        <f>IF(Deltagarlista!$K$3=4,IF(ISBLANK(Deltagarlista!$C7),"",IF(ISBLANK(Arrangörslista!I$8),"",IFERROR(VLOOKUP($F12,Arrangörslista!I$8:$AG$45,16,FALSE),IF(ISBLANK(Deltagarlista!$C7),"",IF(ISBLANK(Arrangörslista!I$8),"",IFERROR(VLOOKUP($F12,Arrangörslista!J$8:$AG$45,16,FALSE),"DNS")))))),IF(Deltagarlista!$K$3=2,
IF(ISBLANK(Deltagarlista!$C7),"",IF(ISBLANK(Arrangörslista!F$8),"",IF($GV12=M$64," DNS ",IFERROR(VLOOKUP($F12,Arrangörslista!F$8:$AG$45,16,FALSE),"DNS")))),IF(ISBLANK(Deltagarlista!$C7),"",IF(ISBLANK(Arrangörslista!F$8),"",IFERROR(VLOOKUP($F12,Arrangörslista!F$8:$AG$45,16,FALSE),"DNS")))))</f>
        <v/>
      </c>
      <c r="N12" s="5" t="str">
        <f>IF(Deltagarlista!$K$3=4,IF(ISBLANK(Deltagarlista!$C7),"",IF(ISBLANK(Arrangörslista!K$8),"",IFERROR(VLOOKUP($F12,Arrangörslista!K$8:$AG$45,16,FALSE),IF(ISBLANK(Deltagarlista!$C7),"",IF(ISBLANK(Arrangörslista!K$8),"",IFERROR(VLOOKUP($F12,Arrangörslista!L$8:$AG$45,16,FALSE),"DNS")))))),IF(Deltagarlista!$K$3=2,
IF(ISBLANK(Deltagarlista!$C7),"",IF(ISBLANK(Arrangörslista!G$8),"",IF($GV12=N$64," DNS ",IFERROR(VLOOKUP($F12,Arrangörslista!G$8:$AG$45,16,FALSE),"DNS")))),IF(ISBLANK(Deltagarlista!$C7),"",IF(ISBLANK(Arrangörslista!G$8),"",IFERROR(VLOOKUP($F12,Arrangörslista!G$8:$AG$45,16,FALSE),"DNS")))))</f>
        <v/>
      </c>
      <c r="O12" s="5" t="str">
        <f>IF(Deltagarlista!$K$3=4,IF(ISBLANK(Deltagarlista!$C7),"",IF(ISBLANK(Arrangörslista!M$8),"",IFERROR(VLOOKUP($F12,Arrangörslista!M$8:$AG$45,16,FALSE),IF(ISBLANK(Deltagarlista!$C7),"",IF(ISBLANK(Arrangörslista!M$8),"",IFERROR(VLOOKUP($F12,Arrangörslista!N$8:$AG$45,16,FALSE),"DNS")))))),IF(Deltagarlista!$K$3=2,
IF(ISBLANK(Deltagarlista!$C7),"",IF(ISBLANK(Arrangörslista!H$8),"",IF($GV12=O$64," DNS ",IFERROR(VLOOKUP($F12,Arrangörslista!H$8:$AG$45,16,FALSE),"DNS")))),IF(ISBLANK(Deltagarlista!$C7),"",IF(ISBLANK(Arrangörslista!H$8),"",IFERROR(VLOOKUP($F12,Arrangörslista!H$8:$AG$45,16,FALSE),"DNS")))))</f>
        <v/>
      </c>
      <c r="P12" s="5" t="str">
        <f>IF(Deltagarlista!$K$3=4,IF(ISBLANK(Deltagarlista!$C7),"",IF(ISBLANK(Arrangörslista!O$8),"",IFERROR(VLOOKUP($F12,Arrangörslista!O$8:$AG$45,16,FALSE),IF(ISBLANK(Deltagarlista!$C7),"",IF(ISBLANK(Arrangörslista!O$8),"",IFERROR(VLOOKUP($F12,Arrangörslista!P$8:$AG$45,16,FALSE),"DNS")))))),IF(Deltagarlista!$K$3=2,
IF(ISBLANK(Deltagarlista!$C7),"",IF(ISBLANK(Arrangörslista!I$8),"",IF($GV12=P$64," DNS ",IFERROR(VLOOKUP($F12,Arrangörslista!I$8:$AG$45,16,FALSE),"DNS")))),IF(ISBLANK(Deltagarlista!$C7),"",IF(ISBLANK(Arrangörslista!I$8),"",IFERROR(VLOOKUP($F12,Arrangörslista!I$8:$AG$45,16,FALSE),"DNS")))))</f>
        <v/>
      </c>
      <c r="Q12" s="5" t="str">
        <f>IF(Deltagarlista!$K$3=4,IF(ISBLANK(Deltagarlista!$C7),"",IF(ISBLANK(Arrangörslista!Q$8),"",IFERROR(VLOOKUP($F12,Arrangörslista!Q$8:$AG$45,16,FALSE),IF(ISBLANK(Deltagarlista!$C7),"",IF(ISBLANK(Arrangörslista!Q$8),"",IFERROR(VLOOKUP($F12,Arrangörslista!C$53:$AG$90,16,FALSE),"DNS")))))),IF(Deltagarlista!$K$3=2,
IF(ISBLANK(Deltagarlista!$C7),"",IF(ISBLANK(Arrangörslista!J$8),"",IF($GV12=Q$64," DNS ",IFERROR(VLOOKUP($F12,Arrangörslista!J$8:$AG$45,16,FALSE),"DNS")))),IF(ISBLANK(Deltagarlista!$C7),"",IF(ISBLANK(Arrangörslista!J$8),"",IFERROR(VLOOKUP($F12,Arrangörslista!J$8:$AG$45,16,FALSE),"DNS")))))</f>
        <v/>
      </c>
      <c r="R12" s="5" t="str">
        <f>IF(Deltagarlista!$K$3=4,IF(ISBLANK(Deltagarlista!$C7),"",IF(ISBLANK(Arrangörslista!D$53),"",IFERROR(VLOOKUP($F12,Arrangörslista!D$53:$AG$90,16,FALSE),IF(ISBLANK(Deltagarlista!$C7),"",IF(ISBLANK(Arrangörslista!D$53),"",IFERROR(VLOOKUP($F12,Arrangörslista!E$53:$AG$90,16,FALSE),"DNS")))))),IF(Deltagarlista!$K$3=2,
IF(ISBLANK(Deltagarlista!$C7),"",IF(ISBLANK(Arrangörslista!K$8),"",IF($GV12=R$64," DNS ",IFERROR(VLOOKUP($F12,Arrangörslista!K$8:$AG$45,16,FALSE),"DNS")))),IF(ISBLANK(Deltagarlista!$C7),"",IF(ISBLANK(Arrangörslista!K$8),"",IFERROR(VLOOKUP($F12,Arrangörslista!K$8:$AG$45,16,FALSE),"DNS")))))</f>
        <v/>
      </c>
      <c r="S12" s="5" t="str">
        <f>IF(Deltagarlista!$K$3=4,IF(ISBLANK(Deltagarlista!$C7),"",IF(ISBLANK(Arrangörslista!F$53),"",IFERROR(VLOOKUP($F12,Arrangörslista!F$53:$AG$90,16,FALSE),IF(ISBLANK(Deltagarlista!$C7),"",IF(ISBLANK(Arrangörslista!F$53),"",IFERROR(VLOOKUP($F12,Arrangörslista!G$53:$AG$90,16,FALSE),"DNS")))))),IF(Deltagarlista!$K$3=2,
IF(ISBLANK(Deltagarlista!$C7),"",IF(ISBLANK(Arrangörslista!L$8),"",IF($GV12=S$64," DNS ",IFERROR(VLOOKUP($F12,Arrangörslista!L$8:$AG$45,16,FALSE),"DNS")))),IF(ISBLANK(Deltagarlista!$C7),"",IF(ISBLANK(Arrangörslista!L$8),"",IFERROR(VLOOKUP($F12,Arrangörslista!L$8:$AG$45,16,FALSE),"DNS")))))</f>
        <v/>
      </c>
      <c r="T12" s="5" t="str">
        <f>IF(Deltagarlista!$K$3=4,IF(ISBLANK(Deltagarlista!$C7),"",IF(ISBLANK(Arrangörslista!H$53),"",IFERROR(VLOOKUP($F12,Arrangörslista!H$53:$AG$90,16,FALSE),IF(ISBLANK(Deltagarlista!$C7),"",IF(ISBLANK(Arrangörslista!H$53),"",IFERROR(VLOOKUP($F12,Arrangörslista!I$53:$AG$90,16,FALSE),"DNS")))))),IF(Deltagarlista!$K$3=2,
IF(ISBLANK(Deltagarlista!$C7),"",IF(ISBLANK(Arrangörslista!M$8),"",IF($GV12=T$64," DNS ",IFERROR(VLOOKUP($F12,Arrangörslista!M$8:$AG$45,16,FALSE),"DNS")))),IF(ISBLANK(Deltagarlista!$C7),"",IF(ISBLANK(Arrangörslista!M$8),"",IFERROR(VLOOKUP($F12,Arrangörslista!M$8:$AG$45,16,FALSE),"DNS")))))</f>
        <v/>
      </c>
      <c r="U12" s="5" t="str">
        <f>IF(Deltagarlista!$K$3=4,IF(ISBLANK(Deltagarlista!$C7),"",IF(ISBLANK(Arrangörslista!J$53),"",IFERROR(VLOOKUP($F12,Arrangörslista!J$53:$AG$90,16,FALSE),IF(ISBLANK(Deltagarlista!$C7),"",IF(ISBLANK(Arrangörslista!J$53),"",IFERROR(VLOOKUP($F12,Arrangörslista!K$53:$AG$90,16,FALSE),"DNS")))))),IF(Deltagarlista!$K$3=2,
IF(ISBLANK(Deltagarlista!$C7),"",IF(ISBLANK(Arrangörslista!N$8),"",IF($GV12=U$64," DNS ",IFERROR(VLOOKUP($F12,Arrangörslista!N$8:$AG$45,16,FALSE),"DNS")))),IF(ISBLANK(Deltagarlista!$C7),"",IF(ISBLANK(Arrangörslista!N$8),"",IFERROR(VLOOKUP($F12,Arrangörslista!N$8:$AG$45,16,FALSE),"DNS")))))</f>
        <v/>
      </c>
      <c r="V12" s="5" t="str">
        <f>IF(Deltagarlista!$K$3=4,IF(ISBLANK(Deltagarlista!$C7),"",IF(ISBLANK(Arrangörslista!L$53),"",IFERROR(VLOOKUP($F12,Arrangörslista!L$53:$AG$90,16,FALSE),IF(ISBLANK(Deltagarlista!$C7),"",IF(ISBLANK(Arrangörslista!L$53),"",IFERROR(VLOOKUP($F12,Arrangörslista!M$53:$AG$90,16,FALSE),"DNS")))))),IF(Deltagarlista!$K$3=2,
IF(ISBLANK(Deltagarlista!$C7),"",IF(ISBLANK(Arrangörslista!O$8),"",IF($GV12=V$64," DNS ",IFERROR(VLOOKUP($F12,Arrangörslista!O$8:$AG$45,16,FALSE),"DNS")))),IF(ISBLANK(Deltagarlista!$C7),"",IF(ISBLANK(Arrangörslista!O$8),"",IFERROR(VLOOKUP($F12,Arrangörslista!O$8:$AG$45,16,FALSE),"DNS")))))</f>
        <v/>
      </c>
      <c r="W12" s="5" t="str">
        <f>IF(Deltagarlista!$K$3=4,IF(ISBLANK(Deltagarlista!$C7),"",IF(ISBLANK(Arrangörslista!N$53),"",IFERROR(VLOOKUP($F12,Arrangörslista!N$53:$AG$90,16,FALSE),IF(ISBLANK(Deltagarlista!$C7),"",IF(ISBLANK(Arrangörslista!N$53),"",IFERROR(VLOOKUP($F12,Arrangörslista!O$53:$AG$90,16,FALSE),"DNS")))))),IF(Deltagarlista!$K$3=2,
IF(ISBLANK(Deltagarlista!$C7),"",IF(ISBLANK(Arrangörslista!P$8),"",IF($GV12=W$64," DNS ",IFERROR(VLOOKUP($F12,Arrangörslista!P$8:$AG$45,16,FALSE),"DNS")))),IF(ISBLANK(Deltagarlista!$C7),"",IF(ISBLANK(Arrangörslista!P$8),"",IFERROR(VLOOKUP($F12,Arrangörslista!P$8:$AG$45,16,FALSE),"DNS")))))</f>
        <v/>
      </c>
      <c r="X12" s="5" t="str">
        <f>IF(Deltagarlista!$K$3=4,IF(ISBLANK(Deltagarlista!$C7),"",IF(ISBLANK(Arrangörslista!P$53),"",IFERROR(VLOOKUP($F12,Arrangörslista!P$53:$AG$90,16,FALSE),IF(ISBLANK(Deltagarlista!$C7),"",IF(ISBLANK(Arrangörslista!P$53),"",IFERROR(VLOOKUP($F12,Arrangörslista!Q$53:$AG$90,16,FALSE),"DNS")))))),IF(Deltagarlista!$K$3=2,
IF(ISBLANK(Deltagarlista!$C7),"",IF(ISBLANK(Arrangörslista!Q$8),"",IF($GV12=X$64," DNS ",IFERROR(VLOOKUP($F12,Arrangörslista!Q$8:$AG$45,16,FALSE),"DNS")))),IF(ISBLANK(Deltagarlista!$C7),"",IF(ISBLANK(Arrangörslista!Q$8),"",IFERROR(VLOOKUP($F12,Arrangörslista!Q$8:$AG$45,16,FALSE),"DNS")))))</f>
        <v/>
      </c>
      <c r="Y12" s="5" t="str">
        <f>IF(Deltagarlista!$K$3=4,IF(ISBLANK(Deltagarlista!$C7),"",IF(ISBLANK(Arrangörslista!C$98),"",IFERROR(VLOOKUP($F12,Arrangörslista!C$98:$AG$135,16,FALSE),IF(ISBLANK(Deltagarlista!$C7),"",IF(ISBLANK(Arrangörslista!C$98),"",IFERROR(VLOOKUP($F12,Arrangörslista!D$98:$AG$135,16,FALSE),"DNS")))))),IF(Deltagarlista!$K$3=2,
IF(ISBLANK(Deltagarlista!$C7),"",IF(ISBLANK(Arrangörslista!C$53),"",IF($GV12=Y$64," DNS ",IFERROR(VLOOKUP($F12,Arrangörslista!C$53:$AG$90,16,FALSE),"DNS")))),IF(ISBLANK(Deltagarlista!$C7),"",IF(ISBLANK(Arrangörslista!C$53),"",IFERROR(VLOOKUP($F12,Arrangörslista!C$53:$AG$90,16,FALSE),"DNS")))))</f>
        <v/>
      </c>
      <c r="Z12" s="5" t="str">
        <f>IF(Deltagarlista!$K$3=4,IF(ISBLANK(Deltagarlista!$C7),"",IF(ISBLANK(Arrangörslista!E$98),"",IFERROR(VLOOKUP($F12,Arrangörslista!E$98:$AG$135,16,FALSE),IF(ISBLANK(Deltagarlista!$C7),"",IF(ISBLANK(Arrangörslista!E$98),"",IFERROR(VLOOKUP($F12,Arrangörslista!F$98:$AG$135,16,FALSE),"DNS")))))),IF(Deltagarlista!$K$3=2,
IF(ISBLANK(Deltagarlista!$C7),"",IF(ISBLANK(Arrangörslista!D$53),"",IF($GV12=Z$64," DNS ",IFERROR(VLOOKUP($F12,Arrangörslista!D$53:$AG$90,16,FALSE),"DNS")))),IF(ISBLANK(Deltagarlista!$C7),"",IF(ISBLANK(Arrangörslista!D$53),"",IFERROR(VLOOKUP($F12,Arrangörslista!D$53:$AG$90,16,FALSE),"DNS")))))</f>
        <v/>
      </c>
      <c r="AA12" s="5" t="str">
        <f>IF(Deltagarlista!$K$3=4,IF(ISBLANK(Deltagarlista!$C7),"",IF(ISBLANK(Arrangörslista!G$98),"",IFERROR(VLOOKUP($F12,Arrangörslista!G$98:$AG$135,16,FALSE),IF(ISBLANK(Deltagarlista!$C7),"",IF(ISBLANK(Arrangörslista!G$98),"",IFERROR(VLOOKUP($F12,Arrangörslista!H$98:$AG$135,16,FALSE),"DNS")))))),IF(Deltagarlista!$K$3=2,
IF(ISBLANK(Deltagarlista!$C7),"",IF(ISBLANK(Arrangörslista!E$53),"",IF($GV12=AA$64," DNS ",IFERROR(VLOOKUP($F12,Arrangörslista!E$53:$AG$90,16,FALSE),"DNS")))),IF(ISBLANK(Deltagarlista!$C7),"",IF(ISBLANK(Arrangörslista!E$53),"",IFERROR(VLOOKUP($F12,Arrangörslista!E$53:$AG$90,16,FALSE),"DNS")))))</f>
        <v/>
      </c>
      <c r="AB12" s="5" t="str">
        <f>IF(Deltagarlista!$K$3=4,IF(ISBLANK(Deltagarlista!$C7),"",IF(ISBLANK(Arrangörslista!I$98),"",IFERROR(VLOOKUP($F12,Arrangörslista!I$98:$AG$135,16,FALSE),IF(ISBLANK(Deltagarlista!$C7),"",IF(ISBLANK(Arrangörslista!I$98),"",IFERROR(VLOOKUP($F12,Arrangörslista!J$98:$AG$135,16,FALSE),"DNS")))))),IF(Deltagarlista!$K$3=2,
IF(ISBLANK(Deltagarlista!$C7),"",IF(ISBLANK(Arrangörslista!F$53),"",IF($GV12=AB$64," DNS ",IFERROR(VLOOKUP($F12,Arrangörslista!F$53:$AG$90,16,FALSE),"DNS")))),IF(ISBLANK(Deltagarlista!$C7),"",IF(ISBLANK(Arrangörslista!F$53),"",IFERROR(VLOOKUP($F12,Arrangörslista!F$53:$AG$90,16,FALSE),"DNS")))))</f>
        <v/>
      </c>
      <c r="AC12" s="5" t="str">
        <f>IF(Deltagarlista!$K$3=4,IF(ISBLANK(Deltagarlista!$C7),"",IF(ISBLANK(Arrangörslista!K$98),"",IFERROR(VLOOKUP($F12,Arrangörslista!K$98:$AG$135,16,FALSE),IF(ISBLANK(Deltagarlista!$C7),"",IF(ISBLANK(Arrangörslista!K$98),"",IFERROR(VLOOKUP($F12,Arrangörslista!L$98:$AG$135,16,FALSE),"DNS")))))),IF(Deltagarlista!$K$3=2,
IF(ISBLANK(Deltagarlista!$C7),"",IF(ISBLANK(Arrangörslista!G$53),"",IF($GV12=AC$64," DNS ",IFERROR(VLOOKUP($F12,Arrangörslista!G$53:$AG$90,16,FALSE),"DNS")))),IF(ISBLANK(Deltagarlista!$C7),"",IF(ISBLANK(Arrangörslista!G$53),"",IFERROR(VLOOKUP($F12,Arrangörslista!G$53:$AG$90,16,FALSE),"DNS")))))</f>
        <v/>
      </c>
      <c r="AD12" s="5" t="str">
        <f>IF(Deltagarlista!$K$3=4,IF(ISBLANK(Deltagarlista!$C7),"",IF(ISBLANK(Arrangörslista!M$98),"",IFERROR(VLOOKUP($F12,Arrangörslista!M$98:$AG$135,16,FALSE),IF(ISBLANK(Deltagarlista!$C7),"",IF(ISBLANK(Arrangörslista!M$98),"",IFERROR(VLOOKUP($F12,Arrangörslista!N$98:$AG$135,16,FALSE),"DNS")))))),IF(Deltagarlista!$K$3=2,
IF(ISBLANK(Deltagarlista!$C7),"",IF(ISBLANK(Arrangörslista!H$53),"",IF($GV12=AD$64," DNS ",IFERROR(VLOOKUP($F12,Arrangörslista!H$53:$AG$90,16,FALSE),"DNS")))),IF(ISBLANK(Deltagarlista!$C7),"",IF(ISBLANK(Arrangörslista!H$53),"",IFERROR(VLOOKUP($F12,Arrangörslista!H$53:$AG$90,16,FALSE),"DNS")))))</f>
        <v/>
      </c>
      <c r="AE12" s="5" t="str">
        <f>IF(Deltagarlista!$K$3=4,IF(ISBLANK(Deltagarlista!$C7),"",IF(ISBLANK(Arrangörslista!O$98),"",IFERROR(VLOOKUP($F12,Arrangörslista!O$98:$AG$135,16,FALSE),IF(ISBLANK(Deltagarlista!$C7),"",IF(ISBLANK(Arrangörslista!O$98),"",IFERROR(VLOOKUP($F12,Arrangörslista!P$98:$AG$135,16,FALSE),"DNS")))))),IF(Deltagarlista!$K$3=2,
IF(ISBLANK(Deltagarlista!$C7),"",IF(ISBLANK(Arrangörslista!I$53),"",IF($GV12=AE$64," DNS ",IFERROR(VLOOKUP($F12,Arrangörslista!I$53:$AG$90,16,FALSE),"DNS")))),IF(ISBLANK(Deltagarlista!$C7),"",IF(ISBLANK(Arrangörslista!I$53),"",IFERROR(VLOOKUP($F12,Arrangörslista!I$53:$AG$90,16,FALSE),"DNS")))))</f>
        <v/>
      </c>
      <c r="AF12" s="5" t="str">
        <f>IF(Deltagarlista!$K$3=4,IF(ISBLANK(Deltagarlista!$C7),"",IF(ISBLANK(Arrangörslista!Q$98),"",IFERROR(VLOOKUP($F12,Arrangörslista!Q$98:$AG$135,16,FALSE),IF(ISBLANK(Deltagarlista!$C7),"",IF(ISBLANK(Arrangörslista!Q$98),"",IFERROR(VLOOKUP($F12,Arrangörslista!C$143:$AG$180,16,FALSE),"DNS")))))),IF(Deltagarlista!$K$3=2,
IF(ISBLANK(Deltagarlista!$C7),"",IF(ISBLANK(Arrangörslista!J$53),"",IF($GV12=AF$64," DNS ",IFERROR(VLOOKUP($F12,Arrangörslista!J$53:$AG$90,16,FALSE),"DNS")))),IF(ISBLANK(Deltagarlista!$C7),"",IF(ISBLANK(Arrangörslista!J$53),"",IFERROR(VLOOKUP($F12,Arrangörslista!J$53:$AG$90,16,FALSE),"DNS")))))</f>
        <v/>
      </c>
      <c r="AG12" s="5" t="str">
        <f>IF(Deltagarlista!$K$3=4,IF(ISBLANK(Deltagarlista!$C7),"",IF(ISBLANK(Arrangörslista!D$143),"",IFERROR(VLOOKUP($F12,Arrangörslista!D$143:$AG$180,16,FALSE),IF(ISBLANK(Deltagarlista!$C7),"",IF(ISBLANK(Arrangörslista!D$143),"",IFERROR(VLOOKUP($F12,Arrangörslista!E$143:$AG$180,16,FALSE),"DNS")))))),IF(Deltagarlista!$K$3=2,
IF(ISBLANK(Deltagarlista!$C7),"",IF(ISBLANK(Arrangörslista!K$53),"",IF($GV12=AG$64," DNS ",IFERROR(VLOOKUP($F12,Arrangörslista!K$53:$AG$90,16,FALSE),"DNS")))),IF(ISBLANK(Deltagarlista!$C7),"",IF(ISBLANK(Arrangörslista!K$53),"",IFERROR(VLOOKUP($F12,Arrangörslista!K$53:$AG$90,16,FALSE),"DNS")))))</f>
        <v/>
      </c>
      <c r="AH12" s="5" t="str">
        <f>IF(Deltagarlista!$K$3=4,IF(ISBLANK(Deltagarlista!$C7),"",IF(ISBLANK(Arrangörslista!F$143),"",IFERROR(VLOOKUP($F12,Arrangörslista!F$143:$AG$180,16,FALSE),IF(ISBLANK(Deltagarlista!$C7),"",IF(ISBLANK(Arrangörslista!F$143),"",IFERROR(VLOOKUP($F12,Arrangörslista!G$143:$AG$180,16,FALSE),"DNS")))))),IF(Deltagarlista!$K$3=2,
IF(ISBLANK(Deltagarlista!$C7),"",IF(ISBLANK(Arrangörslista!L$53),"",IF($GV12=AH$64," DNS ",IFERROR(VLOOKUP($F12,Arrangörslista!L$53:$AG$90,16,FALSE),"DNS")))),IF(ISBLANK(Deltagarlista!$C7),"",IF(ISBLANK(Arrangörslista!L$53),"",IFERROR(VLOOKUP($F12,Arrangörslista!L$53:$AG$90,16,FALSE),"DNS")))))</f>
        <v/>
      </c>
      <c r="AI12" s="5" t="str">
        <f>IF(Deltagarlista!$K$3=4,IF(ISBLANK(Deltagarlista!$C7),"",IF(ISBLANK(Arrangörslista!H$143),"",IFERROR(VLOOKUP($F12,Arrangörslista!H$143:$AG$180,16,FALSE),IF(ISBLANK(Deltagarlista!$C7),"",IF(ISBLANK(Arrangörslista!H$143),"",IFERROR(VLOOKUP($F12,Arrangörslista!I$143:$AG$180,16,FALSE),"DNS")))))),IF(Deltagarlista!$K$3=2,
IF(ISBLANK(Deltagarlista!$C7),"",IF(ISBLANK(Arrangörslista!M$53),"",IF($GV12=AI$64," DNS ",IFERROR(VLOOKUP($F12,Arrangörslista!M$53:$AG$90,16,FALSE),"DNS")))),IF(ISBLANK(Deltagarlista!$C7),"",IF(ISBLANK(Arrangörslista!M$53),"",IFERROR(VLOOKUP($F12,Arrangörslista!M$53:$AG$90,16,FALSE),"DNS")))))</f>
        <v/>
      </c>
      <c r="AJ12" s="5" t="str">
        <f>IF(Deltagarlista!$K$3=4,IF(ISBLANK(Deltagarlista!$C7),"",IF(ISBLANK(Arrangörslista!J$143),"",IFERROR(VLOOKUP($F12,Arrangörslista!J$143:$AG$180,16,FALSE),IF(ISBLANK(Deltagarlista!$C7),"",IF(ISBLANK(Arrangörslista!J$143),"",IFERROR(VLOOKUP($F12,Arrangörslista!K$143:$AG$180,16,FALSE),"DNS")))))),IF(Deltagarlista!$K$3=2,
IF(ISBLANK(Deltagarlista!$C7),"",IF(ISBLANK(Arrangörslista!N$53),"",IF($GV12=AJ$64," DNS ",IFERROR(VLOOKUP($F12,Arrangörslista!N$53:$AG$90,16,FALSE),"DNS")))),IF(ISBLANK(Deltagarlista!$C7),"",IF(ISBLANK(Arrangörslista!N$53),"",IFERROR(VLOOKUP($F12,Arrangörslista!N$53:$AG$90,16,FALSE),"DNS")))))</f>
        <v/>
      </c>
      <c r="AK12" s="5" t="str">
        <f>IF(Deltagarlista!$K$3=4,IF(ISBLANK(Deltagarlista!$C7),"",IF(ISBLANK(Arrangörslista!L$143),"",IFERROR(VLOOKUP($F12,Arrangörslista!L$143:$AG$180,16,FALSE),IF(ISBLANK(Deltagarlista!$C7),"",IF(ISBLANK(Arrangörslista!L$143),"",IFERROR(VLOOKUP($F12,Arrangörslista!M$143:$AG$180,16,FALSE),"DNS")))))),IF(Deltagarlista!$K$3=2,
IF(ISBLANK(Deltagarlista!$C7),"",IF(ISBLANK(Arrangörslista!O$53),"",IF($GV12=AK$64," DNS ",IFERROR(VLOOKUP($F12,Arrangörslista!O$53:$AG$90,16,FALSE),"DNS")))),IF(ISBLANK(Deltagarlista!$C7),"",IF(ISBLANK(Arrangörslista!O$53),"",IFERROR(VLOOKUP($F12,Arrangörslista!O$53:$AG$90,16,FALSE),"DNS")))))</f>
        <v/>
      </c>
      <c r="AL12" s="5" t="str">
        <f>IF(Deltagarlista!$K$3=4,IF(ISBLANK(Deltagarlista!$C7),"",IF(ISBLANK(Arrangörslista!N$143),"",IFERROR(VLOOKUP($F12,Arrangörslista!N$143:$AG$180,16,FALSE),IF(ISBLANK(Deltagarlista!$C7),"",IF(ISBLANK(Arrangörslista!N$143),"",IFERROR(VLOOKUP($F12,Arrangörslista!O$143:$AG$180,16,FALSE),"DNS")))))),IF(Deltagarlista!$K$3=2,
IF(ISBLANK(Deltagarlista!$C7),"",IF(ISBLANK(Arrangörslista!P$53),"",IF($GV12=AL$64," DNS ",IFERROR(VLOOKUP($F12,Arrangörslista!P$53:$AG$90,16,FALSE),"DNS")))),IF(ISBLANK(Deltagarlista!$C7),"",IF(ISBLANK(Arrangörslista!P$53),"",IFERROR(VLOOKUP($F12,Arrangörslista!P$53:$AG$90,16,FALSE),"DNS")))))</f>
        <v/>
      </c>
      <c r="AM12" s="5" t="str">
        <f>IF(Deltagarlista!$K$3=4,IF(ISBLANK(Deltagarlista!$C7),"",IF(ISBLANK(Arrangörslista!P$143),"",IFERROR(VLOOKUP($F12,Arrangörslista!P$143:$AG$180,16,FALSE),IF(ISBLANK(Deltagarlista!$C7),"",IF(ISBLANK(Arrangörslista!P$143),"",IFERROR(VLOOKUP($F12,Arrangörslista!Q$143:$AG$180,16,FALSE),"DNS")))))),IF(Deltagarlista!$K$3=2,
IF(ISBLANK(Deltagarlista!$C7),"",IF(ISBLANK(Arrangörslista!Q$53),"",IF($GV12=AM$64," DNS ",IFERROR(VLOOKUP($F12,Arrangörslista!Q$53:$AG$90,16,FALSE),"DNS")))),IF(ISBLANK(Deltagarlista!$C7),"",IF(ISBLANK(Arrangörslista!Q$53),"",IFERROR(VLOOKUP($F12,Arrangörslista!Q$53:$AG$90,16,FALSE),"DNS")))))</f>
        <v/>
      </c>
      <c r="AN12" s="5" t="str">
        <f>IF(Deltagarlista!$K$3=2,
IF(ISBLANK(Deltagarlista!$C7),"",IF(ISBLANK(Arrangörslista!C$98),"",IF($GV12=AN$64," DNS ",IFERROR(VLOOKUP($F12,Arrangörslista!C$98:$AG$135,16,FALSE), "DNS")))), IF(Deltagarlista!$K$3=1,IF(ISBLANK(Deltagarlista!$C7),"",IF(ISBLANK(Arrangörslista!C$98),"",IFERROR(VLOOKUP($F12,Arrangörslista!C$98:$AG$135,16,FALSE), "DNS"))),""))</f>
        <v/>
      </c>
      <c r="AO12" s="5" t="str">
        <f>IF(Deltagarlista!$K$3=2,
IF(ISBLANK(Deltagarlista!$C7),"",IF(ISBLANK(Arrangörslista!D$98),"",IF($GV12=AO$64," DNS ",IFERROR(VLOOKUP($F12,Arrangörslista!D$98:$AG$135,16,FALSE), "DNS")))), IF(Deltagarlista!$K$3=1,IF(ISBLANK(Deltagarlista!$C7),"",IF(ISBLANK(Arrangörslista!D$98),"",IFERROR(VLOOKUP($F12,Arrangörslista!D$98:$AG$135,16,FALSE), "DNS"))),""))</f>
        <v/>
      </c>
      <c r="AP12" s="5" t="str">
        <f>IF(Deltagarlista!$K$3=2,
IF(ISBLANK(Deltagarlista!$C7),"",IF(ISBLANK(Arrangörslista!E$98),"",IF($GV12=AP$64," DNS ",IFERROR(VLOOKUP($F12,Arrangörslista!E$98:$AG$135,16,FALSE), "DNS")))), IF(Deltagarlista!$K$3=1,IF(ISBLANK(Deltagarlista!$C7),"",IF(ISBLANK(Arrangörslista!E$98),"",IFERROR(VLOOKUP($F12,Arrangörslista!E$98:$AG$135,16,FALSE), "DNS"))),""))</f>
        <v/>
      </c>
      <c r="AQ12" s="5" t="str">
        <f>IF(Deltagarlista!$K$3=2,
IF(ISBLANK(Deltagarlista!$C7),"",IF(ISBLANK(Arrangörslista!F$98),"",IF($GV12=AQ$64," DNS ",IFERROR(VLOOKUP($F12,Arrangörslista!F$98:$AG$135,16,FALSE), "DNS")))), IF(Deltagarlista!$K$3=1,IF(ISBLANK(Deltagarlista!$C7),"",IF(ISBLANK(Arrangörslista!F$98),"",IFERROR(VLOOKUP($F12,Arrangörslista!F$98:$AG$135,16,FALSE), "DNS"))),""))</f>
        <v/>
      </c>
      <c r="AR12" s="5" t="str">
        <f>IF(Deltagarlista!$K$3=2,
IF(ISBLANK(Deltagarlista!$C7),"",IF(ISBLANK(Arrangörslista!G$98),"",IF($GV12=AR$64," DNS ",IFERROR(VLOOKUP($F12,Arrangörslista!G$98:$AG$135,16,FALSE), "DNS")))), IF(Deltagarlista!$K$3=1,IF(ISBLANK(Deltagarlista!$C7),"",IF(ISBLANK(Arrangörslista!G$98),"",IFERROR(VLOOKUP($F12,Arrangörslista!G$98:$AG$135,16,FALSE), "DNS"))),""))</f>
        <v/>
      </c>
      <c r="AS12" s="5" t="str">
        <f>IF(Deltagarlista!$K$3=2,
IF(ISBLANK(Deltagarlista!$C7),"",IF(ISBLANK(Arrangörslista!H$98),"",IF($GV12=AS$64," DNS ",IFERROR(VLOOKUP($F12,Arrangörslista!H$98:$AG$135,16,FALSE), "DNS")))), IF(Deltagarlista!$K$3=1,IF(ISBLANK(Deltagarlista!$C7),"",IF(ISBLANK(Arrangörslista!H$98),"",IFERROR(VLOOKUP($F12,Arrangörslista!H$98:$AG$135,16,FALSE), "DNS"))),""))</f>
        <v/>
      </c>
      <c r="AT12" s="5" t="str">
        <f>IF(Deltagarlista!$K$3=2,
IF(ISBLANK(Deltagarlista!$C7),"",IF(ISBLANK(Arrangörslista!I$98),"",IF($GV12=AT$64," DNS ",IFERROR(VLOOKUP($F12,Arrangörslista!I$98:$AG$135,16,FALSE), "DNS")))), IF(Deltagarlista!$K$3=1,IF(ISBLANK(Deltagarlista!$C7),"",IF(ISBLANK(Arrangörslista!I$98),"",IFERROR(VLOOKUP($F12,Arrangörslista!I$98:$AG$135,16,FALSE), "DNS"))),""))</f>
        <v/>
      </c>
      <c r="AU12" s="5" t="str">
        <f>IF(Deltagarlista!$K$3=2,
IF(ISBLANK(Deltagarlista!$C7),"",IF(ISBLANK(Arrangörslista!J$98),"",IF($GV12=AU$64," DNS ",IFERROR(VLOOKUP($F12,Arrangörslista!J$98:$AG$135,16,FALSE), "DNS")))), IF(Deltagarlista!$K$3=1,IF(ISBLANK(Deltagarlista!$C7),"",IF(ISBLANK(Arrangörslista!J$98),"",IFERROR(VLOOKUP($F12,Arrangörslista!J$98:$AG$135,16,FALSE), "DNS"))),""))</f>
        <v/>
      </c>
      <c r="AV12" s="5" t="str">
        <f>IF(Deltagarlista!$K$3=2,
IF(ISBLANK(Deltagarlista!$C7),"",IF(ISBLANK(Arrangörslista!K$98),"",IF($GV12=AV$64," DNS ",IFERROR(VLOOKUP($F12,Arrangörslista!K$98:$AG$135,16,FALSE), "DNS")))), IF(Deltagarlista!$K$3=1,IF(ISBLANK(Deltagarlista!$C7),"",IF(ISBLANK(Arrangörslista!K$98),"",IFERROR(VLOOKUP($F12,Arrangörslista!K$98:$AG$135,16,FALSE), "DNS"))),""))</f>
        <v/>
      </c>
      <c r="AW12" s="5" t="str">
        <f>IF(Deltagarlista!$K$3=2,
IF(ISBLANK(Deltagarlista!$C7),"",IF(ISBLANK(Arrangörslista!L$98),"",IF($GV12=AW$64," DNS ",IFERROR(VLOOKUP($F12,Arrangörslista!L$98:$AG$135,16,FALSE), "DNS")))), IF(Deltagarlista!$K$3=1,IF(ISBLANK(Deltagarlista!$C7),"",IF(ISBLANK(Arrangörslista!L$98),"",IFERROR(VLOOKUP($F12,Arrangörslista!L$98:$AG$135,16,FALSE), "DNS"))),""))</f>
        <v/>
      </c>
      <c r="AX12" s="5" t="str">
        <f>IF(Deltagarlista!$K$3=2,
IF(ISBLANK(Deltagarlista!$C7),"",IF(ISBLANK(Arrangörslista!M$98),"",IF($GV12=AX$64," DNS ",IFERROR(VLOOKUP($F12,Arrangörslista!M$98:$AG$135,16,FALSE), "DNS")))), IF(Deltagarlista!$K$3=1,IF(ISBLANK(Deltagarlista!$C7),"",IF(ISBLANK(Arrangörslista!M$98),"",IFERROR(VLOOKUP($F12,Arrangörslista!M$98:$AG$135,16,FALSE), "DNS"))),""))</f>
        <v/>
      </c>
      <c r="AY12" s="5" t="str">
        <f>IF(Deltagarlista!$K$3=2,
IF(ISBLANK(Deltagarlista!$C7),"",IF(ISBLANK(Arrangörslista!N$98),"",IF($GV12=AY$64," DNS ",IFERROR(VLOOKUP($F12,Arrangörslista!N$98:$AG$135,16,FALSE), "DNS")))), IF(Deltagarlista!$K$3=1,IF(ISBLANK(Deltagarlista!$C7),"",IF(ISBLANK(Arrangörslista!N$98),"",IFERROR(VLOOKUP($F12,Arrangörslista!N$98:$AG$135,16,FALSE), "DNS"))),""))</f>
        <v/>
      </c>
      <c r="AZ12" s="5" t="str">
        <f>IF(Deltagarlista!$K$3=2,
IF(ISBLANK(Deltagarlista!$C7),"",IF(ISBLANK(Arrangörslista!O$98),"",IF($GV12=AZ$64," DNS ",IFERROR(VLOOKUP($F12,Arrangörslista!O$98:$AG$135,16,FALSE), "DNS")))), IF(Deltagarlista!$K$3=1,IF(ISBLANK(Deltagarlista!$C7),"",IF(ISBLANK(Arrangörslista!O$98),"",IFERROR(VLOOKUP($F12,Arrangörslista!O$98:$AG$135,16,FALSE), "DNS"))),""))</f>
        <v/>
      </c>
      <c r="BA12" s="5" t="str">
        <f>IF(Deltagarlista!$K$3=2,
IF(ISBLANK(Deltagarlista!$C7),"",IF(ISBLANK(Arrangörslista!P$98),"",IF($GV12=BA$64," DNS ",IFERROR(VLOOKUP($F12,Arrangörslista!P$98:$AG$135,16,FALSE), "DNS")))), IF(Deltagarlista!$K$3=1,IF(ISBLANK(Deltagarlista!$C7),"",IF(ISBLANK(Arrangörslista!P$98),"",IFERROR(VLOOKUP($F12,Arrangörslista!P$98:$AG$135,16,FALSE), "DNS"))),""))</f>
        <v/>
      </c>
      <c r="BB12" s="5" t="str">
        <f>IF(Deltagarlista!$K$3=2,
IF(ISBLANK(Deltagarlista!$C7),"",IF(ISBLANK(Arrangörslista!Q$98),"",IF($GV12=BB$64," DNS ",IFERROR(VLOOKUP($F12,Arrangörslista!Q$98:$AG$135,16,FALSE), "DNS")))), IF(Deltagarlista!$K$3=1,IF(ISBLANK(Deltagarlista!$C7),"",IF(ISBLANK(Arrangörslista!Q$98),"",IFERROR(VLOOKUP($F12,Arrangörslista!Q$98:$AG$135,16,FALSE), "DNS"))),""))</f>
        <v/>
      </c>
      <c r="BC12" s="5" t="str">
        <f>IF(Deltagarlista!$K$3=2,
IF(ISBLANK(Deltagarlista!$C7),"",IF(ISBLANK(Arrangörslista!C$143),"",IF($GV12=BC$64," DNS ",IFERROR(VLOOKUP($F12,Arrangörslista!C$143:$AG$180,16,FALSE), "DNS")))), IF(Deltagarlista!$K$3=1,IF(ISBLANK(Deltagarlista!$C7),"",IF(ISBLANK(Arrangörslista!C$143),"",IFERROR(VLOOKUP($F12,Arrangörslista!C$143:$AG$180,16,FALSE), "DNS"))),""))</f>
        <v/>
      </c>
      <c r="BD12" s="5" t="str">
        <f>IF(Deltagarlista!$K$3=2,
IF(ISBLANK(Deltagarlista!$C7),"",IF(ISBLANK(Arrangörslista!D$143),"",IF($GV12=BD$64," DNS ",IFERROR(VLOOKUP($F12,Arrangörslista!D$143:$AG$180,16,FALSE), "DNS")))), IF(Deltagarlista!$K$3=1,IF(ISBLANK(Deltagarlista!$C7),"",IF(ISBLANK(Arrangörslista!D$143),"",IFERROR(VLOOKUP($F12,Arrangörslista!D$143:$AG$180,16,FALSE), "DNS"))),""))</f>
        <v/>
      </c>
      <c r="BE12" s="5" t="str">
        <f>IF(Deltagarlista!$K$3=2,
IF(ISBLANK(Deltagarlista!$C7),"",IF(ISBLANK(Arrangörslista!E$143),"",IF($GV12=BE$64," DNS ",IFERROR(VLOOKUP($F12,Arrangörslista!E$143:$AG$180,16,FALSE), "DNS")))), IF(Deltagarlista!$K$3=1,IF(ISBLANK(Deltagarlista!$C7),"",IF(ISBLANK(Arrangörslista!E$143),"",IFERROR(VLOOKUP($F12,Arrangörslista!E$143:$AG$180,16,FALSE), "DNS"))),""))</f>
        <v/>
      </c>
      <c r="BF12" s="5" t="str">
        <f>IF(Deltagarlista!$K$3=2,
IF(ISBLANK(Deltagarlista!$C7),"",IF(ISBLANK(Arrangörslista!F$143),"",IF($GV12=BF$64," DNS ",IFERROR(VLOOKUP($F12,Arrangörslista!F$143:$AG$180,16,FALSE), "DNS")))), IF(Deltagarlista!$K$3=1,IF(ISBLANK(Deltagarlista!$C7),"",IF(ISBLANK(Arrangörslista!F$143),"",IFERROR(VLOOKUP($F12,Arrangörslista!F$143:$AG$180,16,FALSE), "DNS"))),""))</f>
        <v/>
      </c>
      <c r="BG12" s="5" t="str">
        <f>IF(Deltagarlista!$K$3=2,
IF(ISBLANK(Deltagarlista!$C7),"",IF(ISBLANK(Arrangörslista!G$143),"",IF($GV12=BG$64," DNS ",IFERROR(VLOOKUP($F12,Arrangörslista!G$143:$AG$180,16,FALSE), "DNS")))), IF(Deltagarlista!$K$3=1,IF(ISBLANK(Deltagarlista!$C7),"",IF(ISBLANK(Arrangörslista!G$143),"",IFERROR(VLOOKUP($F12,Arrangörslista!G$143:$AG$180,16,FALSE), "DNS"))),""))</f>
        <v/>
      </c>
      <c r="BH12" s="5" t="str">
        <f>IF(Deltagarlista!$K$3=2,
IF(ISBLANK(Deltagarlista!$C7),"",IF(ISBLANK(Arrangörslista!H$143),"",IF($GV12=BH$64," DNS ",IFERROR(VLOOKUP($F12,Arrangörslista!H$143:$AG$180,16,FALSE), "DNS")))), IF(Deltagarlista!$K$3=1,IF(ISBLANK(Deltagarlista!$C7),"",IF(ISBLANK(Arrangörslista!H$143),"",IFERROR(VLOOKUP($F12,Arrangörslista!H$143:$AG$180,16,FALSE), "DNS"))),""))</f>
        <v/>
      </c>
      <c r="BI12" s="5" t="str">
        <f>IF(Deltagarlista!$K$3=2,
IF(ISBLANK(Deltagarlista!$C7),"",IF(ISBLANK(Arrangörslista!I$143),"",IF($GV12=BI$64," DNS ",IFERROR(VLOOKUP($F12,Arrangörslista!I$143:$AG$180,16,FALSE), "DNS")))), IF(Deltagarlista!$K$3=1,IF(ISBLANK(Deltagarlista!$C7),"",IF(ISBLANK(Arrangörslista!I$143),"",IFERROR(VLOOKUP($F12,Arrangörslista!I$143:$AG$180,16,FALSE), "DNS"))),""))</f>
        <v/>
      </c>
      <c r="BJ12" s="5" t="str">
        <f>IF(Deltagarlista!$K$3=2,
IF(ISBLANK(Deltagarlista!$C7),"",IF(ISBLANK(Arrangörslista!J$143),"",IF($GV12=BJ$64," DNS ",IFERROR(VLOOKUP($F12,Arrangörslista!J$143:$AG$180,16,FALSE), "DNS")))), IF(Deltagarlista!$K$3=1,IF(ISBLANK(Deltagarlista!$C7),"",IF(ISBLANK(Arrangörslista!J$143),"",IFERROR(VLOOKUP($F12,Arrangörslista!J$143:$AG$180,16,FALSE), "DNS"))),""))</f>
        <v/>
      </c>
      <c r="BK12" s="5" t="str">
        <f>IF(Deltagarlista!$K$3=2,
IF(ISBLANK(Deltagarlista!$C7),"",IF(ISBLANK(Arrangörslista!K$143),"",IF($GV12=BK$64," DNS ",IFERROR(VLOOKUP($F12,Arrangörslista!K$143:$AG$180,16,FALSE), "DNS")))), IF(Deltagarlista!$K$3=1,IF(ISBLANK(Deltagarlista!$C7),"",IF(ISBLANK(Arrangörslista!K$143),"",IFERROR(VLOOKUP($F12,Arrangörslista!K$143:$AG$180,16,FALSE), "DNS"))),""))</f>
        <v/>
      </c>
      <c r="BL12" s="5" t="str">
        <f>IF(Deltagarlista!$K$3=2,
IF(ISBLANK(Deltagarlista!$C7),"",IF(ISBLANK(Arrangörslista!L$143),"",IF($GV12=BL$64," DNS ",IFERROR(VLOOKUP($F12,Arrangörslista!L$143:$AG$180,16,FALSE), "DNS")))), IF(Deltagarlista!$K$3=1,IF(ISBLANK(Deltagarlista!$C7),"",IF(ISBLANK(Arrangörslista!L$143),"",IFERROR(VLOOKUP($F12,Arrangörslista!L$143:$AG$180,16,FALSE), "DNS"))),""))</f>
        <v/>
      </c>
      <c r="BM12" s="5" t="str">
        <f>IF(Deltagarlista!$K$3=2,
IF(ISBLANK(Deltagarlista!$C7),"",IF(ISBLANK(Arrangörslista!M$143),"",IF($GV12=BM$64," DNS ",IFERROR(VLOOKUP($F12,Arrangörslista!M$143:$AG$180,16,FALSE), "DNS")))), IF(Deltagarlista!$K$3=1,IF(ISBLANK(Deltagarlista!$C7),"",IF(ISBLANK(Arrangörslista!M$143),"",IFERROR(VLOOKUP($F12,Arrangörslista!M$143:$AG$180,16,FALSE), "DNS"))),""))</f>
        <v/>
      </c>
      <c r="BN12" s="5" t="str">
        <f>IF(Deltagarlista!$K$3=2,
IF(ISBLANK(Deltagarlista!$C7),"",IF(ISBLANK(Arrangörslista!N$143),"",IF($GV12=BN$64," DNS ",IFERROR(VLOOKUP($F12,Arrangörslista!N$143:$AG$180,16,FALSE), "DNS")))), IF(Deltagarlista!$K$3=1,IF(ISBLANK(Deltagarlista!$C7),"",IF(ISBLANK(Arrangörslista!N$143),"",IFERROR(VLOOKUP($F12,Arrangörslista!N$143:$AG$180,16,FALSE), "DNS"))),""))</f>
        <v/>
      </c>
      <c r="BO12" s="5" t="str">
        <f>IF(Deltagarlista!$K$3=2,
IF(ISBLANK(Deltagarlista!$C7),"",IF(ISBLANK(Arrangörslista!O$143),"",IF($GV12=BO$64," DNS ",IFERROR(VLOOKUP($F12,Arrangörslista!O$143:$AG$180,16,FALSE), "DNS")))), IF(Deltagarlista!$K$3=1,IF(ISBLANK(Deltagarlista!$C7),"",IF(ISBLANK(Arrangörslista!O$143),"",IFERROR(VLOOKUP($F12,Arrangörslista!O$143:$AG$180,16,FALSE), "DNS"))),""))</f>
        <v/>
      </c>
      <c r="BP12" s="5" t="str">
        <f>IF(Deltagarlista!$K$3=2,
IF(ISBLANK(Deltagarlista!$C7),"",IF(ISBLANK(Arrangörslista!P$143),"",IF($GV12=BP$64," DNS ",IFERROR(VLOOKUP($F12,Arrangörslista!P$143:$AG$180,16,FALSE), "DNS")))), IF(Deltagarlista!$K$3=1,IF(ISBLANK(Deltagarlista!$C7),"",IF(ISBLANK(Arrangörslista!P$143),"",IFERROR(VLOOKUP($F12,Arrangörslista!P$143:$AG$180,16,FALSE), "DNS"))),""))</f>
        <v/>
      </c>
      <c r="BQ12" s="80" t="str">
        <f>IF(Deltagarlista!$K$3=2,
IF(ISBLANK(Deltagarlista!$C7),"",IF(ISBLANK(Arrangörslista!Q$143),"",IF($GV12=BQ$64," DNS ",IFERROR(VLOOKUP($F12,Arrangörslista!Q$143:$AG$180,16,FALSE), "DNS")))), IF(Deltagarlista!$K$3=1,IF(ISBLANK(Deltagarlista!$C7),"",IF(ISBLANK(Arrangörslista!Q$143),"",IFERROR(VLOOKUP($F12,Arrangörslista!Q$143:$AG$180,16,FALSE), "DNS"))),""))</f>
        <v/>
      </c>
      <c r="BR12" s="51"/>
      <c r="BS12" s="51"/>
      <c r="BT12" s="51"/>
      <c r="BU12" s="71">
        <f>SUM(BV12:EC12)</f>
        <v>0</v>
      </c>
      <c r="BV12" s="61">
        <f>IF(J12="",0,IF(OR(J12="DNF",J12="OCS",J12="DSQ",J12="DNS",J12=" DNS "),$BW$3+1,J12))</f>
        <v>0</v>
      </c>
      <c r="BW12" s="61">
        <f>IF(K12="",0,IF(OR(K12="DNF",K12="OCS",K12="DSQ",K12="DNS",K12=" DNS "),$BW$3+1,K12))</f>
        <v>0</v>
      </c>
      <c r="BX12" s="61">
        <f>IF(L12="",0,IF(OR(L12="DNF",L12="OCS",L12="DSQ",L12="DNS",L12=" DNS "),$BW$3+1,L12))</f>
        <v>0</v>
      </c>
      <c r="BY12" s="61">
        <f>IF(M12="",0,IF(OR(M12="DNF",M12="OCS",M12="DSQ",M12="DNS",M12=" DNS "),$BW$3+1,M12))</f>
        <v>0</v>
      </c>
      <c r="BZ12" s="61">
        <f>IF(N12="",0,IF(OR(N12="DNF",N12="OCS",N12="DSQ",N12="DNS",N12=" DNS "),$BW$3+1,N12))</f>
        <v>0</v>
      </c>
      <c r="CA12" s="61">
        <f>IF(O12="",0,IF(OR(O12="DNF",O12="OCS",O12="DSQ",O12="DNS",O12=" DNS "),$BW$3+1,O12))</f>
        <v>0</v>
      </c>
      <c r="CB12" s="61">
        <f>IF(P12="",0,IF(OR(P12="DNF",P12="OCS",P12="DSQ",P12="DNS",P12=" DNS "),$BW$3+1,P12))</f>
        <v>0</v>
      </c>
      <c r="CC12" s="61">
        <f>IF(Q12="",0,IF(OR(Q12="DNF",Q12="OCS",Q12="DSQ",Q12="DNS",Q12=" DNS "),$BW$3+1,Q12))</f>
        <v>0</v>
      </c>
      <c r="CD12" s="61">
        <f>IF(R12="",0,IF(OR(R12="DNF",R12="OCS",R12="DSQ",R12="DNS",R12=" DNS "),$BW$3+1,R12))</f>
        <v>0</v>
      </c>
      <c r="CE12" s="61">
        <f>IF(S12="",0,IF(OR(S12="DNF",S12="OCS",S12="DSQ",S12="DNS",S12=" DNS "),$BW$3+1,S12))</f>
        <v>0</v>
      </c>
      <c r="CF12" s="61">
        <f>IF(T12="",0,IF(OR(T12="DNF",T12="OCS",T12="DSQ",T12="DNS",T12=" DNS "),$BW$3+1,T12))</f>
        <v>0</v>
      </c>
      <c r="CG12" s="61">
        <f>IF(U12="",0,IF(OR(U12="DNF",U12="OCS",U12="DSQ",U12="DNS",U12=" DNS "),$BW$3+1,U12))</f>
        <v>0</v>
      </c>
      <c r="CH12" s="61">
        <f>IF(V12="",0,IF(OR(V12="DNF",V12="OCS",V12="DSQ",V12="DNS",V12=" DNS "),$BW$3+1,V12))</f>
        <v>0</v>
      </c>
      <c r="CI12" s="61">
        <f>IF(W12="",0,IF(OR(W12="DNF",W12="OCS",W12="DSQ",W12="DNS",W12=" DNS "),$BW$3+1,W12))</f>
        <v>0</v>
      </c>
      <c r="CJ12" s="61">
        <f>IF(X12="",0,IF(OR(X12="DNF",X12="OCS",X12="DSQ",X12="DNS",X12=" DNS "),$BW$3+1,X12))</f>
        <v>0</v>
      </c>
      <c r="CK12" s="61">
        <f>IF(Y12="",0,IF(OR(Y12="DNF",Y12="OCS",Y12="DSQ",Y12="DNS",Y12=" DNS "),$BW$3+1,Y12))</f>
        <v>0</v>
      </c>
      <c r="CL12" s="61">
        <f>IF(Z12="",0,IF(OR(Z12="DNF",Z12="OCS",Z12="DSQ",Z12="DNS",Z12=" DNS "),$BW$3+1,Z12))</f>
        <v>0</v>
      </c>
      <c r="CM12" s="61">
        <f>IF(AA12="",0,IF(OR(AA12="DNF",AA12="OCS",AA12="DSQ",AA12="DNS",AA12=" DNS "),$BW$3+1,AA12))</f>
        <v>0</v>
      </c>
      <c r="CN12" s="61">
        <f>IF(AB12="",0,IF(OR(AB12="DNF",AB12="OCS",AB12="DSQ",AB12="DNS",AB12=" DNS "),$BW$3+1,AB12))</f>
        <v>0</v>
      </c>
      <c r="CO12" s="61">
        <f>IF(AC12="",0,IF(OR(AC12="DNF",AC12="OCS",AC12="DSQ",AC12="DNS",AC12=" DNS "),$BW$3+1,AC12))</f>
        <v>0</v>
      </c>
      <c r="CP12" s="61">
        <f>IF(AD12="",0,IF(OR(AD12="DNF",AD12="OCS",AD12="DSQ",AD12="DNS",AD12=" DNS "),$BW$3+1,AD12))</f>
        <v>0</v>
      </c>
      <c r="CQ12" s="61">
        <f>IF(AE12="",0,IF(OR(AE12="DNF",AE12="OCS",AE12="DSQ",AE12="DNS",AE12=" DNS "),$BW$3+1,AE12))</f>
        <v>0</v>
      </c>
      <c r="CR12" s="61">
        <f>IF(AF12="",0,IF(OR(AF12="DNF",AF12="OCS",AF12="DSQ",AF12="DNS",AF12=" DNS "),$BW$3+1,AF12))</f>
        <v>0</v>
      </c>
      <c r="CS12" s="61">
        <f>IF(AG12="",0,IF(OR(AG12="DNF",AG12="OCS",AG12="DSQ",AG12="DNS",AG12=" DNS "),$BW$3+1,AG12))</f>
        <v>0</v>
      </c>
      <c r="CT12" s="61">
        <f>IF(AH12="",0,IF(OR(AH12="DNF",AH12="OCS",AH12="DSQ",AH12="DNS",AH12=" DNS "),$BW$3+1,AH12))</f>
        <v>0</v>
      </c>
      <c r="CU12" s="61">
        <f>IF(AI12="",0,IF(OR(AI12="DNF",AI12="OCS",AI12="DSQ",AI12="DNS",AI12=" DNS "),$BW$3+1,AI12))</f>
        <v>0</v>
      </c>
      <c r="CV12" s="61">
        <f>IF(AJ12="",0,IF(OR(AJ12="DNF",AJ12="OCS",AJ12="DSQ",AJ12="DNS",AJ12=" DNS "),$BW$3+1,AJ12))</f>
        <v>0</v>
      </c>
      <c r="CW12" s="61">
        <f>IF(AK12="",0,IF(OR(AK12="DNF",AK12="OCS",AK12="DSQ",AK12="DNS",AK12=" DNS "),$BW$3+1,AK12))</f>
        <v>0</v>
      </c>
      <c r="CX12" s="61">
        <f>IF(AL12="",0,IF(OR(AL12="DNF",AL12="OCS",AL12="DSQ",AL12="DNS",AL12=" DNS "),$BW$3+1,AL12))</f>
        <v>0</v>
      </c>
      <c r="CY12" s="61">
        <f>IF(AM12="",0,IF(OR(AM12="DNF",AM12="OCS",AM12="DSQ",AM12="DNS",AM12=" DNS "),$BW$3+1,AM12))</f>
        <v>0</v>
      </c>
      <c r="CZ12" s="61">
        <f>IF(AN12="",0,IF(OR(AN12="DNF",AN12="OCS",AN12="DSQ",AN12="DNS",AN12=" DNS "),$BW$3+1,AN12))</f>
        <v>0</v>
      </c>
      <c r="DA12" s="61">
        <f>IF(AO12="",0,IF(OR(AO12="DNF",AO12="OCS",AO12="DSQ",AO12="DNS",AO12=" DNS "),$BW$3+1,AO12))</f>
        <v>0</v>
      </c>
      <c r="DB12" s="61">
        <f>IF(AP12="",0,IF(OR(AP12="DNF",AP12="OCS",AP12="DSQ",AP12="DNS",AP12=" DNS "),$BW$3+1,AP12))</f>
        <v>0</v>
      </c>
      <c r="DC12" s="61">
        <f>IF(AQ12="",0,IF(OR(AQ12="DNF",AQ12="OCS",AQ12="DSQ",AQ12="DNS",AQ12=" DNS "),$BW$3+1,AQ12))</f>
        <v>0</v>
      </c>
      <c r="DD12" s="61">
        <f>IF(AR12="",0,IF(OR(AR12="DNF",AR12="OCS",AR12="DSQ",AR12="DNS",AR12=" DNS "),$BW$3+1,AR12))</f>
        <v>0</v>
      </c>
      <c r="DE12" s="61">
        <f>IF(AS12="",0,IF(OR(AS12="DNF",AS12="OCS",AS12="DSQ",AS12="DNS",AS12=" DNS "),$BW$3+1,AS12))</f>
        <v>0</v>
      </c>
      <c r="DF12" s="61">
        <f>IF(AT12="",0,IF(OR(AT12="DNF",AT12="OCS",AT12="DSQ",AT12="DNS",AT12=" DNS "),$BW$3+1,AT12))</f>
        <v>0</v>
      </c>
      <c r="DG12" s="61">
        <f>IF(AU12="",0,IF(OR(AU12="DNF",AU12="OCS",AU12="DSQ",AU12="DNS",AU12=" DNS "),$BW$3+1,AU12))</f>
        <v>0</v>
      </c>
      <c r="DH12" s="61">
        <f>IF(AV12="",0,IF(OR(AV12="DNF",AV12="OCS",AV12="DSQ",AV12="DNS",AV12=" DNS "),$BW$3+1,AV12))</f>
        <v>0</v>
      </c>
      <c r="DI12" s="61">
        <f>IF(AW12="",0,IF(OR(AW12="DNF",AW12="OCS",AW12="DSQ",AW12="DNS",AW12=" DNS "),$BW$3+1,AW12))</f>
        <v>0</v>
      </c>
      <c r="DJ12" s="61">
        <f>IF(AX12="",0,IF(OR(AX12="DNF",AX12="OCS",AX12="DSQ",AX12="DNS",AX12=" DNS "),$BW$3+1,AX12))</f>
        <v>0</v>
      </c>
      <c r="DK12" s="61">
        <f>IF(AY12="",0,IF(OR(AY12="DNF",AY12="OCS",AY12="DSQ",AY12="DNS",AY12=" DNS "),$BW$3+1,AY12))</f>
        <v>0</v>
      </c>
      <c r="DL12" s="61">
        <f>IF(AZ12="",0,IF(OR(AZ12="DNF",AZ12="OCS",AZ12="DSQ",AZ12="DNS",AZ12=" DNS "),$BW$3+1,AZ12))</f>
        <v>0</v>
      </c>
      <c r="DM12" s="61">
        <f>IF(BA12="",0,IF(OR(BA12="DNF",BA12="OCS",BA12="DSQ",BA12="DNS",BA12=" DNS "),$BW$3+1,BA12))</f>
        <v>0</v>
      </c>
      <c r="DN12" s="61">
        <f>IF(BB12="",0,IF(OR(BB12="DNF",BB12="OCS",BB12="DSQ",BB12="DNS",BB12=" DNS "),$BW$3+1,BB12))</f>
        <v>0</v>
      </c>
      <c r="DO12" s="61">
        <f>IF(BC12="",0,IF(OR(BC12="DNF",BC12="OCS",BC12="DSQ",BC12="DNS",BC12=" DNS "),$BW$3+1,BC12))</f>
        <v>0</v>
      </c>
      <c r="DP12" s="61">
        <f>IF(BD12="",0,IF(OR(BD12="DNF",BD12="OCS",BD12="DSQ",BD12="DNS",BD12=" DNS "),$BW$3+1,BD12))</f>
        <v>0</v>
      </c>
      <c r="DQ12" s="61">
        <f>IF(BE12="",0,IF(OR(BE12="DNF",BE12="OCS",BE12="DSQ",BE12="DNS",BE12=" DNS "),$BW$3+1,BE12))</f>
        <v>0</v>
      </c>
      <c r="DR12" s="61">
        <f>IF(BF12="",0,IF(OR(BF12="DNF",BF12="OCS",BF12="DSQ",BF12="DNS",BF12=" DNS "),$BW$3+1,BF12))</f>
        <v>0</v>
      </c>
      <c r="DS12" s="61">
        <f>IF(BG12="",0,IF(OR(BG12="DNF",BG12="OCS",BG12="DSQ",BG12="DNS",BG12=" DNS "),$BW$3+1,BG12))</f>
        <v>0</v>
      </c>
      <c r="DT12" s="61">
        <f>IF(BH12="",0,IF(OR(BH12="DNF",BH12="OCS",BH12="DSQ",BH12="DNS",BH12=" DNS "),$BW$3+1,BH12))</f>
        <v>0</v>
      </c>
      <c r="DU12" s="61">
        <f>IF(BI12="",0,IF(OR(BI12="DNF",BI12="OCS",BI12="DSQ",BI12="DNS",BI12=" DNS "),$BW$3+1,BI12))</f>
        <v>0</v>
      </c>
      <c r="DV12" s="61">
        <f>IF(BJ12="",0,IF(OR(BJ12="DNF",BJ12="OCS",BJ12="DSQ",BJ12="DNS",BJ12=" DNS "),$BW$3+1,BJ12))</f>
        <v>0</v>
      </c>
      <c r="DW12" s="61">
        <f>IF(BK12="",0,IF(OR(BK12="DNF",BK12="OCS",BK12="DSQ",BK12="DNS",BK12=" DNS "),$BW$3+1,BK12))</f>
        <v>0</v>
      </c>
      <c r="DX12" s="61">
        <f>IF(BL12="",0,IF(OR(BL12="DNF",BL12="OCS",BL12="DSQ",BL12="DNS",BL12=" DNS "),$BW$3+1,BL12))</f>
        <v>0</v>
      </c>
      <c r="DY12" s="61">
        <f>IF(BM12="",0,IF(OR(BM12="DNF",BM12="OCS",BM12="DSQ",BM12="DNS",BM12=" DNS "),$BW$3+1,BM12))</f>
        <v>0</v>
      </c>
      <c r="DZ12" s="61">
        <f>IF(BN12="",0,IF(OR(BN12="DNF",BN12="OCS",BN12="DSQ",BN12="DNS",BN12=" DNS "),$BW$3+1,BN12))</f>
        <v>0</v>
      </c>
      <c r="EA12" s="61">
        <f>IF(BO12="",0,IF(OR(BO12="DNF",BO12="OCS",BO12="DSQ",BO12="DNS",BO12=" DNS "),$BW$3+1,BO12))</f>
        <v>0</v>
      </c>
      <c r="EB12" s="61">
        <f>IF(BP12="",0,IF(OR(BP12="DNF",BP12="OCS",BP12="DSQ",BP12="DNS",BP12=" DNS "),$BW$3+1,BP12))</f>
        <v>0</v>
      </c>
      <c r="EC12" s="61">
        <f>IF(BQ12="",0,IF(OR(BQ12="DNF",BQ12="OCS",BQ12="DSQ",BQ12="DNS",BQ12=" DNS "),$BW$3+1,BQ12))</f>
        <v>0</v>
      </c>
      <c r="EE12" s="61">
        <f xml:space="preserve">
IF(OR(Deltagarlista!$K$3=3,Deltagarlista!$K$3=4),
IF(Arrangörslista!$U$5&lt;8,0,
IF(Arrangörslista!$U$5&lt;16,SUM(LARGE(BV12:CJ12,1)),
IF(Arrangörslista!$U$5&lt;24,SUM(LARGE(BV12:CR12,{1;2})),
IF(Arrangörslista!$U$5&lt;32,SUM(LARGE(BV12:CZ12,{1;2;3})),
IF(Arrangörslista!$U$5&lt;40,SUM(LARGE(BV12:DH12,{1;2;3;4})),
IF(Arrangörslista!$U$5&lt;48,SUM(LARGE(BV12:DP12,{1;2;3;4;5})),
IF(Arrangörslista!$U$5&lt;56,SUM(LARGE(BV12:DX12,{1;2;3;4;5;6})),
IF(Arrangörslista!$U$5&lt;64,SUM(LARGE(BV12:EC12,{1;2;3;4;5;6;7})),0)))))))),
IF(Deltagarlista!$K$3=2,
IF(Arrangörslista!$U$5&lt;4,LARGE(BV12:BX12,1),
IF(Arrangörslista!$U$5&lt;7,SUM(LARGE(BV12:CA12,{1;2;3})),
IF(Arrangörslista!$U$5&lt;10,SUM(LARGE(BV12:CD12,{1;2;3;4})),
IF(Arrangörslista!$U$5&lt;13,SUM(LARGE(BV12:CG12,{1;2;3;4;5;6})),
IF(Arrangörslista!$U$5&lt;16,SUM(LARGE(BV12:CJ12,{1;2;3;4;5;6;7})),
IF(Arrangörslista!$U$5&lt;19,SUM(LARGE(BV12:CM12,{1;2;3;4;5;6;7;8;9})),
IF(Arrangörslista!$U$5&lt;22,SUM(LARGE(BV12:CP12,{1;2;3;4;5;6;7;8;9;10})),
IF(Arrangörslista!$U$5&lt;25,SUM(LARGE(BV12:CS12,{1;2;3;4;5;6;7;8;9;10;11;12})),
IF(Arrangörslista!$U$5&lt;28,SUM(LARGE(BV12:CV12,{1;2;3;4;5;6;7;8;9;10;11;12;13})),
IF(Arrangörslista!$U$5&lt;31,SUM(LARGE(BV12:CY12,{1;2;3;4;5;6;7;8;9;10;11;12;13;14;15})),
IF(Arrangörslista!$U$5&lt;34,SUM(LARGE(BV12:DB12,{1;2;3;4;5;6;7;8;9;10;11;12;13;14;15;16})),
IF(Arrangörslista!$U$5&lt;37,SUM(LARGE(BV12:DE12,{1;2;3;4;5;6;7;8;9;10;11;12;13;14;15;16;17;18})),
IF(Arrangörslista!$U$5&lt;40,SUM(LARGE(BV12:DH12,{1;2;3;4;5;6;7;8;9;10;11;12;13;14;15;16;17;18;19})),
IF(Arrangörslista!$U$5&lt;43,SUM(LARGE(BV12:DK12,{1;2;3;4;5;6;7;8;9;10;11;12;13;14;15;16;17;18;19;20;21})),
IF(Arrangörslista!$U$5&lt;46,SUM(LARGE(BV12:DN12,{1;2;3;4;5;6;7;8;9;10;11;12;13;14;15;16;17;18;19;20;21;22})),
IF(Arrangörslista!$U$5&lt;49,SUM(LARGE(BV12:DQ12,{1;2;3;4;5;6;7;8;9;10;11;12;13;14;15;16;17;18;19;20;21;22;23;24})),
IF(Arrangörslista!$U$5&lt;52,SUM(LARGE(BV12:DT12,{1;2;3;4;5;6;7;8;9;10;11;12;13;14;15;16;17;18;19;20;21;22;23;24;25})),
IF(Arrangörslista!$U$5&lt;55,SUM(LARGE(BV12:DW12,{1;2;3;4;5;6;7;8;9;10;11;12;13;14;15;16;17;18;19;20;21;22;23;24;25;26;27})),
IF(Arrangörslista!$U$5&lt;58,SUM(LARGE(BV12:DZ12,{1;2;3;4;5;6;7;8;9;10;11;12;13;14;15;16;17;18;19;20;21;22;23;24;25;26;27;28})),
IF(Arrangörslista!$U$5&lt;61,SUM(LARGE(BV12:EC12,{1;2;3;4;5;6;7;8;9;10;11;12;13;14;15;16;17;18;19;20;21;22;23;24;25;26;27;28;29;30})),0)))))))))))))))))))),
IF(Arrangörslista!$U$5&lt;4,0,
IF(Arrangörslista!$U$5&lt;8,SUM(LARGE(BV12:CB12,1)),
IF(Arrangörslista!$U$5&lt;12,SUM(LARGE(BV12:CF12,{1;2})),
IF(Arrangörslista!$U$5&lt;16,SUM(LARGE(BV12:CJ12,{1;2;3})),
IF(Arrangörslista!$U$5&lt;20,SUM(LARGE(BV12:CN12,{1;2;3;4})),
IF(Arrangörslista!$U$5&lt;24,SUM(LARGE(BV12:CR12,{1;2;3;4;5})),
IF(Arrangörslista!$U$5&lt;28,SUM(LARGE(BV12:CV12,{1;2;3;4;5;6})),
IF(Arrangörslista!$U$5&lt;32,SUM(LARGE(BV12:CZ12,{1;2;3;4;5;6;7})),
IF(Arrangörslista!$U$5&lt;36,SUM(LARGE(BV12:DD12,{1;2;3;4;5;6;7;8})),
IF(Arrangörslista!$U$5&lt;40,SUM(LARGE(BV12:DH12,{1;2;3;4;5;6;7;8;9})),
IF(Arrangörslista!$U$5&lt;44,SUM(LARGE(BV12:DL12,{1;2;3;4;5;6;7;8;9;10})),
IF(Arrangörslista!$U$5&lt;48,SUM(LARGE(BV12:DP12,{1;2;3;4;5;6;7;8;9;10;11})),
IF(Arrangörslista!$U$5&lt;52,SUM(LARGE(BV12:DT12,{1;2;3;4;5;6;7;8;9;10;11;12})),
IF(Arrangörslista!$U$5&lt;56,SUM(LARGE(BV12:DX12,{1;2;3;4;5;6;7;8;9;10;11;12;13})),
IF(Arrangörslista!$U$5&lt;60,SUM(LARGE(BV12:EB12,{1;2;3;4;5;6;7;8;9;10;11;12;13;14})),
IF(Arrangörslista!$U$5=60,SUM(LARGE(BV12:EC12,{1;2;3;4;5;6;7;8;9;10;11;12;13;14;15})),0))))))))))))))))))</f>
        <v>0</v>
      </c>
      <c r="EG12" s="67">
        <f>IF(F12="",,1)</f>
        <v>0</v>
      </c>
      <c r="EH12" s="61"/>
      <c r="EI12" s="61"/>
      <c r="EK12" s="62">
        <f>SMALL($J75:$BQ75,1)</f>
        <v>61</v>
      </c>
      <c r="EL12" s="62">
        <f>SMALL($J75:$BQ75,2)</f>
        <v>61</v>
      </c>
      <c r="EM12" s="62">
        <f>SMALL($J75:$BQ75,3)</f>
        <v>61</v>
      </c>
      <c r="EN12" s="62">
        <f>SMALL($J75:$BQ75,4)</f>
        <v>61</v>
      </c>
      <c r="EO12" s="62">
        <f>SMALL($J75:$BQ75,5)</f>
        <v>61</v>
      </c>
      <c r="EP12" s="62">
        <f>SMALL($J75:$BQ75,6)</f>
        <v>61</v>
      </c>
      <c r="EQ12" s="62">
        <f>SMALL($J75:$BQ75,7)</f>
        <v>61</v>
      </c>
      <c r="ER12" s="62">
        <f>SMALL($J75:$BQ75,8)</f>
        <v>61</v>
      </c>
      <c r="ES12" s="62">
        <f>SMALL($J75:$BQ75,9)</f>
        <v>61</v>
      </c>
      <c r="ET12" s="62">
        <f>SMALL($J75:$BQ75,10)</f>
        <v>61</v>
      </c>
      <c r="EU12" s="62">
        <f>SMALL($J75:$BQ75,11)</f>
        <v>61</v>
      </c>
      <c r="EV12" s="62">
        <f>SMALL($J75:$BQ75,12)</f>
        <v>61</v>
      </c>
      <c r="EW12" s="62">
        <f>SMALL($J75:$BQ75,13)</f>
        <v>61</v>
      </c>
      <c r="EX12" s="62">
        <f>SMALL($J75:$BQ75,14)</f>
        <v>61</v>
      </c>
      <c r="EY12" s="62">
        <f>SMALL($J75:$BQ75,15)</f>
        <v>61</v>
      </c>
      <c r="EZ12" s="62">
        <f>SMALL($J75:$BQ75,16)</f>
        <v>61</v>
      </c>
      <c r="FA12" s="62">
        <f>SMALL($J75:$BQ75,17)</f>
        <v>61</v>
      </c>
      <c r="FB12" s="62">
        <f>SMALL($J75:$BQ75,18)</f>
        <v>61</v>
      </c>
      <c r="FC12" s="62">
        <f>SMALL($J75:$BQ75,19)</f>
        <v>61</v>
      </c>
      <c r="FD12" s="62">
        <f>SMALL($J75:$BQ75,20)</f>
        <v>61</v>
      </c>
      <c r="FE12" s="62">
        <f>SMALL($J75:$BQ75,21)</f>
        <v>61</v>
      </c>
      <c r="FF12" s="62">
        <f>SMALL($J75:$BQ75,22)</f>
        <v>61</v>
      </c>
      <c r="FG12" s="62">
        <f>SMALL($J75:$BQ75,23)</f>
        <v>61</v>
      </c>
      <c r="FH12" s="62">
        <f>SMALL($J75:$BQ75,24)</f>
        <v>61</v>
      </c>
      <c r="FI12" s="62">
        <f>SMALL($J75:$BQ75,25)</f>
        <v>61</v>
      </c>
      <c r="FJ12" s="62">
        <f>SMALL($J75:$BQ75,26)</f>
        <v>61</v>
      </c>
      <c r="FK12" s="62">
        <f>SMALL($J75:$BQ75,27)</f>
        <v>61</v>
      </c>
      <c r="FL12" s="62">
        <f>SMALL($J75:$BQ75,28)</f>
        <v>61</v>
      </c>
      <c r="FM12" s="62">
        <f>SMALL($J75:$BQ75,29)</f>
        <v>61</v>
      </c>
      <c r="FN12" s="62">
        <f>SMALL($J75:$BQ75,30)</f>
        <v>61</v>
      </c>
      <c r="FO12" s="62">
        <f>SMALL($J75:$BQ75,31)</f>
        <v>61</v>
      </c>
      <c r="FP12" s="62">
        <f>SMALL($J75:$BQ75,32)</f>
        <v>61</v>
      </c>
      <c r="FQ12" s="62">
        <f>SMALL($J75:$BQ75,33)</f>
        <v>61</v>
      </c>
      <c r="FR12" s="62">
        <f>SMALL($J75:$BQ75,34)</f>
        <v>61</v>
      </c>
      <c r="FS12" s="62">
        <f>SMALL($J75:$BQ75,35)</f>
        <v>61</v>
      </c>
      <c r="FT12" s="62">
        <f>SMALL($J75:$BQ75,36)</f>
        <v>61</v>
      </c>
      <c r="FU12" s="62">
        <f>SMALL($J75:$BQ75,37)</f>
        <v>61</v>
      </c>
      <c r="FV12" s="62">
        <f>SMALL($J75:$BQ75,38)</f>
        <v>61</v>
      </c>
      <c r="FW12" s="62">
        <f>SMALL($J75:$BQ75,39)</f>
        <v>61</v>
      </c>
      <c r="FX12" s="62">
        <f>SMALL($J75:$BQ75,40)</f>
        <v>61</v>
      </c>
      <c r="FY12" s="62">
        <f>SMALL($J75:$BQ75,41)</f>
        <v>61</v>
      </c>
      <c r="FZ12" s="62">
        <f>SMALL($J75:$BQ75,42)</f>
        <v>61</v>
      </c>
      <c r="GA12" s="62">
        <f>SMALL($J75:$BQ75,43)</f>
        <v>61</v>
      </c>
      <c r="GB12" s="62">
        <f>SMALL($J75:$BQ75,44)</f>
        <v>61</v>
      </c>
      <c r="GC12" s="62">
        <f>SMALL($J75:$BQ75,45)</f>
        <v>61</v>
      </c>
      <c r="GD12" s="62">
        <f>SMALL($J75:$BQ75,46)</f>
        <v>61</v>
      </c>
      <c r="GE12" s="62">
        <f>SMALL($J75:$BQ75,47)</f>
        <v>61</v>
      </c>
      <c r="GF12" s="62">
        <f>SMALL($J75:$BQ75,48)</f>
        <v>61</v>
      </c>
      <c r="GG12" s="62">
        <f>SMALL($J75:$BQ75,49)</f>
        <v>61</v>
      </c>
      <c r="GH12" s="62">
        <f>SMALL($J75:$BQ75,50)</f>
        <v>61</v>
      </c>
      <c r="GI12" s="62">
        <f>SMALL($J75:$BQ75,51)</f>
        <v>61</v>
      </c>
      <c r="GJ12" s="62">
        <f>SMALL($J75:$BQ75,52)</f>
        <v>61</v>
      </c>
      <c r="GK12" s="62">
        <f>SMALL($J75:$BQ75,53)</f>
        <v>61</v>
      </c>
      <c r="GL12" s="62">
        <f>SMALL($J75:$BQ75,54)</f>
        <v>61</v>
      </c>
      <c r="GM12" s="62">
        <f>SMALL($J75:$BQ75,55)</f>
        <v>61</v>
      </c>
      <c r="GN12" s="62">
        <f>SMALL($J75:$BQ75,56)</f>
        <v>61</v>
      </c>
      <c r="GO12" s="62">
        <f>SMALL($J75:$BQ75,57)</f>
        <v>61</v>
      </c>
      <c r="GP12" s="62">
        <f>SMALL($J75:$BQ75,58)</f>
        <v>61</v>
      </c>
      <c r="GQ12" s="62">
        <f>SMALL($J75:$BQ75,59)</f>
        <v>61</v>
      </c>
      <c r="GR12" s="62">
        <f>SMALL($J75:$BQ75,60)</f>
        <v>61</v>
      </c>
      <c r="GT12" s="62">
        <f>IF(Deltagarlista!$K$3=2,
IF(GW12="1",
      IF(Arrangörslista!$U$5=1,J75,
IF(Arrangörslista!$U$5=2,K75,
IF(Arrangörslista!$U$5=3,L75,
IF(Arrangörslista!$U$5=4,M75,
IF(Arrangörslista!$U$5=5,N75,
IF(Arrangörslista!$U$5=6,O75,
IF(Arrangörslista!$U$5=7,P75,
IF(Arrangörslista!$U$5=8,Q75,
IF(Arrangörslista!$U$5=9,R75,
IF(Arrangörslista!$U$5=10,S75,
IF(Arrangörslista!$U$5=11,T75,
IF(Arrangörslista!$U$5=12,U75,
IF(Arrangörslista!$U$5=13,V75,
IF(Arrangörslista!$U$5=14,W75,
IF(Arrangörslista!$U$5=15,X75,
IF(Arrangörslista!$U$5=16,Y75,IF(Arrangörslista!$U$5=17,Z75,IF(Arrangörslista!$U$5=18,AA75,IF(Arrangörslista!$U$5=19,AB75,IF(Arrangörslista!$U$5=20,AC75,IF(Arrangörslista!$U$5=21,AD75,IF(Arrangörslista!$U$5=22,AE75,IF(Arrangörslista!$U$5=23,AF75, IF(Arrangörslista!$U$5=24,AG75, IF(Arrangörslista!$U$5=25,AH75, IF(Arrangörslista!$U$5=26,AI75, IF(Arrangörslista!$U$5=27,AJ75, IF(Arrangörslista!$U$5=28,AK75, IF(Arrangörslista!$U$5=29,AL75, IF(Arrangörslista!$U$5=30,AM75, IF(Arrangörslista!$U$5=31,AN75, IF(Arrangörslista!$U$5=32,AO75, IF(Arrangörslista!$U$5=33,AP75, IF(Arrangörslista!$U$5=34,AQ75, IF(Arrangörslista!$U$5=35,AR75, IF(Arrangörslista!$U$5=36,AS75, IF(Arrangörslista!$U$5=37,AT75, IF(Arrangörslista!$U$5=38,AU75, IF(Arrangörslista!$U$5=39,AV75, IF(Arrangörslista!$U$5=40,AW75, IF(Arrangörslista!$U$5=41,AX75, IF(Arrangörslista!$U$5=42,AY75, IF(Arrangörslista!$U$5=43,AZ75, IF(Arrangörslista!$U$5=44,BA75, IF(Arrangörslista!$U$5=45,BB75, IF(Arrangörslista!$U$5=46,BC75, IF(Arrangörslista!$U$5=47,BD75, IF(Arrangörslista!$U$5=48,BE75, IF(Arrangörslista!$U$5=49,BF75, IF(Arrangörslista!$U$5=50,BG75, IF(Arrangörslista!$U$5=51,BH75, IF(Arrangörslista!$U$5=52,BI75, IF(Arrangörslista!$U$5=53,BJ75, IF(Arrangörslista!$U$5=54,BK75, IF(Arrangörslista!$U$5=55,BL75, IF(Arrangörslista!$U$5=56,BM75, IF(Arrangörslista!$U$5=57,BN75, IF(Arrangörslista!$U$5=58,BO75, IF(Arrangörslista!$U$5=59,BP75, IF(Arrangörslista!$U$5=60,BQ75,0))))))))))))))))))))))))))))))))))))))))))))))))))))))))))))),IF(Deltagarlista!$K$3=4, IF(Arrangörslista!$U$5=1,J75,
IF(Arrangörslista!$U$5=2,J75,
IF(Arrangörslista!$U$5=3,K75,
IF(Arrangörslista!$U$5=4,K75,
IF(Arrangörslista!$U$5=5,L75,
IF(Arrangörslista!$U$5=6,L75,
IF(Arrangörslista!$U$5=7,M75,
IF(Arrangörslista!$U$5=8,M75,
IF(Arrangörslista!$U$5=9,N75,
IF(Arrangörslista!$U$5=10,N75,
IF(Arrangörslista!$U$5=11,O75,
IF(Arrangörslista!$U$5=12,O75,
IF(Arrangörslista!$U$5=13,P75,
IF(Arrangörslista!$U$5=14,P75,
IF(Arrangörslista!$U$5=15,Q75,
IF(Arrangörslista!$U$5=16,Q75,
IF(Arrangörslista!$U$5=17,R75,
IF(Arrangörslista!$U$5=18,R75,
IF(Arrangörslista!$U$5=19,S75,
IF(Arrangörslista!$U$5=20,S75,
IF(Arrangörslista!$U$5=21,T75,
IF(Arrangörslista!$U$5=22,T75,IF(Arrangörslista!$U$5=23,U75, IF(Arrangörslista!$U$5=24,U75, IF(Arrangörslista!$U$5=25,V75, IF(Arrangörslista!$U$5=26,V75, IF(Arrangörslista!$U$5=27,W75, IF(Arrangörslista!$U$5=28,W75, IF(Arrangörslista!$U$5=29,X75, IF(Arrangörslista!$U$5=30,X75, IF(Arrangörslista!$U$5=31,X75, IF(Arrangörslista!$U$5=32,Y75, IF(Arrangörslista!$U$5=33,AO75, IF(Arrangörslista!$U$5=34,Y75, IF(Arrangörslista!$U$5=35,Z75, IF(Arrangörslista!$U$5=36,AR75, IF(Arrangörslista!$U$5=37,Z75, IF(Arrangörslista!$U$5=38,AA75, IF(Arrangörslista!$U$5=39,AU75, IF(Arrangörslista!$U$5=40,AA75, IF(Arrangörslista!$U$5=41,AB75, IF(Arrangörslista!$U$5=42,AX75, IF(Arrangörslista!$U$5=43,AB75, IF(Arrangörslista!$U$5=44,AC75, IF(Arrangörslista!$U$5=45,BA75, IF(Arrangörslista!$U$5=46,AC75, IF(Arrangörslista!$U$5=47,AD75, IF(Arrangörslista!$U$5=48,BD75, IF(Arrangörslista!$U$5=49,AD75, IF(Arrangörslista!$U$5=50,AE75, IF(Arrangörslista!$U$5=51,BG75, IF(Arrangörslista!$U$5=52,AE75, IF(Arrangörslista!$U$5=53,AF75, IF(Arrangörslista!$U$5=54,BJ75, IF(Arrangörslista!$U$5=55,AF75, IF(Arrangörslista!$U$5=56,AG75, IF(Arrangörslista!$U$5=57,BM75, IF(Arrangörslista!$U$5=58,AG75, IF(Arrangörslista!$U$5=59,AH75, IF(Arrangörslista!$U$5=60,AH75,0)))))))))))))))))))))))))))))))))))))))))))))))))))))))))))),IF(Arrangörslista!$U$5=1,J75,
IF(Arrangörslista!$U$5=2,K75,
IF(Arrangörslista!$U$5=3,L75,
IF(Arrangörslista!$U$5=4,M75,
IF(Arrangörslista!$U$5=5,N75,
IF(Arrangörslista!$U$5=6,O75,
IF(Arrangörslista!$U$5=7,P75,
IF(Arrangörslista!$U$5=8,Q75,
IF(Arrangörslista!$U$5=9,R75,
IF(Arrangörslista!$U$5=10,S75,
IF(Arrangörslista!$U$5=11,T75,
IF(Arrangörslista!$U$5=12,U75,
IF(Arrangörslista!$U$5=13,V75,
IF(Arrangörslista!$U$5=14,W75,
IF(Arrangörslista!$U$5=15,X75,
IF(Arrangörslista!$U$5=16,Y75,IF(Arrangörslista!$U$5=17,Z75,IF(Arrangörslista!$U$5=18,AA75,IF(Arrangörslista!$U$5=19,AB75,IF(Arrangörslista!$U$5=20,AC75,IF(Arrangörslista!$U$5=21,AD75,IF(Arrangörslista!$U$5=22,AE75,IF(Arrangörslista!$U$5=23,AF75, IF(Arrangörslista!$U$5=24,AG75, IF(Arrangörslista!$U$5=25,AH75, IF(Arrangörslista!$U$5=26,AI75, IF(Arrangörslista!$U$5=27,AJ75, IF(Arrangörslista!$U$5=28,AK75, IF(Arrangörslista!$U$5=29,AL75, IF(Arrangörslista!$U$5=30,AM75, IF(Arrangörslista!$U$5=31,AN75, IF(Arrangörslista!$U$5=32,AO75, IF(Arrangörslista!$U$5=33,AP75, IF(Arrangörslista!$U$5=34,AQ75, IF(Arrangörslista!$U$5=35,AR75, IF(Arrangörslista!$U$5=36,AS75, IF(Arrangörslista!$U$5=37,AT75, IF(Arrangörslista!$U$5=38,AU75, IF(Arrangörslista!$U$5=39,AV75, IF(Arrangörslista!$U$5=40,AW75, IF(Arrangörslista!$U$5=41,AX75, IF(Arrangörslista!$U$5=42,AY75, IF(Arrangörslista!$U$5=43,AZ75, IF(Arrangörslista!$U$5=44,BA75, IF(Arrangörslista!$U$5=45,BB75, IF(Arrangörslista!$U$5=46,BC75, IF(Arrangörslista!$U$5=47,BD75, IF(Arrangörslista!$U$5=48,BE75, IF(Arrangörslista!$U$5=49,BF75, IF(Arrangörslista!$U$5=50,BG75, IF(Arrangörslista!$U$5=51,BH75, IF(Arrangörslista!$U$5=52,BI75, IF(Arrangörslista!$U$5=53,BJ75, IF(Arrangörslista!$U$5=54,BK75, IF(Arrangörslista!$U$5=55,BL75, IF(Arrangörslista!$U$5=56,BM75, IF(Arrangörslista!$U$5=57,BN75, IF(Arrangörslista!$U$5=58,BO75, IF(Arrangörslista!$U$5=59,BP75, IF(Arrangörslista!$U$5=60,BQ75,0))))))))))))))))))))))))))))))))))))))))))))))))))))))))))))
))</f>
        <v>0</v>
      </c>
      <c r="GV12" s="65" t="str">
        <f>IFERROR(IF(VLOOKUP(F12,Deltagarlista!$E$5:$I$64,5,FALSE)="Grön","Gr",IF(VLOOKUP(F12,Deltagarlista!$E$5:$I$64,5,FALSE)="Röd","R",IF(VLOOKUP(F12,Deltagarlista!$E$5:$I$64,5,FALSE)="Blå","B","Gu"))),"")</f>
        <v/>
      </c>
      <c r="GW12" s="62" t="str">
        <f t="shared" si="1"/>
        <v/>
      </c>
    </row>
    <row r="13" spans="1:206" x14ac:dyDescent="0.3">
      <c r="B13" s="23" t="str">
        <f>IF($BW$3&gt;9,10,"")</f>
        <v/>
      </c>
      <c r="C13" s="92" t="str">
        <f>IF(ISBLANK(Deltagarlista!C8),"",Deltagarlista!C8)</f>
        <v/>
      </c>
      <c r="D13" s="109" t="str">
        <f>CONCATENATE(IF(AND(Deltagarlista!H8="GM",Deltagarlista!$S$14=TRUE),"GM   ",""),  IF(OR(Deltagarlista!$K$3=4,Deltagarlista!$K$3=2),Deltagarlista!I8,""))</f>
        <v/>
      </c>
      <c r="E13" s="8" t="str">
        <f>IF(ISBLANK(Deltagarlista!D8),"",Deltagarlista!D8)</f>
        <v/>
      </c>
      <c r="F13" s="8" t="str">
        <f>IF(ISBLANK(Deltagarlista!E8),"",Deltagarlista!E8)</f>
        <v/>
      </c>
      <c r="G13" s="95" t="str">
        <f>IF(ISBLANK(Deltagarlista!F8),"",Deltagarlista!F8)</f>
        <v/>
      </c>
      <c r="H13" s="72" t="str">
        <f>IF(ISBLANK(Deltagarlista!C8),"",BU13-EE13)</f>
        <v/>
      </c>
      <c r="I13" s="13" t="str">
        <f>IF(ISBLANK(Deltagarlista!C8),"",IF(AND(Deltagarlista!$K$3=2,Deltagarlista!$L$3&lt;37),SUM(SUM(BV13:EC13)-(ROUNDDOWN(Arrangörslista!$U$5/3,1))*($BW$3+1)),SUM(BV13:EC13)))</f>
        <v/>
      </c>
      <c r="J13" s="79" t="str">
        <f>IF(Deltagarlista!$K$3=4,IF(ISBLANK(Deltagarlista!$C8),"",IF(ISBLANK(Arrangörslista!C$8),"",IFERROR(VLOOKUP($F13,Arrangörslista!C$8:$AG$45,16,FALSE),IF(ISBLANK(Deltagarlista!$C8),"",IF(ISBLANK(Arrangörslista!C$8),"",IFERROR(VLOOKUP($F13,Arrangörslista!D$8:$AG$45,16,FALSE),"DNS")))))),IF(Deltagarlista!$K$3=2,
IF(ISBLANK(Deltagarlista!$C8),"",IF(ISBLANK(Arrangörslista!C$8),"",IF($GV13=J$64," DNS ",IFERROR(VLOOKUP($F13,Arrangörslista!C$8:$AG$45,16,FALSE),"DNS")))),IF(ISBLANK(Deltagarlista!$C8),"",IF(ISBLANK(Arrangörslista!C$8),"",IFERROR(VLOOKUP($F13,Arrangörslista!C$8:$AG$45,16,FALSE),"DNS")))))</f>
        <v/>
      </c>
      <c r="K13" s="5" t="str">
        <f>IF(Deltagarlista!$K$3=4,IF(ISBLANK(Deltagarlista!$C8),"",IF(ISBLANK(Arrangörslista!E$8),"",IFERROR(VLOOKUP($F13,Arrangörslista!E$8:$AG$45,16,FALSE),IF(ISBLANK(Deltagarlista!$C8),"",IF(ISBLANK(Arrangörslista!E$8),"",IFERROR(VLOOKUP($F13,Arrangörslista!F$8:$AG$45,16,FALSE),"DNS")))))),IF(Deltagarlista!$K$3=2,
IF(ISBLANK(Deltagarlista!$C8),"",IF(ISBLANK(Arrangörslista!D$8),"",IF($GV13=K$64," DNS ",IFERROR(VLOOKUP($F13,Arrangörslista!D$8:$AG$45,16,FALSE),"DNS")))),IF(ISBLANK(Deltagarlista!$C8),"",IF(ISBLANK(Arrangörslista!D$8),"",IFERROR(VLOOKUP($F13,Arrangörslista!D$8:$AG$45,16,FALSE),"DNS")))))</f>
        <v/>
      </c>
      <c r="L13" s="5" t="str">
        <f>IF(Deltagarlista!$K$3=4,IF(ISBLANK(Deltagarlista!$C8),"",IF(ISBLANK(Arrangörslista!G$8),"",IFERROR(VLOOKUP($F13,Arrangörslista!G$8:$AG$45,16,FALSE),IF(ISBLANK(Deltagarlista!$C8),"",IF(ISBLANK(Arrangörslista!G$8),"",IFERROR(VLOOKUP($F13,Arrangörslista!H$8:$AG$45,16,FALSE),"DNS")))))),IF(Deltagarlista!$K$3=2,
IF(ISBLANK(Deltagarlista!$C8),"",IF(ISBLANK(Arrangörslista!E$8),"",IF($GV13=L$64," DNS ",IFERROR(VLOOKUP($F13,Arrangörslista!E$8:$AG$45,16,FALSE),"DNS")))),IF(ISBLANK(Deltagarlista!$C8),"",IF(ISBLANK(Arrangörslista!E$8),"",IFERROR(VLOOKUP($F13,Arrangörslista!E$8:$AG$45,16,FALSE),"DNS")))))</f>
        <v/>
      </c>
      <c r="M13" s="5" t="str">
        <f>IF(Deltagarlista!$K$3=4,IF(ISBLANK(Deltagarlista!$C8),"",IF(ISBLANK(Arrangörslista!I$8),"",IFERROR(VLOOKUP($F13,Arrangörslista!I$8:$AG$45,16,FALSE),IF(ISBLANK(Deltagarlista!$C8),"",IF(ISBLANK(Arrangörslista!I$8),"",IFERROR(VLOOKUP($F13,Arrangörslista!J$8:$AG$45,16,FALSE),"DNS")))))),IF(Deltagarlista!$K$3=2,
IF(ISBLANK(Deltagarlista!$C8),"",IF(ISBLANK(Arrangörslista!F$8),"",IF($GV13=M$64," DNS ",IFERROR(VLOOKUP($F13,Arrangörslista!F$8:$AG$45,16,FALSE),"DNS")))),IF(ISBLANK(Deltagarlista!$C8),"",IF(ISBLANK(Arrangörslista!F$8),"",IFERROR(VLOOKUP($F13,Arrangörslista!F$8:$AG$45,16,FALSE),"DNS")))))</f>
        <v/>
      </c>
      <c r="N13" s="5" t="str">
        <f>IF(Deltagarlista!$K$3=4,IF(ISBLANK(Deltagarlista!$C8),"",IF(ISBLANK(Arrangörslista!K$8),"",IFERROR(VLOOKUP($F13,Arrangörslista!K$8:$AG$45,16,FALSE),IF(ISBLANK(Deltagarlista!$C8),"",IF(ISBLANK(Arrangörslista!K$8),"",IFERROR(VLOOKUP($F13,Arrangörslista!L$8:$AG$45,16,FALSE),"DNS")))))),IF(Deltagarlista!$K$3=2,
IF(ISBLANK(Deltagarlista!$C8),"",IF(ISBLANK(Arrangörslista!G$8),"",IF($GV13=N$64," DNS ",IFERROR(VLOOKUP($F13,Arrangörslista!G$8:$AG$45,16,FALSE),"DNS")))),IF(ISBLANK(Deltagarlista!$C8),"",IF(ISBLANK(Arrangörslista!G$8),"",IFERROR(VLOOKUP($F13,Arrangörslista!G$8:$AG$45,16,FALSE),"DNS")))))</f>
        <v/>
      </c>
      <c r="O13" s="5" t="str">
        <f>IF(Deltagarlista!$K$3=4,IF(ISBLANK(Deltagarlista!$C8),"",IF(ISBLANK(Arrangörslista!M$8),"",IFERROR(VLOOKUP($F13,Arrangörslista!M$8:$AG$45,16,FALSE),IF(ISBLANK(Deltagarlista!$C8),"",IF(ISBLANK(Arrangörslista!M$8),"",IFERROR(VLOOKUP($F13,Arrangörslista!N$8:$AG$45,16,FALSE),"DNS")))))),IF(Deltagarlista!$K$3=2,
IF(ISBLANK(Deltagarlista!$C8),"",IF(ISBLANK(Arrangörslista!H$8),"",IF($GV13=O$64," DNS ",IFERROR(VLOOKUP($F13,Arrangörslista!H$8:$AG$45,16,FALSE),"DNS")))),IF(ISBLANK(Deltagarlista!$C8),"",IF(ISBLANK(Arrangörslista!H$8),"",IFERROR(VLOOKUP($F13,Arrangörslista!H$8:$AG$45,16,FALSE),"DNS")))))</f>
        <v/>
      </c>
      <c r="P13" s="5" t="str">
        <f>IF(Deltagarlista!$K$3=4,IF(ISBLANK(Deltagarlista!$C8),"",IF(ISBLANK(Arrangörslista!O$8),"",IFERROR(VLOOKUP($F13,Arrangörslista!O$8:$AG$45,16,FALSE),IF(ISBLANK(Deltagarlista!$C8),"",IF(ISBLANK(Arrangörslista!O$8),"",IFERROR(VLOOKUP($F13,Arrangörslista!P$8:$AG$45,16,FALSE),"DNS")))))),IF(Deltagarlista!$K$3=2,
IF(ISBLANK(Deltagarlista!$C8),"",IF(ISBLANK(Arrangörslista!I$8),"",IF($GV13=P$64," DNS ",IFERROR(VLOOKUP($F13,Arrangörslista!I$8:$AG$45,16,FALSE),"DNS")))),IF(ISBLANK(Deltagarlista!$C8),"",IF(ISBLANK(Arrangörslista!I$8),"",IFERROR(VLOOKUP($F13,Arrangörslista!I$8:$AG$45,16,FALSE),"DNS")))))</f>
        <v/>
      </c>
      <c r="Q13" s="5" t="str">
        <f>IF(Deltagarlista!$K$3=4,IF(ISBLANK(Deltagarlista!$C8),"",IF(ISBLANK(Arrangörslista!Q$8),"",IFERROR(VLOOKUP($F13,Arrangörslista!Q$8:$AG$45,16,FALSE),IF(ISBLANK(Deltagarlista!$C8),"",IF(ISBLANK(Arrangörslista!Q$8),"",IFERROR(VLOOKUP($F13,Arrangörslista!C$53:$AG$90,16,FALSE),"DNS")))))),IF(Deltagarlista!$K$3=2,
IF(ISBLANK(Deltagarlista!$C8),"",IF(ISBLANK(Arrangörslista!J$8),"",IF($GV13=Q$64," DNS ",IFERROR(VLOOKUP($F13,Arrangörslista!J$8:$AG$45,16,FALSE),"DNS")))),IF(ISBLANK(Deltagarlista!$C8),"",IF(ISBLANK(Arrangörslista!J$8),"",IFERROR(VLOOKUP($F13,Arrangörslista!J$8:$AG$45,16,FALSE),"DNS")))))</f>
        <v/>
      </c>
      <c r="R13" s="5" t="str">
        <f>IF(Deltagarlista!$K$3=4,IF(ISBLANK(Deltagarlista!$C8),"",IF(ISBLANK(Arrangörslista!D$53),"",IFERROR(VLOOKUP($F13,Arrangörslista!D$53:$AG$90,16,FALSE),IF(ISBLANK(Deltagarlista!$C8),"",IF(ISBLANK(Arrangörslista!D$53),"",IFERROR(VLOOKUP($F13,Arrangörslista!E$53:$AG$90,16,FALSE),"DNS")))))),IF(Deltagarlista!$K$3=2,
IF(ISBLANK(Deltagarlista!$C8),"",IF(ISBLANK(Arrangörslista!K$8),"",IF($GV13=R$64," DNS ",IFERROR(VLOOKUP($F13,Arrangörslista!K$8:$AG$45,16,FALSE),"DNS")))),IF(ISBLANK(Deltagarlista!$C8),"",IF(ISBLANK(Arrangörslista!K$8),"",IFERROR(VLOOKUP($F13,Arrangörslista!K$8:$AG$45,16,FALSE),"DNS")))))</f>
        <v/>
      </c>
      <c r="S13" s="5" t="str">
        <f>IF(Deltagarlista!$K$3=4,IF(ISBLANK(Deltagarlista!$C8),"",IF(ISBLANK(Arrangörslista!F$53),"",IFERROR(VLOOKUP($F13,Arrangörslista!F$53:$AG$90,16,FALSE),IF(ISBLANK(Deltagarlista!$C8),"",IF(ISBLANK(Arrangörslista!F$53),"",IFERROR(VLOOKUP($F13,Arrangörslista!G$53:$AG$90,16,FALSE),"DNS")))))),IF(Deltagarlista!$K$3=2,
IF(ISBLANK(Deltagarlista!$C8),"",IF(ISBLANK(Arrangörslista!L$8),"",IF($GV13=S$64," DNS ",IFERROR(VLOOKUP($F13,Arrangörslista!L$8:$AG$45,16,FALSE),"DNS")))),IF(ISBLANK(Deltagarlista!$C8),"",IF(ISBLANK(Arrangörslista!L$8),"",IFERROR(VLOOKUP($F13,Arrangörslista!L$8:$AG$45,16,FALSE),"DNS")))))</f>
        <v/>
      </c>
      <c r="T13" s="5" t="str">
        <f>IF(Deltagarlista!$K$3=4,IF(ISBLANK(Deltagarlista!$C8),"",IF(ISBLANK(Arrangörslista!H$53),"",IFERROR(VLOOKUP($F13,Arrangörslista!H$53:$AG$90,16,FALSE),IF(ISBLANK(Deltagarlista!$C8),"",IF(ISBLANK(Arrangörslista!H$53),"",IFERROR(VLOOKUP($F13,Arrangörslista!I$53:$AG$90,16,FALSE),"DNS")))))),IF(Deltagarlista!$K$3=2,
IF(ISBLANK(Deltagarlista!$C8),"",IF(ISBLANK(Arrangörslista!M$8),"",IF($GV13=T$64," DNS ",IFERROR(VLOOKUP($F13,Arrangörslista!M$8:$AG$45,16,FALSE),"DNS")))),IF(ISBLANK(Deltagarlista!$C8),"",IF(ISBLANK(Arrangörslista!M$8),"",IFERROR(VLOOKUP($F13,Arrangörslista!M$8:$AG$45,16,FALSE),"DNS")))))</f>
        <v/>
      </c>
      <c r="U13" s="5" t="str">
        <f>IF(Deltagarlista!$K$3=4,IF(ISBLANK(Deltagarlista!$C8),"",IF(ISBLANK(Arrangörslista!J$53),"",IFERROR(VLOOKUP($F13,Arrangörslista!J$53:$AG$90,16,FALSE),IF(ISBLANK(Deltagarlista!$C8),"",IF(ISBLANK(Arrangörslista!J$53),"",IFERROR(VLOOKUP($F13,Arrangörslista!K$53:$AG$90,16,FALSE),"DNS")))))),IF(Deltagarlista!$K$3=2,
IF(ISBLANK(Deltagarlista!$C8),"",IF(ISBLANK(Arrangörslista!N$8),"",IF($GV13=U$64," DNS ",IFERROR(VLOOKUP($F13,Arrangörslista!N$8:$AG$45,16,FALSE),"DNS")))),IF(ISBLANK(Deltagarlista!$C8),"",IF(ISBLANK(Arrangörslista!N$8),"",IFERROR(VLOOKUP($F13,Arrangörslista!N$8:$AG$45,16,FALSE),"DNS")))))</f>
        <v/>
      </c>
      <c r="V13" s="5" t="str">
        <f>IF(Deltagarlista!$K$3=4,IF(ISBLANK(Deltagarlista!$C8),"",IF(ISBLANK(Arrangörslista!L$53),"",IFERROR(VLOOKUP($F13,Arrangörslista!L$53:$AG$90,16,FALSE),IF(ISBLANK(Deltagarlista!$C8),"",IF(ISBLANK(Arrangörslista!L$53),"",IFERROR(VLOOKUP($F13,Arrangörslista!M$53:$AG$90,16,FALSE),"DNS")))))),IF(Deltagarlista!$K$3=2,
IF(ISBLANK(Deltagarlista!$C8),"",IF(ISBLANK(Arrangörslista!O$8),"",IF($GV13=V$64," DNS ",IFERROR(VLOOKUP($F13,Arrangörslista!O$8:$AG$45,16,FALSE),"DNS")))),IF(ISBLANK(Deltagarlista!$C8),"",IF(ISBLANK(Arrangörslista!O$8),"",IFERROR(VLOOKUP($F13,Arrangörslista!O$8:$AG$45,16,FALSE),"DNS")))))</f>
        <v/>
      </c>
      <c r="W13" s="5" t="str">
        <f>IF(Deltagarlista!$K$3=4,IF(ISBLANK(Deltagarlista!$C8),"",IF(ISBLANK(Arrangörslista!N$53),"",IFERROR(VLOOKUP($F13,Arrangörslista!N$53:$AG$90,16,FALSE),IF(ISBLANK(Deltagarlista!$C8),"",IF(ISBLANK(Arrangörslista!N$53),"",IFERROR(VLOOKUP($F13,Arrangörslista!O$53:$AG$90,16,FALSE),"DNS")))))),IF(Deltagarlista!$K$3=2,
IF(ISBLANK(Deltagarlista!$C8),"",IF(ISBLANK(Arrangörslista!P$8),"",IF($GV13=W$64," DNS ",IFERROR(VLOOKUP($F13,Arrangörslista!P$8:$AG$45,16,FALSE),"DNS")))),IF(ISBLANK(Deltagarlista!$C8),"",IF(ISBLANK(Arrangörslista!P$8),"",IFERROR(VLOOKUP($F13,Arrangörslista!P$8:$AG$45,16,FALSE),"DNS")))))</f>
        <v/>
      </c>
      <c r="X13" s="5" t="str">
        <f>IF(Deltagarlista!$K$3=4,IF(ISBLANK(Deltagarlista!$C8),"",IF(ISBLANK(Arrangörslista!P$53),"",IFERROR(VLOOKUP($F13,Arrangörslista!P$53:$AG$90,16,FALSE),IF(ISBLANK(Deltagarlista!$C8),"",IF(ISBLANK(Arrangörslista!P$53),"",IFERROR(VLOOKUP($F13,Arrangörslista!Q$53:$AG$90,16,FALSE),"DNS")))))),IF(Deltagarlista!$K$3=2,
IF(ISBLANK(Deltagarlista!$C8),"",IF(ISBLANK(Arrangörslista!Q$8),"",IF($GV13=X$64," DNS ",IFERROR(VLOOKUP($F13,Arrangörslista!Q$8:$AG$45,16,FALSE),"DNS")))),IF(ISBLANK(Deltagarlista!$C8),"",IF(ISBLANK(Arrangörslista!Q$8),"",IFERROR(VLOOKUP($F13,Arrangörslista!Q$8:$AG$45,16,FALSE),"DNS")))))</f>
        <v/>
      </c>
      <c r="Y13" s="5" t="str">
        <f>IF(Deltagarlista!$K$3=4,IF(ISBLANK(Deltagarlista!$C8),"",IF(ISBLANK(Arrangörslista!C$98),"",IFERROR(VLOOKUP($F13,Arrangörslista!C$98:$AG$135,16,FALSE),IF(ISBLANK(Deltagarlista!$C8),"",IF(ISBLANK(Arrangörslista!C$98),"",IFERROR(VLOOKUP($F13,Arrangörslista!D$98:$AG$135,16,FALSE),"DNS")))))),IF(Deltagarlista!$K$3=2,
IF(ISBLANK(Deltagarlista!$C8),"",IF(ISBLANK(Arrangörslista!C$53),"",IF($GV13=Y$64," DNS ",IFERROR(VLOOKUP($F13,Arrangörslista!C$53:$AG$90,16,FALSE),"DNS")))),IF(ISBLANK(Deltagarlista!$C8),"",IF(ISBLANK(Arrangörslista!C$53),"",IFERROR(VLOOKUP($F13,Arrangörslista!C$53:$AG$90,16,FALSE),"DNS")))))</f>
        <v/>
      </c>
      <c r="Z13" s="5" t="str">
        <f>IF(Deltagarlista!$K$3=4,IF(ISBLANK(Deltagarlista!$C8),"",IF(ISBLANK(Arrangörslista!E$98),"",IFERROR(VLOOKUP($F13,Arrangörslista!E$98:$AG$135,16,FALSE),IF(ISBLANK(Deltagarlista!$C8),"",IF(ISBLANK(Arrangörslista!E$98),"",IFERROR(VLOOKUP($F13,Arrangörslista!F$98:$AG$135,16,FALSE),"DNS")))))),IF(Deltagarlista!$K$3=2,
IF(ISBLANK(Deltagarlista!$C8),"",IF(ISBLANK(Arrangörslista!D$53),"",IF($GV13=Z$64," DNS ",IFERROR(VLOOKUP($F13,Arrangörslista!D$53:$AG$90,16,FALSE),"DNS")))),IF(ISBLANK(Deltagarlista!$C8),"",IF(ISBLANK(Arrangörslista!D$53),"",IFERROR(VLOOKUP($F13,Arrangörslista!D$53:$AG$90,16,FALSE),"DNS")))))</f>
        <v/>
      </c>
      <c r="AA13" s="5" t="str">
        <f>IF(Deltagarlista!$K$3=4,IF(ISBLANK(Deltagarlista!$C8),"",IF(ISBLANK(Arrangörslista!G$98),"",IFERROR(VLOOKUP($F13,Arrangörslista!G$98:$AG$135,16,FALSE),IF(ISBLANK(Deltagarlista!$C8),"",IF(ISBLANK(Arrangörslista!G$98),"",IFERROR(VLOOKUP($F13,Arrangörslista!H$98:$AG$135,16,FALSE),"DNS")))))),IF(Deltagarlista!$K$3=2,
IF(ISBLANK(Deltagarlista!$C8),"",IF(ISBLANK(Arrangörslista!E$53),"",IF($GV13=AA$64," DNS ",IFERROR(VLOOKUP($F13,Arrangörslista!E$53:$AG$90,16,FALSE),"DNS")))),IF(ISBLANK(Deltagarlista!$C8),"",IF(ISBLANK(Arrangörslista!E$53),"",IFERROR(VLOOKUP($F13,Arrangörslista!E$53:$AG$90,16,FALSE),"DNS")))))</f>
        <v/>
      </c>
      <c r="AB13" s="5" t="str">
        <f>IF(Deltagarlista!$K$3=4,IF(ISBLANK(Deltagarlista!$C8),"",IF(ISBLANK(Arrangörslista!I$98),"",IFERROR(VLOOKUP($F13,Arrangörslista!I$98:$AG$135,16,FALSE),IF(ISBLANK(Deltagarlista!$C8),"",IF(ISBLANK(Arrangörslista!I$98),"",IFERROR(VLOOKUP($F13,Arrangörslista!J$98:$AG$135,16,FALSE),"DNS")))))),IF(Deltagarlista!$K$3=2,
IF(ISBLANK(Deltagarlista!$C8),"",IF(ISBLANK(Arrangörslista!F$53),"",IF($GV13=AB$64," DNS ",IFERROR(VLOOKUP($F13,Arrangörslista!F$53:$AG$90,16,FALSE),"DNS")))),IF(ISBLANK(Deltagarlista!$C8),"",IF(ISBLANK(Arrangörslista!F$53),"",IFERROR(VLOOKUP($F13,Arrangörslista!F$53:$AG$90,16,FALSE),"DNS")))))</f>
        <v/>
      </c>
      <c r="AC13" s="5" t="str">
        <f>IF(Deltagarlista!$K$3=4,IF(ISBLANK(Deltagarlista!$C8),"",IF(ISBLANK(Arrangörslista!K$98),"",IFERROR(VLOOKUP($F13,Arrangörslista!K$98:$AG$135,16,FALSE),IF(ISBLANK(Deltagarlista!$C8),"",IF(ISBLANK(Arrangörslista!K$98),"",IFERROR(VLOOKUP($F13,Arrangörslista!L$98:$AG$135,16,FALSE),"DNS")))))),IF(Deltagarlista!$K$3=2,
IF(ISBLANK(Deltagarlista!$C8),"",IF(ISBLANK(Arrangörslista!G$53),"",IF($GV13=AC$64," DNS ",IFERROR(VLOOKUP($F13,Arrangörslista!G$53:$AG$90,16,FALSE),"DNS")))),IF(ISBLANK(Deltagarlista!$C8),"",IF(ISBLANK(Arrangörslista!G$53),"",IFERROR(VLOOKUP($F13,Arrangörslista!G$53:$AG$90,16,FALSE),"DNS")))))</f>
        <v/>
      </c>
      <c r="AD13" s="5" t="str">
        <f>IF(Deltagarlista!$K$3=4,IF(ISBLANK(Deltagarlista!$C8),"",IF(ISBLANK(Arrangörslista!M$98),"",IFERROR(VLOOKUP($F13,Arrangörslista!M$98:$AG$135,16,FALSE),IF(ISBLANK(Deltagarlista!$C8),"",IF(ISBLANK(Arrangörslista!M$98),"",IFERROR(VLOOKUP($F13,Arrangörslista!N$98:$AG$135,16,FALSE),"DNS")))))),IF(Deltagarlista!$K$3=2,
IF(ISBLANK(Deltagarlista!$C8),"",IF(ISBLANK(Arrangörslista!H$53),"",IF($GV13=AD$64," DNS ",IFERROR(VLOOKUP($F13,Arrangörslista!H$53:$AG$90,16,FALSE),"DNS")))),IF(ISBLANK(Deltagarlista!$C8),"",IF(ISBLANK(Arrangörslista!H$53),"",IFERROR(VLOOKUP($F13,Arrangörslista!H$53:$AG$90,16,FALSE),"DNS")))))</f>
        <v/>
      </c>
      <c r="AE13" s="5" t="str">
        <f>IF(Deltagarlista!$K$3=4,IF(ISBLANK(Deltagarlista!$C8),"",IF(ISBLANK(Arrangörslista!O$98),"",IFERROR(VLOOKUP($F13,Arrangörslista!O$98:$AG$135,16,FALSE),IF(ISBLANK(Deltagarlista!$C8),"",IF(ISBLANK(Arrangörslista!O$98),"",IFERROR(VLOOKUP($F13,Arrangörslista!P$98:$AG$135,16,FALSE),"DNS")))))),IF(Deltagarlista!$K$3=2,
IF(ISBLANK(Deltagarlista!$C8),"",IF(ISBLANK(Arrangörslista!I$53),"",IF($GV13=AE$64," DNS ",IFERROR(VLOOKUP($F13,Arrangörslista!I$53:$AG$90,16,FALSE),"DNS")))),IF(ISBLANK(Deltagarlista!$C8),"",IF(ISBLANK(Arrangörslista!I$53),"",IFERROR(VLOOKUP($F13,Arrangörslista!I$53:$AG$90,16,FALSE),"DNS")))))</f>
        <v/>
      </c>
      <c r="AF13" s="5" t="str">
        <f>IF(Deltagarlista!$K$3=4,IF(ISBLANK(Deltagarlista!$C8),"",IF(ISBLANK(Arrangörslista!Q$98),"",IFERROR(VLOOKUP($F13,Arrangörslista!Q$98:$AG$135,16,FALSE),IF(ISBLANK(Deltagarlista!$C8),"",IF(ISBLANK(Arrangörslista!Q$98),"",IFERROR(VLOOKUP($F13,Arrangörslista!C$143:$AG$180,16,FALSE),"DNS")))))),IF(Deltagarlista!$K$3=2,
IF(ISBLANK(Deltagarlista!$C8),"",IF(ISBLANK(Arrangörslista!J$53),"",IF($GV13=AF$64," DNS ",IFERROR(VLOOKUP($F13,Arrangörslista!J$53:$AG$90,16,FALSE),"DNS")))),IF(ISBLANK(Deltagarlista!$C8),"",IF(ISBLANK(Arrangörslista!J$53),"",IFERROR(VLOOKUP($F13,Arrangörslista!J$53:$AG$90,16,FALSE),"DNS")))))</f>
        <v/>
      </c>
      <c r="AG13" s="5" t="str">
        <f>IF(Deltagarlista!$K$3=4,IF(ISBLANK(Deltagarlista!$C8),"",IF(ISBLANK(Arrangörslista!D$143),"",IFERROR(VLOOKUP($F13,Arrangörslista!D$143:$AG$180,16,FALSE),IF(ISBLANK(Deltagarlista!$C8),"",IF(ISBLANK(Arrangörslista!D$143),"",IFERROR(VLOOKUP($F13,Arrangörslista!E$143:$AG$180,16,FALSE),"DNS")))))),IF(Deltagarlista!$K$3=2,
IF(ISBLANK(Deltagarlista!$C8),"",IF(ISBLANK(Arrangörslista!K$53),"",IF($GV13=AG$64," DNS ",IFERROR(VLOOKUP($F13,Arrangörslista!K$53:$AG$90,16,FALSE),"DNS")))),IF(ISBLANK(Deltagarlista!$C8),"",IF(ISBLANK(Arrangörslista!K$53),"",IFERROR(VLOOKUP($F13,Arrangörslista!K$53:$AG$90,16,FALSE),"DNS")))))</f>
        <v/>
      </c>
      <c r="AH13" s="5" t="str">
        <f>IF(Deltagarlista!$K$3=4,IF(ISBLANK(Deltagarlista!$C8),"",IF(ISBLANK(Arrangörslista!F$143),"",IFERROR(VLOOKUP($F13,Arrangörslista!F$143:$AG$180,16,FALSE),IF(ISBLANK(Deltagarlista!$C8),"",IF(ISBLANK(Arrangörslista!F$143),"",IFERROR(VLOOKUP($F13,Arrangörslista!G$143:$AG$180,16,FALSE),"DNS")))))),IF(Deltagarlista!$K$3=2,
IF(ISBLANK(Deltagarlista!$C8),"",IF(ISBLANK(Arrangörslista!L$53),"",IF($GV13=AH$64," DNS ",IFERROR(VLOOKUP($F13,Arrangörslista!L$53:$AG$90,16,FALSE),"DNS")))),IF(ISBLANK(Deltagarlista!$C8),"",IF(ISBLANK(Arrangörslista!L$53),"",IFERROR(VLOOKUP($F13,Arrangörslista!L$53:$AG$90,16,FALSE),"DNS")))))</f>
        <v/>
      </c>
      <c r="AI13" s="5" t="str">
        <f>IF(Deltagarlista!$K$3=4,IF(ISBLANK(Deltagarlista!$C8),"",IF(ISBLANK(Arrangörslista!H$143),"",IFERROR(VLOOKUP($F13,Arrangörslista!H$143:$AG$180,16,FALSE),IF(ISBLANK(Deltagarlista!$C8),"",IF(ISBLANK(Arrangörslista!H$143),"",IFERROR(VLOOKUP($F13,Arrangörslista!I$143:$AG$180,16,FALSE),"DNS")))))),IF(Deltagarlista!$K$3=2,
IF(ISBLANK(Deltagarlista!$C8),"",IF(ISBLANK(Arrangörslista!M$53),"",IF($GV13=AI$64," DNS ",IFERROR(VLOOKUP($F13,Arrangörslista!M$53:$AG$90,16,FALSE),"DNS")))),IF(ISBLANK(Deltagarlista!$C8),"",IF(ISBLANK(Arrangörslista!M$53),"",IFERROR(VLOOKUP($F13,Arrangörslista!M$53:$AG$90,16,FALSE),"DNS")))))</f>
        <v/>
      </c>
      <c r="AJ13" s="5" t="str">
        <f>IF(Deltagarlista!$K$3=4,IF(ISBLANK(Deltagarlista!$C8),"",IF(ISBLANK(Arrangörslista!J$143),"",IFERROR(VLOOKUP($F13,Arrangörslista!J$143:$AG$180,16,FALSE),IF(ISBLANK(Deltagarlista!$C8),"",IF(ISBLANK(Arrangörslista!J$143),"",IFERROR(VLOOKUP($F13,Arrangörslista!K$143:$AG$180,16,FALSE),"DNS")))))),IF(Deltagarlista!$K$3=2,
IF(ISBLANK(Deltagarlista!$C8),"",IF(ISBLANK(Arrangörslista!N$53),"",IF($GV13=AJ$64," DNS ",IFERROR(VLOOKUP($F13,Arrangörslista!N$53:$AG$90,16,FALSE),"DNS")))),IF(ISBLANK(Deltagarlista!$C8),"",IF(ISBLANK(Arrangörslista!N$53),"",IFERROR(VLOOKUP($F13,Arrangörslista!N$53:$AG$90,16,FALSE),"DNS")))))</f>
        <v/>
      </c>
      <c r="AK13" s="5" t="str">
        <f>IF(Deltagarlista!$K$3=4,IF(ISBLANK(Deltagarlista!$C8),"",IF(ISBLANK(Arrangörslista!L$143),"",IFERROR(VLOOKUP($F13,Arrangörslista!L$143:$AG$180,16,FALSE),IF(ISBLANK(Deltagarlista!$C8),"",IF(ISBLANK(Arrangörslista!L$143),"",IFERROR(VLOOKUP($F13,Arrangörslista!M$143:$AG$180,16,FALSE),"DNS")))))),IF(Deltagarlista!$K$3=2,
IF(ISBLANK(Deltagarlista!$C8),"",IF(ISBLANK(Arrangörslista!O$53),"",IF($GV13=AK$64," DNS ",IFERROR(VLOOKUP($F13,Arrangörslista!O$53:$AG$90,16,FALSE),"DNS")))),IF(ISBLANK(Deltagarlista!$C8),"",IF(ISBLANK(Arrangörslista!O$53),"",IFERROR(VLOOKUP($F13,Arrangörslista!O$53:$AG$90,16,FALSE),"DNS")))))</f>
        <v/>
      </c>
      <c r="AL13" s="5" t="str">
        <f>IF(Deltagarlista!$K$3=4,IF(ISBLANK(Deltagarlista!$C8),"",IF(ISBLANK(Arrangörslista!N$143),"",IFERROR(VLOOKUP($F13,Arrangörslista!N$143:$AG$180,16,FALSE),IF(ISBLANK(Deltagarlista!$C8),"",IF(ISBLANK(Arrangörslista!N$143),"",IFERROR(VLOOKUP($F13,Arrangörslista!O$143:$AG$180,16,FALSE),"DNS")))))),IF(Deltagarlista!$K$3=2,
IF(ISBLANK(Deltagarlista!$C8),"",IF(ISBLANK(Arrangörslista!P$53),"",IF($GV13=AL$64," DNS ",IFERROR(VLOOKUP($F13,Arrangörslista!P$53:$AG$90,16,FALSE),"DNS")))),IF(ISBLANK(Deltagarlista!$C8),"",IF(ISBLANK(Arrangörslista!P$53),"",IFERROR(VLOOKUP($F13,Arrangörslista!P$53:$AG$90,16,FALSE),"DNS")))))</f>
        <v/>
      </c>
      <c r="AM13" s="5" t="str">
        <f>IF(Deltagarlista!$K$3=4,IF(ISBLANK(Deltagarlista!$C8),"",IF(ISBLANK(Arrangörslista!P$143),"",IFERROR(VLOOKUP($F13,Arrangörslista!P$143:$AG$180,16,FALSE),IF(ISBLANK(Deltagarlista!$C8),"",IF(ISBLANK(Arrangörslista!P$143),"",IFERROR(VLOOKUP($F13,Arrangörslista!Q$143:$AG$180,16,FALSE),"DNS")))))),IF(Deltagarlista!$K$3=2,
IF(ISBLANK(Deltagarlista!$C8),"",IF(ISBLANK(Arrangörslista!Q$53),"",IF($GV13=AM$64," DNS ",IFERROR(VLOOKUP($F13,Arrangörslista!Q$53:$AG$90,16,FALSE),"DNS")))),IF(ISBLANK(Deltagarlista!$C8),"",IF(ISBLANK(Arrangörslista!Q$53),"",IFERROR(VLOOKUP($F13,Arrangörslista!Q$53:$AG$90,16,FALSE),"DNS")))))</f>
        <v/>
      </c>
      <c r="AN13" s="5" t="str">
        <f>IF(Deltagarlista!$K$3=2,
IF(ISBLANK(Deltagarlista!$C8),"",IF(ISBLANK(Arrangörslista!C$98),"",IF($GV13=AN$64," DNS ",IFERROR(VLOOKUP($F13,Arrangörslista!C$98:$AG$135,16,FALSE), "DNS")))), IF(Deltagarlista!$K$3=1,IF(ISBLANK(Deltagarlista!$C8),"",IF(ISBLANK(Arrangörslista!C$98),"",IFERROR(VLOOKUP($F13,Arrangörslista!C$98:$AG$135,16,FALSE), "DNS"))),""))</f>
        <v/>
      </c>
      <c r="AO13" s="5" t="str">
        <f>IF(Deltagarlista!$K$3=2,
IF(ISBLANK(Deltagarlista!$C8),"",IF(ISBLANK(Arrangörslista!D$98),"",IF($GV13=AO$64," DNS ",IFERROR(VLOOKUP($F13,Arrangörslista!D$98:$AG$135,16,FALSE), "DNS")))), IF(Deltagarlista!$K$3=1,IF(ISBLANK(Deltagarlista!$C8),"",IF(ISBLANK(Arrangörslista!D$98),"",IFERROR(VLOOKUP($F13,Arrangörslista!D$98:$AG$135,16,FALSE), "DNS"))),""))</f>
        <v/>
      </c>
      <c r="AP13" s="5" t="str">
        <f>IF(Deltagarlista!$K$3=2,
IF(ISBLANK(Deltagarlista!$C8),"",IF(ISBLANK(Arrangörslista!E$98),"",IF($GV13=AP$64," DNS ",IFERROR(VLOOKUP($F13,Arrangörslista!E$98:$AG$135,16,FALSE), "DNS")))), IF(Deltagarlista!$K$3=1,IF(ISBLANK(Deltagarlista!$C8),"",IF(ISBLANK(Arrangörslista!E$98),"",IFERROR(VLOOKUP($F13,Arrangörslista!E$98:$AG$135,16,FALSE), "DNS"))),""))</f>
        <v/>
      </c>
      <c r="AQ13" s="5" t="str">
        <f>IF(Deltagarlista!$K$3=2,
IF(ISBLANK(Deltagarlista!$C8),"",IF(ISBLANK(Arrangörslista!F$98),"",IF($GV13=AQ$64," DNS ",IFERROR(VLOOKUP($F13,Arrangörslista!F$98:$AG$135,16,FALSE), "DNS")))), IF(Deltagarlista!$K$3=1,IF(ISBLANK(Deltagarlista!$C8),"",IF(ISBLANK(Arrangörslista!F$98),"",IFERROR(VLOOKUP($F13,Arrangörslista!F$98:$AG$135,16,FALSE), "DNS"))),""))</f>
        <v/>
      </c>
      <c r="AR13" s="5" t="str">
        <f>IF(Deltagarlista!$K$3=2,
IF(ISBLANK(Deltagarlista!$C8),"",IF(ISBLANK(Arrangörslista!G$98),"",IF($GV13=AR$64," DNS ",IFERROR(VLOOKUP($F13,Arrangörslista!G$98:$AG$135,16,FALSE), "DNS")))), IF(Deltagarlista!$K$3=1,IF(ISBLANK(Deltagarlista!$C8),"",IF(ISBLANK(Arrangörslista!G$98),"",IFERROR(VLOOKUP($F13,Arrangörslista!G$98:$AG$135,16,FALSE), "DNS"))),""))</f>
        <v/>
      </c>
      <c r="AS13" s="5" t="str">
        <f>IF(Deltagarlista!$K$3=2,
IF(ISBLANK(Deltagarlista!$C8),"",IF(ISBLANK(Arrangörslista!H$98),"",IF($GV13=AS$64," DNS ",IFERROR(VLOOKUP($F13,Arrangörslista!H$98:$AG$135,16,FALSE), "DNS")))), IF(Deltagarlista!$K$3=1,IF(ISBLANK(Deltagarlista!$C8),"",IF(ISBLANK(Arrangörslista!H$98),"",IFERROR(VLOOKUP($F13,Arrangörslista!H$98:$AG$135,16,FALSE), "DNS"))),""))</f>
        <v/>
      </c>
      <c r="AT13" s="5" t="str">
        <f>IF(Deltagarlista!$K$3=2,
IF(ISBLANK(Deltagarlista!$C8),"",IF(ISBLANK(Arrangörslista!I$98),"",IF($GV13=AT$64," DNS ",IFERROR(VLOOKUP($F13,Arrangörslista!I$98:$AG$135,16,FALSE), "DNS")))), IF(Deltagarlista!$K$3=1,IF(ISBLANK(Deltagarlista!$C8),"",IF(ISBLANK(Arrangörslista!I$98),"",IFERROR(VLOOKUP($F13,Arrangörslista!I$98:$AG$135,16,FALSE), "DNS"))),""))</f>
        <v/>
      </c>
      <c r="AU13" s="5" t="str">
        <f>IF(Deltagarlista!$K$3=2,
IF(ISBLANK(Deltagarlista!$C8),"",IF(ISBLANK(Arrangörslista!J$98),"",IF($GV13=AU$64," DNS ",IFERROR(VLOOKUP($F13,Arrangörslista!J$98:$AG$135,16,FALSE), "DNS")))), IF(Deltagarlista!$K$3=1,IF(ISBLANK(Deltagarlista!$C8),"",IF(ISBLANK(Arrangörslista!J$98),"",IFERROR(VLOOKUP($F13,Arrangörslista!J$98:$AG$135,16,FALSE), "DNS"))),""))</f>
        <v/>
      </c>
      <c r="AV13" s="5" t="str">
        <f>IF(Deltagarlista!$K$3=2,
IF(ISBLANK(Deltagarlista!$C8),"",IF(ISBLANK(Arrangörslista!K$98),"",IF($GV13=AV$64," DNS ",IFERROR(VLOOKUP($F13,Arrangörslista!K$98:$AG$135,16,FALSE), "DNS")))), IF(Deltagarlista!$K$3=1,IF(ISBLANK(Deltagarlista!$C8),"",IF(ISBLANK(Arrangörslista!K$98),"",IFERROR(VLOOKUP($F13,Arrangörslista!K$98:$AG$135,16,FALSE), "DNS"))),""))</f>
        <v/>
      </c>
      <c r="AW13" s="5" t="str">
        <f>IF(Deltagarlista!$K$3=2,
IF(ISBLANK(Deltagarlista!$C8),"",IF(ISBLANK(Arrangörslista!L$98),"",IF($GV13=AW$64," DNS ",IFERROR(VLOOKUP($F13,Arrangörslista!L$98:$AG$135,16,FALSE), "DNS")))), IF(Deltagarlista!$K$3=1,IF(ISBLANK(Deltagarlista!$C8),"",IF(ISBLANK(Arrangörslista!L$98),"",IFERROR(VLOOKUP($F13,Arrangörslista!L$98:$AG$135,16,FALSE), "DNS"))),""))</f>
        <v/>
      </c>
      <c r="AX13" s="5" t="str">
        <f>IF(Deltagarlista!$K$3=2,
IF(ISBLANK(Deltagarlista!$C8),"",IF(ISBLANK(Arrangörslista!M$98),"",IF($GV13=AX$64," DNS ",IFERROR(VLOOKUP($F13,Arrangörslista!M$98:$AG$135,16,FALSE), "DNS")))), IF(Deltagarlista!$K$3=1,IF(ISBLANK(Deltagarlista!$C8),"",IF(ISBLANK(Arrangörslista!M$98),"",IFERROR(VLOOKUP($F13,Arrangörslista!M$98:$AG$135,16,FALSE), "DNS"))),""))</f>
        <v/>
      </c>
      <c r="AY13" s="5" t="str">
        <f>IF(Deltagarlista!$K$3=2,
IF(ISBLANK(Deltagarlista!$C8),"",IF(ISBLANK(Arrangörslista!N$98),"",IF($GV13=AY$64," DNS ",IFERROR(VLOOKUP($F13,Arrangörslista!N$98:$AG$135,16,FALSE), "DNS")))), IF(Deltagarlista!$K$3=1,IF(ISBLANK(Deltagarlista!$C8),"",IF(ISBLANK(Arrangörslista!N$98),"",IFERROR(VLOOKUP($F13,Arrangörslista!N$98:$AG$135,16,FALSE), "DNS"))),""))</f>
        <v/>
      </c>
      <c r="AZ13" s="5" t="str">
        <f>IF(Deltagarlista!$K$3=2,
IF(ISBLANK(Deltagarlista!$C8),"",IF(ISBLANK(Arrangörslista!O$98),"",IF($GV13=AZ$64," DNS ",IFERROR(VLOOKUP($F13,Arrangörslista!O$98:$AG$135,16,FALSE), "DNS")))), IF(Deltagarlista!$K$3=1,IF(ISBLANK(Deltagarlista!$C8),"",IF(ISBLANK(Arrangörslista!O$98),"",IFERROR(VLOOKUP($F13,Arrangörslista!O$98:$AG$135,16,FALSE), "DNS"))),""))</f>
        <v/>
      </c>
      <c r="BA13" s="5" t="str">
        <f>IF(Deltagarlista!$K$3=2,
IF(ISBLANK(Deltagarlista!$C8),"",IF(ISBLANK(Arrangörslista!P$98),"",IF($GV13=BA$64," DNS ",IFERROR(VLOOKUP($F13,Arrangörslista!P$98:$AG$135,16,FALSE), "DNS")))), IF(Deltagarlista!$K$3=1,IF(ISBLANK(Deltagarlista!$C8),"",IF(ISBLANK(Arrangörslista!P$98),"",IFERROR(VLOOKUP($F13,Arrangörslista!P$98:$AG$135,16,FALSE), "DNS"))),""))</f>
        <v/>
      </c>
      <c r="BB13" s="5" t="str">
        <f>IF(Deltagarlista!$K$3=2,
IF(ISBLANK(Deltagarlista!$C8),"",IF(ISBLANK(Arrangörslista!Q$98),"",IF($GV13=BB$64," DNS ",IFERROR(VLOOKUP($F13,Arrangörslista!Q$98:$AG$135,16,FALSE), "DNS")))), IF(Deltagarlista!$K$3=1,IF(ISBLANK(Deltagarlista!$C8),"",IF(ISBLANK(Arrangörslista!Q$98),"",IFERROR(VLOOKUP($F13,Arrangörslista!Q$98:$AG$135,16,FALSE), "DNS"))),""))</f>
        <v/>
      </c>
      <c r="BC13" s="5" t="str">
        <f>IF(Deltagarlista!$K$3=2,
IF(ISBLANK(Deltagarlista!$C8),"",IF(ISBLANK(Arrangörslista!C$143),"",IF($GV13=BC$64," DNS ",IFERROR(VLOOKUP($F13,Arrangörslista!C$143:$AG$180,16,FALSE), "DNS")))), IF(Deltagarlista!$K$3=1,IF(ISBLANK(Deltagarlista!$C8),"",IF(ISBLANK(Arrangörslista!C$143),"",IFERROR(VLOOKUP($F13,Arrangörslista!C$143:$AG$180,16,FALSE), "DNS"))),""))</f>
        <v/>
      </c>
      <c r="BD13" s="5" t="str">
        <f>IF(Deltagarlista!$K$3=2,
IF(ISBLANK(Deltagarlista!$C8),"",IF(ISBLANK(Arrangörslista!D$143),"",IF($GV13=BD$64," DNS ",IFERROR(VLOOKUP($F13,Arrangörslista!D$143:$AG$180,16,FALSE), "DNS")))), IF(Deltagarlista!$K$3=1,IF(ISBLANK(Deltagarlista!$C8),"",IF(ISBLANK(Arrangörslista!D$143),"",IFERROR(VLOOKUP($F13,Arrangörslista!D$143:$AG$180,16,FALSE), "DNS"))),""))</f>
        <v/>
      </c>
      <c r="BE13" s="5" t="str">
        <f>IF(Deltagarlista!$K$3=2,
IF(ISBLANK(Deltagarlista!$C8),"",IF(ISBLANK(Arrangörslista!E$143),"",IF($GV13=BE$64," DNS ",IFERROR(VLOOKUP($F13,Arrangörslista!E$143:$AG$180,16,FALSE), "DNS")))), IF(Deltagarlista!$K$3=1,IF(ISBLANK(Deltagarlista!$C8),"",IF(ISBLANK(Arrangörslista!E$143),"",IFERROR(VLOOKUP($F13,Arrangörslista!E$143:$AG$180,16,FALSE), "DNS"))),""))</f>
        <v/>
      </c>
      <c r="BF13" s="5" t="str">
        <f>IF(Deltagarlista!$K$3=2,
IF(ISBLANK(Deltagarlista!$C8),"",IF(ISBLANK(Arrangörslista!F$143),"",IF($GV13=BF$64," DNS ",IFERROR(VLOOKUP($F13,Arrangörslista!F$143:$AG$180,16,FALSE), "DNS")))), IF(Deltagarlista!$K$3=1,IF(ISBLANK(Deltagarlista!$C8),"",IF(ISBLANK(Arrangörslista!F$143),"",IFERROR(VLOOKUP($F13,Arrangörslista!F$143:$AG$180,16,FALSE), "DNS"))),""))</f>
        <v/>
      </c>
      <c r="BG13" s="5" t="str">
        <f>IF(Deltagarlista!$K$3=2,
IF(ISBLANK(Deltagarlista!$C8),"",IF(ISBLANK(Arrangörslista!G$143),"",IF($GV13=BG$64," DNS ",IFERROR(VLOOKUP($F13,Arrangörslista!G$143:$AG$180,16,FALSE), "DNS")))), IF(Deltagarlista!$K$3=1,IF(ISBLANK(Deltagarlista!$C8),"",IF(ISBLANK(Arrangörslista!G$143),"",IFERROR(VLOOKUP($F13,Arrangörslista!G$143:$AG$180,16,FALSE), "DNS"))),""))</f>
        <v/>
      </c>
      <c r="BH13" s="5" t="str">
        <f>IF(Deltagarlista!$K$3=2,
IF(ISBLANK(Deltagarlista!$C8),"",IF(ISBLANK(Arrangörslista!H$143),"",IF($GV13=BH$64," DNS ",IFERROR(VLOOKUP($F13,Arrangörslista!H$143:$AG$180,16,FALSE), "DNS")))), IF(Deltagarlista!$K$3=1,IF(ISBLANK(Deltagarlista!$C8),"",IF(ISBLANK(Arrangörslista!H$143),"",IFERROR(VLOOKUP($F13,Arrangörslista!H$143:$AG$180,16,FALSE), "DNS"))),""))</f>
        <v/>
      </c>
      <c r="BI13" s="5" t="str">
        <f>IF(Deltagarlista!$K$3=2,
IF(ISBLANK(Deltagarlista!$C8),"",IF(ISBLANK(Arrangörslista!I$143),"",IF($GV13=BI$64," DNS ",IFERROR(VLOOKUP($F13,Arrangörslista!I$143:$AG$180,16,FALSE), "DNS")))), IF(Deltagarlista!$K$3=1,IF(ISBLANK(Deltagarlista!$C8),"",IF(ISBLANK(Arrangörslista!I$143),"",IFERROR(VLOOKUP($F13,Arrangörslista!I$143:$AG$180,16,FALSE), "DNS"))),""))</f>
        <v/>
      </c>
      <c r="BJ13" s="5" t="str">
        <f>IF(Deltagarlista!$K$3=2,
IF(ISBLANK(Deltagarlista!$C8),"",IF(ISBLANK(Arrangörslista!J$143),"",IF($GV13=BJ$64," DNS ",IFERROR(VLOOKUP($F13,Arrangörslista!J$143:$AG$180,16,FALSE), "DNS")))), IF(Deltagarlista!$K$3=1,IF(ISBLANK(Deltagarlista!$C8),"",IF(ISBLANK(Arrangörslista!J$143),"",IFERROR(VLOOKUP($F13,Arrangörslista!J$143:$AG$180,16,FALSE), "DNS"))),""))</f>
        <v/>
      </c>
      <c r="BK13" s="5" t="str">
        <f>IF(Deltagarlista!$K$3=2,
IF(ISBLANK(Deltagarlista!$C8),"",IF(ISBLANK(Arrangörslista!K$143),"",IF($GV13=BK$64," DNS ",IFERROR(VLOOKUP($F13,Arrangörslista!K$143:$AG$180,16,FALSE), "DNS")))), IF(Deltagarlista!$K$3=1,IF(ISBLANK(Deltagarlista!$C8),"",IF(ISBLANK(Arrangörslista!K$143),"",IFERROR(VLOOKUP($F13,Arrangörslista!K$143:$AG$180,16,FALSE), "DNS"))),""))</f>
        <v/>
      </c>
      <c r="BL13" s="5" t="str">
        <f>IF(Deltagarlista!$K$3=2,
IF(ISBLANK(Deltagarlista!$C8),"",IF(ISBLANK(Arrangörslista!L$143),"",IF($GV13=BL$64," DNS ",IFERROR(VLOOKUP($F13,Arrangörslista!L$143:$AG$180,16,FALSE), "DNS")))), IF(Deltagarlista!$K$3=1,IF(ISBLANK(Deltagarlista!$C8),"",IF(ISBLANK(Arrangörslista!L$143),"",IFERROR(VLOOKUP($F13,Arrangörslista!L$143:$AG$180,16,FALSE), "DNS"))),""))</f>
        <v/>
      </c>
      <c r="BM13" s="5" t="str">
        <f>IF(Deltagarlista!$K$3=2,
IF(ISBLANK(Deltagarlista!$C8),"",IF(ISBLANK(Arrangörslista!M$143),"",IF($GV13=BM$64," DNS ",IFERROR(VLOOKUP($F13,Arrangörslista!M$143:$AG$180,16,FALSE), "DNS")))), IF(Deltagarlista!$K$3=1,IF(ISBLANK(Deltagarlista!$C8),"",IF(ISBLANK(Arrangörslista!M$143),"",IFERROR(VLOOKUP($F13,Arrangörslista!M$143:$AG$180,16,FALSE), "DNS"))),""))</f>
        <v/>
      </c>
      <c r="BN13" s="5" t="str">
        <f>IF(Deltagarlista!$K$3=2,
IF(ISBLANK(Deltagarlista!$C8),"",IF(ISBLANK(Arrangörslista!N$143),"",IF($GV13=BN$64," DNS ",IFERROR(VLOOKUP($F13,Arrangörslista!N$143:$AG$180,16,FALSE), "DNS")))), IF(Deltagarlista!$K$3=1,IF(ISBLANK(Deltagarlista!$C8),"",IF(ISBLANK(Arrangörslista!N$143),"",IFERROR(VLOOKUP($F13,Arrangörslista!N$143:$AG$180,16,FALSE), "DNS"))),""))</f>
        <v/>
      </c>
      <c r="BO13" s="5" t="str">
        <f>IF(Deltagarlista!$K$3=2,
IF(ISBLANK(Deltagarlista!$C8),"",IF(ISBLANK(Arrangörslista!O$143),"",IF($GV13=BO$64," DNS ",IFERROR(VLOOKUP($F13,Arrangörslista!O$143:$AG$180,16,FALSE), "DNS")))), IF(Deltagarlista!$K$3=1,IF(ISBLANK(Deltagarlista!$C8),"",IF(ISBLANK(Arrangörslista!O$143),"",IFERROR(VLOOKUP($F13,Arrangörslista!O$143:$AG$180,16,FALSE), "DNS"))),""))</f>
        <v/>
      </c>
      <c r="BP13" s="5" t="str">
        <f>IF(Deltagarlista!$K$3=2,
IF(ISBLANK(Deltagarlista!$C8),"",IF(ISBLANK(Arrangörslista!P$143),"",IF($GV13=BP$64," DNS ",IFERROR(VLOOKUP($F13,Arrangörslista!P$143:$AG$180,16,FALSE), "DNS")))), IF(Deltagarlista!$K$3=1,IF(ISBLANK(Deltagarlista!$C8),"",IF(ISBLANK(Arrangörslista!P$143),"",IFERROR(VLOOKUP($F13,Arrangörslista!P$143:$AG$180,16,FALSE), "DNS"))),""))</f>
        <v/>
      </c>
      <c r="BQ13" s="80" t="str">
        <f>IF(Deltagarlista!$K$3=2,
IF(ISBLANK(Deltagarlista!$C8),"",IF(ISBLANK(Arrangörslista!Q$143),"",IF($GV13=BQ$64," DNS ",IFERROR(VLOOKUP($F13,Arrangörslista!Q$143:$AG$180,16,FALSE), "DNS")))), IF(Deltagarlista!$K$3=1,IF(ISBLANK(Deltagarlista!$C8),"",IF(ISBLANK(Arrangörslista!Q$143),"",IFERROR(VLOOKUP($F13,Arrangörslista!Q$143:$AG$180,16,FALSE), "DNS"))),""))</f>
        <v/>
      </c>
      <c r="BR13" s="51"/>
      <c r="BS13" s="51"/>
      <c r="BT13" s="51"/>
      <c r="BU13" s="71">
        <f>SUM(BV13:EC13)</f>
        <v>0</v>
      </c>
      <c r="BV13" s="61">
        <f>IF(J13="",0,IF(OR(J13="DNF",J13="OCS",J13="DSQ",J13="DNS",J13=" DNS "),$BW$3+1,J13))</f>
        <v>0</v>
      </c>
      <c r="BW13" s="61">
        <f>IF(K13="",0,IF(OR(K13="DNF",K13="OCS",K13="DSQ",K13="DNS",K13=" DNS "),$BW$3+1,K13))</f>
        <v>0</v>
      </c>
      <c r="BX13" s="61">
        <f>IF(L13="",0,IF(OR(L13="DNF",L13="OCS",L13="DSQ",L13="DNS",L13=" DNS "),$BW$3+1,L13))</f>
        <v>0</v>
      </c>
      <c r="BY13" s="61">
        <f>IF(M13="",0,IF(OR(M13="DNF",M13="OCS",M13="DSQ",M13="DNS",M13=" DNS "),$BW$3+1,M13))</f>
        <v>0</v>
      </c>
      <c r="BZ13" s="61">
        <f>IF(N13="",0,IF(OR(N13="DNF",N13="OCS",N13="DSQ",N13="DNS",N13=" DNS "),$BW$3+1,N13))</f>
        <v>0</v>
      </c>
      <c r="CA13" s="61">
        <f>IF(O13="",0,IF(OR(O13="DNF",O13="OCS",O13="DSQ",O13="DNS",O13=" DNS "),$BW$3+1,O13))</f>
        <v>0</v>
      </c>
      <c r="CB13" s="61">
        <f>IF(P13="",0,IF(OR(P13="DNF",P13="OCS",P13="DSQ",P13="DNS",P13=" DNS "),$BW$3+1,P13))</f>
        <v>0</v>
      </c>
      <c r="CC13" s="61">
        <f>IF(Q13="",0,IF(OR(Q13="DNF",Q13="OCS",Q13="DSQ",Q13="DNS",Q13=" DNS "),$BW$3+1,Q13))</f>
        <v>0</v>
      </c>
      <c r="CD13" s="61">
        <f>IF(R13="",0,IF(OR(R13="DNF",R13="OCS",R13="DSQ",R13="DNS",R13=" DNS "),$BW$3+1,R13))</f>
        <v>0</v>
      </c>
      <c r="CE13" s="61">
        <f>IF(S13="",0,IF(OR(S13="DNF",S13="OCS",S13="DSQ",S13="DNS",S13=" DNS "),$BW$3+1,S13))</f>
        <v>0</v>
      </c>
      <c r="CF13" s="61">
        <f>IF(T13="",0,IF(OR(T13="DNF",T13="OCS",T13="DSQ",T13="DNS",T13=" DNS "),$BW$3+1,T13))</f>
        <v>0</v>
      </c>
      <c r="CG13" s="61">
        <f>IF(U13="",0,IF(OR(U13="DNF",U13="OCS",U13="DSQ",U13="DNS",U13=" DNS "),$BW$3+1,U13))</f>
        <v>0</v>
      </c>
      <c r="CH13" s="61">
        <f>IF(V13="",0,IF(OR(V13="DNF",V13="OCS",V13="DSQ",V13="DNS",V13=" DNS "),$BW$3+1,V13))</f>
        <v>0</v>
      </c>
      <c r="CI13" s="61">
        <f>IF(W13="",0,IF(OR(W13="DNF",W13="OCS",W13="DSQ",W13="DNS",W13=" DNS "),$BW$3+1,W13))</f>
        <v>0</v>
      </c>
      <c r="CJ13" s="61">
        <f>IF(X13="",0,IF(OR(X13="DNF",X13="OCS",X13="DSQ",X13="DNS",X13=" DNS "),$BW$3+1,X13))</f>
        <v>0</v>
      </c>
      <c r="CK13" s="61">
        <f>IF(Y13="",0,IF(OR(Y13="DNF",Y13="OCS",Y13="DSQ",Y13="DNS",Y13=" DNS "),$BW$3+1,Y13))</f>
        <v>0</v>
      </c>
      <c r="CL13" s="61">
        <f>IF(Z13="",0,IF(OR(Z13="DNF",Z13="OCS",Z13="DSQ",Z13="DNS",Z13=" DNS "),$BW$3+1,Z13))</f>
        <v>0</v>
      </c>
      <c r="CM13" s="61">
        <f>IF(AA13="",0,IF(OR(AA13="DNF",AA13="OCS",AA13="DSQ",AA13="DNS",AA13=" DNS "),$BW$3+1,AA13))</f>
        <v>0</v>
      </c>
      <c r="CN13" s="61">
        <f>IF(AB13="",0,IF(OR(AB13="DNF",AB13="OCS",AB13="DSQ",AB13="DNS",AB13=" DNS "),$BW$3+1,AB13))</f>
        <v>0</v>
      </c>
      <c r="CO13" s="61">
        <f>IF(AC13="",0,IF(OR(AC13="DNF",AC13="OCS",AC13="DSQ",AC13="DNS",AC13=" DNS "),$BW$3+1,AC13))</f>
        <v>0</v>
      </c>
      <c r="CP13" s="61">
        <f>IF(AD13="",0,IF(OR(AD13="DNF",AD13="OCS",AD13="DSQ",AD13="DNS",AD13=" DNS "),$BW$3+1,AD13))</f>
        <v>0</v>
      </c>
      <c r="CQ13" s="61">
        <f>IF(AE13="",0,IF(OR(AE13="DNF",AE13="OCS",AE13="DSQ",AE13="DNS",AE13=" DNS "),$BW$3+1,AE13))</f>
        <v>0</v>
      </c>
      <c r="CR13" s="61">
        <f>IF(AF13="",0,IF(OR(AF13="DNF",AF13="OCS",AF13="DSQ",AF13="DNS",AF13=" DNS "),$BW$3+1,AF13))</f>
        <v>0</v>
      </c>
      <c r="CS13" s="61">
        <f>IF(AG13="",0,IF(OR(AG13="DNF",AG13="OCS",AG13="DSQ",AG13="DNS",AG13=" DNS "),$BW$3+1,AG13))</f>
        <v>0</v>
      </c>
      <c r="CT13" s="61">
        <f>IF(AH13="",0,IF(OR(AH13="DNF",AH13="OCS",AH13="DSQ",AH13="DNS",AH13=" DNS "),$BW$3+1,AH13))</f>
        <v>0</v>
      </c>
      <c r="CU13" s="61">
        <f>IF(AI13="",0,IF(OR(AI13="DNF",AI13="OCS",AI13="DSQ",AI13="DNS",AI13=" DNS "),$BW$3+1,AI13))</f>
        <v>0</v>
      </c>
      <c r="CV13" s="61">
        <f>IF(AJ13="",0,IF(OR(AJ13="DNF",AJ13="OCS",AJ13="DSQ",AJ13="DNS",AJ13=" DNS "),$BW$3+1,AJ13))</f>
        <v>0</v>
      </c>
      <c r="CW13" s="61">
        <f>IF(AK13="",0,IF(OR(AK13="DNF",AK13="OCS",AK13="DSQ",AK13="DNS",AK13=" DNS "),$BW$3+1,AK13))</f>
        <v>0</v>
      </c>
      <c r="CX13" s="61">
        <f>IF(AL13="",0,IF(OR(AL13="DNF",AL13="OCS",AL13="DSQ",AL13="DNS",AL13=" DNS "),$BW$3+1,AL13))</f>
        <v>0</v>
      </c>
      <c r="CY13" s="61">
        <f>IF(AM13="",0,IF(OR(AM13="DNF",AM13="OCS",AM13="DSQ",AM13="DNS",AM13=" DNS "),$BW$3+1,AM13))</f>
        <v>0</v>
      </c>
      <c r="CZ13" s="61">
        <f>IF(AN13="",0,IF(OR(AN13="DNF",AN13="OCS",AN13="DSQ",AN13="DNS",AN13=" DNS "),$BW$3+1,AN13))</f>
        <v>0</v>
      </c>
      <c r="DA13" s="61">
        <f>IF(AO13="",0,IF(OR(AO13="DNF",AO13="OCS",AO13="DSQ",AO13="DNS",AO13=" DNS "),$BW$3+1,AO13))</f>
        <v>0</v>
      </c>
      <c r="DB13" s="61">
        <f>IF(AP13="",0,IF(OR(AP13="DNF",AP13="OCS",AP13="DSQ",AP13="DNS",AP13=" DNS "),$BW$3+1,AP13))</f>
        <v>0</v>
      </c>
      <c r="DC13" s="61">
        <f>IF(AQ13="",0,IF(OR(AQ13="DNF",AQ13="OCS",AQ13="DSQ",AQ13="DNS",AQ13=" DNS "),$BW$3+1,AQ13))</f>
        <v>0</v>
      </c>
      <c r="DD13" s="61">
        <f>IF(AR13="",0,IF(OR(AR13="DNF",AR13="OCS",AR13="DSQ",AR13="DNS",AR13=" DNS "),$BW$3+1,AR13))</f>
        <v>0</v>
      </c>
      <c r="DE13" s="61">
        <f>IF(AS13="",0,IF(OR(AS13="DNF",AS13="OCS",AS13="DSQ",AS13="DNS",AS13=" DNS "),$BW$3+1,AS13))</f>
        <v>0</v>
      </c>
      <c r="DF13" s="61">
        <f>IF(AT13="",0,IF(OR(AT13="DNF",AT13="OCS",AT13="DSQ",AT13="DNS",AT13=" DNS "),$BW$3+1,AT13))</f>
        <v>0</v>
      </c>
      <c r="DG13" s="61">
        <f>IF(AU13="",0,IF(OR(AU13="DNF",AU13="OCS",AU13="DSQ",AU13="DNS",AU13=" DNS "),$BW$3+1,AU13))</f>
        <v>0</v>
      </c>
      <c r="DH13" s="61">
        <f>IF(AV13="",0,IF(OR(AV13="DNF",AV13="OCS",AV13="DSQ",AV13="DNS",AV13=" DNS "),$BW$3+1,AV13))</f>
        <v>0</v>
      </c>
      <c r="DI13" s="61">
        <f>IF(AW13="",0,IF(OR(AW13="DNF",AW13="OCS",AW13="DSQ",AW13="DNS",AW13=" DNS "),$BW$3+1,AW13))</f>
        <v>0</v>
      </c>
      <c r="DJ13" s="61">
        <f>IF(AX13="",0,IF(OR(AX13="DNF",AX13="OCS",AX13="DSQ",AX13="DNS",AX13=" DNS "),$BW$3+1,AX13))</f>
        <v>0</v>
      </c>
      <c r="DK13" s="61">
        <f>IF(AY13="",0,IF(OR(AY13="DNF",AY13="OCS",AY13="DSQ",AY13="DNS",AY13=" DNS "),$BW$3+1,AY13))</f>
        <v>0</v>
      </c>
      <c r="DL13" s="61">
        <f>IF(AZ13="",0,IF(OR(AZ13="DNF",AZ13="OCS",AZ13="DSQ",AZ13="DNS",AZ13=" DNS "),$BW$3+1,AZ13))</f>
        <v>0</v>
      </c>
      <c r="DM13" s="61">
        <f>IF(BA13="",0,IF(OR(BA13="DNF",BA13="OCS",BA13="DSQ",BA13="DNS",BA13=" DNS "),$BW$3+1,BA13))</f>
        <v>0</v>
      </c>
      <c r="DN13" s="61">
        <f>IF(BB13="",0,IF(OR(BB13="DNF",BB13="OCS",BB13="DSQ",BB13="DNS",BB13=" DNS "),$BW$3+1,BB13))</f>
        <v>0</v>
      </c>
      <c r="DO13" s="61">
        <f>IF(BC13="",0,IF(OR(BC13="DNF",BC13="OCS",BC13="DSQ",BC13="DNS",BC13=" DNS "),$BW$3+1,BC13))</f>
        <v>0</v>
      </c>
      <c r="DP13" s="61">
        <f>IF(BD13="",0,IF(OR(BD13="DNF",BD13="OCS",BD13="DSQ",BD13="DNS",BD13=" DNS "),$BW$3+1,BD13))</f>
        <v>0</v>
      </c>
      <c r="DQ13" s="61">
        <f>IF(BE13="",0,IF(OR(BE13="DNF",BE13="OCS",BE13="DSQ",BE13="DNS",BE13=" DNS "),$BW$3+1,BE13))</f>
        <v>0</v>
      </c>
      <c r="DR13" s="61">
        <f>IF(BF13="",0,IF(OR(BF13="DNF",BF13="OCS",BF13="DSQ",BF13="DNS",BF13=" DNS "),$BW$3+1,BF13))</f>
        <v>0</v>
      </c>
      <c r="DS13" s="61">
        <f>IF(BG13="",0,IF(OR(BG13="DNF",BG13="OCS",BG13="DSQ",BG13="DNS",BG13=" DNS "),$BW$3+1,BG13))</f>
        <v>0</v>
      </c>
      <c r="DT13" s="61">
        <f>IF(BH13="",0,IF(OR(BH13="DNF",BH13="OCS",BH13="DSQ",BH13="DNS",BH13=" DNS "),$BW$3+1,BH13))</f>
        <v>0</v>
      </c>
      <c r="DU13" s="61">
        <f>IF(BI13="",0,IF(OR(BI13="DNF",BI13="OCS",BI13="DSQ",BI13="DNS",BI13=" DNS "),$BW$3+1,BI13))</f>
        <v>0</v>
      </c>
      <c r="DV13" s="61">
        <f>IF(BJ13="",0,IF(OR(BJ13="DNF",BJ13="OCS",BJ13="DSQ",BJ13="DNS",BJ13=" DNS "),$BW$3+1,BJ13))</f>
        <v>0</v>
      </c>
      <c r="DW13" s="61">
        <f>IF(BK13="",0,IF(OR(BK13="DNF",BK13="OCS",BK13="DSQ",BK13="DNS",BK13=" DNS "),$BW$3+1,BK13))</f>
        <v>0</v>
      </c>
      <c r="DX13" s="61">
        <f>IF(BL13="",0,IF(OR(BL13="DNF",BL13="OCS",BL13="DSQ",BL13="DNS",BL13=" DNS "),$BW$3+1,BL13))</f>
        <v>0</v>
      </c>
      <c r="DY13" s="61">
        <f>IF(BM13="",0,IF(OR(BM13="DNF",BM13="OCS",BM13="DSQ",BM13="DNS",BM13=" DNS "),$BW$3+1,BM13))</f>
        <v>0</v>
      </c>
      <c r="DZ13" s="61">
        <f>IF(BN13="",0,IF(OR(BN13="DNF",BN13="OCS",BN13="DSQ",BN13="DNS",BN13=" DNS "),$BW$3+1,BN13))</f>
        <v>0</v>
      </c>
      <c r="EA13" s="61">
        <f>IF(BO13="",0,IF(OR(BO13="DNF",BO13="OCS",BO13="DSQ",BO13="DNS",BO13=" DNS "),$BW$3+1,BO13))</f>
        <v>0</v>
      </c>
      <c r="EB13" s="61">
        <f>IF(BP13="",0,IF(OR(BP13="DNF",BP13="OCS",BP13="DSQ",BP13="DNS",BP13=" DNS "),$BW$3+1,BP13))</f>
        <v>0</v>
      </c>
      <c r="EC13" s="61">
        <f>IF(BQ13="",0,IF(OR(BQ13="DNF",BQ13="OCS",BQ13="DSQ",BQ13="DNS",BQ13=" DNS "),$BW$3+1,BQ13))</f>
        <v>0</v>
      </c>
      <c r="EE13" s="61">
        <f xml:space="preserve">
IF(OR(Deltagarlista!$K$3=3,Deltagarlista!$K$3=4),
IF(Arrangörslista!$U$5&lt;8,0,
IF(Arrangörslista!$U$5&lt;16,SUM(LARGE(BV13:CJ13,1)),
IF(Arrangörslista!$U$5&lt;24,SUM(LARGE(BV13:CR13,{1;2})),
IF(Arrangörslista!$U$5&lt;32,SUM(LARGE(BV13:CZ13,{1;2;3})),
IF(Arrangörslista!$U$5&lt;40,SUM(LARGE(BV13:DH13,{1;2;3;4})),
IF(Arrangörslista!$U$5&lt;48,SUM(LARGE(BV13:DP13,{1;2;3;4;5})),
IF(Arrangörslista!$U$5&lt;56,SUM(LARGE(BV13:DX13,{1;2;3;4;5;6})),
IF(Arrangörslista!$U$5&lt;64,SUM(LARGE(BV13:EC13,{1;2;3;4;5;6;7})),0)))))))),
IF(Deltagarlista!$K$3=2,
IF(Arrangörslista!$U$5&lt;4,LARGE(BV13:BX13,1),
IF(Arrangörslista!$U$5&lt;7,SUM(LARGE(BV13:CA13,{1;2;3})),
IF(Arrangörslista!$U$5&lt;10,SUM(LARGE(BV13:CD13,{1;2;3;4})),
IF(Arrangörslista!$U$5&lt;13,SUM(LARGE(BV13:CG13,{1;2;3;4;5;6})),
IF(Arrangörslista!$U$5&lt;16,SUM(LARGE(BV13:CJ13,{1;2;3;4;5;6;7})),
IF(Arrangörslista!$U$5&lt;19,SUM(LARGE(BV13:CM13,{1;2;3;4;5;6;7;8;9})),
IF(Arrangörslista!$U$5&lt;22,SUM(LARGE(BV13:CP13,{1;2;3;4;5;6;7;8;9;10})),
IF(Arrangörslista!$U$5&lt;25,SUM(LARGE(BV13:CS13,{1;2;3;4;5;6;7;8;9;10;11;12})),
IF(Arrangörslista!$U$5&lt;28,SUM(LARGE(BV13:CV13,{1;2;3;4;5;6;7;8;9;10;11;12;13})),
IF(Arrangörslista!$U$5&lt;31,SUM(LARGE(BV13:CY13,{1;2;3;4;5;6;7;8;9;10;11;12;13;14;15})),
IF(Arrangörslista!$U$5&lt;34,SUM(LARGE(BV13:DB13,{1;2;3;4;5;6;7;8;9;10;11;12;13;14;15;16})),
IF(Arrangörslista!$U$5&lt;37,SUM(LARGE(BV13:DE13,{1;2;3;4;5;6;7;8;9;10;11;12;13;14;15;16;17;18})),
IF(Arrangörslista!$U$5&lt;40,SUM(LARGE(BV13:DH13,{1;2;3;4;5;6;7;8;9;10;11;12;13;14;15;16;17;18;19})),
IF(Arrangörslista!$U$5&lt;43,SUM(LARGE(BV13:DK13,{1;2;3;4;5;6;7;8;9;10;11;12;13;14;15;16;17;18;19;20;21})),
IF(Arrangörslista!$U$5&lt;46,SUM(LARGE(BV13:DN13,{1;2;3;4;5;6;7;8;9;10;11;12;13;14;15;16;17;18;19;20;21;22})),
IF(Arrangörslista!$U$5&lt;49,SUM(LARGE(BV13:DQ13,{1;2;3;4;5;6;7;8;9;10;11;12;13;14;15;16;17;18;19;20;21;22;23;24})),
IF(Arrangörslista!$U$5&lt;52,SUM(LARGE(BV13:DT13,{1;2;3;4;5;6;7;8;9;10;11;12;13;14;15;16;17;18;19;20;21;22;23;24;25})),
IF(Arrangörslista!$U$5&lt;55,SUM(LARGE(BV13:DW13,{1;2;3;4;5;6;7;8;9;10;11;12;13;14;15;16;17;18;19;20;21;22;23;24;25;26;27})),
IF(Arrangörslista!$U$5&lt;58,SUM(LARGE(BV13:DZ13,{1;2;3;4;5;6;7;8;9;10;11;12;13;14;15;16;17;18;19;20;21;22;23;24;25;26;27;28})),
IF(Arrangörslista!$U$5&lt;61,SUM(LARGE(BV13:EC13,{1;2;3;4;5;6;7;8;9;10;11;12;13;14;15;16;17;18;19;20;21;22;23;24;25;26;27;28;29;30})),0)))))))))))))))))))),
IF(Arrangörslista!$U$5&lt;4,0,
IF(Arrangörslista!$U$5&lt;8,SUM(LARGE(BV13:CB13,1)),
IF(Arrangörslista!$U$5&lt;12,SUM(LARGE(BV13:CF13,{1;2})),
IF(Arrangörslista!$U$5&lt;16,SUM(LARGE(BV13:CJ13,{1;2;3})),
IF(Arrangörslista!$U$5&lt;20,SUM(LARGE(BV13:CN13,{1;2;3;4})),
IF(Arrangörslista!$U$5&lt;24,SUM(LARGE(BV13:CR13,{1;2;3;4;5})),
IF(Arrangörslista!$U$5&lt;28,SUM(LARGE(BV13:CV13,{1;2;3;4;5;6})),
IF(Arrangörslista!$U$5&lt;32,SUM(LARGE(BV13:CZ13,{1;2;3;4;5;6;7})),
IF(Arrangörslista!$U$5&lt;36,SUM(LARGE(BV13:DD13,{1;2;3;4;5;6;7;8})),
IF(Arrangörslista!$U$5&lt;40,SUM(LARGE(BV13:DH13,{1;2;3;4;5;6;7;8;9})),
IF(Arrangörslista!$U$5&lt;44,SUM(LARGE(BV13:DL13,{1;2;3;4;5;6;7;8;9;10})),
IF(Arrangörslista!$U$5&lt;48,SUM(LARGE(BV13:DP13,{1;2;3;4;5;6;7;8;9;10;11})),
IF(Arrangörslista!$U$5&lt;52,SUM(LARGE(BV13:DT13,{1;2;3;4;5;6;7;8;9;10;11;12})),
IF(Arrangörslista!$U$5&lt;56,SUM(LARGE(BV13:DX13,{1;2;3;4;5;6;7;8;9;10;11;12;13})),
IF(Arrangörslista!$U$5&lt;60,SUM(LARGE(BV13:EB13,{1;2;3;4;5;6;7;8;9;10;11;12;13;14})),
IF(Arrangörslista!$U$5=60,SUM(LARGE(BV13:EC13,{1;2;3;4;5;6;7;8;9;10;11;12;13;14;15})),0))))))))))))))))))</f>
        <v>0</v>
      </c>
      <c r="EG13" s="67">
        <f>IF(F13="",,1)</f>
        <v>0</v>
      </c>
      <c r="EH13" s="61"/>
      <c r="EI13" s="61"/>
      <c r="EK13" s="62">
        <f>SMALL($J76:$BQ76,1)</f>
        <v>61</v>
      </c>
      <c r="EL13" s="62">
        <f>SMALL($J76:$BQ76,2)</f>
        <v>61</v>
      </c>
      <c r="EM13" s="62">
        <f>SMALL($J76:$BQ76,3)</f>
        <v>61</v>
      </c>
      <c r="EN13" s="62">
        <f>SMALL($J76:$BQ76,4)</f>
        <v>61</v>
      </c>
      <c r="EO13" s="62">
        <f>SMALL($J76:$BQ76,5)</f>
        <v>61</v>
      </c>
      <c r="EP13" s="62">
        <f>SMALL($J76:$BQ76,6)</f>
        <v>61</v>
      </c>
      <c r="EQ13" s="62">
        <f>SMALL($J76:$BQ76,7)</f>
        <v>61</v>
      </c>
      <c r="ER13" s="62">
        <f>SMALL($J76:$BQ76,8)</f>
        <v>61</v>
      </c>
      <c r="ES13" s="62">
        <f>SMALL($J76:$BQ76,9)</f>
        <v>61</v>
      </c>
      <c r="ET13" s="62">
        <f>SMALL($J76:$BQ76,10)</f>
        <v>61</v>
      </c>
      <c r="EU13" s="62">
        <f>SMALL($J76:$BQ76,11)</f>
        <v>61</v>
      </c>
      <c r="EV13" s="62">
        <f>SMALL($J76:$BQ76,12)</f>
        <v>61</v>
      </c>
      <c r="EW13" s="62">
        <f>SMALL($J76:$BQ76,13)</f>
        <v>61</v>
      </c>
      <c r="EX13" s="62">
        <f>SMALL($J76:$BQ76,14)</f>
        <v>61</v>
      </c>
      <c r="EY13" s="62">
        <f>SMALL($J76:$BQ76,15)</f>
        <v>61</v>
      </c>
      <c r="EZ13" s="62">
        <f>SMALL($J76:$BQ76,16)</f>
        <v>61</v>
      </c>
      <c r="FA13" s="62">
        <f>SMALL($J76:$BQ76,17)</f>
        <v>61</v>
      </c>
      <c r="FB13" s="62">
        <f>SMALL($J76:$BQ76,18)</f>
        <v>61</v>
      </c>
      <c r="FC13" s="62">
        <f>SMALL($J76:$BQ76,19)</f>
        <v>61</v>
      </c>
      <c r="FD13" s="62">
        <f>SMALL($J76:$BQ76,20)</f>
        <v>61</v>
      </c>
      <c r="FE13" s="62">
        <f>SMALL($J76:$BQ76,21)</f>
        <v>61</v>
      </c>
      <c r="FF13" s="62">
        <f>SMALL($J76:$BQ76,22)</f>
        <v>61</v>
      </c>
      <c r="FG13" s="62">
        <f>SMALL($J76:$BQ76,23)</f>
        <v>61</v>
      </c>
      <c r="FH13" s="62">
        <f>SMALL($J76:$BQ76,24)</f>
        <v>61</v>
      </c>
      <c r="FI13" s="62">
        <f>SMALL($J76:$BQ76,25)</f>
        <v>61</v>
      </c>
      <c r="FJ13" s="62">
        <f>SMALL($J76:$BQ76,26)</f>
        <v>61</v>
      </c>
      <c r="FK13" s="62">
        <f>SMALL($J76:$BQ76,27)</f>
        <v>61</v>
      </c>
      <c r="FL13" s="62">
        <f>SMALL($J76:$BQ76,28)</f>
        <v>61</v>
      </c>
      <c r="FM13" s="62">
        <f>SMALL($J76:$BQ76,29)</f>
        <v>61</v>
      </c>
      <c r="FN13" s="62">
        <f>SMALL($J76:$BQ76,30)</f>
        <v>61</v>
      </c>
      <c r="FO13" s="62">
        <f>SMALL($J76:$BQ76,31)</f>
        <v>61</v>
      </c>
      <c r="FP13" s="62">
        <f>SMALL($J76:$BQ76,32)</f>
        <v>61</v>
      </c>
      <c r="FQ13" s="62">
        <f>SMALL($J76:$BQ76,33)</f>
        <v>61</v>
      </c>
      <c r="FR13" s="62">
        <f>SMALL($J76:$BQ76,34)</f>
        <v>61</v>
      </c>
      <c r="FS13" s="62">
        <f>SMALL($J76:$BQ76,35)</f>
        <v>61</v>
      </c>
      <c r="FT13" s="62">
        <f>SMALL($J76:$BQ76,36)</f>
        <v>61</v>
      </c>
      <c r="FU13" s="62">
        <f>SMALL($J76:$BQ76,37)</f>
        <v>61</v>
      </c>
      <c r="FV13" s="62">
        <f>SMALL($J76:$BQ76,38)</f>
        <v>61</v>
      </c>
      <c r="FW13" s="62">
        <f>SMALL($J76:$BQ76,39)</f>
        <v>61</v>
      </c>
      <c r="FX13" s="62">
        <f>SMALL($J76:$BQ76,40)</f>
        <v>61</v>
      </c>
      <c r="FY13" s="62">
        <f>SMALL($J76:$BQ76,41)</f>
        <v>61</v>
      </c>
      <c r="FZ13" s="62">
        <f>SMALL($J76:$BQ76,42)</f>
        <v>61</v>
      </c>
      <c r="GA13" s="62">
        <f>SMALL($J76:$BQ76,43)</f>
        <v>61</v>
      </c>
      <c r="GB13" s="62">
        <f>SMALL($J76:$BQ76,44)</f>
        <v>61</v>
      </c>
      <c r="GC13" s="62">
        <f>SMALL($J76:$BQ76,45)</f>
        <v>61</v>
      </c>
      <c r="GD13" s="62">
        <f>SMALL($J76:$BQ76,46)</f>
        <v>61</v>
      </c>
      <c r="GE13" s="62">
        <f>SMALL($J76:$BQ76,47)</f>
        <v>61</v>
      </c>
      <c r="GF13" s="62">
        <f>SMALL($J76:$BQ76,48)</f>
        <v>61</v>
      </c>
      <c r="GG13" s="62">
        <f>SMALL($J76:$BQ76,49)</f>
        <v>61</v>
      </c>
      <c r="GH13" s="62">
        <f>SMALL($J76:$BQ76,50)</f>
        <v>61</v>
      </c>
      <c r="GI13" s="62">
        <f>SMALL($J76:$BQ76,51)</f>
        <v>61</v>
      </c>
      <c r="GJ13" s="62">
        <f>SMALL($J76:$BQ76,52)</f>
        <v>61</v>
      </c>
      <c r="GK13" s="62">
        <f>SMALL($J76:$BQ76,53)</f>
        <v>61</v>
      </c>
      <c r="GL13" s="62">
        <f>SMALL($J76:$BQ76,54)</f>
        <v>61</v>
      </c>
      <c r="GM13" s="62">
        <f>SMALL($J76:$BQ76,55)</f>
        <v>61</v>
      </c>
      <c r="GN13" s="62">
        <f>SMALL($J76:$BQ76,56)</f>
        <v>61</v>
      </c>
      <c r="GO13" s="62">
        <f>SMALL($J76:$BQ76,57)</f>
        <v>61</v>
      </c>
      <c r="GP13" s="62">
        <f>SMALL($J76:$BQ76,58)</f>
        <v>61</v>
      </c>
      <c r="GQ13" s="62">
        <f>SMALL($J76:$BQ76,59)</f>
        <v>61</v>
      </c>
      <c r="GR13" s="62">
        <f>SMALL($J76:$BQ76,60)</f>
        <v>61</v>
      </c>
      <c r="GT13" s="62">
        <f>IF(Deltagarlista!$K$3=2,
IF(GW13="1",
      IF(Arrangörslista!$U$5=1,J76,
IF(Arrangörslista!$U$5=2,K76,
IF(Arrangörslista!$U$5=3,L76,
IF(Arrangörslista!$U$5=4,M76,
IF(Arrangörslista!$U$5=5,N76,
IF(Arrangörslista!$U$5=6,O76,
IF(Arrangörslista!$U$5=7,P76,
IF(Arrangörslista!$U$5=8,Q76,
IF(Arrangörslista!$U$5=9,R76,
IF(Arrangörslista!$U$5=10,S76,
IF(Arrangörslista!$U$5=11,T76,
IF(Arrangörslista!$U$5=12,U76,
IF(Arrangörslista!$U$5=13,V76,
IF(Arrangörslista!$U$5=14,W76,
IF(Arrangörslista!$U$5=15,X76,
IF(Arrangörslista!$U$5=16,Y76,IF(Arrangörslista!$U$5=17,Z76,IF(Arrangörslista!$U$5=18,AA76,IF(Arrangörslista!$U$5=19,AB76,IF(Arrangörslista!$U$5=20,AC76,IF(Arrangörslista!$U$5=21,AD76,IF(Arrangörslista!$U$5=22,AE76,IF(Arrangörslista!$U$5=23,AF76, IF(Arrangörslista!$U$5=24,AG76, IF(Arrangörslista!$U$5=25,AH76, IF(Arrangörslista!$U$5=26,AI76, IF(Arrangörslista!$U$5=27,AJ76, IF(Arrangörslista!$U$5=28,AK76, IF(Arrangörslista!$U$5=29,AL76, IF(Arrangörslista!$U$5=30,AM76, IF(Arrangörslista!$U$5=31,AN76, IF(Arrangörslista!$U$5=32,AO76, IF(Arrangörslista!$U$5=33,AP76, IF(Arrangörslista!$U$5=34,AQ76, IF(Arrangörslista!$U$5=35,AR76, IF(Arrangörslista!$U$5=36,AS76, IF(Arrangörslista!$U$5=37,AT76, IF(Arrangörslista!$U$5=38,AU76, IF(Arrangörslista!$U$5=39,AV76, IF(Arrangörslista!$U$5=40,AW76, IF(Arrangörslista!$U$5=41,AX76, IF(Arrangörslista!$U$5=42,AY76, IF(Arrangörslista!$U$5=43,AZ76, IF(Arrangörslista!$U$5=44,BA76, IF(Arrangörslista!$U$5=45,BB76, IF(Arrangörslista!$U$5=46,BC76, IF(Arrangörslista!$U$5=47,BD76, IF(Arrangörslista!$U$5=48,BE76, IF(Arrangörslista!$U$5=49,BF76, IF(Arrangörslista!$U$5=50,BG76, IF(Arrangörslista!$U$5=51,BH76, IF(Arrangörslista!$U$5=52,BI76, IF(Arrangörslista!$U$5=53,BJ76, IF(Arrangörslista!$U$5=54,BK76, IF(Arrangörslista!$U$5=55,BL76, IF(Arrangörslista!$U$5=56,BM76, IF(Arrangörslista!$U$5=57,BN76, IF(Arrangörslista!$U$5=58,BO76, IF(Arrangörslista!$U$5=59,BP76, IF(Arrangörslista!$U$5=60,BQ76,0))))))))))))))))))))))))))))))))))))))))))))))))))))))))))))),IF(Deltagarlista!$K$3=4, IF(Arrangörslista!$U$5=1,J76,
IF(Arrangörslista!$U$5=2,J76,
IF(Arrangörslista!$U$5=3,K76,
IF(Arrangörslista!$U$5=4,K76,
IF(Arrangörslista!$U$5=5,L76,
IF(Arrangörslista!$U$5=6,L76,
IF(Arrangörslista!$U$5=7,M76,
IF(Arrangörslista!$U$5=8,M76,
IF(Arrangörslista!$U$5=9,N76,
IF(Arrangörslista!$U$5=10,N76,
IF(Arrangörslista!$U$5=11,O76,
IF(Arrangörslista!$U$5=12,O76,
IF(Arrangörslista!$U$5=13,P76,
IF(Arrangörslista!$U$5=14,P76,
IF(Arrangörslista!$U$5=15,Q76,
IF(Arrangörslista!$U$5=16,Q76,
IF(Arrangörslista!$U$5=17,R76,
IF(Arrangörslista!$U$5=18,R76,
IF(Arrangörslista!$U$5=19,S76,
IF(Arrangörslista!$U$5=20,S76,
IF(Arrangörslista!$U$5=21,T76,
IF(Arrangörslista!$U$5=22,T76,IF(Arrangörslista!$U$5=23,U76, IF(Arrangörslista!$U$5=24,U76, IF(Arrangörslista!$U$5=25,V76, IF(Arrangörslista!$U$5=26,V76, IF(Arrangörslista!$U$5=27,W76, IF(Arrangörslista!$U$5=28,W76, IF(Arrangörslista!$U$5=29,X76, IF(Arrangörslista!$U$5=30,X76, IF(Arrangörslista!$U$5=31,X76, IF(Arrangörslista!$U$5=32,Y76, IF(Arrangörslista!$U$5=33,AO76, IF(Arrangörslista!$U$5=34,Y76, IF(Arrangörslista!$U$5=35,Z76, IF(Arrangörslista!$U$5=36,AR76, IF(Arrangörslista!$U$5=37,Z76, IF(Arrangörslista!$U$5=38,AA76, IF(Arrangörslista!$U$5=39,AU76, IF(Arrangörslista!$U$5=40,AA76, IF(Arrangörslista!$U$5=41,AB76, IF(Arrangörslista!$U$5=42,AX76, IF(Arrangörslista!$U$5=43,AB76, IF(Arrangörslista!$U$5=44,AC76, IF(Arrangörslista!$U$5=45,BA76, IF(Arrangörslista!$U$5=46,AC76, IF(Arrangörslista!$U$5=47,AD76, IF(Arrangörslista!$U$5=48,BD76, IF(Arrangörslista!$U$5=49,AD76, IF(Arrangörslista!$U$5=50,AE76, IF(Arrangörslista!$U$5=51,BG76, IF(Arrangörslista!$U$5=52,AE76, IF(Arrangörslista!$U$5=53,AF76, IF(Arrangörslista!$U$5=54,BJ76, IF(Arrangörslista!$U$5=55,AF76, IF(Arrangörslista!$U$5=56,AG76, IF(Arrangörslista!$U$5=57,BM76, IF(Arrangörslista!$U$5=58,AG76, IF(Arrangörslista!$U$5=59,AH76, IF(Arrangörslista!$U$5=60,AH76,0)))))))))))))))))))))))))))))))))))))))))))))))))))))))))))),IF(Arrangörslista!$U$5=1,J76,
IF(Arrangörslista!$U$5=2,K76,
IF(Arrangörslista!$U$5=3,L76,
IF(Arrangörslista!$U$5=4,M76,
IF(Arrangörslista!$U$5=5,N76,
IF(Arrangörslista!$U$5=6,O76,
IF(Arrangörslista!$U$5=7,P76,
IF(Arrangörslista!$U$5=8,Q76,
IF(Arrangörslista!$U$5=9,R76,
IF(Arrangörslista!$U$5=10,S76,
IF(Arrangörslista!$U$5=11,T76,
IF(Arrangörslista!$U$5=12,U76,
IF(Arrangörslista!$U$5=13,V76,
IF(Arrangörslista!$U$5=14,W76,
IF(Arrangörslista!$U$5=15,X76,
IF(Arrangörslista!$U$5=16,Y76,IF(Arrangörslista!$U$5=17,Z76,IF(Arrangörslista!$U$5=18,AA76,IF(Arrangörslista!$U$5=19,AB76,IF(Arrangörslista!$U$5=20,AC76,IF(Arrangörslista!$U$5=21,AD76,IF(Arrangörslista!$U$5=22,AE76,IF(Arrangörslista!$U$5=23,AF76, IF(Arrangörslista!$U$5=24,AG76, IF(Arrangörslista!$U$5=25,AH76, IF(Arrangörslista!$U$5=26,AI76, IF(Arrangörslista!$U$5=27,AJ76, IF(Arrangörslista!$U$5=28,AK76, IF(Arrangörslista!$U$5=29,AL76, IF(Arrangörslista!$U$5=30,AM76, IF(Arrangörslista!$U$5=31,AN76, IF(Arrangörslista!$U$5=32,AO76, IF(Arrangörslista!$U$5=33,AP76, IF(Arrangörslista!$U$5=34,AQ76, IF(Arrangörslista!$U$5=35,AR76, IF(Arrangörslista!$U$5=36,AS76, IF(Arrangörslista!$U$5=37,AT76, IF(Arrangörslista!$U$5=38,AU76, IF(Arrangörslista!$U$5=39,AV76, IF(Arrangörslista!$U$5=40,AW76, IF(Arrangörslista!$U$5=41,AX76, IF(Arrangörslista!$U$5=42,AY76, IF(Arrangörslista!$U$5=43,AZ76, IF(Arrangörslista!$U$5=44,BA76, IF(Arrangörslista!$U$5=45,BB76, IF(Arrangörslista!$U$5=46,BC76, IF(Arrangörslista!$U$5=47,BD76, IF(Arrangörslista!$U$5=48,BE76, IF(Arrangörslista!$U$5=49,BF76, IF(Arrangörslista!$U$5=50,BG76, IF(Arrangörslista!$U$5=51,BH76, IF(Arrangörslista!$U$5=52,BI76, IF(Arrangörslista!$U$5=53,BJ76, IF(Arrangörslista!$U$5=54,BK76, IF(Arrangörslista!$U$5=55,BL76, IF(Arrangörslista!$U$5=56,BM76, IF(Arrangörslista!$U$5=57,BN76, IF(Arrangörslista!$U$5=58,BO76, IF(Arrangörslista!$U$5=59,BP76, IF(Arrangörslista!$U$5=60,BQ76,0))))))))))))))))))))))))))))))))))))))))))))))))))))))))))))
))</f>
        <v>0</v>
      </c>
      <c r="GV13" s="65" t="str">
        <f>IFERROR(IF(VLOOKUP(F13,Deltagarlista!$E$5:$I$64,5,FALSE)="Grön","Gr",IF(VLOOKUP(F13,Deltagarlista!$E$5:$I$64,5,FALSE)="Röd","R",IF(VLOOKUP(F13,Deltagarlista!$E$5:$I$64,5,FALSE)="Blå","B","Gu"))),"")</f>
        <v/>
      </c>
      <c r="GW13" s="62" t="str">
        <f t="shared" si="1"/>
        <v/>
      </c>
    </row>
    <row r="14" spans="1:206" x14ac:dyDescent="0.3">
      <c r="B14" s="23" t="str">
        <f>IF($BW$3&gt;10,11,"")</f>
        <v/>
      </c>
      <c r="C14" s="92" t="str">
        <f>IF(ISBLANK(Deltagarlista!C14),"",Deltagarlista!C14)</f>
        <v/>
      </c>
      <c r="D14" s="109" t="str">
        <f>CONCATENATE(IF(AND(Deltagarlista!H14="GM",Deltagarlista!$S$14=TRUE),"GM   ",""),  IF(OR(Deltagarlista!$K$3=4,Deltagarlista!$K$3=2),Deltagarlista!I14,""))</f>
        <v/>
      </c>
      <c r="E14" s="8" t="str">
        <f>IF(ISBLANK(Deltagarlista!D14),"",Deltagarlista!D14)</f>
        <v/>
      </c>
      <c r="F14" s="8" t="str">
        <f>IF(ISBLANK(Deltagarlista!E14),"",Deltagarlista!E14)</f>
        <v/>
      </c>
      <c r="G14" s="95" t="str">
        <f>IF(ISBLANK(Deltagarlista!F14),"",Deltagarlista!F14)</f>
        <v/>
      </c>
      <c r="H14" s="72" t="str">
        <f>IF(ISBLANK(Deltagarlista!C14),"",BU14-EE14)</f>
        <v/>
      </c>
      <c r="I14" s="13" t="str">
        <f>IF(ISBLANK(Deltagarlista!C14),"",IF(AND(Deltagarlista!$K$3=2,Deltagarlista!$L$3&lt;37),SUM(SUM(BV14:EC14)-(ROUNDDOWN(Arrangörslista!$U$5/3,1))*($BW$3+1)),SUM(BV14:EC14)))</f>
        <v/>
      </c>
      <c r="J14" s="79" t="str">
        <f>IF(Deltagarlista!$K$3=4,IF(ISBLANK(Deltagarlista!$C14),"",IF(ISBLANK(Arrangörslista!C$8),"",IFERROR(VLOOKUP($F14,Arrangörslista!C$8:$AG$45,16,FALSE),IF(ISBLANK(Deltagarlista!$C14),"",IF(ISBLANK(Arrangörslista!C$8),"",IFERROR(VLOOKUP($F14,Arrangörslista!D$8:$AG$45,16,FALSE),"DNS")))))),IF(Deltagarlista!$K$3=2,
IF(ISBLANK(Deltagarlista!$C14),"",IF(ISBLANK(Arrangörslista!C$8),"",IF($GV14=J$64," DNS ",IFERROR(VLOOKUP($F14,Arrangörslista!C$8:$AG$45,16,FALSE),"DNS")))),IF(ISBLANK(Deltagarlista!$C14),"",IF(ISBLANK(Arrangörslista!C$8),"",IFERROR(VLOOKUP($F14,Arrangörslista!C$8:$AG$45,16,FALSE),"DNS")))))</f>
        <v/>
      </c>
      <c r="K14" s="5" t="str">
        <f>IF(Deltagarlista!$K$3=4,IF(ISBLANK(Deltagarlista!$C14),"",IF(ISBLANK(Arrangörslista!E$8),"",IFERROR(VLOOKUP($F14,Arrangörslista!E$8:$AG$45,16,FALSE),IF(ISBLANK(Deltagarlista!$C14),"",IF(ISBLANK(Arrangörslista!E$8),"",IFERROR(VLOOKUP($F14,Arrangörslista!F$8:$AG$45,16,FALSE),"DNS")))))),IF(Deltagarlista!$K$3=2,
IF(ISBLANK(Deltagarlista!$C14),"",IF(ISBLANK(Arrangörslista!D$8),"",IF($GV14=K$64," DNS ",IFERROR(VLOOKUP($F14,Arrangörslista!D$8:$AG$45,16,FALSE),"DNS")))),IF(ISBLANK(Deltagarlista!$C14),"",IF(ISBLANK(Arrangörslista!D$8),"",IFERROR(VLOOKUP($F14,Arrangörslista!D$8:$AG$45,16,FALSE),"DNS")))))</f>
        <v/>
      </c>
      <c r="L14" s="5" t="str">
        <f>IF(Deltagarlista!$K$3=4,IF(ISBLANK(Deltagarlista!$C14),"",IF(ISBLANK(Arrangörslista!G$8),"",IFERROR(VLOOKUP($F14,Arrangörslista!G$8:$AG$45,16,FALSE),IF(ISBLANK(Deltagarlista!$C14),"",IF(ISBLANK(Arrangörslista!G$8),"",IFERROR(VLOOKUP($F14,Arrangörslista!H$8:$AG$45,16,FALSE),"DNS")))))),IF(Deltagarlista!$K$3=2,
IF(ISBLANK(Deltagarlista!$C14),"",IF(ISBLANK(Arrangörslista!E$8),"",IF($GV14=L$64," DNS ",IFERROR(VLOOKUP($F14,Arrangörslista!E$8:$AG$45,16,FALSE),"DNS")))),IF(ISBLANK(Deltagarlista!$C14),"",IF(ISBLANK(Arrangörslista!E$8),"",IFERROR(VLOOKUP($F14,Arrangörslista!E$8:$AG$45,16,FALSE),"DNS")))))</f>
        <v/>
      </c>
      <c r="M14" s="5" t="str">
        <f>IF(Deltagarlista!$K$3=4,IF(ISBLANK(Deltagarlista!$C14),"",IF(ISBLANK(Arrangörslista!I$8),"",IFERROR(VLOOKUP($F14,Arrangörslista!I$8:$AG$45,16,FALSE),IF(ISBLANK(Deltagarlista!$C14),"",IF(ISBLANK(Arrangörslista!I$8),"",IFERROR(VLOOKUP($F14,Arrangörslista!J$8:$AG$45,16,FALSE),"DNS")))))),IF(Deltagarlista!$K$3=2,
IF(ISBLANK(Deltagarlista!$C14),"",IF(ISBLANK(Arrangörslista!F$8),"",IF($GV14=M$64," DNS ",IFERROR(VLOOKUP($F14,Arrangörslista!F$8:$AG$45,16,FALSE),"DNS")))),IF(ISBLANK(Deltagarlista!$C14),"",IF(ISBLANK(Arrangörslista!F$8),"",IFERROR(VLOOKUP($F14,Arrangörslista!F$8:$AG$45,16,FALSE),"DNS")))))</f>
        <v/>
      </c>
      <c r="N14" s="5" t="str">
        <f>IF(Deltagarlista!$K$3=4,IF(ISBLANK(Deltagarlista!$C14),"",IF(ISBLANK(Arrangörslista!K$8),"",IFERROR(VLOOKUP($F14,Arrangörslista!K$8:$AG$45,16,FALSE),IF(ISBLANK(Deltagarlista!$C14),"",IF(ISBLANK(Arrangörslista!K$8),"",IFERROR(VLOOKUP($F14,Arrangörslista!L$8:$AG$45,16,FALSE),"DNS")))))),IF(Deltagarlista!$K$3=2,
IF(ISBLANK(Deltagarlista!$C14),"",IF(ISBLANK(Arrangörslista!G$8),"",IF($GV14=N$64," DNS ",IFERROR(VLOOKUP($F14,Arrangörslista!G$8:$AG$45,16,FALSE),"DNS")))),IF(ISBLANK(Deltagarlista!$C14),"",IF(ISBLANK(Arrangörslista!G$8),"",IFERROR(VLOOKUP($F14,Arrangörslista!G$8:$AG$45,16,FALSE),"DNS")))))</f>
        <v/>
      </c>
      <c r="O14" s="5" t="str">
        <f>IF(Deltagarlista!$K$3=4,IF(ISBLANK(Deltagarlista!$C14),"",IF(ISBLANK(Arrangörslista!M$8),"",IFERROR(VLOOKUP($F14,Arrangörslista!M$8:$AG$45,16,FALSE),IF(ISBLANK(Deltagarlista!$C14),"",IF(ISBLANK(Arrangörslista!M$8),"",IFERROR(VLOOKUP($F14,Arrangörslista!N$8:$AG$45,16,FALSE),"DNS")))))),IF(Deltagarlista!$K$3=2,
IF(ISBLANK(Deltagarlista!$C14),"",IF(ISBLANK(Arrangörslista!H$8),"",IF($GV14=O$64," DNS ",IFERROR(VLOOKUP($F14,Arrangörslista!H$8:$AG$45,16,FALSE),"DNS")))),IF(ISBLANK(Deltagarlista!$C14),"",IF(ISBLANK(Arrangörslista!H$8),"",IFERROR(VLOOKUP($F14,Arrangörslista!H$8:$AG$45,16,FALSE),"DNS")))))</f>
        <v/>
      </c>
      <c r="P14" s="5" t="str">
        <f>IF(Deltagarlista!$K$3=4,IF(ISBLANK(Deltagarlista!$C14),"",IF(ISBLANK(Arrangörslista!O$8),"",IFERROR(VLOOKUP($F14,Arrangörslista!O$8:$AG$45,16,FALSE),IF(ISBLANK(Deltagarlista!$C14),"",IF(ISBLANK(Arrangörslista!O$8),"",IFERROR(VLOOKUP($F14,Arrangörslista!P$8:$AG$45,16,FALSE),"DNS")))))),IF(Deltagarlista!$K$3=2,
IF(ISBLANK(Deltagarlista!$C14),"",IF(ISBLANK(Arrangörslista!I$8),"",IF($GV14=P$64," DNS ",IFERROR(VLOOKUP($F14,Arrangörslista!I$8:$AG$45,16,FALSE),"DNS")))),IF(ISBLANK(Deltagarlista!$C14),"",IF(ISBLANK(Arrangörslista!I$8),"",IFERROR(VLOOKUP($F14,Arrangörslista!I$8:$AG$45,16,FALSE),"DNS")))))</f>
        <v/>
      </c>
      <c r="Q14" s="5" t="str">
        <f>IF(Deltagarlista!$K$3=4,IF(ISBLANK(Deltagarlista!$C14),"",IF(ISBLANK(Arrangörslista!Q$8),"",IFERROR(VLOOKUP($F14,Arrangörslista!Q$8:$AG$45,16,FALSE),IF(ISBLANK(Deltagarlista!$C14),"",IF(ISBLANK(Arrangörslista!Q$8),"",IFERROR(VLOOKUP($F14,Arrangörslista!C$53:$AG$90,16,FALSE),"DNS")))))),IF(Deltagarlista!$K$3=2,
IF(ISBLANK(Deltagarlista!$C14),"",IF(ISBLANK(Arrangörslista!J$8),"",IF($GV14=Q$64," DNS ",IFERROR(VLOOKUP($F14,Arrangörslista!J$8:$AG$45,16,FALSE),"DNS")))),IF(ISBLANK(Deltagarlista!$C14),"",IF(ISBLANK(Arrangörslista!J$8),"",IFERROR(VLOOKUP($F14,Arrangörslista!J$8:$AG$45,16,FALSE),"DNS")))))</f>
        <v/>
      </c>
      <c r="R14" s="5" t="str">
        <f>IF(Deltagarlista!$K$3=4,IF(ISBLANK(Deltagarlista!$C14),"",IF(ISBLANK(Arrangörslista!D$53),"",IFERROR(VLOOKUP($F14,Arrangörslista!D$53:$AG$90,16,FALSE),IF(ISBLANK(Deltagarlista!$C14),"",IF(ISBLANK(Arrangörslista!D$53),"",IFERROR(VLOOKUP($F14,Arrangörslista!E$53:$AG$90,16,FALSE),"DNS")))))),IF(Deltagarlista!$K$3=2,
IF(ISBLANK(Deltagarlista!$C14),"",IF(ISBLANK(Arrangörslista!K$8),"",IF($GV14=R$64," DNS ",IFERROR(VLOOKUP($F14,Arrangörslista!K$8:$AG$45,16,FALSE),"DNS")))),IF(ISBLANK(Deltagarlista!$C14),"",IF(ISBLANK(Arrangörslista!K$8),"",IFERROR(VLOOKUP($F14,Arrangörslista!K$8:$AG$45,16,FALSE),"DNS")))))</f>
        <v/>
      </c>
      <c r="S14" s="5" t="str">
        <f>IF(Deltagarlista!$K$3=4,IF(ISBLANK(Deltagarlista!$C14),"",IF(ISBLANK(Arrangörslista!F$53),"",IFERROR(VLOOKUP($F14,Arrangörslista!F$53:$AG$90,16,FALSE),IF(ISBLANK(Deltagarlista!$C14),"",IF(ISBLANK(Arrangörslista!F$53),"",IFERROR(VLOOKUP($F14,Arrangörslista!G$53:$AG$90,16,FALSE),"DNS")))))),IF(Deltagarlista!$K$3=2,
IF(ISBLANK(Deltagarlista!$C14),"",IF(ISBLANK(Arrangörslista!L$8),"",IF($GV14=S$64," DNS ",IFERROR(VLOOKUP($F14,Arrangörslista!L$8:$AG$45,16,FALSE),"DNS")))),IF(ISBLANK(Deltagarlista!$C14),"",IF(ISBLANK(Arrangörslista!L$8),"",IFERROR(VLOOKUP($F14,Arrangörslista!L$8:$AG$45,16,FALSE),"DNS")))))</f>
        <v/>
      </c>
      <c r="T14" s="5" t="str">
        <f>IF(Deltagarlista!$K$3=4,IF(ISBLANK(Deltagarlista!$C14),"",IF(ISBLANK(Arrangörslista!H$53),"",IFERROR(VLOOKUP($F14,Arrangörslista!H$53:$AG$90,16,FALSE),IF(ISBLANK(Deltagarlista!$C14),"",IF(ISBLANK(Arrangörslista!H$53),"",IFERROR(VLOOKUP($F14,Arrangörslista!I$53:$AG$90,16,FALSE),"DNS")))))),IF(Deltagarlista!$K$3=2,
IF(ISBLANK(Deltagarlista!$C14),"",IF(ISBLANK(Arrangörslista!M$8),"",IF($GV14=T$64," DNS ",IFERROR(VLOOKUP($F14,Arrangörslista!M$8:$AG$45,16,FALSE),"DNS")))),IF(ISBLANK(Deltagarlista!$C14),"",IF(ISBLANK(Arrangörslista!M$8),"",IFERROR(VLOOKUP($F14,Arrangörslista!M$8:$AG$45,16,FALSE),"DNS")))))</f>
        <v/>
      </c>
      <c r="U14" s="5" t="str">
        <f>IF(Deltagarlista!$K$3=4,IF(ISBLANK(Deltagarlista!$C14),"",IF(ISBLANK(Arrangörslista!J$53),"",IFERROR(VLOOKUP($F14,Arrangörslista!J$53:$AG$90,16,FALSE),IF(ISBLANK(Deltagarlista!$C14),"",IF(ISBLANK(Arrangörslista!J$53),"",IFERROR(VLOOKUP($F14,Arrangörslista!K$53:$AG$90,16,FALSE),"DNS")))))),IF(Deltagarlista!$K$3=2,
IF(ISBLANK(Deltagarlista!$C14),"",IF(ISBLANK(Arrangörslista!N$8),"",IF($GV14=U$64," DNS ",IFERROR(VLOOKUP($F14,Arrangörslista!N$8:$AG$45,16,FALSE),"DNS")))),IF(ISBLANK(Deltagarlista!$C14),"",IF(ISBLANK(Arrangörslista!N$8),"",IFERROR(VLOOKUP($F14,Arrangörslista!N$8:$AG$45,16,FALSE),"DNS")))))</f>
        <v/>
      </c>
      <c r="V14" s="5" t="str">
        <f>IF(Deltagarlista!$K$3=4,IF(ISBLANK(Deltagarlista!$C14),"",IF(ISBLANK(Arrangörslista!L$53),"",IFERROR(VLOOKUP($F14,Arrangörslista!L$53:$AG$90,16,FALSE),IF(ISBLANK(Deltagarlista!$C14),"",IF(ISBLANK(Arrangörslista!L$53),"",IFERROR(VLOOKUP($F14,Arrangörslista!M$53:$AG$90,16,FALSE),"DNS")))))),IF(Deltagarlista!$K$3=2,
IF(ISBLANK(Deltagarlista!$C14),"",IF(ISBLANK(Arrangörslista!O$8),"",IF($GV14=V$64," DNS ",IFERROR(VLOOKUP($F14,Arrangörslista!O$8:$AG$45,16,FALSE),"DNS")))),IF(ISBLANK(Deltagarlista!$C14),"",IF(ISBLANK(Arrangörslista!O$8),"",IFERROR(VLOOKUP($F14,Arrangörslista!O$8:$AG$45,16,FALSE),"DNS")))))</f>
        <v/>
      </c>
      <c r="W14" s="5" t="str">
        <f>IF(Deltagarlista!$K$3=4,IF(ISBLANK(Deltagarlista!$C14),"",IF(ISBLANK(Arrangörslista!N$53),"",IFERROR(VLOOKUP($F14,Arrangörslista!N$53:$AG$90,16,FALSE),IF(ISBLANK(Deltagarlista!$C14),"",IF(ISBLANK(Arrangörslista!N$53),"",IFERROR(VLOOKUP($F14,Arrangörslista!O$53:$AG$90,16,FALSE),"DNS")))))),IF(Deltagarlista!$K$3=2,
IF(ISBLANK(Deltagarlista!$C14),"",IF(ISBLANK(Arrangörslista!P$8),"",IF($GV14=W$64," DNS ",IFERROR(VLOOKUP($F14,Arrangörslista!P$8:$AG$45,16,FALSE),"DNS")))),IF(ISBLANK(Deltagarlista!$C14),"",IF(ISBLANK(Arrangörslista!P$8),"",IFERROR(VLOOKUP($F14,Arrangörslista!P$8:$AG$45,16,FALSE),"DNS")))))</f>
        <v/>
      </c>
      <c r="X14" s="5" t="str">
        <f>IF(Deltagarlista!$K$3=4,IF(ISBLANK(Deltagarlista!$C14),"",IF(ISBLANK(Arrangörslista!P$53),"",IFERROR(VLOOKUP($F14,Arrangörslista!P$53:$AG$90,16,FALSE),IF(ISBLANK(Deltagarlista!$C14),"",IF(ISBLANK(Arrangörslista!P$53),"",IFERROR(VLOOKUP($F14,Arrangörslista!Q$53:$AG$90,16,FALSE),"DNS")))))),IF(Deltagarlista!$K$3=2,
IF(ISBLANK(Deltagarlista!$C14),"",IF(ISBLANK(Arrangörslista!Q$8),"",IF($GV14=X$64," DNS ",IFERROR(VLOOKUP($F14,Arrangörslista!Q$8:$AG$45,16,FALSE),"DNS")))),IF(ISBLANK(Deltagarlista!$C14),"",IF(ISBLANK(Arrangörslista!Q$8),"",IFERROR(VLOOKUP($F14,Arrangörslista!Q$8:$AG$45,16,FALSE),"DNS")))))</f>
        <v/>
      </c>
      <c r="Y14" s="5" t="str">
        <f>IF(Deltagarlista!$K$3=4,IF(ISBLANK(Deltagarlista!$C14),"",IF(ISBLANK(Arrangörslista!C$98),"",IFERROR(VLOOKUP($F14,Arrangörslista!C$98:$AG$135,16,FALSE),IF(ISBLANK(Deltagarlista!$C14),"",IF(ISBLANK(Arrangörslista!C$98),"",IFERROR(VLOOKUP($F14,Arrangörslista!D$98:$AG$135,16,FALSE),"DNS")))))),IF(Deltagarlista!$K$3=2,
IF(ISBLANK(Deltagarlista!$C14),"",IF(ISBLANK(Arrangörslista!C$53),"",IF($GV14=Y$64," DNS ",IFERROR(VLOOKUP($F14,Arrangörslista!C$53:$AG$90,16,FALSE),"DNS")))),IF(ISBLANK(Deltagarlista!$C14),"",IF(ISBLANK(Arrangörslista!C$53),"",IFERROR(VLOOKUP($F14,Arrangörslista!C$53:$AG$90,16,FALSE),"DNS")))))</f>
        <v/>
      </c>
      <c r="Z14" s="5" t="str">
        <f>IF(Deltagarlista!$K$3=4,IF(ISBLANK(Deltagarlista!$C14),"",IF(ISBLANK(Arrangörslista!E$98),"",IFERROR(VLOOKUP($F14,Arrangörslista!E$98:$AG$135,16,FALSE),IF(ISBLANK(Deltagarlista!$C14),"",IF(ISBLANK(Arrangörslista!E$98),"",IFERROR(VLOOKUP($F14,Arrangörslista!F$98:$AG$135,16,FALSE),"DNS")))))),IF(Deltagarlista!$K$3=2,
IF(ISBLANK(Deltagarlista!$C14),"",IF(ISBLANK(Arrangörslista!D$53),"",IF($GV14=Z$64," DNS ",IFERROR(VLOOKUP($F14,Arrangörslista!D$53:$AG$90,16,FALSE),"DNS")))),IF(ISBLANK(Deltagarlista!$C14),"",IF(ISBLANK(Arrangörslista!D$53),"",IFERROR(VLOOKUP($F14,Arrangörslista!D$53:$AG$90,16,FALSE),"DNS")))))</f>
        <v/>
      </c>
      <c r="AA14" s="5" t="str">
        <f>IF(Deltagarlista!$K$3=4,IF(ISBLANK(Deltagarlista!$C14),"",IF(ISBLANK(Arrangörslista!G$98),"",IFERROR(VLOOKUP($F14,Arrangörslista!G$98:$AG$135,16,FALSE),IF(ISBLANK(Deltagarlista!$C14),"",IF(ISBLANK(Arrangörslista!G$98),"",IFERROR(VLOOKUP($F14,Arrangörslista!H$98:$AG$135,16,FALSE),"DNS")))))),IF(Deltagarlista!$K$3=2,
IF(ISBLANK(Deltagarlista!$C14),"",IF(ISBLANK(Arrangörslista!E$53),"",IF($GV14=AA$64," DNS ",IFERROR(VLOOKUP($F14,Arrangörslista!E$53:$AG$90,16,FALSE),"DNS")))),IF(ISBLANK(Deltagarlista!$C14),"",IF(ISBLANK(Arrangörslista!E$53),"",IFERROR(VLOOKUP($F14,Arrangörslista!E$53:$AG$90,16,FALSE),"DNS")))))</f>
        <v/>
      </c>
      <c r="AB14" s="5" t="str">
        <f>IF(Deltagarlista!$K$3=4,IF(ISBLANK(Deltagarlista!$C14),"",IF(ISBLANK(Arrangörslista!I$98),"",IFERROR(VLOOKUP($F14,Arrangörslista!I$98:$AG$135,16,FALSE),IF(ISBLANK(Deltagarlista!$C14),"",IF(ISBLANK(Arrangörslista!I$98),"",IFERROR(VLOOKUP($F14,Arrangörslista!J$98:$AG$135,16,FALSE),"DNS")))))),IF(Deltagarlista!$K$3=2,
IF(ISBLANK(Deltagarlista!$C14),"",IF(ISBLANK(Arrangörslista!F$53),"",IF($GV14=AB$64," DNS ",IFERROR(VLOOKUP($F14,Arrangörslista!F$53:$AG$90,16,FALSE),"DNS")))),IF(ISBLANK(Deltagarlista!$C14),"",IF(ISBLANK(Arrangörslista!F$53),"",IFERROR(VLOOKUP($F14,Arrangörslista!F$53:$AG$90,16,FALSE),"DNS")))))</f>
        <v/>
      </c>
      <c r="AC14" s="5" t="str">
        <f>IF(Deltagarlista!$K$3=4,IF(ISBLANK(Deltagarlista!$C14),"",IF(ISBLANK(Arrangörslista!K$98),"",IFERROR(VLOOKUP($F14,Arrangörslista!K$98:$AG$135,16,FALSE),IF(ISBLANK(Deltagarlista!$C14),"",IF(ISBLANK(Arrangörslista!K$98),"",IFERROR(VLOOKUP($F14,Arrangörslista!L$98:$AG$135,16,FALSE),"DNS")))))),IF(Deltagarlista!$K$3=2,
IF(ISBLANK(Deltagarlista!$C14),"",IF(ISBLANK(Arrangörslista!G$53),"",IF($GV14=AC$64," DNS ",IFERROR(VLOOKUP($F14,Arrangörslista!G$53:$AG$90,16,FALSE),"DNS")))),IF(ISBLANK(Deltagarlista!$C14),"",IF(ISBLANK(Arrangörslista!G$53),"",IFERROR(VLOOKUP($F14,Arrangörslista!G$53:$AG$90,16,FALSE),"DNS")))))</f>
        <v/>
      </c>
      <c r="AD14" s="5" t="str">
        <f>IF(Deltagarlista!$K$3=4,IF(ISBLANK(Deltagarlista!$C14),"",IF(ISBLANK(Arrangörslista!M$98),"",IFERROR(VLOOKUP($F14,Arrangörslista!M$98:$AG$135,16,FALSE),IF(ISBLANK(Deltagarlista!$C14),"",IF(ISBLANK(Arrangörslista!M$98),"",IFERROR(VLOOKUP($F14,Arrangörslista!N$98:$AG$135,16,FALSE),"DNS")))))),IF(Deltagarlista!$K$3=2,
IF(ISBLANK(Deltagarlista!$C14),"",IF(ISBLANK(Arrangörslista!H$53),"",IF($GV14=AD$64," DNS ",IFERROR(VLOOKUP($F14,Arrangörslista!H$53:$AG$90,16,FALSE),"DNS")))),IF(ISBLANK(Deltagarlista!$C14),"",IF(ISBLANK(Arrangörslista!H$53),"",IFERROR(VLOOKUP($F14,Arrangörslista!H$53:$AG$90,16,FALSE),"DNS")))))</f>
        <v/>
      </c>
      <c r="AE14" s="5" t="str">
        <f>IF(Deltagarlista!$K$3=4,IF(ISBLANK(Deltagarlista!$C14),"",IF(ISBLANK(Arrangörslista!O$98),"",IFERROR(VLOOKUP($F14,Arrangörslista!O$98:$AG$135,16,FALSE),IF(ISBLANK(Deltagarlista!$C14),"",IF(ISBLANK(Arrangörslista!O$98),"",IFERROR(VLOOKUP($F14,Arrangörslista!P$98:$AG$135,16,FALSE),"DNS")))))),IF(Deltagarlista!$K$3=2,
IF(ISBLANK(Deltagarlista!$C14),"",IF(ISBLANK(Arrangörslista!I$53),"",IF($GV14=AE$64," DNS ",IFERROR(VLOOKUP($F14,Arrangörslista!I$53:$AG$90,16,FALSE),"DNS")))),IF(ISBLANK(Deltagarlista!$C14),"",IF(ISBLANK(Arrangörslista!I$53),"",IFERROR(VLOOKUP($F14,Arrangörslista!I$53:$AG$90,16,FALSE),"DNS")))))</f>
        <v/>
      </c>
      <c r="AF14" s="5" t="str">
        <f>IF(Deltagarlista!$K$3=4,IF(ISBLANK(Deltagarlista!$C14),"",IF(ISBLANK(Arrangörslista!Q$98),"",IFERROR(VLOOKUP($F14,Arrangörslista!Q$98:$AG$135,16,FALSE),IF(ISBLANK(Deltagarlista!$C14),"",IF(ISBLANK(Arrangörslista!Q$98),"",IFERROR(VLOOKUP($F14,Arrangörslista!C$143:$AG$180,16,FALSE),"DNS")))))),IF(Deltagarlista!$K$3=2,
IF(ISBLANK(Deltagarlista!$C14),"",IF(ISBLANK(Arrangörslista!J$53),"",IF($GV14=AF$64," DNS ",IFERROR(VLOOKUP($F14,Arrangörslista!J$53:$AG$90,16,FALSE),"DNS")))),IF(ISBLANK(Deltagarlista!$C14),"",IF(ISBLANK(Arrangörslista!J$53),"",IFERROR(VLOOKUP($F14,Arrangörslista!J$53:$AG$90,16,FALSE),"DNS")))))</f>
        <v/>
      </c>
      <c r="AG14" s="5" t="str">
        <f>IF(Deltagarlista!$K$3=4,IF(ISBLANK(Deltagarlista!$C14),"",IF(ISBLANK(Arrangörslista!D$143),"",IFERROR(VLOOKUP($F14,Arrangörslista!D$143:$AG$180,16,FALSE),IF(ISBLANK(Deltagarlista!$C14),"",IF(ISBLANK(Arrangörslista!D$143),"",IFERROR(VLOOKUP($F14,Arrangörslista!E$143:$AG$180,16,FALSE),"DNS")))))),IF(Deltagarlista!$K$3=2,
IF(ISBLANK(Deltagarlista!$C14),"",IF(ISBLANK(Arrangörslista!K$53),"",IF($GV14=AG$64," DNS ",IFERROR(VLOOKUP($F14,Arrangörslista!K$53:$AG$90,16,FALSE),"DNS")))),IF(ISBLANK(Deltagarlista!$C14),"",IF(ISBLANK(Arrangörslista!K$53),"",IFERROR(VLOOKUP($F14,Arrangörslista!K$53:$AG$90,16,FALSE),"DNS")))))</f>
        <v/>
      </c>
      <c r="AH14" s="5" t="str">
        <f>IF(Deltagarlista!$K$3=4,IF(ISBLANK(Deltagarlista!$C14),"",IF(ISBLANK(Arrangörslista!F$143),"",IFERROR(VLOOKUP($F14,Arrangörslista!F$143:$AG$180,16,FALSE),IF(ISBLANK(Deltagarlista!$C14),"",IF(ISBLANK(Arrangörslista!F$143),"",IFERROR(VLOOKUP($F14,Arrangörslista!G$143:$AG$180,16,FALSE),"DNS")))))),IF(Deltagarlista!$K$3=2,
IF(ISBLANK(Deltagarlista!$C14),"",IF(ISBLANK(Arrangörslista!L$53),"",IF($GV14=AH$64," DNS ",IFERROR(VLOOKUP($F14,Arrangörslista!L$53:$AG$90,16,FALSE),"DNS")))),IF(ISBLANK(Deltagarlista!$C14),"",IF(ISBLANK(Arrangörslista!L$53),"",IFERROR(VLOOKUP($F14,Arrangörslista!L$53:$AG$90,16,FALSE),"DNS")))))</f>
        <v/>
      </c>
      <c r="AI14" s="5" t="str">
        <f>IF(Deltagarlista!$K$3=4,IF(ISBLANK(Deltagarlista!$C14),"",IF(ISBLANK(Arrangörslista!H$143),"",IFERROR(VLOOKUP($F14,Arrangörslista!H$143:$AG$180,16,FALSE),IF(ISBLANK(Deltagarlista!$C14),"",IF(ISBLANK(Arrangörslista!H$143),"",IFERROR(VLOOKUP($F14,Arrangörslista!I$143:$AG$180,16,FALSE),"DNS")))))),IF(Deltagarlista!$K$3=2,
IF(ISBLANK(Deltagarlista!$C14),"",IF(ISBLANK(Arrangörslista!M$53),"",IF($GV14=AI$64," DNS ",IFERROR(VLOOKUP($F14,Arrangörslista!M$53:$AG$90,16,FALSE),"DNS")))),IF(ISBLANK(Deltagarlista!$C14),"",IF(ISBLANK(Arrangörslista!M$53),"",IFERROR(VLOOKUP($F14,Arrangörslista!M$53:$AG$90,16,FALSE),"DNS")))))</f>
        <v/>
      </c>
      <c r="AJ14" s="5" t="str">
        <f>IF(Deltagarlista!$K$3=4,IF(ISBLANK(Deltagarlista!$C14),"",IF(ISBLANK(Arrangörslista!J$143),"",IFERROR(VLOOKUP($F14,Arrangörslista!J$143:$AG$180,16,FALSE),IF(ISBLANK(Deltagarlista!$C14),"",IF(ISBLANK(Arrangörslista!J$143),"",IFERROR(VLOOKUP($F14,Arrangörslista!K$143:$AG$180,16,FALSE),"DNS")))))),IF(Deltagarlista!$K$3=2,
IF(ISBLANK(Deltagarlista!$C14),"",IF(ISBLANK(Arrangörslista!N$53),"",IF($GV14=AJ$64," DNS ",IFERROR(VLOOKUP($F14,Arrangörslista!N$53:$AG$90,16,FALSE),"DNS")))),IF(ISBLANK(Deltagarlista!$C14),"",IF(ISBLANK(Arrangörslista!N$53),"",IFERROR(VLOOKUP($F14,Arrangörslista!N$53:$AG$90,16,FALSE),"DNS")))))</f>
        <v/>
      </c>
      <c r="AK14" s="5" t="str">
        <f>IF(Deltagarlista!$K$3=4,IF(ISBLANK(Deltagarlista!$C14),"",IF(ISBLANK(Arrangörslista!L$143),"",IFERROR(VLOOKUP($F14,Arrangörslista!L$143:$AG$180,16,FALSE),IF(ISBLANK(Deltagarlista!$C14),"",IF(ISBLANK(Arrangörslista!L$143),"",IFERROR(VLOOKUP($F14,Arrangörslista!M$143:$AG$180,16,FALSE),"DNS")))))),IF(Deltagarlista!$K$3=2,
IF(ISBLANK(Deltagarlista!$C14),"",IF(ISBLANK(Arrangörslista!O$53),"",IF($GV14=AK$64," DNS ",IFERROR(VLOOKUP($F14,Arrangörslista!O$53:$AG$90,16,FALSE),"DNS")))),IF(ISBLANK(Deltagarlista!$C14),"",IF(ISBLANK(Arrangörslista!O$53),"",IFERROR(VLOOKUP($F14,Arrangörslista!O$53:$AG$90,16,FALSE),"DNS")))))</f>
        <v/>
      </c>
      <c r="AL14" s="5" t="str">
        <f>IF(Deltagarlista!$K$3=4,IF(ISBLANK(Deltagarlista!$C14),"",IF(ISBLANK(Arrangörslista!N$143),"",IFERROR(VLOOKUP($F14,Arrangörslista!N$143:$AG$180,16,FALSE),IF(ISBLANK(Deltagarlista!$C14),"",IF(ISBLANK(Arrangörslista!N$143),"",IFERROR(VLOOKUP($F14,Arrangörslista!O$143:$AG$180,16,FALSE),"DNS")))))),IF(Deltagarlista!$K$3=2,
IF(ISBLANK(Deltagarlista!$C14),"",IF(ISBLANK(Arrangörslista!P$53),"",IF($GV14=AL$64," DNS ",IFERROR(VLOOKUP($F14,Arrangörslista!P$53:$AG$90,16,FALSE),"DNS")))),IF(ISBLANK(Deltagarlista!$C14),"",IF(ISBLANK(Arrangörslista!P$53),"",IFERROR(VLOOKUP($F14,Arrangörslista!P$53:$AG$90,16,FALSE),"DNS")))))</f>
        <v/>
      </c>
      <c r="AM14" s="5" t="str">
        <f>IF(Deltagarlista!$K$3=4,IF(ISBLANK(Deltagarlista!$C14),"",IF(ISBLANK(Arrangörslista!P$143),"",IFERROR(VLOOKUP($F14,Arrangörslista!P$143:$AG$180,16,FALSE),IF(ISBLANK(Deltagarlista!$C14),"",IF(ISBLANK(Arrangörslista!P$143),"",IFERROR(VLOOKUP($F14,Arrangörslista!Q$143:$AG$180,16,FALSE),"DNS")))))),IF(Deltagarlista!$K$3=2,
IF(ISBLANK(Deltagarlista!$C14),"",IF(ISBLANK(Arrangörslista!Q$53),"",IF($GV14=AM$64," DNS ",IFERROR(VLOOKUP($F14,Arrangörslista!Q$53:$AG$90,16,FALSE),"DNS")))),IF(ISBLANK(Deltagarlista!$C14),"",IF(ISBLANK(Arrangörslista!Q$53),"",IFERROR(VLOOKUP($F14,Arrangörslista!Q$53:$AG$90,16,FALSE),"DNS")))))</f>
        <v/>
      </c>
      <c r="AN14" s="5" t="str">
        <f>IF(Deltagarlista!$K$3=2,
IF(ISBLANK(Deltagarlista!$C14),"",IF(ISBLANK(Arrangörslista!C$98),"",IF($GV14=AN$64," DNS ",IFERROR(VLOOKUP($F14,Arrangörslista!C$98:$AG$135,16,FALSE), "DNS")))), IF(Deltagarlista!$K$3=1,IF(ISBLANK(Deltagarlista!$C14),"",IF(ISBLANK(Arrangörslista!C$98),"",IFERROR(VLOOKUP($F14,Arrangörslista!C$98:$AG$135,16,FALSE), "DNS"))),""))</f>
        <v/>
      </c>
      <c r="AO14" s="5" t="str">
        <f>IF(Deltagarlista!$K$3=2,
IF(ISBLANK(Deltagarlista!$C14),"",IF(ISBLANK(Arrangörslista!D$98),"",IF($GV14=AO$64," DNS ",IFERROR(VLOOKUP($F14,Arrangörslista!D$98:$AG$135,16,FALSE), "DNS")))), IF(Deltagarlista!$K$3=1,IF(ISBLANK(Deltagarlista!$C14),"",IF(ISBLANK(Arrangörslista!D$98),"",IFERROR(VLOOKUP($F14,Arrangörslista!D$98:$AG$135,16,FALSE), "DNS"))),""))</f>
        <v/>
      </c>
      <c r="AP14" s="5" t="str">
        <f>IF(Deltagarlista!$K$3=2,
IF(ISBLANK(Deltagarlista!$C14),"",IF(ISBLANK(Arrangörslista!E$98),"",IF($GV14=AP$64," DNS ",IFERROR(VLOOKUP($F14,Arrangörslista!E$98:$AG$135,16,FALSE), "DNS")))), IF(Deltagarlista!$K$3=1,IF(ISBLANK(Deltagarlista!$C14),"",IF(ISBLANK(Arrangörslista!E$98),"",IFERROR(VLOOKUP($F14,Arrangörslista!E$98:$AG$135,16,FALSE), "DNS"))),""))</f>
        <v/>
      </c>
      <c r="AQ14" s="5" t="str">
        <f>IF(Deltagarlista!$K$3=2,
IF(ISBLANK(Deltagarlista!$C14),"",IF(ISBLANK(Arrangörslista!F$98),"",IF($GV14=AQ$64," DNS ",IFERROR(VLOOKUP($F14,Arrangörslista!F$98:$AG$135,16,FALSE), "DNS")))), IF(Deltagarlista!$K$3=1,IF(ISBLANK(Deltagarlista!$C14),"",IF(ISBLANK(Arrangörslista!F$98),"",IFERROR(VLOOKUP($F14,Arrangörslista!F$98:$AG$135,16,FALSE), "DNS"))),""))</f>
        <v/>
      </c>
      <c r="AR14" s="5" t="str">
        <f>IF(Deltagarlista!$K$3=2,
IF(ISBLANK(Deltagarlista!$C14),"",IF(ISBLANK(Arrangörslista!G$98),"",IF($GV14=AR$64," DNS ",IFERROR(VLOOKUP($F14,Arrangörslista!G$98:$AG$135,16,FALSE), "DNS")))), IF(Deltagarlista!$K$3=1,IF(ISBLANK(Deltagarlista!$C14),"",IF(ISBLANK(Arrangörslista!G$98),"",IFERROR(VLOOKUP($F14,Arrangörslista!G$98:$AG$135,16,FALSE), "DNS"))),""))</f>
        <v/>
      </c>
      <c r="AS14" s="5" t="str">
        <f>IF(Deltagarlista!$K$3=2,
IF(ISBLANK(Deltagarlista!$C14),"",IF(ISBLANK(Arrangörslista!H$98),"",IF($GV14=AS$64," DNS ",IFERROR(VLOOKUP($F14,Arrangörslista!H$98:$AG$135,16,FALSE), "DNS")))), IF(Deltagarlista!$K$3=1,IF(ISBLANK(Deltagarlista!$C14),"",IF(ISBLANK(Arrangörslista!H$98),"",IFERROR(VLOOKUP($F14,Arrangörslista!H$98:$AG$135,16,FALSE), "DNS"))),""))</f>
        <v/>
      </c>
      <c r="AT14" s="5" t="str">
        <f>IF(Deltagarlista!$K$3=2,
IF(ISBLANK(Deltagarlista!$C14),"",IF(ISBLANK(Arrangörslista!I$98),"",IF($GV14=AT$64," DNS ",IFERROR(VLOOKUP($F14,Arrangörslista!I$98:$AG$135,16,FALSE), "DNS")))), IF(Deltagarlista!$K$3=1,IF(ISBLANK(Deltagarlista!$C14),"",IF(ISBLANK(Arrangörslista!I$98),"",IFERROR(VLOOKUP($F14,Arrangörslista!I$98:$AG$135,16,FALSE), "DNS"))),""))</f>
        <v/>
      </c>
      <c r="AU14" s="5" t="str">
        <f>IF(Deltagarlista!$K$3=2,
IF(ISBLANK(Deltagarlista!$C14),"",IF(ISBLANK(Arrangörslista!J$98),"",IF($GV14=AU$64," DNS ",IFERROR(VLOOKUP($F14,Arrangörslista!J$98:$AG$135,16,FALSE), "DNS")))), IF(Deltagarlista!$K$3=1,IF(ISBLANK(Deltagarlista!$C14),"",IF(ISBLANK(Arrangörslista!J$98),"",IFERROR(VLOOKUP($F14,Arrangörslista!J$98:$AG$135,16,FALSE), "DNS"))),""))</f>
        <v/>
      </c>
      <c r="AV14" s="5" t="str">
        <f>IF(Deltagarlista!$K$3=2,
IF(ISBLANK(Deltagarlista!$C14),"",IF(ISBLANK(Arrangörslista!K$98),"",IF($GV14=AV$64," DNS ",IFERROR(VLOOKUP($F14,Arrangörslista!K$98:$AG$135,16,FALSE), "DNS")))), IF(Deltagarlista!$K$3=1,IF(ISBLANK(Deltagarlista!$C14),"",IF(ISBLANK(Arrangörslista!K$98),"",IFERROR(VLOOKUP($F14,Arrangörslista!K$98:$AG$135,16,FALSE), "DNS"))),""))</f>
        <v/>
      </c>
      <c r="AW14" s="5" t="str">
        <f>IF(Deltagarlista!$K$3=2,
IF(ISBLANK(Deltagarlista!$C14),"",IF(ISBLANK(Arrangörslista!L$98),"",IF($GV14=AW$64," DNS ",IFERROR(VLOOKUP($F14,Arrangörslista!L$98:$AG$135,16,FALSE), "DNS")))), IF(Deltagarlista!$K$3=1,IF(ISBLANK(Deltagarlista!$C14),"",IF(ISBLANK(Arrangörslista!L$98),"",IFERROR(VLOOKUP($F14,Arrangörslista!L$98:$AG$135,16,FALSE), "DNS"))),""))</f>
        <v/>
      </c>
      <c r="AX14" s="5" t="str">
        <f>IF(Deltagarlista!$K$3=2,
IF(ISBLANK(Deltagarlista!$C14),"",IF(ISBLANK(Arrangörslista!M$98),"",IF($GV14=AX$64," DNS ",IFERROR(VLOOKUP($F14,Arrangörslista!M$98:$AG$135,16,FALSE), "DNS")))), IF(Deltagarlista!$K$3=1,IF(ISBLANK(Deltagarlista!$C14),"",IF(ISBLANK(Arrangörslista!M$98),"",IFERROR(VLOOKUP($F14,Arrangörslista!M$98:$AG$135,16,FALSE), "DNS"))),""))</f>
        <v/>
      </c>
      <c r="AY14" s="5" t="str">
        <f>IF(Deltagarlista!$K$3=2,
IF(ISBLANK(Deltagarlista!$C14),"",IF(ISBLANK(Arrangörslista!N$98),"",IF($GV14=AY$64," DNS ",IFERROR(VLOOKUP($F14,Arrangörslista!N$98:$AG$135,16,FALSE), "DNS")))), IF(Deltagarlista!$K$3=1,IF(ISBLANK(Deltagarlista!$C14),"",IF(ISBLANK(Arrangörslista!N$98),"",IFERROR(VLOOKUP($F14,Arrangörslista!N$98:$AG$135,16,FALSE), "DNS"))),""))</f>
        <v/>
      </c>
      <c r="AZ14" s="5" t="str">
        <f>IF(Deltagarlista!$K$3=2,
IF(ISBLANK(Deltagarlista!$C14),"",IF(ISBLANK(Arrangörslista!O$98),"",IF($GV14=AZ$64," DNS ",IFERROR(VLOOKUP($F14,Arrangörslista!O$98:$AG$135,16,FALSE), "DNS")))), IF(Deltagarlista!$K$3=1,IF(ISBLANK(Deltagarlista!$C14),"",IF(ISBLANK(Arrangörslista!O$98),"",IFERROR(VLOOKUP($F14,Arrangörslista!O$98:$AG$135,16,FALSE), "DNS"))),""))</f>
        <v/>
      </c>
      <c r="BA14" s="5" t="str">
        <f>IF(Deltagarlista!$K$3=2,
IF(ISBLANK(Deltagarlista!$C14),"",IF(ISBLANK(Arrangörslista!P$98),"",IF($GV14=BA$64," DNS ",IFERROR(VLOOKUP($F14,Arrangörslista!P$98:$AG$135,16,FALSE), "DNS")))), IF(Deltagarlista!$K$3=1,IF(ISBLANK(Deltagarlista!$C14),"",IF(ISBLANK(Arrangörslista!P$98),"",IFERROR(VLOOKUP($F14,Arrangörslista!P$98:$AG$135,16,FALSE), "DNS"))),""))</f>
        <v/>
      </c>
      <c r="BB14" s="5" t="str">
        <f>IF(Deltagarlista!$K$3=2,
IF(ISBLANK(Deltagarlista!$C14),"",IF(ISBLANK(Arrangörslista!Q$98),"",IF($GV14=BB$64," DNS ",IFERROR(VLOOKUP($F14,Arrangörslista!Q$98:$AG$135,16,FALSE), "DNS")))), IF(Deltagarlista!$K$3=1,IF(ISBLANK(Deltagarlista!$C14),"",IF(ISBLANK(Arrangörslista!Q$98),"",IFERROR(VLOOKUP($F14,Arrangörslista!Q$98:$AG$135,16,FALSE), "DNS"))),""))</f>
        <v/>
      </c>
      <c r="BC14" s="5" t="str">
        <f>IF(Deltagarlista!$K$3=2,
IF(ISBLANK(Deltagarlista!$C14),"",IF(ISBLANK(Arrangörslista!C$143),"",IF($GV14=BC$64," DNS ",IFERROR(VLOOKUP($F14,Arrangörslista!C$143:$AG$180,16,FALSE), "DNS")))), IF(Deltagarlista!$K$3=1,IF(ISBLANK(Deltagarlista!$C14),"",IF(ISBLANK(Arrangörslista!C$143),"",IFERROR(VLOOKUP($F14,Arrangörslista!C$143:$AG$180,16,FALSE), "DNS"))),""))</f>
        <v/>
      </c>
      <c r="BD14" s="5" t="str">
        <f>IF(Deltagarlista!$K$3=2,
IF(ISBLANK(Deltagarlista!$C14),"",IF(ISBLANK(Arrangörslista!D$143),"",IF($GV14=BD$64," DNS ",IFERROR(VLOOKUP($F14,Arrangörslista!D$143:$AG$180,16,FALSE), "DNS")))), IF(Deltagarlista!$K$3=1,IF(ISBLANK(Deltagarlista!$C14),"",IF(ISBLANK(Arrangörslista!D$143),"",IFERROR(VLOOKUP($F14,Arrangörslista!D$143:$AG$180,16,FALSE), "DNS"))),""))</f>
        <v/>
      </c>
      <c r="BE14" s="5" t="str">
        <f>IF(Deltagarlista!$K$3=2,
IF(ISBLANK(Deltagarlista!$C14),"",IF(ISBLANK(Arrangörslista!E$143),"",IF($GV14=BE$64," DNS ",IFERROR(VLOOKUP($F14,Arrangörslista!E$143:$AG$180,16,FALSE), "DNS")))), IF(Deltagarlista!$K$3=1,IF(ISBLANK(Deltagarlista!$C14),"",IF(ISBLANK(Arrangörslista!E$143),"",IFERROR(VLOOKUP($F14,Arrangörslista!E$143:$AG$180,16,FALSE), "DNS"))),""))</f>
        <v/>
      </c>
      <c r="BF14" s="5" t="str">
        <f>IF(Deltagarlista!$K$3=2,
IF(ISBLANK(Deltagarlista!$C14),"",IF(ISBLANK(Arrangörslista!F$143),"",IF($GV14=BF$64," DNS ",IFERROR(VLOOKUP($F14,Arrangörslista!F$143:$AG$180,16,FALSE), "DNS")))), IF(Deltagarlista!$K$3=1,IF(ISBLANK(Deltagarlista!$C14),"",IF(ISBLANK(Arrangörslista!F$143),"",IFERROR(VLOOKUP($F14,Arrangörslista!F$143:$AG$180,16,FALSE), "DNS"))),""))</f>
        <v/>
      </c>
      <c r="BG14" s="5" t="str">
        <f>IF(Deltagarlista!$K$3=2,
IF(ISBLANK(Deltagarlista!$C14),"",IF(ISBLANK(Arrangörslista!G$143),"",IF($GV14=BG$64," DNS ",IFERROR(VLOOKUP($F14,Arrangörslista!G$143:$AG$180,16,FALSE), "DNS")))), IF(Deltagarlista!$K$3=1,IF(ISBLANK(Deltagarlista!$C14),"",IF(ISBLANK(Arrangörslista!G$143),"",IFERROR(VLOOKUP($F14,Arrangörslista!G$143:$AG$180,16,FALSE), "DNS"))),""))</f>
        <v/>
      </c>
      <c r="BH14" s="5" t="str">
        <f>IF(Deltagarlista!$K$3=2,
IF(ISBLANK(Deltagarlista!$C14),"",IF(ISBLANK(Arrangörslista!H$143),"",IF($GV14=BH$64," DNS ",IFERROR(VLOOKUP($F14,Arrangörslista!H$143:$AG$180,16,FALSE), "DNS")))), IF(Deltagarlista!$K$3=1,IF(ISBLANK(Deltagarlista!$C14),"",IF(ISBLANK(Arrangörslista!H$143),"",IFERROR(VLOOKUP($F14,Arrangörslista!H$143:$AG$180,16,FALSE), "DNS"))),""))</f>
        <v/>
      </c>
      <c r="BI14" s="5" t="str">
        <f>IF(Deltagarlista!$K$3=2,
IF(ISBLANK(Deltagarlista!$C14),"",IF(ISBLANK(Arrangörslista!I$143),"",IF($GV14=BI$64," DNS ",IFERROR(VLOOKUP($F14,Arrangörslista!I$143:$AG$180,16,FALSE), "DNS")))), IF(Deltagarlista!$K$3=1,IF(ISBLANK(Deltagarlista!$C14),"",IF(ISBLANK(Arrangörslista!I$143),"",IFERROR(VLOOKUP($F14,Arrangörslista!I$143:$AG$180,16,FALSE), "DNS"))),""))</f>
        <v/>
      </c>
      <c r="BJ14" s="5" t="str">
        <f>IF(Deltagarlista!$K$3=2,
IF(ISBLANK(Deltagarlista!$C14),"",IF(ISBLANK(Arrangörslista!J$143),"",IF($GV14=BJ$64," DNS ",IFERROR(VLOOKUP($F14,Arrangörslista!J$143:$AG$180,16,FALSE), "DNS")))), IF(Deltagarlista!$K$3=1,IF(ISBLANK(Deltagarlista!$C14),"",IF(ISBLANK(Arrangörslista!J$143),"",IFERROR(VLOOKUP($F14,Arrangörslista!J$143:$AG$180,16,FALSE), "DNS"))),""))</f>
        <v/>
      </c>
      <c r="BK14" s="5" t="str">
        <f>IF(Deltagarlista!$K$3=2,
IF(ISBLANK(Deltagarlista!$C14),"",IF(ISBLANK(Arrangörslista!K$143),"",IF($GV14=BK$64," DNS ",IFERROR(VLOOKUP($F14,Arrangörslista!K$143:$AG$180,16,FALSE), "DNS")))), IF(Deltagarlista!$K$3=1,IF(ISBLANK(Deltagarlista!$C14),"",IF(ISBLANK(Arrangörslista!K$143),"",IFERROR(VLOOKUP($F14,Arrangörslista!K$143:$AG$180,16,FALSE), "DNS"))),""))</f>
        <v/>
      </c>
      <c r="BL14" s="5" t="str">
        <f>IF(Deltagarlista!$K$3=2,
IF(ISBLANK(Deltagarlista!$C14),"",IF(ISBLANK(Arrangörslista!L$143),"",IF($GV14=BL$64," DNS ",IFERROR(VLOOKUP($F14,Arrangörslista!L$143:$AG$180,16,FALSE), "DNS")))), IF(Deltagarlista!$K$3=1,IF(ISBLANK(Deltagarlista!$C14),"",IF(ISBLANK(Arrangörslista!L$143),"",IFERROR(VLOOKUP($F14,Arrangörslista!L$143:$AG$180,16,FALSE), "DNS"))),""))</f>
        <v/>
      </c>
      <c r="BM14" s="5" t="str">
        <f>IF(Deltagarlista!$K$3=2,
IF(ISBLANK(Deltagarlista!$C14),"",IF(ISBLANK(Arrangörslista!M$143),"",IF($GV14=BM$64," DNS ",IFERROR(VLOOKUP($F14,Arrangörslista!M$143:$AG$180,16,FALSE), "DNS")))), IF(Deltagarlista!$K$3=1,IF(ISBLANK(Deltagarlista!$C14),"",IF(ISBLANK(Arrangörslista!M$143),"",IFERROR(VLOOKUP($F14,Arrangörslista!M$143:$AG$180,16,FALSE), "DNS"))),""))</f>
        <v/>
      </c>
      <c r="BN14" s="5" t="str">
        <f>IF(Deltagarlista!$K$3=2,
IF(ISBLANK(Deltagarlista!$C14),"",IF(ISBLANK(Arrangörslista!N$143),"",IF($GV14=BN$64," DNS ",IFERROR(VLOOKUP($F14,Arrangörslista!N$143:$AG$180,16,FALSE), "DNS")))), IF(Deltagarlista!$K$3=1,IF(ISBLANK(Deltagarlista!$C14),"",IF(ISBLANK(Arrangörslista!N$143),"",IFERROR(VLOOKUP($F14,Arrangörslista!N$143:$AG$180,16,FALSE), "DNS"))),""))</f>
        <v/>
      </c>
      <c r="BO14" s="5" t="str">
        <f>IF(Deltagarlista!$K$3=2,
IF(ISBLANK(Deltagarlista!$C14),"",IF(ISBLANK(Arrangörslista!O$143),"",IF($GV14=BO$64," DNS ",IFERROR(VLOOKUP($F14,Arrangörslista!O$143:$AG$180,16,FALSE), "DNS")))), IF(Deltagarlista!$K$3=1,IF(ISBLANK(Deltagarlista!$C14),"",IF(ISBLANK(Arrangörslista!O$143),"",IFERROR(VLOOKUP($F14,Arrangörslista!O$143:$AG$180,16,FALSE), "DNS"))),""))</f>
        <v/>
      </c>
      <c r="BP14" s="5" t="str">
        <f>IF(Deltagarlista!$K$3=2,
IF(ISBLANK(Deltagarlista!$C14),"",IF(ISBLANK(Arrangörslista!P$143),"",IF($GV14=BP$64," DNS ",IFERROR(VLOOKUP($F14,Arrangörslista!P$143:$AG$180,16,FALSE), "DNS")))), IF(Deltagarlista!$K$3=1,IF(ISBLANK(Deltagarlista!$C14),"",IF(ISBLANK(Arrangörslista!P$143),"",IFERROR(VLOOKUP($F14,Arrangörslista!P$143:$AG$180,16,FALSE), "DNS"))),""))</f>
        <v/>
      </c>
      <c r="BQ14" s="80" t="str">
        <f>IF(Deltagarlista!$K$3=2,
IF(ISBLANK(Deltagarlista!$C14),"",IF(ISBLANK(Arrangörslista!Q$143),"",IF($GV14=BQ$64," DNS ",IFERROR(VLOOKUP($F14,Arrangörslista!Q$143:$AG$180,16,FALSE), "DNS")))), IF(Deltagarlista!$K$3=1,IF(ISBLANK(Deltagarlista!$C14),"",IF(ISBLANK(Arrangörslista!Q$143),"",IFERROR(VLOOKUP($F14,Arrangörslista!Q$143:$AG$180,16,FALSE), "DNS"))),""))</f>
        <v/>
      </c>
      <c r="BR14" s="51"/>
      <c r="BS14" s="51"/>
      <c r="BT14" s="51"/>
      <c r="BU14" s="71">
        <f>SUM(BV14:EC14)</f>
        <v>0</v>
      </c>
      <c r="BV14" s="61">
        <f>IF(J14="",0,IF(OR(J14="DNF",J14="OCS",J14="DSQ",J14="DNS",J14=" DNS "),$BW$3+1,J14))</f>
        <v>0</v>
      </c>
      <c r="BW14" s="61">
        <f>IF(K14="",0,IF(OR(K14="DNF",K14="OCS",K14="DSQ",K14="DNS",K14=" DNS "),$BW$3+1,K14))</f>
        <v>0</v>
      </c>
      <c r="BX14" s="61">
        <f>IF(L14="",0,IF(OR(L14="DNF",L14="OCS",L14="DSQ",L14="DNS",L14=" DNS "),$BW$3+1,L14))</f>
        <v>0</v>
      </c>
      <c r="BY14" s="61">
        <f>IF(M14="",0,IF(OR(M14="DNF",M14="OCS",M14="DSQ",M14="DNS",M14=" DNS "),$BW$3+1,M14))</f>
        <v>0</v>
      </c>
      <c r="BZ14" s="61">
        <f>IF(N14="",0,IF(OR(N14="DNF",N14="OCS",N14="DSQ",N14="DNS",N14=" DNS "),$BW$3+1,N14))</f>
        <v>0</v>
      </c>
      <c r="CA14" s="61">
        <f>IF(O14="",0,IF(OR(O14="DNF",O14="OCS",O14="DSQ",O14="DNS",O14=" DNS "),$BW$3+1,O14))</f>
        <v>0</v>
      </c>
      <c r="CB14" s="61">
        <f>IF(P14="",0,IF(OR(P14="DNF",P14="OCS",P14="DSQ",P14="DNS",P14=" DNS "),$BW$3+1,P14))</f>
        <v>0</v>
      </c>
      <c r="CC14" s="61">
        <f>IF(Q14="",0,IF(OR(Q14="DNF",Q14="OCS",Q14="DSQ",Q14="DNS",Q14=" DNS "),$BW$3+1,Q14))</f>
        <v>0</v>
      </c>
      <c r="CD14" s="61">
        <f>IF(R14="",0,IF(OR(R14="DNF",R14="OCS",R14="DSQ",R14="DNS",R14=" DNS "),$BW$3+1,R14))</f>
        <v>0</v>
      </c>
      <c r="CE14" s="61">
        <f>IF(S14="",0,IF(OR(S14="DNF",S14="OCS",S14="DSQ",S14="DNS",S14=" DNS "),$BW$3+1,S14))</f>
        <v>0</v>
      </c>
      <c r="CF14" s="61">
        <f>IF(T14="",0,IF(OR(T14="DNF",T14="OCS",T14="DSQ",T14="DNS",T14=" DNS "),$BW$3+1,T14))</f>
        <v>0</v>
      </c>
      <c r="CG14" s="61">
        <f>IF(U14="",0,IF(OR(U14="DNF",U14="OCS",U14="DSQ",U14="DNS",U14=" DNS "),$BW$3+1,U14))</f>
        <v>0</v>
      </c>
      <c r="CH14" s="61">
        <f>IF(V14="",0,IF(OR(V14="DNF",V14="OCS",V14="DSQ",V14="DNS",V14=" DNS "),$BW$3+1,V14))</f>
        <v>0</v>
      </c>
      <c r="CI14" s="61">
        <f>IF(W14="",0,IF(OR(W14="DNF",W14="OCS",W14="DSQ",W14="DNS",W14=" DNS "),$BW$3+1,W14))</f>
        <v>0</v>
      </c>
      <c r="CJ14" s="61">
        <f>IF(X14="",0,IF(OR(X14="DNF",X14="OCS",X14="DSQ",X14="DNS",X14=" DNS "),$BW$3+1,X14))</f>
        <v>0</v>
      </c>
      <c r="CK14" s="61">
        <f>IF(Y14="",0,IF(OR(Y14="DNF",Y14="OCS",Y14="DSQ",Y14="DNS",Y14=" DNS "),$BW$3+1,Y14))</f>
        <v>0</v>
      </c>
      <c r="CL14" s="61">
        <f>IF(Z14="",0,IF(OR(Z14="DNF",Z14="OCS",Z14="DSQ",Z14="DNS",Z14=" DNS "),$BW$3+1,Z14))</f>
        <v>0</v>
      </c>
      <c r="CM14" s="61">
        <f>IF(AA14="",0,IF(OR(AA14="DNF",AA14="OCS",AA14="DSQ",AA14="DNS",AA14=" DNS "),$BW$3+1,AA14))</f>
        <v>0</v>
      </c>
      <c r="CN14" s="61">
        <f>IF(AB14="",0,IF(OR(AB14="DNF",AB14="OCS",AB14="DSQ",AB14="DNS",AB14=" DNS "),$BW$3+1,AB14))</f>
        <v>0</v>
      </c>
      <c r="CO14" s="61">
        <f>IF(AC14="",0,IF(OR(AC14="DNF",AC14="OCS",AC14="DSQ",AC14="DNS",AC14=" DNS "),$BW$3+1,AC14))</f>
        <v>0</v>
      </c>
      <c r="CP14" s="61">
        <f>IF(AD14="",0,IF(OR(AD14="DNF",AD14="OCS",AD14="DSQ",AD14="DNS",AD14=" DNS "),$BW$3+1,AD14))</f>
        <v>0</v>
      </c>
      <c r="CQ14" s="61">
        <f>IF(AE14="",0,IF(OR(AE14="DNF",AE14="OCS",AE14="DSQ",AE14="DNS",AE14=" DNS "),$BW$3+1,AE14))</f>
        <v>0</v>
      </c>
      <c r="CR14" s="61">
        <f>IF(AF14="",0,IF(OR(AF14="DNF",AF14="OCS",AF14="DSQ",AF14="DNS",AF14=" DNS "),$BW$3+1,AF14))</f>
        <v>0</v>
      </c>
      <c r="CS14" s="61">
        <f>IF(AG14="",0,IF(OR(AG14="DNF",AG14="OCS",AG14="DSQ",AG14="DNS",AG14=" DNS "),$BW$3+1,AG14))</f>
        <v>0</v>
      </c>
      <c r="CT14" s="61">
        <f>IF(AH14="",0,IF(OR(AH14="DNF",AH14="OCS",AH14="DSQ",AH14="DNS",AH14=" DNS "),$BW$3+1,AH14))</f>
        <v>0</v>
      </c>
      <c r="CU14" s="61">
        <f>IF(AI14="",0,IF(OR(AI14="DNF",AI14="OCS",AI14="DSQ",AI14="DNS",AI14=" DNS "),$BW$3+1,AI14))</f>
        <v>0</v>
      </c>
      <c r="CV14" s="61">
        <f>IF(AJ14="",0,IF(OR(AJ14="DNF",AJ14="OCS",AJ14="DSQ",AJ14="DNS",AJ14=" DNS "),$BW$3+1,AJ14))</f>
        <v>0</v>
      </c>
      <c r="CW14" s="61">
        <f>IF(AK14="",0,IF(OR(AK14="DNF",AK14="OCS",AK14="DSQ",AK14="DNS",AK14=" DNS "),$BW$3+1,AK14))</f>
        <v>0</v>
      </c>
      <c r="CX14" s="61">
        <f>IF(AL14="",0,IF(OR(AL14="DNF",AL14="OCS",AL14="DSQ",AL14="DNS",AL14=" DNS "),$BW$3+1,AL14))</f>
        <v>0</v>
      </c>
      <c r="CY14" s="61">
        <f>IF(AM14="",0,IF(OR(AM14="DNF",AM14="OCS",AM14="DSQ",AM14="DNS",AM14=" DNS "),$BW$3+1,AM14))</f>
        <v>0</v>
      </c>
      <c r="CZ14" s="61">
        <f>IF(AN14="",0,IF(OR(AN14="DNF",AN14="OCS",AN14="DSQ",AN14="DNS",AN14=" DNS "),$BW$3+1,AN14))</f>
        <v>0</v>
      </c>
      <c r="DA14" s="61">
        <f>IF(AO14="",0,IF(OR(AO14="DNF",AO14="OCS",AO14="DSQ",AO14="DNS",AO14=" DNS "),$BW$3+1,AO14))</f>
        <v>0</v>
      </c>
      <c r="DB14" s="61">
        <f>IF(AP14="",0,IF(OR(AP14="DNF",AP14="OCS",AP14="DSQ",AP14="DNS",AP14=" DNS "),$BW$3+1,AP14))</f>
        <v>0</v>
      </c>
      <c r="DC14" s="61">
        <f>IF(AQ14="",0,IF(OR(AQ14="DNF",AQ14="OCS",AQ14="DSQ",AQ14="DNS",AQ14=" DNS "),$BW$3+1,AQ14))</f>
        <v>0</v>
      </c>
      <c r="DD14" s="61">
        <f>IF(AR14="",0,IF(OR(AR14="DNF",AR14="OCS",AR14="DSQ",AR14="DNS",AR14=" DNS "),$BW$3+1,AR14))</f>
        <v>0</v>
      </c>
      <c r="DE14" s="61">
        <f>IF(AS14="",0,IF(OR(AS14="DNF",AS14="OCS",AS14="DSQ",AS14="DNS",AS14=" DNS "),$BW$3+1,AS14))</f>
        <v>0</v>
      </c>
      <c r="DF14" s="61">
        <f>IF(AT14="",0,IF(OR(AT14="DNF",AT14="OCS",AT14="DSQ",AT14="DNS",AT14=" DNS "),$BW$3+1,AT14))</f>
        <v>0</v>
      </c>
      <c r="DG14" s="61">
        <f>IF(AU14="",0,IF(OR(AU14="DNF",AU14="OCS",AU14="DSQ",AU14="DNS",AU14=" DNS "),$BW$3+1,AU14))</f>
        <v>0</v>
      </c>
      <c r="DH14" s="61">
        <f>IF(AV14="",0,IF(OR(AV14="DNF",AV14="OCS",AV14="DSQ",AV14="DNS",AV14=" DNS "),$BW$3+1,AV14))</f>
        <v>0</v>
      </c>
      <c r="DI14" s="61">
        <f>IF(AW14="",0,IF(OR(AW14="DNF",AW14="OCS",AW14="DSQ",AW14="DNS",AW14=" DNS "),$BW$3+1,AW14))</f>
        <v>0</v>
      </c>
      <c r="DJ14" s="61">
        <f>IF(AX14="",0,IF(OR(AX14="DNF",AX14="OCS",AX14="DSQ",AX14="DNS",AX14=" DNS "),$BW$3+1,AX14))</f>
        <v>0</v>
      </c>
      <c r="DK14" s="61">
        <f>IF(AY14="",0,IF(OR(AY14="DNF",AY14="OCS",AY14="DSQ",AY14="DNS",AY14=" DNS "),$BW$3+1,AY14))</f>
        <v>0</v>
      </c>
      <c r="DL14" s="61">
        <f>IF(AZ14="",0,IF(OR(AZ14="DNF",AZ14="OCS",AZ14="DSQ",AZ14="DNS",AZ14=" DNS "),$BW$3+1,AZ14))</f>
        <v>0</v>
      </c>
      <c r="DM14" s="61">
        <f>IF(BA14="",0,IF(OR(BA14="DNF",BA14="OCS",BA14="DSQ",BA14="DNS",BA14=" DNS "),$BW$3+1,BA14))</f>
        <v>0</v>
      </c>
      <c r="DN14" s="61">
        <f>IF(BB14="",0,IF(OR(BB14="DNF",BB14="OCS",BB14="DSQ",BB14="DNS",BB14=" DNS "),$BW$3+1,BB14))</f>
        <v>0</v>
      </c>
      <c r="DO14" s="61">
        <f>IF(BC14="",0,IF(OR(BC14="DNF",BC14="OCS",BC14="DSQ",BC14="DNS",BC14=" DNS "),$BW$3+1,BC14))</f>
        <v>0</v>
      </c>
      <c r="DP14" s="61">
        <f>IF(BD14="",0,IF(OR(BD14="DNF",BD14="OCS",BD14="DSQ",BD14="DNS",BD14=" DNS "),$BW$3+1,BD14))</f>
        <v>0</v>
      </c>
      <c r="DQ14" s="61">
        <f>IF(BE14="",0,IF(OR(BE14="DNF",BE14="OCS",BE14="DSQ",BE14="DNS",BE14=" DNS "),$BW$3+1,BE14))</f>
        <v>0</v>
      </c>
      <c r="DR14" s="61">
        <f>IF(BF14="",0,IF(OR(BF14="DNF",BF14="OCS",BF14="DSQ",BF14="DNS",BF14=" DNS "),$BW$3+1,BF14))</f>
        <v>0</v>
      </c>
      <c r="DS14" s="61">
        <f>IF(BG14="",0,IF(OR(BG14="DNF",BG14="OCS",BG14="DSQ",BG14="DNS",BG14=" DNS "),$BW$3+1,BG14))</f>
        <v>0</v>
      </c>
      <c r="DT14" s="61">
        <f>IF(BH14="",0,IF(OR(BH14="DNF",BH14="OCS",BH14="DSQ",BH14="DNS",BH14=" DNS "),$BW$3+1,BH14))</f>
        <v>0</v>
      </c>
      <c r="DU14" s="61">
        <f>IF(BI14="",0,IF(OR(BI14="DNF",BI14="OCS",BI14="DSQ",BI14="DNS",BI14=" DNS "),$BW$3+1,BI14))</f>
        <v>0</v>
      </c>
      <c r="DV14" s="61">
        <f>IF(BJ14="",0,IF(OR(BJ14="DNF",BJ14="OCS",BJ14="DSQ",BJ14="DNS",BJ14=" DNS "),$BW$3+1,BJ14))</f>
        <v>0</v>
      </c>
      <c r="DW14" s="61">
        <f>IF(BK14="",0,IF(OR(BK14="DNF",BK14="OCS",BK14="DSQ",BK14="DNS",BK14=" DNS "),$BW$3+1,BK14))</f>
        <v>0</v>
      </c>
      <c r="DX14" s="61">
        <f>IF(BL14="",0,IF(OR(BL14="DNF",BL14="OCS",BL14="DSQ",BL14="DNS",BL14=" DNS "),$BW$3+1,BL14))</f>
        <v>0</v>
      </c>
      <c r="DY14" s="61">
        <f>IF(BM14="",0,IF(OR(BM14="DNF",BM14="OCS",BM14="DSQ",BM14="DNS",BM14=" DNS "),$BW$3+1,BM14))</f>
        <v>0</v>
      </c>
      <c r="DZ14" s="61">
        <f>IF(BN14="",0,IF(OR(BN14="DNF",BN14="OCS",BN14="DSQ",BN14="DNS",BN14=" DNS "),$BW$3+1,BN14))</f>
        <v>0</v>
      </c>
      <c r="EA14" s="61">
        <f>IF(BO14="",0,IF(OR(BO14="DNF",BO14="OCS",BO14="DSQ",BO14="DNS",BO14=" DNS "),$BW$3+1,BO14))</f>
        <v>0</v>
      </c>
      <c r="EB14" s="61">
        <f>IF(BP14="",0,IF(OR(BP14="DNF",BP14="OCS",BP14="DSQ",BP14="DNS",BP14=" DNS "),$BW$3+1,BP14))</f>
        <v>0</v>
      </c>
      <c r="EC14" s="61">
        <f>IF(BQ14="",0,IF(OR(BQ14="DNF",BQ14="OCS",BQ14="DSQ",BQ14="DNS",BQ14=" DNS "),$BW$3+1,BQ14))</f>
        <v>0</v>
      </c>
      <c r="EE14" s="61">
        <f xml:space="preserve">
IF(OR(Deltagarlista!$K$3=3,Deltagarlista!$K$3=4),
IF(Arrangörslista!$U$5&lt;8,0,
IF(Arrangörslista!$U$5&lt;16,SUM(LARGE(BV14:CJ14,1)),
IF(Arrangörslista!$U$5&lt;24,SUM(LARGE(BV14:CR14,{1;2})),
IF(Arrangörslista!$U$5&lt;32,SUM(LARGE(BV14:CZ14,{1;2;3})),
IF(Arrangörslista!$U$5&lt;40,SUM(LARGE(BV14:DH14,{1;2;3;4})),
IF(Arrangörslista!$U$5&lt;48,SUM(LARGE(BV14:DP14,{1;2;3;4;5})),
IF(Arrangörslista!$U$5&lt;56,SUM(LARGE(BV14:DX14,{1;2;3;4;5;6})),
IF(Arrangörslista!$U$5&lt;64,SUM(LARGE(BV14:EC14,{1;2;3;4;5;6;7})),0)))))))),
IF(Deltagarlista!$K$3=2,
IF(Arrangörslista!$U$5&lt;4,LARGE(BV14:BX14,1),
IF(Arrangörslista!$U$5&lt;7,SUM(LARGE(BV14:CA14,{1;2;3})),
IF(Arrangörslista!$U$5&lt;10,SUM(LARGE(BV14:CD14,{1;2;3;4})),
IF(Arrangörslista!$U$5&lt;13,SUM(LARGE(BV14:CG14,{1;2;3;4;5;6})),
IF(Arrangörslista!$U$5&lt;16,SUM(LARGE(BV14:CJ14,{1;2;3;4;5;6;7})),
IF(Arrangörslista!$U$5&lt;19,SUM(LARGE(BV14:CM14,{1;2;3;4;5;6;7;8;9})),
IF(Arrangörslista!$U$5&lt;22,SUM(LARGE(BV14:CP14,{1;2;3;4;5;6;7;8;9;10})),
IF(Arrangörslista!$U$5&lt;25,SUM(LARGE(BV14:CS14,{1;2;3;4;5;6;7;8;9;10;11;12})),
IF(Arrangörslista!$U$5&lt;28,SUM(LARGE(BV14:CV14,{1;2;3;4;5;6;7;8;9;10;11;12;13})),
IF(Arrangörslista!$U$5&lt;31,SUM(LARGE(BV14:CY14,{1;2;3;4;5;6;7;8;9;10;11;12;13;14;15})),
IF(Arrangörslista!$U$5&lt;34,SUM(LARGE(BV14:DB14,{1;2;3;4;5;6;7;8;9;10;11;12;13;14;15;16})),
IF(Arrangörslista!$U$5&lt;37,SUM(LARGE(BV14:DE14,{1;2;3;4;5;6;7;8;9;10;11;12;13;14;15;16;17;18})),
IF(Arrangörslista!$U$5&lt;40,SUM(LARGE(BV14:DH14,{1;2;3;4;5;6;7;8;9;10;11;12;13;14;15;16;17;18;19})),
IF(Arrangörslista!$U$5&lt;43,SUM(LARGE(BV14:DK14,{1;2;3;4;5;6;7;8;9;10;11;12;13;14;15;16;17;18;19;20;21})),
IF(Arrangörslista!$U$5&lt;46,SUM(LARGE(BV14:DN14,{1;2;3;4;5;6;7;8;9;10;11;12;13;14;15;16;17;18;19;20;21;22})),
IF(Arrangörslista!$U$5&lt;49,SUM(LARGE(BV14:DQ14,{1;2;3;4;5;6;7;8;9;10;11;12;13;14;15;16;17;18;19;20;21;22;23;24})),
IF(Arrangörslista!$U$5&lt;52,SUM(LARGE(BV14:DT14,{1;2;3;4;5;6;7;8;9;10;11;12;13;14;15;16;17;18;19;20;21;22;23;24;25})),
IF(Arrangörslista!$U$5&lt;55,SUM(LARGE(BV14:DW14,{1;2;3;4;5;6;7;8;9;10;11;12;13;14;15;16;17;18;19;20;21;22;23;24;25;26;27})),
IF(Arrangörslista!$U$5&lt;58,SUM(LARGE(BV14:DZ14,{1;2;3;4;5;6;7;8;9;10;11;12;13;14;15;16;17;18;19;20;21;22;23;24;25;26;27;28})),
IF(Arrangörslista!$U$5&lt;61,SUM(LARGE(BV14:EC14,{1;2;3;4;5;6;7;8;9;10;11;12;13;14;15;16;17;18;19;20;21;22;23;24;25;26;27;28;29;30})),0)))))))))))))))))))),
IF(Arrangörslista!$U$5&lt;4,0,
IF(Arrangörslista!$U$5&lt;8,SUM(LARGE(BV14:CB14,1)),
IF(Arrangörslista!$U$5&lt;12,SUM(LARGE(BV14:CF14,{1;2})),
IF(Arrangörslista!$U$5&lt;16,SUM(LARGE(BV14:CJ14,{1;2;3})),
IF(Arrangörslista!$U$5&lt;20,SUM(LARGE(BV14:CN14,{1;2;3;4})),
IF(Arrangörslista!$U$5&lt;24,SUM(LARGE(BV14:CR14,{1;2;3;4;5})),
IF(Arrangörslista!$U$5&lt;28,SUM(LARGE(BV14:CV14,{1;2;3;4;5;6})),
IF(Arrangörslista!$U$5&lt;32,SUM(LARGE(BV14:CZ14,{1;2;3;4;5;6;7})),
IF(Arrangörslista!$U$5&lt;36,SUM(LARGE(BV14:DD14,{1;2;3;4;5;6;7;8})),
IF(Arrangörslista!$U$5&lt;40,SUM(LARGE(BV14:DH14,{1;2;3;4;5;6;7;8;9})),
IF(Arrangörslista!$U$5&lt;44,SUM(LARGE(BV14:DL14,{1;2;3;4;5;6;7;8;9;10})),
IF(Arrangörslista!$U$5&lt;48,SUM(LARGE(BV14:DP14,{1;2;3;4;5;6;7;8;9;10;11})),
IF(Arrangörslista!$U$5&lt;52,SUM(LARGE(BV14:DT14,{1;2;3;4;5;6;7;8;9;10;11;12})),
IF(Arrangörslista!$U$5&lt;56,SUM(LARGE(BV14:DX14,{1;2;3;4;5;6;7;8;9;10;11;12;13})),
IF(Arrangörslista!$U$5&lt;60,SUM(LARGE(BV14:EB14,{1;2;3;4;5;6;7;8;9;10;11;12;13;14})),
IF(Arrangörslista!$U$5=60,SUM(LARGE(BV14:EC14,{1;2;3;4;5;6;7;8;9;10;11;12;13;14;15})),0))))))))))))))))))</f>
        <v>0</v>
      </c>
      <c r="EG14" s="67">
        <f>IF(F14="",,1)</f>
        <v>0</v>
      </c>
      <c r="EH14" s="61"/>
      <c r="EI14" s="61"/>
      <c r="EK14" s="62">
        <f>SMALL($J77:$BQ77,1)</f>
        <v>61</v>
      </c>
      <c r="EL14" s="62">
        <f>SMALL($J77:$BQ77,2)</f>
        <v>61</v>
      </c>
      <c r="EM14" s="62">
        <f>SMALL($J77:$BQ77,3)</f>
        <v>61</v>
      </c>
      <c r="EN14" s="62">
        <f>SMALL($J77:$BQ77,4)</f>
        <v>61</v>
      </c>
      <c r="EO14" s="62">
        <f>SMALL($J77:$BQ77,5)</f>
        <v>61</v>
      </c>
      <c r="EP14" s="62">
        <f>SMALL($J77:$BQ77,6)</f>
        <v>61</v>
      </c>
      <c r="EQ14" s="62">
        <f>SMALL($J77:$BQ77,7)</f>
        <v>61</v>
      </c>
      <c r="ER14" s="62">
        <f>SMALL($J77:$BQ77,8)</f>
        <v>61</v>
      </c>
      <c r="ES14" s="62">
        <f>SMALL($J77:$BQ77,9)</f>
        <v>61</v>
      </c>
      <c r="ET14" s="62">
        <f>SMALL($J77:$BQ77,10)</f>
        <v>61</v>
      </c>
      <c r="EU14" s="62">
        <f>SMALL($J77:$BQ77,11)</f>
        <v>61</v>
      </c>
      <c r="EV14" s="62">
        <f>SMALL($J77:$BQ77,12)</f>
        <v>61</v>
      </c>
      <c r="EW14" s="62">
        <f>SMALL($J77:$BQ77,13)</f>
        <v>61</v>
      </c>
      <c r="EX14" s="62">
        <f>SMALL($J77:$BQ77,14)</f>
        <v>61</v>
      </c>
      <c r="EY14" s="62">
        <f>SMALL($J77:$BQ77,15)</f>
        <v>61</v>
      </c>
      <c r="EZ14" s="62">
        <f>SMALL($J77:$BQ77,16)</f>
        <v>61</v>
      </c>
      <c r="FA14" s="62">
        <f>SMALL($J77:$BQ77,17)</f>
        <v>61</v>
      </c>
      <c r="FB14" s="62">
        <f>SMALL($J77:$BQ77,18)</f>
        <v>61</v>
      </c>
      <c r="FC14" s="62">
        <f>SMALL($J77:$BQ77,19)</f>
        <v>61</v>
      </c>
      <c r="FD14" s="62">
        <f>SMALL($J77:$BQ77,20)</f>
        <v>61</v>
      </c>
      <c r="FE14" s="62">
        <f>SMALL($J77:$BQ77,21)</f>
        <v>61</v>
      </c>
      <c r="FF14" s="62">
        <f>SMALL($J77:$BQ77,22)</f>
        <v>61</v>
      </c>
      <c r="FG14" s="62">
        <f>SMALL($J77:$BQ77,23)</f>
        <v>61</v>
      </c>
      <c r="FH14" s="62">
        <f>SMALL($J77:$BQ77,24)</f>
        <v>61</v>
      </c>
      <c r="FI14" s="62">
        <f>SMALL($J77:$BQ77,25)</f>
        <v>61</v>
      </c>
      <c r="FJ14" s="62">
        <f>SMALL($J77:$BQ77,26)</f>
        <v>61</v>
      </c>
      <c r="FK14" s="62">
        <f>SMALL($J77:$BQ77,27)</f>
        <v>61</v>
      </c>
      <c r="FL14" s="62">
        <f>SMALL($J77:$BQ77,28)</f>
        <v>61</v>
      </c>
      <c r="FM14" s="62">
        <f>SMALL($J77:$BQ77,29)</f>
        <v>61</v>
      </c>
      <c r="FN14" s="62">
        <f>SMALL($J77:$BQ77,30)</f>
        <v>61</v>
      </c>
      <c r="FO14" s="62">
        <f>SMALL($J77:$BQ77,31)</f>
        <v>61</v>
      </c>
      <c r="FP14" s="62">
        <f>SMALL($J77:$BQ77,32)</f>
        <v>61</v>
      </c>
      <c r="FQ14" s="62">
        <f>SMALL($J77:$BQ77,33)</f>
        <v>61</v>
      </c>
      <c r="FR14" s="62">
        <f>SMALL($J77:$BQ77,34)</f>
        <v>61</v>
      </c>
      <c r="FS14" s="62">
        <f>SMALL($J77:$BQ77,35)</f>
        <v>61</v>
      </c>
      <c r="FT14" s="62">
        <f>SMALL($J77:$BQ77,36)</f>
        <v>61</v>
      </c>
      <c r="FU14" s="62">
        <f>SMALL($J77:$BQ77,37)</f>
        <v>61</v>
      </c>
      <c r="FV14" s="62">
        <f>SMALL($J77:$BQ77,38)</f>
        <v>61</v>
      </c>
      <c r="FW14" s="62">
        <f>SMALL($J77:$BQ77,39)</f>
        <v>61</v>
      </c>
      <c r="FX14" s="62">
        <f>SMALL($J77:$BQ77,40)</f>
        <v>61</v>
      </c>
      <c r="FY14" s="62">
        <f>SMALL($J77:$BQ77,41)</f>
        <v>61</v>
      </c>
      <c r="FZ14" s="62">
        <f>SMALL($J77:$BQ77,42)</f>
        <v>61</v>
      </c>
      <c r="GA14" s="62">
        <f>SMALL($J77:$BQ77,43)</f>
        <v>61</v>
      </c>
      <c r="GB14" s="62">
        <f>SMALL($J77:$BQ77,44)</f>
        <v>61</v>
      </c>
      <c r="GC14" s="62">
        <f>SMALL($J77:$BQ77,45)</f>
        <v>61</v>
      </c>
      <c r="GD14" s="62">
        <f>SMALL($J77:$BQ77,46)</f>
        <v>61</v>
      </c>
      <c r="GE14" s="62">
        <f>SMALL($J77:$BQ77,47)</f>
        <v>61</v>
      </c>
      <c r="GF14" s="62">
        <f>SMALL($J77:$BQ77,48)</f>
        <v>61</v>
      </c>
      <c r="GG14" s="62">
        <f>SMALL($J77:$BQ77,49)</f>
        <v>61</v>
      </c>
      <c r="GH14" s="62">
        <f>SMALL($J77:$BQ77,50)</f>
        <v>61</v>
      </c>
      <c r="GI14" s="62">
        <f>SMALL($J77:$BQ77,51)</f>
        <v>61</v>
      </c>
      <c r="GJ14" s="62">
        <f>SMALL($J77:$BQ77,52)</f>
        <v>61</v>
      </c>
      <c r="GK14" s="62">
        <f>SMALL($J77:$BQ77,53)</f>
        <v>61</v>
      </c>
      <c r="GL14" s="62">
        <f>SMALL($J77:$BQ77,54)</f>
        <v>61</v>
      </c>
      <c r="GM14" s="62">
        <f>SMALL($J77:$BQ77,55)</f>
        <v>61</v>
      </c>
      <c r="GN14" s="62">
        <f>SMALL($J77:$BQ77,56)</f>
        <v>61</v>
      </c>
      <c r="GO14" s="62">
        <f>SMALL($J77:$BQ77,57)</f>
        <v>61</v>
      </c>
      <c r="GP14" s="62">
        <f>SMALL($J77:$BQ77,58)</f>
        <v>61</v>
      </c>
      <c r="GQ14" s="62">
        <f>SMALL($J77:$BQ77,59)</f>
        <v>61</v>
      </c>
      <c r="GR14" s="62">
        <f>SMALL($J77:$BQ77,60)</f>
        <v>61</v>
      </c>
      <c r="GT14" s="62">
        <f>IF(Deltagarlista!$K$3=2,
IF(GW14="1",
      IF(Arrangörslista!$U$5=1,J77,
IF(Arrangörslista!$U$5=2,K77,
IF(Arrangörslista!$U$5=3,L77,
IF(Arrangörslista!$U$5=4,M77,
IF(Arrangörslista!$U$5=5,N77,
IF(Arrangörslista!$U$5=6,O77,
IF(Arrangörslista!$U$5=7,P77,
IF(Arrangörslista!$U$5=8,Q77,
IF(Arrangörslista!$U$5=9,R77,
IF(Arrangörslista!$U$5=10,S77,
IF(Arrangörslista!$U$5=11,T77,
IF(Arrangörslista!$U$5=12,U77,
IF(Arrangörslista!$U$5=13,V77,
IF(Arrangörslista!$U$5=14,W77,
IF(Arrangörslista!$U$5=15,X77,
IF(Arrangörslista!$U$5=16,Y77,IF(Arrangörslista!$U$5=17,Z77,IF(Arrangörslista!$U$5=18,AA77,IF(Arrangörslista!$U$5=19,AB77,IF(Arrangörslista!$U$5=20,AC77,IF(Arrangörslista!$U$5=21,AD77,IF(Arrangörslista!$U$5=22,AE77,IF(Arrangörslista!$U$5=23,AF77, IF(Arrangörslista!$U$5=24,AG77, IF(Arrangörslista!$U$5=25,AH77, IF(Arrangörslista!$U$5=26,AI77, IF(Arrangörslista!$U$5=27,AJ77, IF(Arrangörslista!$U$5=28,AK77, IF(Arrangörslista!$U$5=29,AL77, IF(Arrangörslista!$U$5=30,AM77, IF(Arrangörslista!$U$5=31,AN77, IF(Arrangörslista!$U$5=32,AO77, IF(Arrangörslista!$U$5=33,AP77, IF(Arrangörslista!$U$5=34,AQ77, IF(Arrangörslista!$U$5=35,AR77, IF(Arrangörslista!$U$5=36,AS77, IF(Arrangörslista!$U$5=37,AT77, IF(Arrangörslista!$U$5=38,AU77, IF(Arrangörslista!$U$5=39,AV77, IF(Arrangörslista!$U$5=40,AW77, IF(Arrangörslista!$U$5=41,AX77, IF(Arrangörslista!$U$5=42,AY77, IF(Arrangörslista!$U$5=43,AZ77, IF(Arrangörslista!$U$5=44,BA77, IF(Arrangörslista!$U$5=45,BB77, IF(Arrangörslista!$U$5=46,BC77, IF(Arrangörslista!$U$5=47,BD77, IF(Arrangörslista!$U$5=48,BE77, IF(Arrangörslista!$U$5=49,BF77, IF(Arrangörslista!$U$5=50,BG77, IF(Arrangörslista!$U$5=51,BH77, IF(Arrangörslista!$U$5=52,BI77, IF(Arrangörslista!$U$5=53,BJ77, IF(Arrangörslista!$U$5=54,BK77, IF(Arrangörslista!$U$5=55,BL77, IF(Arrangörslista!$U$5=56,BM77, IF(Arrangörslista!$U$5=57,BN77, IF(Arrangörslista!$U$5=58,BO77, IF(Arrangörslista!$U$5=59,BP77, IF(Arrangörslista!$U$5=60,BQ77,0))))))))))))))))))))))))))))))))))))))))))))))))))))))))))))),IF(Deltagarlista!$K$3=4, IF(Arrangörslista!$U$5=1,J77,
IF(Arrangörslista!$U$5=2,J77,
IF(Arrangörslista!$U$5=3,K77,
IF(Arrangörslista!$U$5=4,K77,
IF(Arrangörslista!$U$5=5,L77,
IF(Arrangörslista!$U$5=6,L77,
IF(Arrangörslista!$U$5=7,M77,
IF(Arrangörslista!$U$5=8,M77,
IF(Arrangörslista!$U$5=9,N77,
IF(Arrangörslista!$U$5=10,N77,
IF(Arrangörslista!$U$5=11,O77,
IF(Arrangörslista!$U$5=12,O77,
IF(Arrangörslista!$U$5=13,P77,
IF(Arrangörslista!$U$5=14,P77,
IF(Arrangörslista!$U$5=15,Q77,
IF(Arrangörslista!$U$5=16,Q77,
IF(Arrangörslista!$U$5=17,R77,
IF(Arrangörslista!$U$5=18,R77,
IF(Arrangörslista!$U$5=19,S77,
IF(Arrangörslista!$U$5=20,S77,
IF(Arrangörslista!$U$5=21,T77,
IF(Arrangörslista!$U$5=22,T77,IF(Arrangörslista!$U$5=23,U77, IF(Arrangörslista!$U$5=24,U77, IF(Arrangörslista!$U$5=25,V77, IF(Arrangörslista!$U$5=26,V77, IF(Arrangörslista!$U$5=27,W77, IF(Arrangörslista!$U$5=28,W77, IF(Arrangörslista!$U$5=29,X77, IF(Arrangörslista!$U$5=30,X77, IF(Arrangörslista!$U$5=31,X77, IF(Arrangörslista!$U$5=32,Y77, IF(Arrangörslista!$U$5=33,AO77, IF(Arrangörslista!$U$5=34,Y77, IF(Arrangörslista!$U$5=35,Z77, IF(Arrangörslista!$U$5=36,AR77, IF(Arrangörslista!$U$5=37,Z77, IF(Arrangörslista!$U$5=38,AA77, IF(Arrangörslista!$U$5=39,AU77, IF(Arrangörslista!$U$5=40,AA77, IF(Arrangörslista!$U$5=41,AB77, IF(Arrangörslista!$U$5=42,AX77, IF(Arrangörslista!$U$5=43,AB77, IF(Arrangörslista!$U$5=44,AC77, IF(Arrangörslista!$U$5=45,BA77, IF(Arrangörslista!$U$5=46,AC77, IF(Arrangörslista!$U$5=47,AD77, IF(Arrangörslista!$U$5=48,BD77, IF(Arrangörslista!$U$5=49,AD77, IF(Arrangörslista!$U$5=50,AE77, IF(Arrangörslista!$U$5=51,BG77, IF(Arrangörslista!$U$5=52,AE77, IF(Arrangörslista!$U$5=53,AF77, IF(Arrangörslista!$U$5=54,BJ77, IF(Arrangörslista!$U$5=55,AF77, IF(Arrangörslista!$U$5=56,AG77, IF(Arrangörslista!$U$5=57,BM77, IF(Arrangörslista!$U$5=58,AG77, IF(Arrangörslista!$U$5=59,AH77, IF(Arrangörslista!$U$5=60,AH77,0)))))))))))))))))))))))))))))))))))))))))))))))))))))))))))),IF(Arrangörslista!$U$5=1,J77,
IF(Arrangörslista!$U$5=2,K77,
IF(Arrangörslista!$U$5=3,L77,
IF(Arrangörslista!$U$5=4,M77,
IF(Arrangörslista!$U$5=5,N77,
IF(Arrangörslista!$U$5=6,O77,
IF(Arrangörslista!$U$5=7,P77,
IF(Arrangörslista!$U$5=8,Q77,
IF(Arrangörslista!$U$5=9,R77,
IF(Arrangörslista!$U$5=10,S77,
IF(Arrangörslista!$U$5=11,T77,
IF(Arrangörslista!$U$5=12,U77,
IF(Arrangörslista!$U$5=13,V77,
IF(Arrangörslista!$U$5=14,W77,
IF(Arrangörslista!$U$5=15,X77,
IF(Arrangörslista!$U$5=16,Y77,IF(Arrangörslista!$U$5=17,Z77,IF(Arrangörslista!$U$5=18,AA77,IF(Arrangörslista!$U$5=19,AB77,IF(Arrangörslista!$U$5=20,AC77,IF(Arrangörslista!$U$5=21,AD77,IF(Arrangörslista!$U$5=22,AE77,IF(Arrangörslista!$U$5=23,AF77, IF(Arrangörslista!$U$5=24,AG77, IF(Arrangörslista!$U$5=25,AH77, IF(Arrangörslista!$U$5=26,AI77, IF(Arrangörslista!$U$5=27,AJ77, IF(Arrangörslista!$U$5=28,AK77, IF(Arrangörslista!$U$5=29,AL77, IF(Arrangörslista!$U$5=30,AM77, IF(Arrangörslista!$U$5=31,AN77, IF(Arrangörslista!$U$5=32,AO77, IF(Arrangörslista!$U$5=33,AP77, IF(Arrangörslista!$U$5=34,AQ77, IF(Arrangörslista!$U$5=35,AR77, IF(Arrangörslista!$U$5=36,AS77, IF(Arrangörslista!$U$5=37,AT77, IF(Arrangörslista!$U$5=38,AU77, IF(Arrangörslista!$U$5=39,AV77, IF(Arrangörslista!$U$5=40,AW77, IF(Arrangörslista!$U$5=41,AX77, IF(Arrangörslista!$U$5=42,AY77, IF(Arrangörslista!$U$5=43,AZ77, IF(Arrangörslista!$U$5=44,BA77, IF(Arrangörslista!$U$5=45,BB77, IF(Arrangörslista!$U$5=46,BC77, IF(Arrangörslista!$U$5=47,BD77, IF(Arrangörslista!$U$5=48,BE77, IF(Arrangörslista!$U$5=49,BF77, IF(Arrangörslista!$U$5=50,BG77, IF(Arrangörslista!$U$5=51,BH77, IF(Arrangörslista!$U$5=52,BI77, IF(Arrangörslista!$U$5=53,BJ77, IF(Arrangörslista!$U$5=54,BK77, IF(Arrangörslista!$U$5=55,BL77, IF(Arrangörslista!$U$5=56,BM77, IF(Arrangörslista!$U$5=57,BN77, IF(Arrangörslista!$U$5=58,BO77, IF(Arrangörslista!$U$5=59,BP77, IF(Arrangörslista!$U$5=60,BQ77,0))))))))))))))))))))))))))))))))))))))))))))))))))))))))))))
))</f>
        <v>0</v>
      </c>
      <c r="GV14" s="65" t="str">
        <f>IFERROR(IF(VLOOKUP(F14,Deltagarlista!$E$5:$I$64,5,FALSE)="Grön","Gr",IF(VLOOKUP(F14,Deltagarlista!$E$5:$I$64,5,FALSE)="Röd","R",IF(VLOOKUP(F14,Deltagarlista!$E$5:$I$64,5,FALSE)="Blå","B","Gu"))),"")</f>
        <v/>
      </c>
      <c r="GW14" s="62" t="str">
        <f t="shared" si="1"/>
        <v/>
      </c>
    </row>
    <row r="15" spans="1:206" x14ac:dyDescent="0.3">
      <c r="B15" s="23" t="str">
        <f>IF($BW$3&gt;11,12,"")</f>
        <v/>
      </c>
      <c r="C15" s="92" t="str">
        <f>IF(ISBLANK(Deltagarlista!C13),"",Deltagarlista!C13)</f>
        <v/>
      </c>
      <c r="D15" s="109" t="str">
        <f>CONCATENATE(IF(AND(Deltagarlista!H13="GM",Deltagarlista!$S$14=TRUE),"GM   ",""), IF(OR(Deltagarlista!$K$3=4,Deltagarlista!$K$3=2),Deltagarlista!I13,""))</f>
        <v/>
      </c>
      <c r="E15" s="8" t="str">
        <f>IF(ISBLANK(Deltagarlista!D13),"",Deltagarlista!D13)</f>
        <v/>
      </c>
      <c r="F15" s="8" t="str">
        <f>IF(ISBLANK(Deltagarlista!E13),"",Deltagarlista!E13)</f>
        <v/>
      </c>
      <c r="G15" s="95" t="str">
        <f>IF(ISBLANK(Deltagarlista!F13),"",Deltagarlista!F13)</f>
        <v/>
      </c>
      <c r="H15" s="72" t="str">
        <f>IF(ISBLANK(Deltagarlista!C13),"",BU15-EE15)</f>
        <v/>
      </c>
      <c r="I15" s="13" t="str">
        <f>IF(ISBLANK(Deltagarlista!C13),"",IF(AND(Deltagarlista!$K$3=2,Deltagarlista!$L$3&lt;37),SUM(SUM(BV15:EC15)-(ROUNDDOWN(Arrangörslista!$U$5/3,1))*($BW$3+1)),SUM(BV15:EC15)))</f>
        <v/>
      </c>
      <c r="J15" s="79" t="str">
        <f>IF(Deltagarlista!$K$3=4,IF(ISBLANK(Deltagarlista!$C13),"",IF(ISBLANK(Arrangörslista!C$8),"",IFERROR(VLOOKUP($F15,Arrangörslista!C$8:$AG$45,16,FALSE),IF(ISBLANK(Deltagarlista!$C13),"",IF(ISBLANK(Arrangörslista!C$8),"",IFERROR(VLOOKUP($F15,Arrangörslista!D$8:$AG$45,16,FALSE),"DNS")))))),IF(Deltagarlista!$K$3=2,
IF(ISBLANK(Deltagarlista!$C13),"",IF(ISBLANK(Arrangörslista!C$8),"",IF($GV15=J$64," DNS ",IFERROR(VLOOKUP($F15,Arrangörslista!C$8:$AG$45,16,FALSE),"DNS")))),IF(ISBLANK(Deltagarlista!$C13),"",IF(ISBLANK(Arrangörslista!C$8),"",IFERROR(VLOOKUP($F15,Arrangörslista!C$8:$AG$45,16,FALSE),"DNS")))))</f>
        <v/>
      </c>
      <c r="K15" s="5" t="str">
        <f>IF(Deltagarlista!$K$3=4,IF(ISBLANK(Deltagarlista!$C13),"",IF(ISBLANK(Arrangörslista!E$8),"",IFERROR(VLOOKUP($F15,Arrangörslista!E$8:$AG$45,16,FALSE),IF(ISBLANK(Deltagarlista!$C13),"",IF(ISBLANK(Arrangörslista!E$8),"",IFERROR(VLOOKUP($F15,Arrangörslista!F$8:$AG$45,16,FALSE),"DNS")))))),IF(Deltagarlista!$K$3=2,
IF(ISBLANK(Deltagarlista!$C13),"",IF(ISBLANK(Arrangörslista!D$8),"",IF($GV15=K$64," DNS ",IFERROR(VLOOKUP($F15,Arrangörslista!D$8:$AG$45,16,FALSE),"DNS")))),IF(ISBLANK(Deltagarlista!$C13),"",IF(ISBLANK(Arrangörslista!D$8),"",IFERROR(VLOOKUP($F15,Arrangörslista!D$8:$AG$45,16,FALSE),"DNS")))))</f>
        <v/>
      </c>
      <c r="L15" s="5" t="str">
        <f>IF(Deltagarlista!$K$3=4,IF(ISBLANK(Deltagarlista!$C13),"",IF(ISBLANK(Arrangörslista!G$8),"",IFERROR(VLOOKUP($F15,Arrangörslista!G$8:$AG$45,16,FALSE),IF(ISBLANK(Deltagarlista!$C13),"",IF(ISBLANK(Arrangörslista!G$8),"",IFERROR(VLOOKUP($F15,Arrangörslista!H$8:$AG$45,16,FALSE),"DNS")))))),IF(Deltagarlista!$K$3=2,
IF(ISBLANK(Deltagarlista!$C13),"",IF(ISBLANK(Arrangörslista!E$8),"",IF($GV15=L$64," DNS ",IFERROR(VLOOKUP($F15,Arrangörslista!E$8:$AG$45,16,FALSE),"DNS")))),IF(ISBLANK(Deltagarlista!$C13),"",IF(ISBLANK(Arrangörslista!E$8),"",IFERROR(VLOOKUP($F15,Arrangörslista!E$8:$AG$45,16,FALSE),"DNS")))))</f>
        <v/>
      </c>
      <c r="M15" s="5" t="str">
        <f>IF(Deltagarlista!$K$3=4,IF(ISBLANK(Deltagarlista!$C13),"",IF(ISBLANK(Arrangörslista!I$8),"",IFERROR(VLOOKUP($F15,Arrangörslista!I$8:$AG$45,16,FALSE),IF(ISBLANK(Deltagarlista!$C13),"",IF(ISBLANK(Arrangörslista!I$8),"",IFERROR(VLOOKUP($F15,Arrangörslista!J$8:$AG$45,16,FALSE),"DNS")))))),IF(Deltagarlista!$K$3=2,
IF(ISBLANK(Deltagarlista!$C13),"",IF(ISBLANK(Arrangörslista!F$8),"",IF($GV15=M$64," DNS ",IFERROR(VLOOKUP($F15,Arrangörslista!F$8:$AG$45,16,FALSE),"DNS")))),IF(ISBLANK(Deltagarlista!$C13),"",IF(ISBLANK(Arrangörslista!F$8),"",IFERROR(VLOOKUP($F15,Arrangörslista!F$8:$AG$45,16,FALSE),"DNS")))))</f>
        <v/>
      </c>
      <c r="N15" s="5" t="str">
        <f>IF(Deltagarlista!$K$3=4,IF(ISBLANK(Deltagarlista!$C13),"",IF(ISBLANK(Arrangörslista!K$8),"",IFERROR(VLOOKUP($F15,Arrangörslista!K$8:$AG$45,16,FALSE),IF(ISBLANK(Deltagarlista!$C13),"",IF(ISBLANK(Arrangörslista!K$8),"",IFERROR(VLOOKUP($F15,Arrangörslista!L$8:$AG$45,16,FALSE),"DNS")))))),IF(Deltagarlista!$K$3=2,
IF(ISBLANK(Deltagarlista!$C13),"",IF(ISBLANK(Arrangörslista!G$8),"",IF($GV15=N$64," DNS ",IFERROR(VLOOKUP($F15,Arrangörslista!G$8:$AG$45,16,FALSE),"DNS")))),IF(ISBLANK(Deltagarlista!$C13),"",IF(ISBLANK(Arrangörslista!G$8),"",IFERROR(VLOOKUP($F15,Arrangörslista!G$8:$AG$45,16,FALSE),"DNS")))))</f>
        <v/>
      </c>
      <c r="O15" s="5" t="str">
        <f>IF(Deltagarlista!$K$3=4,IF(ISBLANK(Deltagarlista!$C13),"",IF(ISBLANK(Arrangörslista!M$8),"",IFERROR(VLOOKUP($F15,Arrangörslista!M$8:$AG$45,16,FALSE),IF(ISBLANK(Deltagarlista!$C13),"",IF(ISBLANK(Arrangörslista!M$8),"",IFERROR(VLOOKUP($F15,Arrangörslista!N$8:$AG$45,16,FALSE),"DNS")))))),IF(Deltagarlista!$K$3=2,
IF(ISBLANK(Deltagarlista!$C13),"",IF(ISBLANK(Arrangörslista!H$8),"",IF($GV15=O$64," DNS ",IFERROR(VLOOKUP($F15,Arrangörslista!H$8:$AG$45,16,FALSE),"DNS")))),IF(ISBLANK(Deltagarlista!$C13),"",IF(ISBLANK(Arrangörslista!H$8),"",IFERROR(VLOOKUP($F15,Arrangörslista!H$8:$AG$45,16,FALSE),"DNS")))))</f>
        <v/>
      </c>
      <c r="P15" s="5" t="str">
        <f>IF(Deltagarlista!$K$3=4,IF(ISBLANK(Deltagarlista!$C13),"",IF(ISBLANK(Arrangörslista!O$8),"",IFERROR(VLOOKUP($F15,Arrangörslista!O$8:$AG$45,16,FALSE),IF(ISBLANK(Deltagarlista!$C13),"",IF(ISBLANK(Arrangörslista!O$8),"",IFERROR(VLOOKUP($F15,Arrangörslista!P$8:$AG$45,16,FALSE),"DNS")))))),IF(Deltagarlista!$K$3=2,
IF(ISBLANK(Deltagarlista!$C13),"",IF(ISBLANK(Arrangörslista!I$8),"",IF($GV15=P$64," DNS ",IFERROR(VLOOKUP($F15,Arrangörslista!I$8:$AG$45,16,FALSE),"DNS")))),IF(ISBLANK(Deltagarlista!$C13),"",IF(ISBLANK(Arrangörslista!I$8),"",IFERROR(VLOOKUP($F15,Arrangörslista!I$8:$AG$45,16,FALSE),"DNS")))))</f>
        <v/>
      </c>
      <c r="Q15" s="5" t="str">
        <f>IF(Deltagarlista!$K$3=4,IF(ISBLANK(Deltagarlista!$C13),"",IF(ISBLANK(Arrangörslista!Q$8),"",IFERROR(VLOOKUP($F15,Arrangörslista!Q$8:$AG$45,16,FALSE),IF(ISBLANK(Deltagarlista!$C13),"",IF(ISBLANK(Arrangörslista!Q$8),"",IFERROR(VLOOKUP($F15,Arrangörslista!C$53:$AG$90,16,FALSE),"DNS")))))),IF(Deltagarlista!$K$3=2,
IF(ISBLANK(Deltagarlista!$C13),"",IF(ISBLANK(Arrangörslista!J$8),"",IF($GV15=Q$64," DNS ",IFERROR(VLOOKUP($F15,Arrangörslista!J$8:$AG$45,16,FALSE),"DNS")))),IF(ISBLANK(Deltagarlista!$C13),"",IF(ISBLANK(Arrangörslista!J$8),"",IFERROR(VLOOKUP($F15,Arrangörslista!J$8:$AG$45,16,FALSE),"DNS")))))</f>
        <v/>
      </c>
      <c r="R15" s="5" t="str">
        <f>IF(Deltagarlista!$K$3=4,IF(ISBLANK(Deltagarlista!$C13),"",IF(ISBLANK(Arrangörslista!D$53),"",IFERROR(VLOOKUP($F15,Arrangörslista!D$53:$AG$90,16,FALSE),IF(ISBLANK(Deltagarlista!$C13),"",IF(ISBLANK(Arrangörslista!D$53),"",IFERROR(VLOOKUP($F15,Arrangörslista!E$53:$AG$90,16,FALSE),"DNS")))))),IF(Deltagarlista!$K$3=2,
IF(ISBLANK(Deltagarlista!$C13),"",IF(ISBLANK(Arrangörslista!K$8),"",IF($GV15=R$64," DNS ",IFERROR(VLOOKUP($F15,Arrangörslista!K$8:$AG$45,16,FALSE),"DNS")))),IF(ISBLANK(Deltagarlista!$C13),"",IF(ISBLANK(Arrangörslista!K$8),"",IFERROR(VLOOKUP($F15,Arrangörslista!K$8:$AG$45,16,FALSE),"DNS")))))</f>
        <v/>
      </c>
      <c r="S15" s="5" t="str">
        <f>IF(Deltagarlista!$K$3=4,IF(ISBLANK(Deltagarlista!$C13),"",IF(ISBLANK(Arrangörslista!F$53),"",IFERROR(VLOOKUP($F15,Arrangörslista!F$53:$AG$90,16,FALSE),IF(ISBLANK(Deltagarlista!$C13),"",IF(ISBLANK(Arrangörslista!F$53),"",IFERROR(VLOOKUP($F15,Arrangörslista!G$53:$AG$90,16,FALSE),"DNS")))))),IF(Deltagarlista!$K$3=2,
IF(ISBLANK(Deltagarlista!$C13),"",IF(ISBLANK(Arrangörslista!L$8),"",IF($GV15=S$64," DNS ",IFERROR(VLOOKUP($F15,Arrangörslista!L$8:$AG$45,16,FALSE),"DNS")))),IF(ISBLANK(Deltagarlista!$C13),"",IF(ISBLANK(Arrangörslista!L$8),"",IFERROR(VLOOKUP($F15,Arrangörslista!L$8:$AG$45,16,FALSE),"DNS")))))</f>
        <v/>
      </c>
      <c r="T15" s="5" t="str">
        <f>IF(Deltagarlista!$K$3=4,IF(ISBLANK(Deltagarlista!$C13),"",IF(ISBLANK(Arrangörslista!H$53),"",IFERROR(VLOOKUP($F15,Arrangörslista!H$53:$AG$90,16,FALSE),IF(ISBLANK(Deltagarlista!$C13),"",IF(ISBLANK(Arrangörslista!H$53),"",IFERROR(VLOOKUP($F15,Arrangörslista!I$53:$AG$90,16,FALSE),"DNS")))))),IF(Deltagarlista!$K$3=2,
IF(ISBLANK(Deltagarlista!$C13),"",IF(ISBLANK(Arrangörslista!M$8),"",IF($GV15=T$64," DNS ",IFERROR(VLOOKUP($F15,Arrangörslista!M$8:$AG$45,16,FALSE),"DNS")))),IF(ISBLANK(Deltagarlista!$C13),"",IF(ISBLANK(Arrangörslista!M$8),"",IFERROR(VLOOKUP($F15,Arrangörslista!M$8:$AG$45,16,FALSE),"DNS")))))</f>
        <v/>
      </c>
      <c r="U15" s="5" t="str">
        <f>IF(Deltagarlista!$K$3=4,IF(ISBLANK(Deltagarlista!$C13),"",IF(ISBLANK(Arrangörslista!J$53),"",IFERROR(VLOOKUP($F15,Arrangörslista!J$53:$AG$90,16,FALSE),IF(ISBLANK(Deltagarlista!$C13),"",IF(ISBLANK(Arrangörslista!J$53),"",IFERROR(VLOOKUP($F15,Arrangörslista!K$53:$AG$90,16,FALSE),"DNS")))))),IF(Deltagarlista!$K$3=2,
IF(ISBLANK(Deltagarlista!$C13),"",IF(ISBLANK(Arrangörslista!N$8),"",IF($GV15=U$64," DNS ",IFERROR(VLOOKUP($F15,Arrangörslista!N$8:$AG$45,16,FALSE),"DNS")))),IF(ISBLANK(Deltagarlista!$C13),"",IF(ISBLANK(Arrangörslista!N$8),"",IFERROR(VLOOKUP($F15,Arrangörslista!N$8:$AG$45,16,FALSE),"DNS")))))</f>
        <v/>
      </c>
      <c r="V15" s="5" t="str">
        <f>IF(Deltagarlista!$K$3=4,IF(ISBLANK(Deltagarlista!$C13),"",IF(ISBLANK(Arrangörslista!L$53),"",IFERROR(VLOOKUP($F15,Arrangörslista!L$53:$AG$90,16,FALSE),IF(ISBLANK(Deltagarlista!$C13),"",IF(ISBLANK(Arrangörslista!L$53),"",IFERROR(VLOOKUP($F15,Arrangörslista!M$53:$AG$90,16,FALSE),"DNS")))))),IF(Deltagarlista!$K$3=2,
IF(ISBLANK(Deltagarlista!$C13),"",IF(ISBLANK(Arrangörslista!O$8),"",IF($GV15=V$64," DNS ",IFERROR(VLOOKUP($F15,Arrangörslista!O$8:$AG$45,16,FALSE),"DNS")))),IF(ISBLANK(Deltagarlista!$C13),"",IF(ISBLANK(Arrangörslista!O$8),"",IFERROR(VLOOKUP($F15,Arrangörslista!O$8:$AG$45,16,FALSE),"DNS")))))</f>
        <v/>
      </c>
      <c r="W15" s="5" t="str">
        <f>IF(Deltagarlista!$K$3=4,IF(ISBLANK(Deltagarlista!$C13),"",IF(ISBLANK(Arrangörslista!N$53),"",IFERROR(VLOOKUP($F15,Arrangörslista!N$53:$AG$90,16,FALSE),IF(ISBLANK(Deltagarlista!$C13),"",IF(ISBLANK(Arrangörslista!N$53),"",IFERROR(VLOOKUP($F15,Arrangörslista!O$53:$AG$90,16,FALSE),"DNS")))))),IF(Deltagarlista!$K$3=2,
IF(ISBLANK(Deltagarlista!$C13),"",IF(ISBLANK(Arrangörslista!P$8),"",IF($GV15=W$64," DNS ",IFERROR(VLOOKUP($F15,Arrangörslista!P$8:$AG$45,16,FALSE),"DNS")))),IF(ISBLANK(Deltagarlista!$C13),"",IF(ISBLANK(Arrangörslista!P$8),"",IFERROR(VLOOKUP($F15,Arrangörslista!P$8:$AG$45,16,FALSE),"DNS")))))</f>
        <v/>
      </c>
      <c r="X15" s="5" t="str">
        <f>IF(Deltagarlista!$K$3=4,IF(ISBLANK(Deltagarlista!$C13),"",IF(ISBLANK(Arrangörslista!P$53),"",IFERROR(VLOOKUP($F15,Arrangörslista!P$53:$AG$90,16,FALSE),IF(ISBLANK(Deltagarlista!$C13),"",IF(ISBLANK(Arrangörslista!P$53),"",IFERROR(VLOOKUP($F15,Arrangörslista!Q$53:$AG$90,16,FALSE),"DNS")))))),IF(Deltagarlista!$K$3=2,
IF(ISBLANK(Deltagarlista!$C13),"",IF(ISBLANK(Arrangörslista!Q$8),"",IF($GV15=X$64," DNS ",IFERROR(VLOOKUP($F15,Arrangörslista!Q$8:$AG$45,16,FALSE),"DNS")))),IF(ISBLANK(Deltagarlista!$C13),"",IF(ISBLANK(Arrangörslista!Q$8),"",IFERROR(VLOOKUP($F15,Arrangörslista!Q$8:$AG$45,16,FALSE),"DNS")))))</f>
        <v/>
      </c>
      <c r="Y15" s="5" t="str">
        <f>IF(Deltagarlista!$K$3=4,IF(ISBLANK(Deltagarlista!$C13),"",IF(ISBLANK(Arrangörslista!C$98),"",IFERROR(VLOOKUP($F15,Arrangörslista!C$98:$AG$135,16,FALSE),IF(ISBLANK(Deltagarlista!$C13),"",IF(ISBLANK(Arrangörslista!C$98),"",IFERROR(VLOOKUP($F15,Arrangörslista!D$98:$AG$135,16,FALSE),"DNS")))))),IF(Deltagarlista!$K$3=2,
IF(ISBLANK(Deltagarlista!$C13),"",IF(ISBLANK(Arrangörslista!C$53),"",IF($GV15=Y$64," DNS ",IFERROR(VLOOKUP($F15,Arrangörslista!C$53:$AG$90,16,FALSE),"DNS")))),IF(ISBLANK(Deltagarlista!$C13),"",IF(ISBLANK(Arrangörslista!C$53),"",IFERROR(VLOOKUP($F15,Arrangörslista!C$53:$AG$90,16,FALSE),"DNS")))))</f>
        <v/>
      </c>
      <c r="Z15" s="5" t="str">
        <f>IF(Deltagarlista!$K$3=4,IF(ISBLANK(Deltagarlista!$C13),"",IF(ISBLANK(Arrangörslista!E$98),"",IFERROR(VLOOKUP($F15,Arrangörslista!E$98:$AG$135,16,FALSE),IF(ISBLANK(Deltagarlista!$C13),"",IF(ISBLANK(Arrangörslista!E$98),"",IFERROR(VLOOKUP($F15,Arrangörslista!F$98:$AG$135,16,FALSE),"DNS")))))),IF(Deltagarlista!$K$3=2,
IF(ISBLANK(Deltagarlista!$C13),"",IF(ISBLANK(Arrangörslista!D$53),"",IF($GV15=Z$64," DNS ",IFERROR(VLOOKUP($F15,Arrangörslista!D$53:$AG$90,16,FALSE),"DNS")))),IF(ISBLANK(Deltagarlista!$C13),"",IF(ISBLANK(Arrangörslista!D$53),"",IFERROR(VLOOKUP($F15,Arrangörslista!D$53:$AG$90,16,FALSE),"DNS")))))</f>
        <v/>
      </c>
      <c r="AA15" s="5" t="str">
        <f>IF(Deltagarlista!$K$3=4,IF(ISBLANK(Deltagarlista!$C13),"",IF(ISBLANK(Arrangörslista!G$98),"",IFERROR(VLOOKUP($F15,Arrangörslista!G$98:$AG$135,16,FALSE),IF(ISBLANK(Deltagarlista!$C13),"",IF(ISBLANK(Arrangörslista!G$98),"",IFERROR(VLOOKUP($F15,Arrangörslista!H$98:$AG$135,16,FALSE),"DNS")))))),IF(Deltagarlista!$K$3=2,
IF(ISBLANK(Deltagarlista!$C13),"",IF(ISBLANK(Arrangörslista!E$53),"",IF($GV15=AA$64," DNS ",IFERROR(VLOOKUP($F15,Arrangörslista!E$53:$AG$90,16,FALSE),"DNS")))),IF(ISBLANK(Deltagarlista!$C13),"",IF(ISBLANK(Arrangörslista!E$53),"",IFERROR(VLOOKUP($F15,Arrangörslista!E$53:$AG$90,16,FALSE),"DNS")))))</f>
        <v/>
      </c>
      <c r="AB15" s="5" t="str">
        <f>IF(Deltagarlista!$K$3=4,IF(ISBLANK(Deltagarlista!$C13),"",IF(ISBLANK(Arrangörslista!I$98),"",IFERROR(VLOOKUP($F15,Arrangörslista!I$98:$AG$135,16,FALSE),IF(ISBLANK(Deltagarlista!$C13),"",IF(ISBLANK(Arrangörslista!I$98),"",IFERROR(VLOOKUP($F15,Arrangörslista!J$98:$AG$135,16,FALSE),"DNS")))))),IF(Deltagarlista!$K$3=2,
IF(ISBLANK(Deltagarlista!$C13),"",IF(ISBLANK(Arrangörslista!F$53),"",IF($GV15=AB$64," DNS ",IFERROR(VLOOKUP($F15,Arrangörslista!F$53:$AG$90,16,FALSE),"DNS")))),IF(ISBLANK(Deltagarlista!$C13),"",IF(ISBLANK(Arrangörslista!F$53),"",IFERROR(VLOOKUP($F15,Arrangörslista!F$53:$AG$90,16,FALSE),"DNS")))))</f>
        <v/>
      </c>
      <c r="AC15" s="5" t="str">
        <f>IF(Deltagarlista!$K$3=4,IF(ISBLANK(Deltagarlista!$C13),"",IF(ISBLANK(Arrangörslista!K$98),"",IFERROR(VLOOKUP($F15,Arrangörslista!K$98:$AG$135,16,FALSE),IF(ISBLANK(Deltagarlista!$C13),"",IF(ISBLANK(Arrangörslista!K$98),"",IFERROR(VLOOKUP($F15,Arrangörslista!L$98:$AG$135,16,FALSE),"DNS")))))),IF(Deltagarlista!$K$3=2,
IF(ISBLANK(Deltagarlista!$C13),"",IF(ISBLANK(Arrangörslista!G$53),"",IF($GV15=AC$64," DNS ",IFERROR(VLOOKUP($F15,Arrangörslista!G$53:$AG$90,16,FALSE),"DNS")))),IF(ISBLANK(Deltagarlista!$C13),"",IF(ISBLANK(Arrangörslista!G$53),"",IFERROR(VLOOKUP($F15,Arrangörslista!G$53:$AG$90,16,FALSE),"DNS")))))</f>
        <v/>
      </c>
      <c r="AD15" s="5" t="str">
        <f>IF(Deltagarlista!$K$3=4,IF(ISBLANK(Deltagarlista!$C13),"",IF(ISBLANK(Arrangörslista!M$98),"",IFERROR(VLOOKUP($F15,Arrangörslista!M$98:$AG$135,16,FALSE),IF(ISBLANK(Deltagarlista!$C13),"",IF(ISBLANK(Arrangörslista!M$98),"",IFERROR(VLOOKUP($F15,Arrangörslista!N$98:$AG$135,16,FALSE),"DNS")))))),IF(Deltagarlista!$K$3=2,
IF(ISBLANK(Deltagarlista!$C13),"",IF(ISBLANK(Arrangörslista!H$53),"",IF($GV15=AD$64," DNS ",IFERROR(VLOOKUP($F15,Arrangörslista!H$53:$AG$90,16,FALSE),"DNS")))),IF(ISBLANK(Deltagarlista!$C13),"",IF(ISBLANK(Arrangörslista!H$53),"",IFERROR(VLOOKUP($F15,Arrangörslista!H$53:$AG$90,16,FALSE),"DNS")))))</f>
        <v/>
      </c>
      <c r="AE15" s="5" t="str">
        <f>IF(Deltagarlista!$K$3=4,IF(ISBLANK(Deltagarlista!$C13),"",IF(ISBLANK(Arrangörslista!O$98),"",IFERROR(VLOOKUP($F15,Arrangörslista!O$98:$AG$135,16,FALSE),IF(ISBLANK(Deltagarlista!$C13),"",IF(ISBLANK(Arrangörslista!O$98),"",IFERROR(VLOOKUP($F15,Arrangörslista!P$98:$AG$135,16,FALSE),"DNS")))))),IF(Deltagarlista!$K$3=2,
IF(ISBLANK(Deltagarlista!$C13),"",IF(ISBLANK(Arrangörslista!I$53),"",IF($GV15=AE$64," DNS ",IFERROR(VLOOKUP($F15,Arrangörslista!I$53:$AG$90,16,FALSE),"DNS")))),IF(ISBLANK(Deltagarlista!$C13),"",IF(ISBLANK(Arrangörslista!I$53),"",IFERROR(VLOOKUP($F15,Arrangörslista!I$53:$AG$90,16,FALSE),"DNS")))))</f>
        <v/>
      </c>
      <c r="AF15" s="5" t="str">
        <f>IF(Deltagarlista!$K$3=4,IF(ISBLANK(Deltagarlista!$C13),"",IF(ISBLANK(Arrangörslista!Q$98),"",IFERROR(VLOOKUP($F15,Arrangörslista!Q$98:$AG$135,16,FALSE),IF(ISBLANK(Deltagarlista!$C13),"",IF(ISBLANK(Arrangörslista!Q$98),"",IFERROR(VLOOKUP($F15,Arrangörslista!C$143:$AG$180,16,FALSE),"DNS")))))),IF(Deltagarlista!$K$3=2,
IF(ISBLANK(Deltagarlista!$C13),"",IF(ISBLANK(Arrangörslista!J$53),"",IF($GV15=AF$64," DNS ",IFERROR(VLOOKUP($F15,Arrangörslista!J$53:$AG$90,16,FALSE),"DNS")))),IF(ISBLANK(Deltagarlista!$C13),"",IF(ISBLANK(Arrangörslista!J$53),"",IFERROR(VLOOKUP($F15,Arrangörslista!J$53:$AG$90,16,FALSE),"DNS")))))</f>
        <v/>
      </c>
      <c r="AG15" s="5" t="str">
        <f>IF(Deltagarlista!$K$3=4,IF(ISBLANK(Deltagarlista!$C13),"",IF(ISBLANK(Arrangörslista!D$143),"",IFERROR(VLOOKUP($F15,Arrangörslista!D$143:$AG$180,16,FALSE),IF(ISBLANK(Deltagarlista!$C13),"",IF(ISBLANK(Arrangörslista!D$143),"",IFERROR(VLOOKUP($F15,Arrangörslista!E$143:$AG$180,16,FALSE),"DNS")))))),IF(Deltagarlista!$K$3=2,
IF(ISBLANK(Deltagarlista!$C13),"",IF(ISBLANK(Arrangörslista!K$53),"",IF($GV15=AG$64," DNS ",IFERROR(VLOOKUP($F15,Arrangörslista!K$53:$AG$90,16,FALSE),"DNS")))),IF(ISBLANK(Deltagarlista!$C13),"",IF(ISBLANK(Arrangörslista!K$53),"",IFERROR(VLOOKUP($F15,Arrangörslista!K$53:$AG$90,16,FALSE),"DNS")))))</f>
        <v/>
      </c>
      <c r="AH15" s="5" t="str">
        <f>IF(Deltagarlista!$K$3=4,IF(ISBLANK(Deltagarlista!$C13),"",IF(ISBLANK(Arrangörslista!F$143),"",IFERROR(VLOOKUP($F15,Arrangörslista!F$143:$AG$180,16,FALSE),IF(ISBLANK(Deltagarlista!$C13),"",IF(ISBLANK(Arrangörslista!F$143),"",IFERROR(VLOOKUP($F15,Arrangörslista!G$143:$AG$180,16,FALSE),"DNS")))))),IF(Deltagarlista!$K$3=2,
IF(ISBLANK(Deltagarlista!$C13),"",IF(ISBLANK(Arrangörslista!L$53),"",IF($GV15=AH$64," DNS ",IFERROR(VLOOKUP($F15,Arrangörslista!L$53:$AG$90,16,FALSE),"DNS")))),IF(ISBLANK(Deltagarlista!$C13),"",IF(ISBLANK(Arrangörslista!L$53),"",IFERROR(VLOOKUP($F15,Arrangörslista!L$53:$AG$90,16,FALSE),"DNS")))))</f>
        <v/>
      </c>
      <c r="AI15" s="5" t="str">
        <f>IF(Deltagarlista!$K$3=4,IF(ISBLANK(Deltagarlista!$C13),"",IF(ISBLANK(Arrangörslista!H$143),"",IFERROR(VLOOKUP($F15,Arrangörslista!H$143:$AG$180,16,FALSE),IF(ISBLANK(Deltagarlista!$C13),"",IF(ISBLANK(Arrangörslista!H$143),"",IFERROR(VLOOKUP($F15,Arrangörslista!I$143:$AG$180,16,FALSE),"DNS")))))),IF(Deltagarlista!$K$3=2,
IF(ISBLANK(Deltagarlista!$C13),"",IF(ISBLANK(Arrangörslista!M$53),"",IF($GV15=AI$64," DNS ",IFERROR(VLOOKUP($F15,Arrangörslista!M$53:$AG$90,16,FALSE),"DNS")))),IF(ISBLANK(Deltagarlista!$C13),"",IF(ISBLANK(Arrangörslista!M$53),"",IFERROR(VLOOKUP($F15,Arrangörslista!M$53:$AG$90,16,FALSE),"DNS")))))</f>
        <v/>
      </c>
      <c r="AJ15" s="5" t="str">
        <f>IF(Deltagarlista!$K$3=4,IF(ISBLANK(Deltagarlista!$C13),"",IF(ISBLANK(Arrangörslista!J$143),"",IFERROR(VLOOKUP($F15,Arrangörslista!J$143:$AG$180,16,FALSE),IF(ISBLANK(Deltagarlista!$C13),"",IF(ISBLANK(Arrangörslista!J$143),"",IFERROR(VLOOKUP($F15,Arrangörslista!K$143:$AG$180,16,FALSE),"DNS")))))),IF(Deltagarlista!$K$3=2,
IF(ISBLANK(Deltagarlista!$C13),"",IF(ISBLANK(Arrangörslista!N$53),"",IF($GV15=AJ$64," DNS ",IFERROR(VLOOKUP($F15,Arrangörslista!N$53:$AG$90,16,FALSE),"DNS")))),IF(ISBLANK(Deltagarlista!$C13),"",IF(ISBLANK(Arrangörslista!N$53),"",IFERROR(VLOOKUP($F15,Arrangörslista!N$53:$AG$90,16,FALSE),"DNS")))))</f>
        <v/>
      </c>
      <c r="AK15" s="5" t="str">
        <f>IF(Deltagarlista!$K$3=4,IF(ISBLANK(Deltagarlista!$C13),"",IF(ISBLANK(Arrangörslista!L$143),"",IFERROR(VLOOKUP($F15,Arrangörslista!L$143:$AG$180,16,FALSE),IF(ISBLANK(Deltagarlista!$C13),"",IF(ISBLANK(Arrangörslista!L$143),"",IFERROR(VLOOKUP($F15,Arrangörslista!M$143:$AG$180,16,FALSE),"DNS")))))),IF(Deltagarlista!$K$3=2,
IF(ISBLANK(Deltagarlista!$C13),"",IF(ISBLANK(Arrangörslista!O$53),"",IF($GV15=AK$64," DNS ",IFERROR(VLOOKUP($F15,Arrangörslista!O$53:$AG$90,16,FALSE),"DNS")))),IF(ISBLANK(Deltagarlista!$C13),"",IF(ISBLANK(Arrangörslista!O$53),"",IFERROR(VLOOKUP($F15,Arrangörslista!O$53:$AG$90,16,FALSE),"DNS")))))</f>
        <v/>
      </c>
      <c r="AL15" s="5" t="str">
        <f>IF(Deltagarlista!$K$3=4,IF(ISBLANK(Deltagarlista!$C13),"",IF(ISBLANK(Arrangörslista!N$143),"",IFERROR(VLOOKUP($F15,Arrangörslista!N$143:$AG$180,16,FALSE),IF(ISBLANK(Deltagarlista!$C13),"",IF(ISBLANK(Arrangörslista!N$143),"",IFERROR(VLOOKUP($F15,Arrangörslista!O$143:$AG$180,16,FALSE),"DNS")))))),IF(Deltagarlista!$K$3=2,
IF(ISBLANK(Deltagarlista!$C13),"",IF(ISBLANK(Arrangörslista!P$53),"",IF($GV15=AL$64," DNS ",IFERROR(VLOOKUP($F15,Arrangörslista!P$53:$AG$90,16,FALSE),"DNS")))),IF(ISBLANK(Deltagarlista!$C13),"",IF(ISBLANK(Arrangörslista!P$53),"",IFERROR(VLOOKUP($F15,Arrangörslista!P$53:$AG$90,16,FALSE),"DNS")))))</f>
        <v/>
      </c>
      <c r="AM15" s="5" t="str">
        <f>IF(Deltagarlista!$K$3=4,IF(ISBLANK(Deltagarlista!$C13),"",IF(ISBLANK(Arrangörslista!P$143),"",IFERROR(VLOOKUP($F15,Arrangörslista!P$143:$AG$180,16,FALSE),IF(ISBLANK(Deltagarlista!$C13),"",IF(ISBLANK(Arrangörslista!P$143),"",IFERROR(VLOOKUP($F15,Arrangörslista!Q$143:$AG$180,16,FALSE),"DNS")))))),IF(Deltagarlista!$K$3=2,
IF(ISBLANK(Deltagarlista!$C13),"",IF(ISBLANK(Arrangörslista!Q$53),"",IF($GV15=AM$64," DNS ",IFERROR(VLOOKUP($F15,Arrangörslista!Q$53:$AG$90,16,FALSE),"DNS")))),IF(ISBLANK(Deltagarlista!$C13),"",IF(ISBLANK(Arrangörslista!Q$53),"",IFERROR(VLOOKUP($F15,Arrangörslista!Q$53:$AG$90,16,FALSE),"DNS")))))</f>
        <v/>
      </c>
      <c r="AN15" s="5" t="str">
        <f>IF(Deltagarlista!$K$3=2,
IF(ISBLANK(Deltagarlista!$C13),"",IF(ISBLANK(Arrangörslista!C$98),"",IF($GV15=AN$64," DNS ",IFERROR(VLOOKUP($F15,Arrangörslista!C$98:$AG$135,16,FALSE), "DNS")))), IF(Deltagarlista!$K$3=1,IF(ISBLANK(Deltagarlista!$C13),"",IF(ISBLANK(Arrangörslista!C$98),"",IFERROR(VLOOKUP($F15,Arrangörslista!C$98:$AG$135,16,FALSE), "DNS"))),""))</f>
        <v/>
      </c>
      <c r="AO15" s="5" t="str">
        <f>IF(Deltagarlista!$K$3=2,
IF(ISBLANK(Deltagarlista!$C13),"",IF(ISBLANK(Arrangörslista!D$98),"",IF($GV15=AO$64," DNS ",IFERROR(VLOOKUP($F15,Arrangörslista!D$98:$AG$135,16,FALSE), "DNS")))), IF(Deltagarlista!$K$3=1,IF(ISBLANK(Deltagarlista!$C13),"",IF(ISBLANK(Arrangörslista!D$98),"",IFERROR(VLOOKUP($F15,Arrangörslista!D$98:$AG$135,16,FALSE), "DNS"))),""))</f>
        <v/>
      </c>
      <c r="AP15" s="5" t="str">
        <f>IF(Deltagarlista!$K$3=2,
IF(ISBLANK(Deltagarlista!$C13),"",IF(ISBLANK(Arrangörslista!E$98),"",IF($GV15=AP$64," DNS ",IFERROR(VLOOKUP($F15,Arrangörslista!E$98:$AG$135,16,FALSE), "DNS")))), IF(Deltagarlista!$K$3=1,IF(ISBLANK(Deltagarlista!$C13),"",IF(ISBLANK(Arrangörslista!E$98),"",IFERROR(VLOOKUP($F15,Arrangörslista!E$98:$AG$135,16,FALSE), "DNS"))),""))</f>
        <v/>
      </c>
      <c r="AQ15" s="5" t="str">
        <f>IF(Deltagarlista!$K$3=2,
IF(ISBLANK(Deltagarlista!$C13),"",IF(ISBLANK(Arrangörslista!F$98),"",IF($GV15=AQ$64," DNS ",IFERROR(VLOOKUP($F15,Arrangörslista!F$98:$AG$135,16,FALSE), "DNS")))), IF(Deltagarlista!$K$3=1,IF(ISBLANK(Deltagarlista!$C13),"",IF(ISBLANK(Arrangörslista!F$98),"",IFERROR(VLOOKUP($F15,Arrangörslista!F$98:$AG$135,16,FALSE), "DNS"))),""))</f>
        <v/>
      </c>
      <c r="AR15" s="5" t="str">
        <f>IF(Deltagarlista!$K$3=2,
IF(ISBLANK(Deltagarlista!$C13),"",IF(ISBLANK(Arrangörslista!G$98),"",IF($GV15=AR$64," DNS ",IFERROR(VLOOKUP($F15,Arrangörslista!G$98:$AG$135,16,FALSE), "DNS")))), IF(Deltagarlista!$K$3=1,IF(ISBLANK(Deltagarlista!$C13),"",IF(ISBLANK(Arrangörslista!G$98),"",IFERROR(VLOOKUP($F15,Arrangörslista!G$98:$AG$135,16,FALSE), "DNS"))),""))</f>
        <v/>
      </c>
      <c r="AS15" s="5" t="str">
        <f>IF(Deltagarlista!$K$3=2,
IF(ISBLANK(Deltagarlista!$C13),"",IF(ISBLANK(Arrangörslista!H$98),"",IF($GV15=AS$64," DNS ",IFERROR(VLOOKUP($F15,Arrangörslista!H$98:$AG$135,16,FALSE), "DNS")))), IF(Deltagarlista!$K$3=1,IF(ISBLANK(Deltagarlista!$C13),"",IF(ISBLANK(Arrangörslista!H$98),"",IFERROR(VLOOKUP($F15,Arrangörslista!H$98:$AG$135,16,FALSE), "DNS"))),""))</f>
        <v/>
      </c>
      <c r="AT15" s="5" t="str">
        <f>IF(Deltagarlista!$K$3=2,
IF(ISBLANK(Deltagarlista!$C13),"",IF(ISBLANK(Arrangörslista!I$98),"",IF($GV15=AT$64," DNS ",IFERROR(VLOOKUP($F15,Arrangörslista!I$98:$AG$135,16,FALSE), "DNS")))), IF(Deltagarlista!$K$3=1,IF(ISBLANK(Deltagarlista!$C13),"",IF(ISBLANK(Arrangörslista!I$98),"",IFERROR(VLOOKUP($F15,Arrangörslista!I$98:$AG$135,16,FALSE), "DNS"))),""))</f>
        <v/>
      </c>
      <c r="AU15" s="5" t="str">
        <f>IF(Deltagarlista!$K$3=2,
IF(ISBLANK(Deltagarlista!$C13),"",IF(ISBLANK(Arrangörslista!J$98),"",IF($GV15=AU$64," DNS ",IFERROR(VLOOKUP($F15,Arrangörslista!J$98:$AG$135,16,FALSE), "DNS")))), IF(Deltagarlista!$K$3=1,IF(ISBLANK(Deltagarlista!$C13),"",IF(ISBLANK(Arrangörslista!J$98),"",IFERROR(VLOOKUP($F15,Arrangörslista!J$98:$AG$135,16,FALSE), "DNS"))),""))</f>
        <v/>
      </c>
      <c r="AV15" s="5" t="str">
        <f>IF(Deltagarlista!$K$3=2,
IF(ISBLANK(Deltagarlista!$C13),"",IF(ISBLANK(Arrangörslista!K$98),"",IF($GV15=AV$64," DNS ",IFERROR(VLOOKUP($F15,Arrangörslista!K$98:$AG$135,16,FALSE), "DNS")))), IF(Deltagarlista!$K$3=1,IF(ISBLANK(Deltagarlista!$C13),"",IF(ISBLANK(Arrangörslista!K$98),"",IFERROR(VLOOKUP($F15,Arrangörslista!K$98:$AG$135,16,FALSE), "DNS"))),""))</f>
        <v/>
      </c>
      <c r="AW15" s="5" t="str">
        <f>IF(Deltagarlista!$K$3=2,
IF(ISBLANK(Deltagarlista!$C13),"",IF(ISBLANK(Arrangörslista!L$98),"",IF($GV15=AW$64," DNS ",IFERROR(VLOOKUP($F15,Arrangörslista!L$98:$AG$135,16,FALSE), "DNS")))), IF(Deltagarlista!$K$3=1,IF(ISBLANK(Deltagarlista!$C13),"",IF(ISBLANK(Arrangörslista!L$98),"",IFERROR(VLOOKUP($F15,Arrangörslista!L$98:$AG$135,16,FALSE), "DNS"))),""))</f>
        <v/>
      </c>
      <c r="AX15" s="5" t="str">
        <f>IF(Deltagarlista!$K$3=2,
IF(ISBLANK(Deltagarlista!$C13),"",IF(ISBLANK(Arrangörslista!M$98),"",IF($GV15=AX$64," DNS ",IFERROR(VLOOKUP($F15,Arrangörslista!M$98:$AG$135,16,FALSE), "DNS")))), IF(Deltagarlista!$K$3=1,IF(ISBLANK(Deltagarlista!$C13),"",IF(ISBLANK(Arrangörslista!M$98),"",IFERROR(VLOOKUP($F15,Arrangörslista!M$98:$AG$135,16,FALSE), "DNS"))),""))</f>
        <v/>
      </c>
      <c r="AY15" s="5" t="str">
        <f>IF(Deltagarlista!$K$3=2,
IF(ISBLANK(Deltagarlista!$C13),"",IF(ISBLANK(Arrangörslista!N$98),"",IF($GV15=AY$64," DNS ",IFERROR(VLOOKUP($F15,Arrangörslista!N$98:$AG$135,16,FALSE), "DNS")))), IF(Deltagarlista!$K$3=1,IF(ISBLANK(Deltagarlista!$C13),"",IF(ISBLANK(Arrangörslista!N$98),"",IFERROR(VLOOKUP($F15,Arrangörslista!N$98:$AG$135,16,FALSE), "DNS"))),""))</f>
        <v/>
      </c>
      <c r="AZ15" s="5" t="str">
        <f>IF(Deltagarlista!$K$3=2,
IF(ISBLANK(Deltagarlista!$C13),"",IF(ISBLANK(Arrangörslista!O$98),"",IF($GV15=AZ$64," DNS ",IFERROR(VLOOKUP($F15,Arrangörslista!O$98:$AG$135,16,FALSE), "DNS")))), IF(Deltagarlista!$K$3=1,IF(ISBLANK(Deltagarlista!$C13),"",IF(ISBLANK(Arrangörslista!O$98),"",IFERROR(VLOOKUP($F15,Arrangörslista!O$98:$AG$135,16,FALSE), "DNS"))),""))</f>
        <v/>
      </c>
      <c r="BA15" s="5" t="str">
        <f>IF(Deltagarlista!$K$3=2,
IF(ISBLANK(Deltagarlista!$C13),"",IF(ISBLANK(Arrangörslista!P$98),"",IF($GV15=BA$64," DNS ",IFERROR(VLOOKUP($F15,Arrangörslista!P$98:$AG$135,16,FALSE), "DNS")))), IF(Deltagarlista!$K$3=1,IF(ISBLANK(Deltagarlista!$C13),"",IF(ISBLANK(Arrangörslista!P$98),"",IFERROR(VLOOKUP($F15,Arrangörslista!P$98:$AG$135,16,FALSE), "DNS"))),""))</f>
        <v/>
      </c>
      <c r="BB15" s="5" t="str">
        <f>IF(Deltagarlista!$K$3=2,
IF(ISBLANK(Deltagarlista!$C13),"",IF(ISBLANK(Arrangörslista!Q$98),"",IF($GV15=BB$64," DNS ",IFERROR(VLOOKUP($F15,Arrangörslista!Q$98:$AG$135,16,FALSE), "DNS")))), IF(Deltagarlista!$K$3=1,IF(ISBLANK(Deltagarlista!$C13),"",IF(ISBLANK(Arrangörslista!Q$98),"",IFERROR(VLOOKUP($F15,Arrangörslista!Q$98:$AG$135,16,FALSE), "DNS"))),""))</f>
        <v/>
      </c>
      <c r="BC15" s="5" t="str">
        <f>IF(Deltagarlista!$K$3=2,
IF(ISBLANK(Deltagarlista!$C13),"",IF(ISBLANK(Arrangörslista!C$143),"",IF($GV15=BC$64," DNS ",IFERROR(VLOOKUP($F15,Arrangörslista!C$143:$AG$180,16,FALSE), "DNS")))), IF(Deltagarlista!$K$3=1,IF(ISBLANK(Deltagarlista!$C13),"",IF(ISBLANK(Arrangörslista!C$143),"",IFERROR(VLOOKUP($F15,Arrangörslista!C$143:$AG$180,16,FALSE), "DNS"))),""))</f>
        <v/>
      </c>
      <c r="BD15" s="5" t="str">
        <f>IF(Deltagarlista!$K$3=2,
IF(ISBLANK(Deltagarlista!$C13),"",IF(ISBLANK(Arrangörslista!D$143),"",IF($GV15=BD$64," DNS ",IFERROR(VLOOKUP($F15,Arrangörslista!D$143:$AG$180,16,FALSE), "DNS")))), IF(Deltagarlista!$K$3=1,IF(ISBLANK(Deltagarlista!$C13),"",IF(ISBLANK(Arrangörslista!D$143),"",IFERROR(VLOOKUP($F15,Arrangörslista!D$143:$AG$180,16,FALSE), "DNS"))),""))</f>
        <v/>
      </c>
      <c r="BE15" s="5" t="str">
        <f>IF(Deltagarlista!$K$3=2,
IF(ISBLANK(Deltagarlista!$C13),"",IF(ISBLANK(Arrangörslista!E$143),"",IF($GV15=BE$64," DNS ",IFERROR(VLOOKUP($F15,Arrangörslista!E$143:$AG$180,16,FALSE), "DNS")))), IF(Deltagarlista!$K$3=1,IF(ISBLANK(Deltagarlista!$C13),"",IF(ISBLANK(Arrangörslista!E$143),"",IFERROR(VLOOKUP($F15,Arrangörslista!E$143:$AG$180,16,FALSE), "DNS"))),""))</f>
        <v/>
      </c>
      <c r="BF15" s="5" t="str">
        <f>IF(Deltagarlista!$K$3=2,
IF(ISBLANK(Deltagarlista!$C13),"",IF(ISBLANK(Arrangörslista!F$143),"",IF($GV15=BF$64," DNS ",IFERROR(VLOOKUP($F15,Arrangörslista!F$143:$AG$180,16,FALSE), "DNS")))), IF(Deltagarlista!$K$3=1,IF(ISBLANK(Deltagarlista!$C13),"",IF(ISBLANK(Arrangörslista!F$143),"",IFERROR(VLOOKUP($F15,Arrangörslista!F$143:$AG$180,16,FALSE), "DNS"))),""))</f>
        <v/>
      </c>
      <c r="BG15" s="5" t="str">
        <f>IF(Deltagarlista!$K$3=2,
IF(ISBLANK(Deltagarlista!$C13),"",IF(ISBLANK(Arrangörslista!G$143),"",IF($GV15=BG$64," DNS ",IFERROR(VLOOKUP($F15,Arrangörslista!G$143:$AG$180,16,FALSE), "DNS")))), IF(Deltagarlista!$K$3=1,IF(ISBLANK(Deltagarlista!$C13),"",IF(ISBLANK(Arrangörslista!G$143),"",IFERROR(VLOOKUP($F15,Arrangörslista!G$143:$AG$180,16,FALSE), "DNS"))),""))</f>
        <v/>
      </c>
      <c r="BH15" s="5" t="str">
        <f>IF(Deltagarlista!$K$3=2,
IF(ISBLANK(Deltagarlista!$C13),"",IF(ISBLANK(Arrangörslista!H$143),"",IF($GV15=BH$64," DNS ",IFERROR(VLOOKUP($F15,Arrangörslista!H$143:$AG$180,16,FALSE), "DNS")))), IF(Deltagarlista!$K$3=1,IF(ISBLANK(Deltagarlista!$C13),"",IF(ISBLANK(Arrangörslista!H$143),"",IFERROR(VLOOKUP($F15,Arrangörslista!H$143:$AG$180,16,FALSE), "DNS"))),""))</f>
        <v/>
      </c>
      <c r="BI15" s="5" t="str">
        <f>IF(Deltagarlista!$K$3=2,
IF(ISBLANK(Deltagarlista!$C13),"",IF(ISBLANK(Arrangörslista!I$143),"",IF($GV15=BI$64," DNS ",IFERROR(VLOOKUP($F15,Arrangörslista!I$143:$AG$180,16,FALSE), "DNS")))), IF(Deltagarlista!$K$3=1,IF(ISBLANK(Deltagarlista!$C13),"",IF(ISBLANK(Arrangörslista!I$143),"",IFERROR(VLOOKUP($F15,Arrangörslista!I$143:$AG$180,16,FALSE), "DNS"))),""))</f>
        <v/>
      </c>
      <c r="BJ15" s="5" t="str">
        <f>IF(Deltagarlista!$K$3=2,
IF(ISBLANK(Deltagarlista!$C13),"",IF(ISBLANK(Arrangörslista!J$143),"",IF($GV15=BJ$64," DNS ",IFERROR(VLOOKUP($F15,Arrangörslista!J$143:$AG$180,16,FALSE), "DNS")))), IF(Deltagarlista!$K$3=1,IF(ISBLANK(Deltagarlista!$C13),"",IF(ISBLANK(Arrangörslista!J$143),"",IFERROR(VLOOKUP($F15,Arrangörslista!J$143:$AG$180,16,FALSE), "DNS"))),""))</f>
        <v/>
      </c>
      <c r="BK15" s="5" t="str">
        <f>IF(Deltagarlista!$K$3=2,
IF(ISBLANK(Deltagarlista!$C13),"",IF(ISBLANK(Arrangörslista!K$143),"",IF($GV15=BK$64," DNS ",IFERROR(VLOOKUP($F15,Arrangörslista!K$143:$AG$180,16,FALSE), "DNS")))), IF(Deltagarlista!$K$3=1,IF(ISBLANK(Deltagarlista!$C13),"",IF(ISBLANK(Arrangörslista!K$143),"",IFERROR(VLOOKUP($F15,Arrangörslista!K$143:$AG$180,16,FALSE), "DNS"))),""))</f>
        <v/>
      </c>
      <c r="BL15" s="5" t="str">
        <f>IF(Deltagarlista!$K$3=2,
IF(ISBLANK(Deltagarlista!$C13),"",IF(ISBLANK(Arrangörslista!L$143),"",IF($GV15=BL$64," DNS ",IFERROR(VLOOKUP($F15,Arrangörslista!L$143:$AG$180,16,FALSE), "DNS")))), IF(Deltagarlista!$K$3=1,IF(ISBLANK(Deltagarlista!$C13),"",IF(ISBLANK(Arrangörslista!L$143),"",IFERROR(VLOOKUP($F15,Arrangörslista!L$143:$AG$180,16,FALSE), "DNS"))),""))</f>
        <v/>
      </c>
      <c r="BM15" s="5" t="str">
        <f>IF(Deltagarlista!$K$3=2,
IF(ISBLANK(Deltagarlista!$C13),"",IF(ISBLANK(Arrangörslista!M$143),"",IF($GV15=BM$64," DNS ",IFERROR(VLOOKUP($F15,Arrangörslista!M$143:$AG$180,16,FALSE), "DNS")))), IF(Deltagarlista!$K$3=1,IF(ISBLANK(Deltagarlista!$C13),"",IF(ISBLANK(Arrangörslista!M$143),"",IFERROR(VLOOKUP($F15,Arrangörslista!M$143:$AG$180,16,FALSE), "DNS"))),""))</f>
        <v/>
      </c>
      <c r="BN15" s="5" t="str">
        <f>IF(Deltagarlista!$K$3=2,
IF(ISBLANK(Deltagarlista!$C13),"",IF(ISBLANK(Arrangörslista!N$143),"",IF($GV15=BN$64," DNS ",IFERROR(VLOOKUP($F15,Arrangörslista!N$143:$AG$180,16,FALSE), "DNS")))), IF(Deltagarlista!$K$3=1,IF(ISBLANK(Deltagarlista!$C13),"",IF(ISBLANK(Arrangörslista!N$143),"",IFERROR(VLOOKUP($F15,Arrangörslista!N$143:$AG$180,16,FALSE), "DNS"))),""))</f>
        <v/>
      </c>
      <c r="BO15" s="5" t="str">
        <f>IF(Deltagarlista!$K$3=2,
IF(ISBLANK(Deltagarlista!$C13),"",IF(ISBLANK(Arrangörslista!O$143),"",IF($GV15=BO$64," DNS ",IFERROR(VLOOKUP($F15,Arrangörslista!O$143:$AG$180,16,FALSE), "DNS")))), IF(Deltagarlista!$K$3=1,IF(ISBLANK(Deltagarlista!$C13),"",IF(ISBLANK(Arrangörslista!O$143),"",IFERROR(VLOOKUP($F15,Arrangörslista!O$143:$AG$180,16,FALSE), "DNS"))),""))</f>
        <v/>
      </c>
      <c r="BP15" s="5" t="str">
        <f>IF(Deltagarlista!$K$3=2,
IF(ISBLANK(Deltagarlista!$C13),"",IF(ISBLANK(Arrangörslista!P$143),"",IF($GV15=BP$64," DNS ",IFERROR(VLOOKUP($F15,Arrangörslista!P$143:$AG$180,16,FALSE), "DNS")))), IF(Deltagarlista!$K$3=1,IF(ISBLANK(Deltagarlista!$C13),"",IF(ISBLANK(Arrangörslista!P$143),"",IFERROR(VLOOKUP($F15,Arrangörslista!P$143:$AG$180,16,FALSE), "DNS"))),""))</f>
        <v/>
      </c>
      <c r="BQ15" s="80" t="str">
        <f>IF(Deltagarlista!$K$3=2,
IF(ISBLANK(Deltagarlista!$C13),"",IF(ISBLANK(Arrangörslista!Q$143),"",IF($GV15=BQ$64," DNS ",IFERROR(VLOOKUP($F15,Arrangörslista!Q$143:$AG$180,16,FALSE), "DNS")))), IF(Deltagarlista!$K$3=1,IF(ISBLANK(Deltagarlista!$C13),"",IF(ISBLANK(Arrangörslista!Q$143),"",IFERROR(VLOOKUP($F15,Arrangörslista!Q$143:$AG$180,16,FALSE), "DNS"))),""))</f>
        <v/>
      </c>
      <c r="BR15" s="51"/>
      <c r="BS15" s="51"/>
      <c r="BT15" s="51"/>
      <c r="BU15" s="71">
        <f>SUM(BV15:EC15)</f>
        <v>0</v>
      </c>
      <c r="BV15" s="61">
        <f>IF(J15="",0,IF(OR(J15="DNF",J15="OCS",J15="DSQ",J15="DNS",J15=" DNS "),$BW$3+1,J15))</f>
        <v>0</v>
      </c>
      <c r="BW15" s="61">
        <f>IF(K15="",0,IF(OR(K15="DNF",K15="OCS",K15="DSQ",K15="DNS",K15=" DNS "),$BW$3+1,K15))</f>
        <v>0</v>
      </c>
      <c r="BX15" s="61">
        <f>IF(L15="",0,IF(OR(L15="DNF",L15="OCS",L15="DSQ",L15="DNS",L15=" DNS "),$BW$3+1,L15))</f>
        <v>0</v>
      </c>
      <c r="BY15" s="61">
        <f>IF(M15="",0,IF(OR(M15="DNF",M15="OCS",M15="DSQ",M15="DNS",M15=" DNS "),$BW$3+1,M15))</f>
        <v>0</v>
      </c>
      <c r="BZ15" s="61">
        <f>IF(N15="",0,IF(OR(N15="DNF",N15="OCS",N15="DSQ",N15="DNS",N15=" DNS "),$BW$3+1,N15))</f>
        <v>0</v>
      </c>
      <c r="CA15" s="61">
        <f>IF(O15="",0,IF(OR(O15="DNF",O15="OCS",O15="DSQ",O15="DNS",O15=" DNS "),$BW$3+1,O15))</f>
        <v>0</v>
      </c>
      <c r="CB15" s="61">
        <f>IF(P15="",0,IF(OR(P15="DNF",P15="OCS",P15="DSQ",P15="DNS",P15=" DNS "),$BW$3+1,P15))</f>
        <v>0</v>
      </c>
      <c r="CC15" s="61">
        <f>IF(Q15="",0,IF(OR(Q15="DNF",Q15="OCS",Q15="DSQ",Q15="DNS",Q15=" DNS "),$BW$3+1,Q15))</f>
        <v>0</v>
      </c>
      <c r="CD15" s="61">
        <f>IF(R15="",0,IF(OR(R15="DNF",R15="OCS",R15="DSQ",R15="DNS",R15=" DNS "),$BW$3+1,R15))</f>
        <v>0</v>
      </c>
      <c r="CE15" s="61">
        <f>IF(S15="",0,IF(OR(S15="DNF",S15="OCS",S15="DSQ",S15="DNS",S15=" DNS "),$BW$3+1,S15))</f>
        <v>0</v>
      </c>
      <c r="CF15" s="61">
        <f>IF(T15="",0,IF(OR(T15="DNF",T15="OCS",T15="DSQ",T15="DNS",T15=" DNS "),$BW$3+1,T15))</f>
        <v>0</v>
      </c>
      <c r="CG15" s="61">
        <f>IF(U15="",0,IF(OR(U15="DNF",U15="OCS",U15="DSQ",U15="DNS",U15=" DNS "),$BW$3+1,U15))</f>
        <v>0</v>
      </c>
      <c r="CH15" s="61">
        <f>IF(V15="",0,IF(OR(V15="DNF",V15="OCS",V15="DSQ",V15="DNS",V15=" DNS "),$BW$3+1,V15))</f>
        <v>0</v>
      </c>
      <c r="CI15" s="61">
        <f>IF(W15="",0,IF(OR(W15="DNF",W15="OCS",W15="DSQ",W15="DNS",W15=" DNS "),$BW$3+1,W15))</f>
        <v>0</v>
      </c>
      <c r="CJ15" s="61">
        <f>IF(X15="",0,IF(OR(X15="DNF",X15="OCS",X15="DSQ",X15="DNS",X15=" DNS "),$BW$3+1,X15))</f>
        <v>0</v>
      </c>
      <c r="CK15" s="61">
        <f>IF(Y15="",0,IF(OR(Y15="DNF",Y15="OCS",Y15="DSQ",Y15="DNS",Y15=" DNS "),$BW$3+1,Y15))</f>
        <v>0</v>
      </c>
      <c r="CL15" s="61">
        <f>IF(Z15="",0,IF(OR(Z15="DNF",Z15="OCS",Z15="DSQ",Z15="DNS",Z15=" DNS "),$BW$3+1,Z15))</f>
        <v>0</v>
      </c>
      <c r="CM15" s="61">
        <f>IF(AA15="",0,IF(OR(AA15="DNF",AA15="OCS",AA15="DSQ",AA15="DNS",AA15=" DNS "),$BW$3+1,AA15))</f>
        <v>0</v>
      </c>
      <c r="CN15" s="61">
        <f>IF(AB15="",0,IF(OR(AB15="DNF",AB15="OCS",AB15="DSQ",AB15="DNS",AB15=" DNS "),$BW$3+1,AB15))</f>
        <v>0</v>
      </c>
      <c r="CO15" s="61">
        <f>IF(AC15="",0,IF(OR(AC15="DNF",AC15="OCS",AC15="DSQ",AC15="DNS",AC15=" DNS "),$BW$3+1,AC15))</f>
        <v>0</v>
      </c>
      <c r="CP15" s="61">
        <f>IF(AD15="",0,IF(OR(AD15="DNF",AD15="OCS",AD15="DSQ",AD15="DNS",AD15=" DNS "),$BW$3+1,AD15))</f>
        <v>0</v>
      </c>
      <c r="CQ15" s="61">
        <f>IF(AE15="",0,IF(OR(AE15="DNF",AE15="OCS",AE15="DSQ",AE15="DNS",AE15=" DNS "),$BW$3+1,AE15))</f>
        <v>0</v>
      </c>
      <c r="CR15" s="61">
        <f>IF(AF15="",0,IF(OR(AF15="DNF",AF15="OCS",AF15="DSQ",AF15="DNS",AF15=" DNS "),$BW$3+1,AF15))</f>
        <v>0</v>
      </c>
      <c r="CS15" s="61">
        <f>IF(AG15="",0,IF(OR(AG15="DNF",AG15="OCS",AG15="DSQ",AG15="DNS",AG15=" DNS "),$BW$3+1,AG15))</f>
        <v>0</v>
      </c>
      <c r="CT15" s="61">
        <f>IF(AH15="",0,IF(OR(AH15="DNF",AH15="OCS",AH15="DSQ",AH15="DNS",AH15=" DNS "),$BW$3+1,AH15))</f>
        <v>0</v>
      </c>
      <c r="CU15" s="61">
        <f>IF(AI15="",0,IF(OR(AI15="DNF",AI15="OCS",AI15="DSQ",AI15="DNS",AI15=" DNS "),$BW$3+1,AI15))</f>
        <v>0</v>
      </c>
      <c r="CV15" s="61">
        <f>IF(AJ15="",0,IF(OR(AJ15="DNF",AJ15="OCS",AJ15="DSQ",AJ15="DNS",AJ15=" DNS "),$BW$3+1,AJ15))</f>
        <v>0</v>
      </c>
      <c r="CW15" s="61">
        <f>IF(AK15="",0,IF(OR(AK15="DNF",AK15="OCS",AK15="DSQ",AK15="DNS",AK15=" DNS "),$BW$3+1,AK15))</f>
        <v>0</v>
      </c>
      <c r="CX15" s="61">
        <f>IF(AL15="",0,IF(OR(AL15="DNF",AL15="OCS",AL15="DSQ",AL15="DNS",AL15=" DNS "),$BW$3+1,AL15))</f>
        <v>0</v>
      </c>
      <c r="CY15" s="61">
        <f>IF(AM15="",0,IF(OR(AM15="DNF",AM15="OCS",AM15="DSQ",AM15="DNS",AM15=" DNS "),$BW$3+1,AM15))</f>
        <v>0</v>
      </c>
      <c r="CZ15" s="61">
        <f>IF(AN15="",0,IF(OR(AN15="DNF",AN15="OCS",AN15="DSQ",AN15="DNS",AN15=" DNS "),$BW$3+1,AN15))</f>
        <v>0</v>
      </c>
      <c r="DA15" s="61">
        <f>IF(AO15="",0,IF(OR(AO15="DNF",AO15="OCS",AO15="DSQ",AO15="DNS",AO15=" DNS "),$BW$3+1,AO15))</f>
        <v>0</v>
      </c>
      <c r="DB15" s="61">
        <f>IF(AP15="",0,IF(OR(AP15="DNF",AP15="OCS",AP15="DSQ",AP15="DNS",AP15=" DNS "),$BW$3+1,AP15))</f>
        <v>0</v>
      </c>
      <c r="DC15" s="61">
        <f>IF(AQ15="",0,IF(OR(AQ15="DNF",AQ15="OCS",AQ15="DSQ",AQ15="DNS",AQ15=" DNS "),$BW$3+1,AQ15))</f>
        <v>0</v>
      </c>
      <c r="DD15" s="61">
        <f>IF(AR15="",0,IF(OR(AR15="DNF",AR15="OCS",AR15="DSQ",AR15="DNS",AR15=" DNS "),$BW$3+1,AR15))</f>
        <v>0</v>
      </c>
      <c r="DE15" s="61">
        <f>IF(AS15="",0,IF(OR(AS15="DNF",AS15="OCS",AS15="DSQ",AS15="DNS",AS15=" DNS "),$BW$3+1,AS15))</f>
        <v>0</v>
      </c>
      <c r="DF15" s="61">
        <f>IF(AT15="",0,IF(OR(AT15="DNF",AT15="OCS",AT15="DSQ",AT15="DNS",AT15=" DNS "),$BW$3+1,AT15))</f>
        <v>0</v>
      </c>
      <c r="DG15" s="61">
        <f>IF(AU15="",0,IF(OR(AU15="DNF",AU15="OCS",AU15="DSQ",AU15="DNS",AU15=" DNS "),$BW$3+1,AU15))</f>
        <v>0</v>
      </c>
      <c r="DH15" s="61">
        <f>IF(AV15="",0,IF(OR(AV15="DNF",AV15="OCS",AV15="DSQ",AV15="DNS",AV15=" DNS "),$BW$3+1,AV15))</f>
        <v>0</v>
      </c>
      <c r="DI15" s="61">
        <f>IF(AW15="",0,IF(OR(AW15="DNF",AW15="OCS",AW15="DSQ",AW15="DNS",AW15=" DNS "),$BW$3+1,AW15))</f>
        <v>0</v>
      </c>
      <c r="DJ15" s="61">
        <f>IF(AX15="",0,IF(OR(AX15="DNF",AX15="OCS",AX15="DSQ",AX15="DNS",AX15=" DNS "),$BW$3+1,AX15))</f>
        <v>0</v>
      </c>
      <c r="DK15" s="61">
        <f>IF(AY15="",0,IF(OR(AY15="DNF",AY15="OCS",AY15="DSQ",AY15="DNS",AY15=" DNS "),$BW$3+1,AY15))</f>
        <v>0</v>
      </c>
      <c r="DL15" s="61">
        <f>IF(AZ15="",0,IF(OR(AZ15="DNF",AZ15="OCS",AZ15="DSQ",AZ15="DNS",AZ15=" DNS "),$BW$3+1,AZ15))</f>
        <v>0</v>
      </c>
      <c r="DM15" s="61">
        <f>IF(BA15="",0,IF(OR(BA15="DNF",BA15="OCS",BA15="DSQ",BA15="DNS",BA15=" DNS "),$BW$3+1,BA15))</f>
        <v>0</v>
      </c>
      <c r="DN15" s="61">
        <f>IF(BB15="",0,IF(OR(BB15="DNF",BB15="OCS",BB15="DSQ",BB15="DNS",BB15=" DNS "),$BW$3+1,BB15))</f>
        <v>0</v>
      </c>
      <c r="DO15" s="61">
        <f>IF(BC15="",0,IF(OR(BC15="DNF",BC15="OCS",BC15="DSQ",BC15="DNS",BC15=" DNS "),$BW$3+1,BC15))</f>
        <v>0</v>
      </c>
      <c r="DP15" s="61">
        <f>IF(BD15="",0,IF(OR(BD15="DNF",BD15="OCS",BD15="DSQ",BD15="DNS",BD15=" DNS "),$BW$3+1,BD15))</f>
        <v>0</v>
      </c>
      <c r="DQ15" s="61">
        <f>IF(BE15="",0,IF(OR(BE15="DNF",BE15="OCS",BE15="DSQ",BE15="DNS",BE15=" DNS "),$BW$3+1,BE15))</f>
        <v>0</v>
      </c>
      <c r="DR15" s="61">
        <f>IF(BF15="",0,IF(OR(BF15="DNF",BF15="OCS",BF15="DSQ",BF15="DNS",BF15=" DNS "),$BW$3+1,BF15))</f>
        <v>0</v>
      </c>
      <c r="DS15" s="61">
        <f>IF(BG15="",0,IF(OR(BG15="DNF",BG15="OCS",BG15="DSQ",BG15="DNS",BG15=" DNS "),$BW$3+1,BG15))</f>
        <v>0</v>
      </c>
      <c r="DT15" s="61">
        <f>IF(BH15="",0,IF(OR(BH15="DNF",BH15="OCS",BH15="DSQ",BH15="DNS",BH15=" DNS "),$BW$3+1,BH15))</f>
        <v>0</v>
      </c>
      <c r="DU15" s="61">
        <f>IF(BI15="",0,IF(OR(BI15="DNF",BI15="OCS",BI15="DSQ",BI15="DNS",BI15=" DNS "),$BW$3+1,BI15))</f>
        <v>0</v>
      </c>
      <c r="DV15" s="61">
        <f>IF(BJ15="",0,IF(OR(BJ15="DNF",BJ15="OCS",BJ15="DSQ",BJ15="DNS",BJ15=" DNS "),$BW$3+1,BJ15))</f>
        <v>0</v>
      </c>
      <c r="DW15" s="61">
        <f>IF(BK15="",0,IF(OR(BK15="DNF",BK15="OCS",BK15="DSQ",BK15="DNS",BK15=" DNS "),$BW$3+1,BK15))</f>
        <v>0</v>
      </c>
      <c r="DX15" s="61">
        <f>IF(BL15="",0,IF(OR(BL15="DNF",BL15="OCS",BL15="DSQ",BL15="DNS",BL15=" DNS "),$BW$3+1,BL15))</f>
        <v>0</v>
      </c>
      <c r="DY15" s="61">
        <f>IF(BM15="",0,IF(OR(BM15="DNF",BM15="OCS",BM15="DSQ",BM15="DNS",BM15=" DNS "),$BW$3+1,BM15))</f>
        <v>0</v>
      </c>
      <c r="DZ15" s="61">
        <f>IF(BN15="",0,IF(OR(BN15="DNF",BN15="OCS",BN15="DSQ",BN15="DNS",BN15=" DNS "),$BW$3+1,BN15))</f>
        <v>0</v>
      </c>
      <c r="EA15" s="61">
        <f>IF(BO15="",0,IF(OR(BO15="DNF",BO15="OCS",BO15="DSQ",BO15="DNS",BO15=" DNS "),$BW$3+1,BO15))</f>
        <v>0</v>
      </c>
      <c r="EB15" s="61">
        <f>IF(BP15="",0,IF(OR(BP15="DNF",BP15="OCS",BP15="DSQ",BP15="DNS",BP15=" DNS "),$BW$3+1,BP15))</f>
        <v>0</v>
      </c>
      <c r="EC15" s="61">
        <f>IF(BQ15="",0,IF(OR(BQ15="DNF",BQ15="OCS",BQ15="DSQ",BQ15="DNS",BQ15=" DNS "),$BW$3+1,BQ15))</f>
        <v>0</v>
      </c>
      <c r="EE15" s="61">
        <f xml:space="preserve">
IF(OR(Deltagarlista!$K$3=3,Deltagarlista!$K$3=4),
IF(Arrangörslista!$U$5&lt;8,0,
IF(Arrangörslista!$U$5&lt;16,SUM(LARGE(BV15:CJ15,1)),
IF(Arrangörslista!$U$5&lt;24,SUM(LARGE(BV15:CR15,{1;2})),
IF(Arrangörslista!$U$5&lt;32,SUM(LARGE(BV15:CZ15,{1;2;3})),
IF(Arrangörslista!$U$5&lt;40,SUM(LARGE(BV15:DH15,{1;2;3;4})),
IF(Arrangörslista!$U$5&lt;48,SUM(LARGE(BV15:DP15,{1;2;3;4;5})),
IF(Arrangörslista!$U$5&lt;56,SUM(LARGE(BV15:DX15,{1;2;3;4;5;6})),
IF(Arrangörslista!$U$5&lt;64,SUM(LARGE(BV15:EC15,{1;2;3;4;5;6;7})),0)))))))),
IF(Deltagarlista!$K$3=2,
IF(Arrangörslista!$U$5&lt;4,LARGE(BV15:BX15,1),
IF(Arrangörslista!$U$5&lt;7,SUM(LARGE(BV15:CA15,{1;2;3})),
IF(Arrangörslista!$U$5&lt;10,SUM(LARGE(BV15:CD15,{1;2;3;4})),
IF(Arrangörslista!$U$5&lt;13,SUM(LARGE(BV15:CG15,{1;2;3;4;5;6})),
IF(Arrangörslista!$U$5&lt;16,SUM(LARGE(BV15:CJ15,{1;2;3;4;5;6;7})),
IF(Arrangörslista!$U$5&lt;19,SUM(LARGE(BV15:CM15,{1;2;3;4;5;6;7;8;9})),
IF(Arrangörslista!$U$5&lt;22,SUM(LARGE(BV15:CP15,{1;2;3;4;5;6;7;8;9;10})),
IF(Arrangörslista!$U$5&lt;25,SUM(LARGE(BV15:CS15,{1;2;3;4;5;6;7;8;9;10;11;12})),
IF(Arrangörslista!$U$5&lt;28,SUM(LARGE(BV15:CV15,{1;2;3;4;5;6;7;8;9;10;11;12;13})),
IF(Arrangörslista!$U$5&lt;31,SUM(LARGE(BV15:CY15,{1;2;3;4;5;6;7;8;9;10;11;12;13;14;15})),
IF(Arrangörslista!$U$5&lt;34,SUM(LARGE(BV15:DB15,{1;2;3;4;5;6;7;8;9;10;11;12;13;14;15;16})),
IF(Arrangörslista!$U$5&lt;37,SUM(LARGE(BV15:DE15,{1;2;3;4;5;6;7;8;9;10;11;12;13;14;15;16;17;18})),
IF(Arrangörslista!$U$5&lt;40,SUM(LARGE(BV15:DH15,{1;2;3;4;5;6;7;8;9;10;11;12;13;14;15;16;17;18;19})),
IF(Arrangörslista!$U$5&lt;43,SUM(LARGE(BV15:DK15,{1;2;3;4;5;6;7;8;9;10;11;12;13;14;15;16;17;18;19;20;21})),
IF(Arrangörslista!$U$5&lt;46,SUM(LARGE(BV15:DN15,{1;2;3;4;5;6;7;8;9;10;11;12;13;14;15;16;17;18;19;20;21;22})),
IF(Arrangörslista!$U$5&lt;49,SUM(LARGE(BV15:DQ15,{1;2;3;4;5;6;7;8;9;10;11;12;13;14;15;16;17;18;19;20;21;22;23;24})),
IF(Arrangörslista!$U$5&lt;52,SUM(LARGE(BV15:DT15,{1;2;3;4;5;6;7;8;9;10;11;12;13;14;15;16;17;18;19;20;21;22;23;24;25})),
IF(Arrangörslista!$U$5&lt;55,SUM(LARGE(BV15:DW15,{1;2;3;4;5;6;7;8;9;10;11;12;13;14;15;16;17;18;19;20;21;22;23;24;25;26;27})),
IF(Arrangörslista!$U$5&lt;58,SUM(LARGE(BV15:DZ15,{1;2;3;4;5;6;7;8;9;10;11;12;13;14;15;16;17;18;19;20;21;22;23;24;25;26;27;28})),
IF(Arrangörslista!$U$5&lt;61,SUM(LARGE(BV15:EC15,{1;2;3;4;5;6;7;8;9;10;11;12;13;14;15;16;17;18;19;20;21;22;23;24;25;26;27;28;29;30})),0)))))))))))))))))))),
IF(Arrangörslista!$U$5&lt;4,0,
IF(Arrangörslista!$U$5&lt;8,SUM(LARGE(BV15:CB15,1)),
IF(Arrangörslista!$U$5&lt;12,SUM(LARGE(BV15:CF15,{1;2})),
IF(Arrangörslista!$U$5&lt;16,SUM(LARGE(BV15:CJ15,{1;2;3})),
IF(Arrangörslista!$U$5&lt;20,SUM(LARGE(BV15:CN15,{1;2;3;4})),
IF(Arrangörslista!$U$5&lt;24,SUM(LARGE(BV15:CR15,{1;2;3;4;5})),
IF(Arrangörslista!$U$5&lt;28,SUM(LARGE(BV15:CV15,{1;2;3;4;5;6})),
IF(Arrangörslista!$U$5&lt;32,SUM(LARGE(BV15:CZ15,{1;2;3;4;5;6;7})),
IF(Arrangörslista!$U$5&lt;36,SUM(LARGE(BV15:DD15,{1;2;3;4;5;6;7;8})),
IF(Arrangörslista!$U$5&lt;40,SUM(LARGE(BV15:DH15,{1;2;3;4;5;6;7;8;9})),
IF(Arrangörslista!$U$5&lt;44,SUM(LARGE(BV15:DL15,{1;2;3;4;5;6;7;8;9;10})),
IF(Arrangörslista!$U$5&lt;48,SUM(LARGE(BV15:DP15,{1;2;3;4;5;6;7;8;9;10;11})),
IF(Arrangörslista!$U$5&lt;52,SUM(LARGE(BV15:DT15,{1;2;3;4;5;6;7;8;9;10;11;12})),
IF(Arrangörslista!$U$5&lt;56,SUM(LARGE(BV15:DX15,{1;2;3;4;5;6;7;8;9;10;11;12;13})),
IF(Arrangörslista!$U$5&lt;60,SUM(LARGE(BV15:EB15,{1;2;3;4;5;6;7;8;9;10;11;12;13;14})),
IF(Arrangörslista!$U$5=60,SUM(LARGE(BV15:EC15,{1;2;3;4;5;6;7;8;9;10;11;12;13;14;15})),0))))))))))))))))))</f>
        <v>0</v>
      </c>
      <c r="EG15" s="67">
        <f>IF(F15="",,1)</f>
        <v>0</v>
      </c>
      <c r="EH15" s="61"/>
      <c r="EI15" s="61"/>
      <c r="EK15" s="62">
        <f>SMALL($J78:$BQ78,1)</f>
        <v>61</v>
      </c>
      <c r="EL15" s="62">
        <f>SMALL($J78:$BQ78,2)</f>
        <v>61</v>
      </c>
      <c r="EM15" s="62">
        <f>SMALL($J78:$BQ78,3)</f>
        <v>61</v>
      </c>
      <c r="EN15" s="62">
        <f>SMALL($J78:$BQ78,4)</f>
        <v>61</v>
      </c>
      <c r="EO15" s="62">
        <f>SMALL($J78:$BQ78,5)</f>
        <v>61</v>
      </c>
      <c r="EP15" s="62">
        <f>SMALL($J78:$BQ78,6)</f>
        <v>61</v>
      </c>
      <c r="EQ15" s="62">
        <f>SMALL($J78:$BQ78,7)</f>
        <v>61</v>
      </c>
      <c r="ER15" s="62">
        <f>SMALL($J78:$BQ78,8)</f>
        <v>61</v>
      </c>
      <c r="ES15" s="62">
        <f>SMALL($J78:$BQ78,9)</f>
        <v>61</v>
      </c>
      <c r="ET15" s="62">
        <f>SMALL($J78:$BQ78,10)</f>
        <v>61</v>
      </c>
      <c r="EU15" s="62">
        <f>SMALL($J78:$BQ78,11)</f>
        <v>61</v>
      </c>
      <c r="EV15" s="62">
        <f>SMALL($J78:$BQ78,12)</f>
        <v>61</v>
      </c>
      <c r="EW15" s="62">
        <f>SMALL($J78:$BQ78,13)</f>
        <v>61</v>
      </c>
      <c r="EX15" s="62">
        <f>SMALL($J78:$BQ78,14)</f>
        <v>61</v>
      </c>
      <c r="EY15" s="62">
        <f>SMALL($J78:$BQ78,15)</f>
        <v>61</v>
      </c>
      <c r="EZ15" s="62">
        <f>SMALL($J78:$BQ78,16)</f>
        <v>61</v>
      </c>
      <c r="FA15" s="62">
        <f>SMALL($J78:$BQ78,17)</f>
        <v>61</v>
      </c>
      <c r="FB15" s="62">
        <f>SMALL($J78:$BQ78,18)</f>
        <v>61</v>
      </c>
      <c r="FC15" s="62">
        <f>SMALL($J78:$BQ78,19)</f>
        <v>61</v>
      </c>
      <c r="FD15" s="62">
        <f>SMALL($J78:$BQ78,20)</f>
        <v>61</v>
      </c>
      <c r="FE15" s="62">
        <f>SMALL($J78:$BQ78,21)</f>
        <v>61</v>
      </c>
      <c r="FF15" s="62">
        <f>SMALL($J78:$BQ78,22)</f>
        <v>61</v>
      </c>
      <c r="FG15" s="62">
        <f>SMALL($J78:$BQ78,23)</f>
        <v>61</v>
      </c>
      <c r="FH15" s="62">
        <f>SMALL($J78:$BQ78,24)</f>
        <v>61</v>
      </c>
      <c r="FI15" s="62">
        <f>SMALL($J78:$BQ78,25)</f>
        <v>61</v>
      </c>
      <c r="FJ15" s="62">
        <f>SMALL($J78:$BQ78,26)</f>
        <v>61</v>
      </c>
      <c r="FK15" s="62">
        <f>SMALL($J78:$BQ78,27)</f>
        <v>61</v>
      </c>
      <c r="FL15" s="62">
        <f>SMALL($J78:$BQ78,28)</f>
        <v>61</v>
      </c>
      <c r="FM15" s="62">
        <f>SMALL($J78:$BQ78,29)</f>
        <v>61</v>
      </c>
      <c r="FN15" s="62">
        <f>SMALL($J78:$BQ78,30)</f>
        <v>61</v>
      </c>
      <c r="FO15" s="62">
        <f>SMALL($J78:$BQ78,31)</f>
        <v>61</v>
      </c>
      <c r="FP15" s="62">
        <f>SMALL($J78:$BQ78,32)</f>
        <v>61</v>
      </c>
      <c r="FQ15" s="62">
        <f>SMALL($J78:$BQ78,33)</f>
        <v>61</v>
      </c>
      <c r="FR15" s="62">
        <f>SMALL($J78:$BQ78,34)</f>
        <v>61</v>
      </c>
      <c r="FS15" s="62">
        <f>SMALL($J78:$BQ78,35)</f>
        <v>61</v>
      </c>
      <c r="FT15" s="62">
        <f>SMALL($J78:$BQ78,36)</f>
        <v>61</v>
      </c>
      <c r="FU15" s="62">
        <f>SMALL($J78:$BQ78,37)</f>
        <v>61</v>
      </c>
      <c r="FV15" s="62">
        <f>SMALL($J78:$BQ78,38)</f>
        <v>61</v>
      </c>
      <c r="FW15" s="62">
        <f>SMALL($J78:$BQ78,39)</f>
        <v>61</v>
      </c>
      <c r="FX15" s="62">
        <f>SMALL($J78:$BQ78,40)</f>
        <v>61</v>
      </c>
      <c r="FY15" s="62">
        <f>SMALL($J78:$BQ78,41)</f>
        <v>61</v>
      </c>
      <c r="FZ15" s="62">
        <f>SMALL($J78:$BQ78,42)</f>
        <v>61</v>
      </c>
      <c r="GA15" s="62">
        <f>SMALL($J78:$BQ78,43)</f>
        <v>61</v>
      </c>
      <c r="GB15" s="62">
        <f>SMALL($J78:$BQ78,44)</f>
        <v>61</v>
      </c>
      <c r="GC15" s="62">
        <f>SMALL($J78:$BQ78,45)</f>
        <v>61</v>
      </c>
      <c r="GD15" s="62">
        <f>SMALL($J78:$BQ78,46)</f>
        <v>61</v>
      </c>
      <c r="GE15" s="62">
        <f>SMALL($J78:$BQ78,47)</f>
        <v>61</v>
      </c>
      <c r="GF15" s="62">
        <f>SMALL($J78:$BQ78,48)</f>
        <v>61</v>
      </c>
      <c r="GG15" s="62">
        <f>SMALL($J78:$BQ78,49)</f>
        <v>61</v>
      </c>
      <c r="GH15" s="62">
        <f>SMALL($J78:$BQ78,50)</f>
        <v>61</v>
      </c>
      <c r="GI15" s="62">
        <f>SMALL($J78:$BQ78,51)</f>
        <v>61</v>
      </c>
      <c r="GJ15" s="62">
        <f>SMALL($J78:$BQ78,52)</f>
        <v>61</v>
      </c>
      <c r="GK15" s="62">
        <f>SMALL($J78:$BQ78,53)</f>
        <v>61</v>
      </c>
      <c r="GL15" s="62">
        <f>SMALL($J78:$BQ78,54)</f>
        <v>61</v>
      </c>
      <c r="GM15" s="62">
        <f>SMALL($J78:$BQ78,55)</f>
        <v>61</v>
      </c>
      <c r="GN15" s="62">
        <f>SMALL($J78:$BQ78,56)</f>
        <v>61</v>
      </c>
      <c r="GO15" s="62">
        <f>SMALL($J78:$BQ78,57)</f>
        <v>61</v>
      </c>
      <c r="GP15" s="62">
        <f>SMALL($J78:$BQ78,58)</f>
        <v>61</v>
      </c>
      <c r="GQ15" s="62">
        <f>SMALL($J78:$BQ78,59)</f>
        <v>61</v>
      </c>
      <c r="GR15" s="62">
        <f>SMALL($J78:$BQ78,60)</f>
        <v>61</v>
      </c>
      <c r="GT15" s="62">
        <f>IF(Deltagarlista!$K$3=2,
IF(GW15="1",
      IF(Arrangörslista!$U$5=1,J78,
IF(Arrangörslista!$U$5=2,K78,
IF(Arrangörslista!$U$5=3,L78,
IF(Arrangörslista!$U$5=4,M78,
IF(Arrangörslista!$U$5=5,N78,
IF(Arrangörslista!$U$5=6,O78,
IF(Arrangörslista!$U$5=7,P78,
IF(Arrangörslista!$U$5=8,Q78,
IF(Arrangörslista!$U$5=9,R78,
IF(Arrangörslista!$U$5=10,S78,
IF(Arrangörslista!$U$5=11,T78,
IF(Arrangörslista!$U$5=12,U78,
IF(Arrangörslista!$U$5=13,V78,
IF(Arrangörslista!$U$5=14,W78,
IF(Arrangörslista!$U$5=15,X78,
IF(Arrangörslista!$U$5=16,Y78,IF(Arrangörslista!$U$5=17,Z78,IF(Arrangörslista!$U$5=18,AA78,IF(Arrangörslista!$U$5=19,AB78,IF(Arrangörslista!$U$5=20,AC78,IF(Arrangörslista!$U$5=21,AD78,IF(Arrangörslista!$U$5=22,AE78,IF(Arrangörslista!$U$5=23,AF78, IF(Arrangörslista!$U$5=24,AG78, IF(Arrangörslista!$U$5=25,AH78, IF(Arrangörslista!$U$5=26,AI78, IF(Arrangörslista!$U$5=27,AJ78, IF(Arrangörslista!$U$5=28,AK78, IF(Arrangörslista!$U$5=29,AL78, IF(Arrangörslista!$U$5=30,AM78, IF(Arrangörslista!$U$5=31,AN78, IF(Arrangörslista!$U$5=32,AO78, IF(Arrangörslista!$U$5=33,AP78, IF(Arrangörslista!$U$5=34,AQ78, IF(Arrangörslista!$U$5=35,AR78, IF(Arrangörslista!$U$5=36,AS78, IF(Arrangörslista!$U$5=37,AT78, IF(Arrangörslista!$U$5=38,AU78, IF(Arrangörslista!$U$5=39,AV78, IF(Arrangörslista!$U$5=40,AW78, IF(Arrangörslista!$U$5=41,AX78, IF(Arrangörslista!$U$5=42,AY78, IF(Arrangörslista!$U$5=43,AZ78, IF(Arrangörslista!$U$5=44,BA78, IF(Arrangörslista!$U$5=45,BB78, IF(Arrangörslista!$U$5=46,BC78, IF(Arrangörslista!$U$5=47,BD78, IF(Arrangörslista!$U$5=48,BE78, IF(Arrangörslista!$U$5=49,BF78, IF(Arrangörslista!$U$5=50,BG78, IF(Arrangörslista!$U$5=51,BH78, IF(Arrangörslista!$U$5=52,BI78, IF(Arrangörslista!$U$5=53,BJ78, IF(Arrangörslista!$U$5=54,BK78, IF(Arrangörslista!$U$5=55,BL78, IF(Arrangörslista!$U$5=56,BM78, IF(Arrangörslista!$U$5=57,BN78, IF(Arrangörslista!$U$5=58,BO78, IF(Arrangörslista!$U$5=59,BP78, IF(Arrangörslista!$U$5=60,BQ78,0))))))))))))))))))))))))))))))))))))))))))))))))))))))))))))),IF(Deltagarlista!$K$3=4, IF(Arrangörslista!$U$5=1,J78,
IF(Arrangörslista!$U$5=2,J78,
IF(Arrangörslista!$U$5=3,K78,
IF(Arrangörslista!$U$5=4,K78,
IF(Arrangörslista!$U$5=5,L78,
IF(Arrangörslista!$U$5=6,L78,
IF(Arrangörslista!$U$5=7,M78,
IF(Arrangörslista!$U$5=8,M78,
IF(Arrangörslista!$U$5=9,N78,
IF(Arrangörslista!$U$5=10,N78,
IF(Arrangörslista!$U$5=11,O78,
IF(Arrangörslista!$U$5=12,O78,
IF(Arrangörslista!$U$5=13,P78,
IF(Arrangörslista!$U$5=14,P78,
IF(Arrangörslista!$U$5=15,Q78,
IF(Arrangörslista!$U$5=16,Q78,
IF(Arrangörslista!$U$5=17,R78,
IF(Arrangörslista!$U$5=18,R78,
IF(Arrangörslista!$U$5=19,S78,
IF(Arrangörslista!$U$5=20,S78,
IF(Arrangörslista!$U$5=21,T78,
IF(Arrangörslista!$U$5=22,T78,IF(Arrangörslista!$U$5=23,U78, IF(Arrangörslista!$U$5=24,U78, IF(Arrangörslista!$U$5=25,V78, IF(Arrangörslista!$U$5=26,V78, IF(Arrangörslista!$U$5=27,W78, IF(Arrangörslista!$U$5=28,W78, IF(Arrangörslista!$U$5=29,X78, IF(Arrangörslista!$U$5=30,X78, IF(Arrangörslista!$U$5=31,X78, IF(Arrangörslista!$U$5=32,Y78, IF(Arrangörslista!$U$5=33,AO78, IF(Arrangörslista!$U$5=34,Y78, IF(Arrangörslista!$U$5=35,Z78, IF(Arrangörslista!$U$5=36,AR78, IF(Arrangörslista!$U$5=37,Z78, IF(Arrangörslista!$U$5=38,AA78, IF(Arrangörslista!$U$5=39,AU78, IF(Arrangörslista!$U$5=40,AA78, IF(Arrangörslista!$U$5=41,AB78, IF(Arrangörslista!$U$5=42,AX78, IF(Arrangörslista!$U$5=43,AB78, IF(Arrangörslista!$U$5=44,AC78, IF(Arrangörslista!$U$5=45,BA78, IF(Arrangörslista!$U$5=46,AC78, IF(Arrangörslista!$U$5=47,AD78, IF(Arrangörslista!$U$5=48,BD78, IF(Arrangörslista!$U$5=49,AD78, IF(Arrangörslista!$U$5=50,AE78, IF(Arrangörslista!$U$5=51,BG78, IF(Arrangörslista!$U$5=52,AE78, IF(Arrangörslista!$U$5=53,AF78, IF(Arrangörslista!$U$5=54,BJ78, IF(Arrangörslista!$U$5=55,AF78, IF(Arrangörslista!$U$5=56,AG78, IF(Arrangörslista!$U$5=57,BM78, IF(Arrangörslista!$U$5=58,AG78, IF(Arrangörslista!$U$5=59,AH78, IF(Arrangörslista!$U$5=60,AH78,0)))))))))))))))))))))))))))))))))))))))))))))))))))))))))))),IF(Arrangörslista!$U$5=1,J78,
IF(Arrangörslista!$U$5=2,K78,
IF(Arrangörslista!$U$5=3,L78,
IF(Arrangörslista!$U$5=4,M78,
IF(Arrangörslista!$U$5=5,N78,
IF(Arrangörslista!$U$5=6,O78,
IF(Arrangörslista!$U$5=7,P78,
IF(Arrangörslista!$U$5=8,Q78,
IF(Arrangörslista!$U$5=9,R78,
IF(Arrangörslista!$U$5=10,S78,
IF(Arrangörslista!$U$5=11,T78,
IF(Arrangörslista!$U$5=12,U78,
IF(Arrangörslista!$U$5=13,V78,
IF(Arrangörslista!$U$5=14,W78,
IF(Arrangörslista!$U$5=15,X78,
IF(Arrangörslista!$U$5=16,Y78,IF(Arrangörslista!$U$5=17,Z78,IF(Arrangörslista!$U$5=18,AA78,IF(Arrangörslista!$U$5=19,AB78,IF(Arrangörslista!$U$5=20,AC78,IF(Arrangörslista!$U$5=21,AD78,IF(Arrangörslista!$U$5=22,AE78,IF(Arrangörslista!$U$5=23,AF78, IF(Arrangörslista!$U$5=24,AG78, IF(Arrangörslista!$U$5=25,AH78, IF(Arrangörslista!$U$5=26,AI78, IF(Arrangörslista!$U$5=27,AJ78, IF(Arrangörslista!$U$5=28,AK78, IF(Arrangörslista!$U$5=29,AL78, IF(Arrangörslista!$U$5=30,AM78, IF(Arrangörslista!$U$5=31,AN78, IF(Arrangörslista!$U$5=32,AO78, IF(Arrangörslista!$U$5=33,AP78, IF(Arrangörslista!$U$5=34,AQ78, IF(Arrangörslista!$U$5=35,AR78, IF(Arrangörslista!$U$5=36,AS78, IF(Arrangörslista!$U$5=37,AT78, IF(Arrangörslista!$U$5=38,AU78, IF(Arrangörslista!$U$5=39,AV78, IF(Arrangörslista!$U$5=40,AW78, IF(Arrangörslista!$U$5=41,AX78, IF(Arrangörslista!$U$5=42,AY78, IF(Arrangörslista!$U$5=43,AZ78, IF(Arrangörslista!$U$5=44,BA78, IF(Arrangörslista!$U$5=45,BB78, IF(Arrangörslista!$U$5=46,BC78, IF(Arrangörslista!$U$5=47,BD78, IF(Arrangörslista!$U$5=48,BE78, IF(Arrangörslista!$U$5=49,BF78, IF(Arrangörslista!$U$5=50,BG78, IF(Arrangörslista!$U$5=51,BH78, IF(Arrangörslista!$U$5=52,BI78, IF(Arrangörslista!$U$5=53,BJ78, IF(Arrangörslista!$U$5=54,BK78, IF(Arrangörslista!$U$5=55,BL78, IF(Arrangörslista!$U$5=56,BM78, IF(Arrangörslista!$U$5=57,BN78, IF(Arrangörslista!$U$5=58,BO78, IF(Arrangörslista!$U$5=59,BP78, IF(Arrangörslista!$U$5=60,BQ78,0))))))))))))))))))))))))))))))))))))))))))))))))))))))))))))
))</f>
        <v>0</v>
      </c>
      <c r="GV15" s="65" t="str">
        <f>IFERROR(IF(VLOOKUP(F15,Deltagarlista!$E$5:$I$64,5,FALSE)="Grön","Gr",IF(VLOOKUP(F15,Deltagarlista!$E$5:$I$64,5,FALSE)="Röd","R",IF(VLOOKUP(F15,Deltagarlista!$E$5:$I$64,5,FALSE)="Blå","B","Gu"))),"")</f>
        <v/>
      </c>
      <c r="GW15" s="62" t="str">
        <f t="shared" si="1"/>
        <v/>
      </c>
    </row>
    <row r="16" spans="1:206" x14ac:dyDescent="0.3">
      <c r="B16" s="23" t="str">
        <f>IF($BW$3&gt;12,13,"")</f>
        <v/>
      </c>
      <c r="C16" s="92" t="str">
        <f>IF(ISBLANK(Deltagarlista!C17),"",Deltagarlista!C17)</f>
        <v/>
      </c>
      <c r="D16" s="109" t="str">
        <f>CONCATENATE(IF(AND(Deltagarlista!H17="GM",Deltagarlista!$S$14=TRUE),"GM   ",""), IF(OR(Deltagarlista!$K$3=4,Deltagarlista!$K$3=2),Deltagarlista!I17,""))</f>
        <v/>
      </c>
      <c r="E16" s="8" t="str">
        <f>IF(ISBLANK(Deltagarlista!D17),"",Deltagarlista!D17)</f>
        <v/>
      </c>
      <c r="F16" s="8" t="str">
        <f>IF(ISBLANK(Deltagarlista!E17),"",Deltagarlista!E17)</f>
        <v/>
      </c>
      <c r="G16" s="95" t="str">
        <f>IF(ISBLANK(Deltagarlista!F17),"",Deltagarlista!F17)</f>
        <v/>
      </c>
      <c r="H16" s="72" t="str">
        <f>IF(ISBLANK(Deltagarlista!C17),"",BU16-EE16)</f>
        <v/>
      </c>
      <c r="I16" s="13" t="str">
        <f>IF(ISBLANK(Deltagarlista!C17),"",IF(AND(Deltagarlista!$K$3=2,Deltagarlista!$L$3&lt;37),SUM(SUM(BV16:EC16)-(ROUNDDOWN(Arrangörslista!$U$5/3,1))*($BW$3+1)),SUM(BV16:EC16)))</f>
        <v/>
      </c>
      <c r="J16" s="79" t="str">
        <f>IF(Deltagarlista!$K$3=4,IF(ISBLANK(Deltagarlista!$C17),"",IF(ISBLANK(Arrangörslista!C$8),"",IFERROR(VLOOKUP($F16,Arrangörslista!C$8:$AG$45,16,FALSE),IF(ISBLANK(Deltagarlista!$C17),"",IF(ISBLANK(Arrangörslista!C$8),"",IFERROR(VLOOKUP($F16,Arrangörslista!D$8:$AG$45,16,FALSE),"DNS")))))),IF(Deltagarlista!$K$3=2,
IF(ISBLANK(Deltagarlista!$C17),"",IF(ISBLANK(Arrangörslista!C$8),"",IF($GV16=J$64," DNS ",IFERROR(VLOOKUP($F16,Arrangörslista!C$8:$AG$45,16,FALSE),"DNS")))),IF(ISBLANK(Deltagarlista!$C17),"",IF(ISBLANK(Arrangörslista!C$8),"",IFERROR(VLOOKUP($F16,Arrangörslista!C$8:$AG$45,16,FALSE),"DNS")))))</f>
        <v/>
      </c>
      <c r="K16" s="5" t="str">
        <f>IF(Deltagarlista!$K$3=4,IF(ISBLANK(Deltagarlista!$C17),"",IF(ISBLANK(Arrangörslista!E$8),"",IFERROR(VLOOKUP($F16,Arrangörslista!E$8:$AG$45,16,FALSE),IF(ISBLANK(Deltagarlista!$C17),"",IF(ISBLANK(Arrangörslista!E$8),"",IFERROR(VLOOKUP($F16,Arrangörslista!F$8:$AG$45,16,FALSE),"DNS")))))),IF(Deltagarlista!$K$3=2,
IF(ISBLANK(Deltagarlista!$C17),"",IF(ISBLANK(Arrangörslista!D$8),"",IF($GV16=K$64," DNS ",IFERROR(VLOOKUP($F16,Arrangörslista!D$8:$AG$45,16,FALSE),"DNS")))),IF(ISBLANK(Deltagarlista!$C17),"",IF(ISBLANK(Arrangörslista!D$8),"",IFERROR(VLOOKUP($F16,Arrangörslista!D$8:$AG$45,16,FALSE),"DNS")))))</f>
        <v/>
      </c>
      <c r="L16" s="5" t="str">
        <f>IF(Deltagarlista!$K$3=4,IF(ISBLANK(Deltagarlista!$C17),"",IF(ISBLANK(Arrangörslista!G$8),"",IFERROR(VLOOKUP($F16,Arrangörslista!G$8:$AG$45,16,FALSE),IF(ISBLANK(Deltagarlista!$C17),"",IF(ISBLANK(Arrangörslista!G$8),"",IFERROR(VLOOKUP($F16,Arrangörslista!H$8:$AG$45,16,FALSE),"DNS")))))),IF(Deltagarlista!$K$3=2,
IF(ISBLANK(Deltagarlista!$C17),"",IF(ISBLANK(Arrangörslista!E$8),"",IF($GV16=L$64," DNS ",IFERROR(VLOOKUP($F16,Arrangörslista!E$8:$AG$45,16,FALSE),"DNS")))),IF(ISBLANK(Deltagarlista!$C17),"",IF(ISBLANK(Arrangörslista!E$8),"",IFERROR(VLOOKUP($F16,Arrangörslista!E$8:$AG$45,16,FALSE),"DNS")))))</f>
        <v/>
      </c>
      <c r="M16" s="5" t="str">
        <f>IF(Deltagarlista!$K$3=4,IF(ISBLANK(Deltagarlista!$C17),"",IF(ISBLANK(Arrangörslista!I$8),"",IFERROR(VLOOKUP($F16,Arrangörslista!I$8:$AG$45,16,FALSE),IF(ISBLANK(Deltagarlista!$C17),"",IF(ISBLANK(Arrangörslista!I$8),"",IFERROR(VLOOKUP($F16,Arrangörslista!J$8:$AG$45,16,FALSE),"DNS")))))),IF(Deltagarlista!$K$3=2,
IF(ISBLANK(Deltagarlista!$C17),"",IF(ISBLANK(Arrangörslista!F$8),"",IF($GV16=M$64," DNS ",IFERROR(VLOOKUP($F16,Arrangörslista!F$8:$AG$45,16,FALSE),"DNS")))),IF(ISBLANK(Deltagarlista!$C17),"",IF(ISBLANK(Arrangörslista!F$8),"",IFERROR(VLOOKUP($F16,Arrangörslista!F$8:$AG$45,16,FALSE),"DNS")))))</f>
        <v/>
      </c>
      <c r="N16" s="5" t="str">
        <f>IF(Deltagarlista!$K$3=4,IF(ISBLANK(Deltagarlista!$C17),"",IF(ISBLANK(Arrangörslista!K$8),"",IFERROR(VLOOKUP($F16,Arrangörslista!K$8:$AG$45,16,FALSE),IF(ISBLANK(Deltagarlista!$C17),"",IF(ISBLANK(Arrangörslista!K$8),"",IFERROR(VLOOKUP($F16,Arrangörslista!L$8:$AG$45,16,FALSE),"DNS")))))),IF(Deltagarlista!$K$3=2,
IF(ISBLANK(Deltagarlista!$C17),"",IF(ISBLANK(Arrangörslista!G$8),"",IF($GV16=N$64," DNS ",IFERROR(VLOOKUP($F16,Arrangörslista!G$8:$AG$45,16,FALSE),"DNS")))),IF(ISBLANK(Deltagarlista!$C17),"",IF(ISBLANK(Arrangörslista!G$8),"",IFERROR(VLOOKUP($F16,Arrangörslista!G$8:$AG$45,16,FALSE),"DNS")))))</f>
        <v/>
      </c>
      <c r="O16" s="5" t="str">
        <f>IF(Deltagarlista!$K$3=4,IF(ISBLANK(Deltagarlista!$C17),"",IF(ISBLANK(Arrangörslista!M$8),"",IFERROR(VLOOKUP($F16,Arrangörslista!M$8:$AG$45,16,FALSE),IF(ISBLANK(Deltagarlista!$C17),"",IF(ISBLANK(Arrangörslista!M$8),"",IFERROR(VLOOKUP($F16,Arrangörslista!N$8:$AG$45,16,FALSE),"DNS")))))),IF(Deltagarlista!$K$3=2,
IF(ISBLANK(Deltagarlista!$C17),"",IF(ISBLANK(Arrangörslista!H$8),"",IF($GV16=O$64," DNS ",IFERROR(VLOOKUP($F16,Arrangörslista!H$8:$AG$45,16,FALSE),"DNS")))),IF(ISBLANK(Deltagarlista!$C17),"",IF(ISBLANK(Arrangörslista!H$8),"",IFERROR(VLOOKUP($F16,Arrangörslista!H$8:$AG$45,16,FALSE),"DNS")))))</f>
        <v/>
      </c>
      <c r="P16" s="5" t="str">
        <f>IF(Deltagarlista!$K$3=4,IF(ISBLANK(Deltagarlista!$C17),"",IF(ISBLANK(Arrangörslista!O$8),"",IFERROR(VLOOKUP($F16,Arrangörslista!O$8:$AG$45,16,FALSE),IF(ISBLANK(Deltagarlista!$C17),"",IF(ISBLANK(Arrangörslista!O$8),"",IFERROR(VLOOKUP($F16,Arrangörslista!P$8:$AG$45,16,FALSE),"DNS")))))),IF(Deltagarlista!$K$3=2,
IF(ISBLANK(Deltagarlista!$C17),"",IF(ISBLANK(Arrangörslista!I$8),"",IF($GV16=P$64," DNS ",IFERROR(VLOOKUP($F16,Arrangörslista!I$8:$AG$45,16,FALSE),"DNS")))),IF(ISBLANK(Deltagarlista!$C17),"",IF(ISBLANK(Arrangörslista!I$8),"",IFERROR(VLOOKUP($F16,Arrangörslista!I$8:$AG$45,16,FALSE),"DNS")))))</f>
        <v/>
      </c>
      <c r="Q16" s="5" t="str">
        <f>IF(Deltagarlista!$K$3=4,IF(ISBLANK(Deltagarlista!$C17),"",IF(ISBLANK(Arrangörslista!Q$8),"",IFERROR(VLOOKUP($F16,Arrangörslista!Q$8:$AG$45,16,FALSE),IF(ISBLANK(Deltagarlista!$C17),"",IF(ISBLANK(Arrangörslista!Q$8),"",IFERROR(VLOOKUP($F16,Arrangörslista!C$53:$AG$90,16,FALSE),"DNS")))))),IF(Deltagarlista!$K$3=2,
IF(ISBLANK(Deltagarlista!$C17),"",IF(ISBLANK(Arrangörslista!J$8),"",IF($GV16=Q$64," DNS ",IFERROR(VLOOKUP($F16,Arrangörslista!J$8:$AG$45,16,FALSE),"DNS")))),IF(ISBLANK(Deltagarlista!$C17),"",IF(ISBLANK(Arrangörslista!J$8),"",IFERROR(VLOOKUP($F16,Arrangörslista!J$8:$AG$45,16,FALSE),"DNS")))))</f>
        <v/>
      </c>
      <c r="R16" s="5" t="str">
        <f>IF(Deltagarlista!$K$3=4,IF(ISBLANK(Deltagarlista!$C17),"",IF(ISBLANK(Arrangörslista!D$53),"",IFERROR(VLOOKUP($F16,Arrangörslista!D$53:$AG$90,16,FALSE),IF(ISBLANK(Deltagarlista!$C17),"",IF(ISBLANK(Arrangörslista!D$53),"",IFERROR(VLOOKUP($F16,Arrangörslista!E$53:$AG$90,16,FALSE),"DNS")))))),IF(Deltagarlista!$K$3=2,
IF(ISBLANK(Deltagarlista!$C17),"",IF(ISBLANK(Arrangörslista!K$8),"",IF($GV16=R$64," DNS ",IFERROR(VLOOKUP($F16,Arrangörslista!K$8:$AG$45,16,FALSE),"DNS")))),IF(ISBLANK(Deltagarlista!$C17),"",IF(ISBLANK(Arrangörslista!K$8),"",IFERROR(VLOOKUP($F16,Arrangörslista!K$8:$AG$45,16,FALSE),"DNS")))))</f>
        <v/>
      </c>
      <c r="S16" s="5" t="str">
        <f>IF(Deltagarlista!$K$3=4,IF(ISBLANK(Deltagarlista!$C17),"",IF(ISBLANK(Arrangörslista!F$53),"",IFERROR(VLOOKUP($F16,Arrangörslista!F$53:$AG$90,16,FALSE),IF(ISBLANK(Deltagarlista!$C17),"",IF(ISBLANK(Arrangörslista!F$53),"",IFERROR(VLOOKUP($F16,Arrangörslista!G$53:$AG$90,16,FALSE),"DNS")))))),IF(Deltagarlista!$K$3=2,
IF(ISBLANK(Deltagarlista!$C17),"",IF(ISBLANK(Arrangörslista!L$8),"",IF($GV16=S$64," DNS ",IFERROR(VLOOKUP($F16,Arrangörslista!L$8:$AG$45,16,FALSE),"DNS")))),IF(ISBLANK(Deltagarlista!$C17),"",IF(ISBLANK(Arrangörslista!L$8),"",IFERROR(VLOOKUP($F16,Arrangörslista!L$8:$AG$45,16,FALSE),"DNS")))))</f>
        <v/>
      </c>
      <c r="T16" s="5" t="str">
        <f>IF(Deltagarlista!$K$3=4,IF(ISBLANK(Deltagarlista!$C17),"",IF(ISBLANK(Arrangörslista!H$53),"",IFERROR(VLOOKUP($F16,Arrangörslista!H$53:$AG$90,16,FALSE),IF(ISBLANK(Deltagarlista!$C17),"",IF(ISBLANK(Arrangörslista!H$53),"",IFERROR(VLOOKUP($F16,Arrangörslista!I$53:$AG$90,16,FALSE),"DNS")))))),IF(Deltagarlista!$K$3=2,
IF(ISBLANK(Deltagarlista!$C17),"",IF(ISBLANK(Arrangörslista!M$8),"",IF($GV16=T$64," DNS ",IFERROR(VLOOKUP($F16,Arrangörslista!M$8:$AG$45,16,FALSE),"DNS")))),IF(ISBLANK(Deltagarlista!$C17),"",IF(ISBLANK(Arrangörslista!M$8),"",IFERROR(VLOOKUP($F16,Arrangörslista!M$8:$AG$45,16,FALSE),"DNS")))))</f>
        <v/>
      </c>
      <c r="U16" s="5" t="str">
        <f>IF(Deltagarlista!$K$3=4,IF(ISBLANK(Deltagarlista!$C17),"",IF(ISBLANK(Arrangörslista!J$53),"",IFERROR(VLOOKUP($F16,Arrangörslista!J$53:$AG$90,16,FALSE),IF(ISBLANK(Deltagarlista!$C17),"",IF(ISBLANK(Arrangörslista!J$53),"",IFERROR(VLOOKUP($F16,Arrangörslista!K$53:$AG$90,16,FALSE),"DNS")))))),IF(Deltagarlista!$K$3=2,
IF(ISBLANK(Deltagarlista!$C17),"",IF(ISBLANK(Arrangörslista!N$8),"",IF($GV16=U$64," DNS ",IFERROR(VLOOKUP($F16,Arrangörslista!N$8:$AG$45,16,FALSE),"DNS")))),IF(ISBLANK(Deltagarlista!$C17),"",IF(ISBLANK(Arrangörslista!N$8),"",IFERROR(VLOOKUP($F16,Arrangörslista!N$8:$AG$45,16,FALSE),"DNS")))))</f>
        <v/>
      </c>
      <c r="V16" s="5" t="str">
        <f>IF(Deltagarlista!$K$3=4,IF(ISBLANK(Deltagarlista!$C17),"",IF(ISBLANK(Arrangörslista!L$53),"",IFERROR(VLOOKUP($F16,Arrangörslista!L$53:$AG$90,16,FALSE),IF(ISBLANK(Deltagarlista!$C17),"",IF(ISBLANK(Arrangörslista!L$53),"",IFERROR(VLOOKUP($F16,Arrangörslista!M$53:$AG$90,16,FALSE),"DNS")))))),IF(Deltagarlista!$K$3=2,
IF(ISBLANK(Deltagarlista!$C17),"",IF(ISBLANK(Arrangörslista!O$8),"",IF($GV16=V$64," DNS ",IFERROR(VLOOKUP($F16,Arrangörslista!O$8:$AG$45,16,FALSE),"DNS")))),IF(ISBLANK(Deltagarlista!$C17),"",IF(ISBLANK(Arrangörslista!O$8),"",IFERROR(VLOOKUP($F16,Arrangörslista!O$8:$AG$45,16,FALSE),"DNS")))))</f>
        <v/>
      </c>
      <c r="W16" s="5" t="str">
        <f>IF(Deltagarlista!$K$3=4,IF(ISBLANK(Deltagarlista!$C17),"",IF(ISBLANK(Arrangörslista!N$53),"",IFERROR(VLOOKUP($F16,Arrangörslista!N$53:$AG$90,16,FALSE),IF(ISBLANK(Deltagarlista!$C17),"",IF(ISBLANK(Arrangörslista!N$53),"",IFERROR(VLOOKUP($F16,Arrangörslista!O$53:$AG$90,16,FALSE),"DNS")))))),IF(Deltagarlista!$K$3=2,
IF(ISBLANK(Deltagarlista!$C17),"",IF(ISBLANK(Arrangörslista!P$8),"",IF($GV16=W$64," DNS ",IFERROR(VLOOKUP($F16,Arrangörslista!P$8:$AG$45,16,FALSE),"DNS")))),IF(ISBLANK(Deltagarlista!$C17),"",IF(ISBLANK(Arrangörslista!P$8),"",IFERROR(VLOOKUP($F16,Arrangörslista!P$8:$AG$45,16,FALSE),"DNS")))))</f>
        <v/>
      </c>
      <c r="X16" s="5" t="str">
        <f>IF(Deltagarlista!$K$3=4,IF(ISBLANK(Deltagarlista!$C17),"",IF(ISBLANK(Arrangörslista!P$53),"",IFERROR(VLOOKUP($F16,Arrangörslista!P$53:$AG$90,16,FALSE),IF(ISBLANK(Deltagarlista!$C17),"",IF(ISBLANK(Arrangörslista!P$53),"",IFERROR(VLOOKUP($F16,Arrangörslista!Q$53:$AG$90,16,FALSE),"DNS")))))),IF(Deltagarlista!$K$3=2,
IF(ISBLANK(Deltagarlista!$C17),"",IF(ISBLANK(Arrangörslista!Q$8),"",IF($GV16=X$64," DNS ",IFERROR(VLOOKUP($F16,Arrangörslista!Q$8:$AG$45,16,FALSE),"DNS")))),IF(ISBLANK(Deltagarlista!$C17),"",IF(ISBLANK(Arrangörslista!Q$8),"",IFERROR(VLOOKUP($F16,Arrangörslista!Q$8:$AG$45,16,FALSE),"DNS")))))</f>
        <v/>
      </c>
      <c r="Y16" s="5" t="str">
        <f>IF(Deltagarlista!$K$3=4,IF(ISBLANK(Deltagarlista!$C17),"",IF(ISBLANK(Arrangörslista!C$98),"",IFERROR(VLOOKUP($F16,Arrangörslista!C$98:$AG$135,16,FALSE),IF(ISBLANK(Deltagarlista!$C17),"",IF(ISBLANK(Arrangörslista!C$98),"",IFERROR(VLOOKUP($F16,Arrangörslista!D$98:$AG$135,16,FALSE),"DNS")))))),IF(Deltagarlista!$K$3=2,
IF(ISBLANK(Deltagarlista!$C17),"",IF(ISBLANK(Arrangörslista!C$53),"",IF($GV16=Y$64," DNS ",IFERROR(VLOOKUP($F16,Arrangörslista!C$53:$AG$90,16,FALSE),"DNS")))),IF(ISBLANK(Deltagarlista!$C17),"",IF(ISBLANK(Arrangörslista!C$53),"",IFERROR(VLOOKUP($F16,Arrangörslista!C$53:$AG$90,16,FALSE),"DNS")))))</f>
        <v/>
      </c>
      <c r="Z16" s="5" t="str">
        <f>IF(Deltagarlista!$K$3=4,IF(ISBLANK(Deltagarlista!$C17),"",IF(ISBLANK(Arrangörslista!E$98),"",IFERROR(VLOOKUP($F16,Arrangörslista!E$98:$AG$135,16,FALSE),IF(ISBLANK(Deltagarlista!$C17),"",IF(ISBLANK(Arrangörslista!E$98),"",IFERROR(VLOOKUP($F16,Arrangörslista!F$98:$AG$135,16,FALSE),"DNS")))))),IF(Deltagarlista!$K$3=2,
IF(ISBLANK(Deltagarlista!$C17),"",IF(ISBLANK(Arrangörslista!D$53),"",IF($GV16=Z$64," DNS ",IFERROR(VLOOKUP($F16,Arrangörslista!D$53:$AG$90,16,FALSE),"DNS")))),IF(ISBLANK(Deltagarlista!$C17),"",IF(ISBLANK(Arrangörslista!D$53),"",IFERROR(VLOOKUP($F16,Arrangörslista!D$53:$AG$90,16,FALSE),"DNS")))))</f>
        <v/>
      </c>
      <c r="AA16" s="5" t="str">
        <f>IF(Deltagarlista!$K$3=4,IF(ISBLANK(Deltagarlista!$C17),"",IF(ISBLANK(Arrangörslista!G$98),"",IFERROR(VLOOKUP($F16,Arrangörslista!G$98:$AG$135,16,FALSE),IF(ISBLANK(Deltagarlista!$C17),"",IF(ISBLANK(Arrangörslista!G$98),"",IFERROR(VLOOKUP($F16,Arrangörslista!H$98:$AG$135,16,FALSE),"DNS")))))),IF(Deltagarlista!$K$3=2,
IF(ISBLANK(Deltagarlista!$C17),"",IF(ISBLANK(Arrangörslista!E$53),"",IF($GV16=AA$64," DNS ",IFERROR(VLOOKUP($F16,Arrangörslista!E$53:$AG$90,16,FALSE),"DNS")))),IF(ISBLANK(Deltagarlista!$C17),"",IF(ISBLANK(Arrangörslista!E$53),"",IFERROR(VLOOKUP($F16,Arrangörslista!E$53:$AG$90,16,FALSE),"DNS")))))</f>
        <v/>
      </c>
      <c r="AB16" s="5" t="str">
        <f>IF(Deltagarlista!$K$3=4,IF(ISBLANK(Deltagarlista!$C17),"",IF(ISBLANK(Arrangörslista!I$98),"",IFERROR(VLOOKUP($F16,Arrangörslista!I$98:$AG$135,16,FALSE),IF(ISBLANK(Deltagarlista!$C17),"",IF(ISBLANK(Arrangörslista!I$98),"",IFERROR(VLOOKUP($F16,Arrangörslista!J$98:$AG$135,16,FALSE),"DNS")))))),IF(Deltagarlista!$K$3=2,
IF(ISBLANK(Deltagarlista!$C17),"",IF(ISBLANK(Arrangörslista!F$53),"",IF($GV16=AB$64," DNS ",IFERROR(VLOOKUP($F16,Arrangörslista!F$53:$AG$90,16,FALSE),"DNS")))),IF(ISBLANK(Deltagarlista!$C17),"",IF(ISBLANK(Arrangörslista!F$53),"",IFERROR(VLOOKUP($F16,Arrangörslista!F$53:$AG$90,16,FALSE),"DNS")))))</f>
        <v/>
      </c>
      <c r="AC16" s="5" t="str">
        <f>IF(Deltagarlista!$K$3=4,IF(ISBLANK(Deltagarlista!$C17),"",IF(ISBLANK(Arrangörslista!K$98),"",IFERROR(VLOOKUP($F16,Arrangörslista!K$98:$AG$135,16,FALSE),IF(ISBLANK(Deltagarlista!$C17),"",IF(ISBLANK(Arrangörslista!K$98),"",IFERROR(VLOOKUP($F16,Arrangörslista!L$98:$AG$135,16,FALSE),"DNS")))))),IF(Deltagarlista!$K$3=2,
IF(ISBLANK(Deltagarlista!$C17),"",IF(ISBLANK(Arrangörslista!G$53),"",IF($GV16=AC$64," DNS ",IFERROR(VLOOKUP($F16,Arrangörslista!G$53:$AG$90,16,FALSE),"DNS")))),IF(ISBLANK(Deltagarlista!$C17),"",IF(ISBLANK(Arrangörslista!G$53),"",IFERROR(VLOOKUP($F16,Arrangörslista!G$53:$AG$90,16,FALSE),"DNS")))))</f>
        <v/>
      </c>
      <c r="AD16" s="5" t="str">
        <f>IF(Deltagarlista!$K$3=4,IF(ISBLANK(Deltagarlista!$C17),"",IF(ISBLANK(Arrangörslista!M$98),"",IFERROR(VLOOKUP($F16,Arrangörslista!M$98:$AG$135,16,FALSE),IF(ISBLANK(Deltagarlista!$C17),"",IF(ISBLANK(Arrangörslista!M$98),"",IFERROR(VLOOKUP($F16,Arrangörslista!N$98:$AG$135,16,FALSE),"DNS")))))),IF(Deltagarlista!$K$3=2,
IF(ISBLANK(Deltagarlista!$C17),"",IF(ISBLANK(Arrangörslista!H$53),"",IF($GV16=AD$64," DNS ",IFERROR(VLOOKUP($F16,Arrangörslista!H$53:$AG$90,16,FALSE),"DNS")))),IF(ISBLANK(Deltagarlista!$C17),"",IF(ISBLANK(Arrangörslista!H$53),"",IFERROR(VLOOKUP($F16,Arrangörslista!H$53:$AG$90,16,FALSE),"DNS")))))</f>
        <v/>
      </c>
      <c r="AE16" s="5" t="str">
        <f>IF(Deltagarlista!$K$3=4,IF(ISBLANK(Deltagarlista!$C17),"",IF(ISBLANK(Arrangörslista!O$98),"",IFERROR(VLOOKUP($F16,Arrangörslista!O$98:$AG$135,16,FALSE),IF(ISBLANK(Deltagarlista!$C17),"",IF(ISBLANK(Arrangörslista!O$98),"",IFERROR(VLOOKUP($F16,Arrangörslista!P$98:$AG$135,16,FALSE),"DNS")))))),IF(Deltagarlista!$K$3=2,
IF(ISBLANK(Deltagarlista!$C17),"",IF(ISBLANK(Arrangörslista!I$53),"",IF($GV16=AE$64," DNS ",IFERROR(VLOOKUP($F16,Arrangörslista!I$53:$AG$90,16,FALSE),"DNS")))),IF(ISBLANK(Deltagarlista!$C17),"",IF(ISBLANK(Arrangörslista!I$53),"",IFERROR(VLOOKUP($F16,Arrangörslista!I$53:$AG$90,16,FALSE),"DNS")))))</f>
        <v/>
      </c>
      <c r="AF16" s="5" t="str">
        <f>IF(Deltagarlista!$K$3=4,IF(ISBLANK(Deltagarlista!$C17),"",IF(ISBLANK(Arrangörslista!Q$98),"",IFERROR(VLOOKUP($F16,Arrangörslista!Q$98:$AG$135,16,FALSE),IF(ISBLANK(Deltagarlista!$C17),"",IF(ISBLANK(Arrangörslista!Q$98),"",IFERROR(VLOOKUP($F16,Arrangörslista!C$143:$AG$180,16,FALSE),"DNS")))))),IF(Deltagarlista!$K$3=2,
IF(ISBLANK(Deltagarlista!$C17),"",IF(ISBLANK(Arrangörslista!J$53),"",IF($GV16=AF$64," DNS ",IFERROR(VLOOKUP($F16,Arrangörslista!J$53:$AG$90,16,FALSE),"DNS")))),IF(ISBLANK(Deltagarlista!$C17),"",IF(ISBLANK(Arrangörslista!J$53),"",IFERROR(VLOOKUP($F16,Arrangörslista!J$53:$AG$90,16,FALSE),"DNS")))))</f>
        <v/>
      </c>
      <c r="AG16" s="5" t="str">
        <f>IF(Deltagarlista!$K$3=4,IF(ISBLANK(Deltagarlista!$C17),"",IF(ISBLANK(Arrangörslista!D$143),"",IFERROR(VLOOKUP($F16,Arrangörslista!D$143:$AG$180,16,FALSE),IF(ISBLANK(Deltagarlista!$C17),"",IF(ISBLANK(Arrangörslista!D$143),"",IFERROR(VLOOKUP($F16,Arrangörslista!E$143:$AG$180,16,FALSE),"DNS")))))),IF(Deltagarlista!$K$3=2,
IF(ISBLANK(Deltagarlista!$C17),"",IF(ISBLANK(Arrangörslista!K$53),"",IF($GV16=AG$64," DNS ",IFERROR(VLOOKUP($F16,Arrangörslista!K$53:$AG$90,16,FALSE),"DNS")))),IF(ISBLANK(Deltagarlista!$C17),"",IF(ISBLANK(Arrangörslista!K$53),"",IFERROR(VLOOKUP($F16,Arrangörslista!K$53:$AG$90,16,FALSE),"DNS")))))</f>
        <v/>
      </c>
      <c r="AH16" s="5" t="str">
        <f>IF(Deltagarlista!$K$3=4,IF(ISBLANK(Deltagarlista!$C17),"",IF(ISBLANK(Arrangörslista!F$143),"",IFERROR(VLOOKUP($F16,Arrangörslista!F$143:$AG$180,16,FALSE),IF(ISBLANK(Deltagarlista!$C17),"",IF(ISBLANK(Arrangörslista!F$143),"",IFERROR(VLOOKUP($F16,Arrangörslista!G$143:$AG$180,16,FALSE),"DNS")))))),IF(Deltagarlista!$K$3=2,
IF(ISBLANK(Deltagarlista!$C17),"",IF(ISBLANK(Arrangörslista!L$53),"",IF($GV16=AH$64," DNS ",IFERROR(VLOOKUP($F16,Arrangörslista!L$53:$AG$90,16,FALSE),"DNS")))),IF(ISBLANK(Deltagarlista!$C17),"",IF(ISBLANK(Arrangörslista!L$53),"",IFERROR(VLOOKUP($F16,Arrangörslista!L$53:$AG$90,16,FALSE),"DNS")))))</f>
        <v/>
      </c>
      <c r="AI16" s="5" t="str">
        <f>IF(Deltagarlista!$K$3=4,IF(ISBLANK(Deltagarlista!$C17),"",IF(ISBLANK(Arrangörslista!H$143),"",IFERROR(VLOOKUP($F16,Arrangörslista!H$143:$AG$180,16,FALSE),IF(ISBLANK(Deltagarlista!$C17),"",IF(ISBLANK(Arrangörslista!H$143),"",IFERROR(VLOOKUP($F16,Arrangörslista!I$143:$AG$180,16,FALSE),"DNS")))))),IF(Deltagarlista!$K$3=2,
IF(ISBLANK(Deltagarlista!$C17),"",IF(ISBLANK(Arrangörslista!M$53),"",IF($GV16=AI$64," DNS ",IFERROR(VLOOKUP($F16,Arrangörslista!M$53:$AG$90,16,FALSE),"DNS")))),IF(ISBLANK(Deltagarlista!$C17),"",IF(ISBLANK(Arrangörslista!M$53),"",IFERROR(VLOOKUP($F16,Arrangörslista!M$53:$AG$90,16,FALSE),"DNS")))))</f>
        <v/>
      </c>
      <c r="AJ16" s="5" t="str">
        <f>IF(Deltagarlista!$K$3=4,IF(ISBLANK(Deltagarlista!$C17),"",IF(ISBLANK(Arrangörslista!J$143),"",IFERROR(VLOOKUP($F16,Arrangörslista!J$143:$AG$180,16,FALSE),IF(ISBLANK(Deltagarlista!$C17),"",IF(ISBLANK(Arrangörslista!J$143),"",IFERROR(VLOOKUP($F16,Arrangörslista!K$143:$AG$180,16,FALSE),"DNS")))))),IF(Deltagarlista!$K$3=2,
IF(ISBLANK(Deltagarlista!$C17),"",IF(ISBLANK(Arrangörslista!N$53),"",IF($GV16=AJ$64," DNS ",IFERROR(VLOOKUP($F16,Arrangörslista!N$53:$AG$90,16,FALSE),"DNS")))),IF(ISBLANK(Deltagarlista!$C17),"",IF(ISBLANK(Arrangörslista!N$53),"",IFERROR(VLOOKUP($F16,Arrangörslista!N$53:$AG$90,16,FALSE),"DNS")))))</f>
        <v/>
      </c>
      <c r="AK16" s="5" t="str">
        <f>IF(Deltagarlista!$K$3=4,IF(ISBLANK(Deltagarlista!$C17),"",IF(ISBLANK(Arrangörslista!L$143),"",IFERROR(VLOOKUP($F16,Arrangörslista!L$143:$AG$180,16,FALSE),IF(ISBLANK(Deltagarlista!$C17),"",IF(ISBLANK(Arrangörslista!L$143),"",IFERROR(VLOOKUP($F16,Arrangörslista!M$143:$AG$180,16,FALSE),"DNS")))))),IF(Deltagarlista!$K$3=2,
IF(ISBLANK(Deltagarlista!$C17),"",IF(ISBLANK(Arrangörslista!O$53),"",IF($GV16=AK$64," DNS ",IFERROR(VLOOKUP($F16,Arrangörslista!O$53:$AG$90,16,FALSE),"DNS")))),IF(ISBLANK(Deltagarlista!$C17),"",IF(ISBLANK(Arrangörslista!O$53),"",IFERROR(VLOOKUP($F16,Arrangörslista!O$53:$AG$90,16,FALSE),"DNS")))))</f>
        <v/>
      </c>
      <c r="AL16" s="5" t="str">
        <f>IF(Deltagarlista!$K$3=4,IF(ISBLANK(Deltagarlista!$C17),"",IF(ISBLANK(Arrangörslista!N$143),"",IFERROR(VLOOKUP($F16,Arrangörslista!N$143:$AG$180,16,FALSE),IF(ISBLANK(Deltagarlista!$C17),"",IF(ISBLANK(Arrangörslista!N$143),"",IFERROR(VLOOKUP($F16,Arrangörslista!O$143:$AG$180,16,FALSE),"DNS")))))),IF(Deltagarlista!$K$3=2,
IF(ISBLANK(Deltagarlista!$C17),"",IF(ISBLANK(Arrangörslista!P$53),"",IF($GV16=AL$64," DNS ",IFERROR(VLOOKUP($F16,Arrangörslista!P$53:$AG$90,16,FALSE),"DNS")))),IF(ISBLANK(Deltagarlista!$C17),"",IF(ISBLANK(Arrangörslista!P$53),"",IFERROR(VLOOKUP($F16,Arrangörslista!P$53:$AG$90,16,FALSE),"DNS")))))</f>
        <v/>
      </c>
      <c r="AM16" s="5" t="str">
        <f>IF(Deltagarlista!$K$3=4,IF(ISBLANK(Deltagarlista!$C17),"",IF(ISBLANK(Arrangörslista!P$143),"",IFERROR(VLOOKUP($F16,Arrangörslista!P$143:$AG$180,16,FALSE),IF(ISBLANK(Deltagarlista!$C17),"",IF(ISBLANK(Arrangörslista!P$143),"",IFERROR(VLOOKUP($F16,Arrangörslista!Q$143:$AG$180,16,FALSE),"DNS")))))),IF(Deltagarlista!$K$3=2,
IF(ISBLANK(Deltagarlista!$C17),"",IF(ISBLANK(Arrangörslista!Q$53),"",IF($GV16=AM$64," DNS ",IFERROR(VLOOKUP($F16,Arrangörslista!Q$53:$AG$90,16,FALSE),"DNS")))),IF(ISBLANK(Deltagarlista!$C17),"",IF(ISBLANK(Arrangörslista!Q$53),"",IFERROR(VLOOKUP($F16,Arrangörslista!Q$53:$AG$90,16,FALSE),"DNS")))))</f>
        <v/>
      </c>
      <c r="AN16" s="5" t="str">
        <f>IF(Deltagarlista!$K$3=2,
IF(ISBLANK(Deltagarlista!$C17),"",IF(ISBLANK(Arrangörslista!C$98),"",IF($GV16=AN$64," DNS ",IFERROR(VLOOKUP($F16,Arrangörslista!C$98:$AG$135,16,FALSE), "DNS")))), IF(Deltagarlista!$K$3=1,IF(ISBLANK(Deltagarlista!$C17),"",IF(ISBLANK(Arrangörslista!C$98),"",IFERROR(VLOOKUP($F16,Arrangörslista!C$98:$AG$135,16,FALSE), "DNS"))),""))</f>
        <v/>
      </c>
      <c r="AO16" s="5" t="str">
        <f>IF(Deltagarlista!$K$3=2,
IF(ISBLANK(Deltagarlista!$C17),"",IF(ISBLANK(Arrangörslista!D$98),"",IF($GV16=AO$64," DNS ",IFERROR(VLOOKUP($F16,Arrangörslista!D$98:$AG$135,16,FALSE), "DNS")))), IF(Deltagarlista!$K$3=1,IF(ISBLANK(Deltagarlista!$C17),"",IF(ISBLANK(Arrangörslista!D$98),"",IFERROR(VLOOKUP($F16,Arrangörslista!D$98:$AG$135,16,FALSE), "DNS"))),""))</f>
        <v/>
      </c>
      <c r="AP16" s="5" t="str">
        <f>IF(Deltagarlista!$K$3=2,
IF(ISBLANK(Deltagarlista!$C17),"",IF(ISBLANK(Arrangörslista!E$98),"",IF($GV16=AP$64," DNS ",IFERROR(VLOOKUP($F16,Arrangörslista!E$98:$AG$135,16,FALSE), "DNS")))), IF(Deltagarlista!$K$3=1,IF(ISBLANK(Deltagarlista!$C17),"",IF(ISBLANK(Arrangörslista!E$98),"",IFERROR(VLOOKUP($F16,Arrangörslista!E$98:$AG$135,16,FALSE), "DNS"))),""))</f>
        <v/>
      </c>
      <c r="AQ16" s="5" t="str">
        <f>IF(Deltagarlista!$K$3=2,
IF(ISBLANK(Deltagarlista!$C17),"",IF(ISBLANK(Arrangörslista!F$98),"",IF($GV16=AQ$64," DNS ",IFERROR(VLOOKUP($F16,Arrangörslista!F$98:$AG$135,16,FALSE), "DNS")))), IF(Deltagarlista!$K$3=1,IF(ISBLANK(Deltagarlista!$C17),"",IF(ISBLANK(Arrangörslista!F$98),"",IFERROR(VLOOKUP($F16,Arrangörslista!F$98:$AG$135,16,FALSE), "DNS"))),""))</f>
        <v/>
      </c>
      <c r="AR16" s="5" t="str">
        <f>IF(Deltagarlista!$K$3=2,
IF(ISBLANK(Deltagarlista!$C17),"",IF(ISBLANK(Arrangörslista!G$98),"",IF($GV16=AR$64," DNS ",IFERROR(VLOOKUP($F16,Arrangörslista!G$98:$AG$135,16,FALSE), "DNS")))), IF(Deltagarlista!$K$3=1,IF(ISBLANK(Deltagarlista!$C17),"",IF(ISBLANK(Arrangörslista!G$98),"",IFERROR(VLOOKUP($F16,Arrangörslista!G$98:$AG$135,16,FALSE), "DNS"))),""))</f>
        <v/>
      </c>
      <c r="AS16" s="5" t="str">
        <f>IF(Deltagarlista!$K$3=2,
IF(ISBLANK(Deltagarlista!$C17),"",IF(ISBLANK(Arrangörslista!H$98),"",IF($GV16=AS$64," DNS ",IFERROR(VLOOKUP($F16,Arrangörslista!H$98:$AG$135,16,FALSE), "DNS")))), IF(Deltagarlista!$K$3=1,IF(ISBLANK(Deltagarlista!$C17),"",IF(ISBLANK(Arrangörslista!H$98),"",IFERROR(VLOOKUP($F16,Arrangörslista!H$98:$AG$135,16,FALSE), "DNS"))),""))</f>
        <v/>
      </c>
      <c r="AT16" s="5" t="str">
        <f>IF(Deltagarlista!$K$3=2,
IF(ISBLANK(Deltagarlista!$C17),"",IF(ISBLANK(Arrangörslista!I$98),"",IF($GV16=AT$64," DNS ",IFERROR(VLOOKUP($F16,Arrangörslista!I$98:$AG$135,16,FALSE), "DNS")))), IF(Deltagarlista!$K$3=1,IF(ISBLANK(Deltagarlista!$C17),"",IF(ISBLANK(Arrangörslista!I$98),"",IFERROR(VLOOKUP($F16,Arrangörslista!I$98:$AG$135,16,FALSE), "DNS"))),""))</f>
        <v/>
      </c>
      <c r="AU16" s="5" t="str">
        <f>IF(Deltagarlista!$K$3=2,
IF(ISBLANK(Deltagarlista!$C17),"",IF(ISBLANK(Arrangörslista!J$98),"",IF($GV16=AU$64," DNS ",IFERROR(VLOOKUP($F16,Arrangörslista!J$98:$AG$135,16,FALSE), "DNS")))), IF(Deltagarlista!$K$3=1,IF(ISBLANK(Deltagarlista!$C17),"",IF(ISBLANK(Arrangörslista!J$98),"",IFERROR(VLOOKUP($F16,Arrangörslista!J$98:$AG$135,16,FALSE), "DNS"))),""))</f>
        <v/>
      </c>
      <c r="AV16" s="5" t="str">
        <f>IF(Deltagarlista!$K$3=2,
IF(ISBLANK(Deltagarlista!$C17),"",IF(ISBLANK(Arrangörslista!K$98),"",IF($GV16=AV$64," DNS ",IFERROR(VLOOKUP($F16,Arrangörslista!K$98:$AG$135,16,FALSE), "DNS")))), IF(Deltagarlista!$K$3=1,IF(ISBLANK(Deltagarlista!$C17),"",IF(ISBLANK(Arrangörslista!K$98),"",IFERROR(VLOOKUP($F16,Arrangörslista!K$98:$AG$135,16,FALSE), "DNS"))),""))</f>
        <v/>
      </c>
      <c r="AW16" s="5" t="str">
        <f>IF(Deltagarlista!$K$3=2,
IF(ISBLANK(Deltagarlista!$C17),"",IF(ISBLANK(Arrangörslista!L$98),"",IF($GV16=AW$64," DNS ",IFERROR(VLOOKUP($F16,Arrangörslista!L$98:$AG$135,16,FALSE), "DNS")))), IF(Deltagarlista!$K$3=1,IF(ISBLANK(Deltagarlista!$C17),"",IF(ISBLANK(Arrangörslista!L$98),"",IFERROR(VLOOKUP($F16,Arrangörslista!L$98:$AG$135,16,FALSE), "DNS"))),""))</f>
        <v/>
      </c>
      <c r="AX16" s="5" t="str">
        <f>IF(Deltagarlista!$K$3=2,
IF(ISBLANK(Deltagarlista!$C17),"",IF(ISBLANK(Arrangörslista!M$98),"",IF($GV16=AX$64," DNS ",IFERROR(VLOOKUP($F16,Arrangörslista!M$98:$AG$135,16,FALSE), "DNS")))), IF(Deltagarlista!$K$3=1,IF(ISBLANK(Deltagarlista!$C17),"",IF(ISBLANK(Arrangörslista!M$98),"",IFERROR(VLOOKUP($F16,Arrangörslista!M$98:$AG$135,16,FALSE), "DNS"))),""))</f>
        <v/>
      </c>
      <c r="AY16" s="5" t="str">
        <f>IF(Deltagarlista!$K$3=2,
IF(ISBLANK(Deltagarlista!$C17),"",IF(ISBLANK(Arrangörslista!N$98),"",IF($GV16=AY$64," DNS ",IFERROR(VLOOKUP($F16,Arrangörslista!N$98:$AG$135,16,FALSE), "DNS")))), IF(Deltagarlista!$K$3=1,IF(ISBLANK(Deltagarlista!$C17),"",IF(ISBLANK(Arrangörslista!N$98),"",IFERROR(VLOOKUP($F16,Arrangörslista!N$98:$AG$135,16,FALSE), "DNS"))),""))</f>
        <v/>
      </c>
      <c r="AZ16" s="5" t="str">
        <f>IF(Deltagarlista!$K$3=2,
IF(ISBLANK(Deltagarlista!$C17),"",IF(ISBLANK(Arrangörslista!O$98),"",IF($GV16=AZ$64," DNS ",IFERROR(VLOOKUP($F16,Arrangörslista!O$98:$AG$135,16,FALSE), "DNS")))), IF(Deltagarlista!$K$3=1,IF(ISBLANK(Deltagarlista!$C17),"",IF(ISBLANK(Arrangörslista!O$98),"",IFERROR(VLOOKUP($F16,Arrangörslista!O$98:$AG$135,16,FALSE), "DNS"))),""))</f>
        <v/>
      </c>
      <c r="BA16" s="5" t="str">
        <f>IF(Deltagarlista!$K$3=2,
IF(ISBLANK(Deltagarlista!$C17),"",IF(ISBLANK(Arrangörslista!P$98),"",IF($GV16=BA$64," DNS ",IFERROR(VLOOKUP($F16,Arrangörslista!P$98:$AG$135,16,FALSE), "DNS")))), IF(Deltagarlista!$K$3=1,IF(ISBLANK(Deltagarlista!$C17),"",IF(ISBLANK(Arrangörslista!P$98),"",IFERROR(VLOOKUP($F16,Arrangörslista!P$98:$AG$135,16,FALSE), "DNS"))),""))</f>
        <v/>
      </c>
      <c r="BB16" s="5" t="str">
        <f>IF(Deltagarlista!$K$3=2,
IF(ISBLANK(Deltagarlista!$C17),"",IF(ISBLANK(Arrangörslista!Q$98),"",IF($GV16=BB$64," DNS ",IFERROR(VLOOKUP($F16,Arrangörslista!Q$98:$AG$135,16,FALSE), "DNS")))), IF(Deltagarlista!$K$3=1,IF(ISBLANK(Deltagarlista!$C17),"",IF(ISBLANK(Arrangörslista!Q$98),"",IFERROR(VLOOKUP($F16,Arrangörslista!Q$98:$AG$135,16,FALSE), "DNS"))),""))</f>
        <v/>
      </c>
      <c r="BC16" s="5" t="str">
        <f>IF(Deltagarlista!$K$3=2,
IF(ISBLANK(Deltagarlista!$C17),"",IF(ISBLANK(Arrangörslista!C$143),"",IF($GV16=BC$64," DNS ",IFERROR(VLOOKUP($F16,Arrangörslista!C$143:$AG$180,16,FALSE), "DNS")))), IF(Deltagarlista!$K$3=1,IF(ISBLANK(Deltagarlista!$C17),"",IF(ISBLANK(Arrangörslista!C$143),"",IFERROR(VLOOKUP($F16,Arrangörslista!C$143:$AG$180,16,FALSE), "DNS"))),""))</f>
        <v/>
      </c>
      <c r="BD16" s="5" t="str">
        <f>IF(Deltagarlista!$K$3=2,
IF(ISBLANK(Deltagarlista!$C17),"",IF(ISBLANK(Arrangörslista!D$143),"",IF($GV16=BD$64," DNS ",IFERROR(VLOOKUP($F16,Arrangörslista!D$143:$AG$180,16,FALSE), "DNS")))), IF(Deltagarlista!$K$3=1,IF(ISBLANK(Deltagarlista!$C17),"",IF(ISBLANK(Arrangörslista!D$143),"",IFERROR(VLOOKUP($F16,Arrangörslista!D$143:$AG$180,16,FALSE), "DNS"))),""))</f>
        <v/>
      </c>
      <c r="BE16" s="5" t="str">
        <f>IF(Deltagarlista!$K$3=2,
IF(ISBLANK(Deltagarlista!$C17),"",IF(ISBLANK(Arrangörslista!E$143),"",IF($GV16=BE$64," DNS ",IFERROR(VLOOKUP($F16,Arrangörslista!E$143:$AG$180,16,FALSE), "DNS")))), IF(Deltagarlista!$K$3=1,IF(ISBLANK(Deltagarlista!$C17),"",IF(ISBLANK(Arrangörslista!E$143),"",IFERROR(VLOOKUP($F16,Arrangörslista!E$143:$AG$180,16,FALSE), "DNS"))),""))</f>
        <v/>
      </c>
      <c r="BF16" s="5" t="str">
        <f>IF(Deltagarlista!$K$3=2,
IF(ISBLANK(Deltagarlista!$C17),"",IF(ISBLANK(Arrangörslista!F$143),"",IF($GV16=BF$64," DNS ",IFERROR(VLOOKUP($F16,Arrangörslista!F$143:$AG$180,16,FALSE), "DNS")))), IF(Deltagarlista!$K$3=1,IF(ISBLANK(Deltagarlista!$C17),"",IF(ISBLANK(Arrangörslista!F$143),"",IFERROR(VLOOKUP($F16,Arrangörslista!F$143:$AG$180,16,FALSE), "DNS"))),""))</f>
        <v/>
      </c>
      <c r="BG16" s="5" t="str">
        <f>IF(Deltagarlista!$K$3=2,
IF(ISBLANK(Deltagarlista!$C17),"",IF(ISBLANK(Arrangörslista!G$143),"",IF($GV16=BG$64," DNS ",IFERROR(VLOOKUP($F16,Arrangörslista!G$143:$AG$180,16,FALSE), "DNS")))), IF(Deltagarlista!$K$3=1,IF(ISBLANK(Deltagarlista!$C17),"",IF(ISBLANK(Arrangörslista!G$143),"",IFERROR(VLOOKUP($F16,Arrangörslista!G$143:$AG$180,16,FALSE), "DNS"))),""))</f>
        <v/>
      </c>
      <c r="BH16" s="5" t="str">
        <f>IF(Deltagarlista!$K$3=2,
IF(ISBLANK(Deltagarlista!$C17),"",IF(ISBLANK(Arrangörslista!H$143),"",IF($GV16=BH$64," DNS ",IFERROR(VLOOKUP($F16,Arrangörslista!H$143:$AG$180,16,FALSE), "DNS")))), IF(Deltagarlista!$K$3=1,IF(ISBLANK(Deltagarlista!$C17),"",IF(ISBLANK(Arrangörslista!H$143),"",IFERROR(VLOOKUP($F16,Arrangörslista!H$143:$AG$180,16,FALSE), "DNS"))),""))</f>
        <v/>
      </c>
      <c r="BI16" s="5" t="str">
        <f>IF(Deltagarlista!$K$3=2,
IF(ISBLANK(Deltagarlista!$C17),"",IF(ISBLANK(Arrangörslista!I$143),"",IF($GV16=BI$64," DNS ",IFERROR(VLOOKUP($F16,Arrangörslista!I$143:$AG$180,16,FALSE), "DNS")))), IF(Deltagarlista!$K$3=1,IF(ISBLANK(Deltagarlista!$C17),"",IF(ISBLANK(Arrangörslista!I$143),"",IFERROR(VLOOKUP($F16,Arrangörslista!I$143:$AG$180,16,FALSE), "DNS"))),""))</f>
        <v/>
      </c>
      <c r="BJ16" s="5" t="str">
        <f>IF(Deltagarlista!$K$3=2,
IF(ISBLANK(Deltagarlista!$C17),"",IF(ISBLANK(Arrangörslista!J$143),"",IF($GV16=BJ$64," DNS ",IFERROR(VLOOKUP($F16,Arrangörslista!J$143:$AG$180,16,FALSE), "DNS")))), IF(Deltagarlista!$K$3=1,IF(ISBLANK(Deltagarlista!$C17),"",IF(ISBLANK(Arrangörslista!J$143),"",IFERROR(VLOOKUP($F16,Arrangörslista!J$143:$AG$180,16,FALSE), "DNS"))),""))</f>
        <v/>
      </c>
      <c r="BK16" s="5" t="str">
        <f>IF(Deltagarlista!$K$3=2,
IF(ISBLANK(Deltagarlista!$C17),"",IF(ISBLANK(Arrangörslista!K$143),"",IF($GV16=BK$64," DNS ",IFERROR(VLOOKUP($F16,Arrangörslista!K$143:$AG$180,16,FALSE), "DNS")))), IF(Deltagarlista!$K$3=1,IF(ISBLANK(Deltagarlista!$C17),"",IF(ISBLANK(Arrangörslista!K$143),"",IFERROR(VLOOKUP($F16,Arrangörslista!K$143:$AG$180,16,FALSE), "DNS"))),""))</f>
        <v/>
      </c>
      <c r="BL16" s="5" t="str">
        <f>IF(Deltagarlista!$K$3=2,
IF(ISBLANK(Deltagarlista!$C17),"",IF(ISBLANK(Arrangörslista!L$143),"",IF($GV16=BL$64," DNS ",IFERROR(VLOOKUP($F16,Arrangörslista!L$143:$AG$180,16,FALSE), "DNS")))), IF(Deltagarlista!$K$3=1,IF(ISBLANK(Deltagarlista!$C17),"",IF(ISBLANK(Arrangörslista!L$143),"",IFERROR(VLOOKUP($F16,Arrangörslista!L$143:$AG$180,16,FALSE), "DNS"))),""))</f>
        <v/>
      </c>
      <c r="BM16" s="5" t="str">
        <f>IF(Deltagarlista!$K$3=2,
IF(ISBLANK(Deltagarlista!$C17),"",IF(ISBLANK(Arrangörslista!M$143),"",IF($GV16=BM$64," DNS ",IFERROR(VLOOKUP($F16,Arrangörslista!M$143:$AG$180,16,FALSE), "DNS")))), IF(Deltagarlista!$K$3=1,IF(ISBLANK(Deltagarlista!$C17),"",IF(ISBLANK(Arrangörslista!M$143),"",IFERROR(VLOOKUP($F16,Arrangörslista!M$143:$AG$180,16,FALSE), "DNS"))),""))</f>
        <v/>
      </c>
      <c r="BN16" s="5" t="str">
        <f>IF(Deltagarlista!$K$3=2,
IF(ISBLANK(Deltagarlista!$C17),"",IF(ISBLANK(Arrangörslista!N$143),"",IF($GV16=BN$64," DNS ",IFERROR(VLOOKUP($F16,Arrangörslista!N$143:$AG$180,16,FALSE), "DNS")))), IF(Deltagarlista!$K$3=1,IF(ISBLANK(Deltagarlista!$C17),"",IF(ISBLANK(Arrangörslista!N$143),"",IFERROR(VLOOKUP($F16,Arrangörslista!N$143:$AG$180,16,FALSE), "DNS"))),""))</f>
        <v/>
      </c>
      <c r="BO16" s="5" t="str">
        <f>IF(Deltagarlista!$K$3=2,
IF(ISBLANK(Deltagarlista!$C17),"",IF(ISBLANK(Arrangörslista!O$143),"",IF($GV16=BO$64," DNS ",IFERROR(VLOOKUP($F16,Arrangörslista!O$143:$AG$180,16,FALSE), "DNS")))), IF(Deltagarlista!$K$3=1,IF(ISBLANK(Deltagarlista!$C17),"",IF(ISBLANK(Arrangörslista!O$143),"",IFERROR(VLOOKUP($F16,Arrangörslista!O$143:$AG$180,16,FALSE), "DNS"))),""))</f>
        <v/>
      </c>
      <c r="BP16" s="5" t="str">
        <f>IF(Deltagarlista!$K$3=2,
IF(ISBLANK(Deltagarlista!$C17),"",IF(ISBLANK(Arrangörslista!P$143),"",IF($GV16=BP$64," DNS ",IFERROR(VLOOKUP($F16,Arrangörslista!P$143:$AG$180,16,FALSE), "DNS")))), IF(Deltagarlista!$K$3=1,IF(ISBLANK(Deltagarlista!$C17),"",IF(ISBLANK(Arrangörslista!P$143),"",IFERROR(VLOOKUP($F16,Arrangörslista!P$143:$AG$180,16,FALSE), "DNS"))),""))</f>
        <v/>
      </c>
      <c r="BQ16" s="80" t="str">
        <f>IF(Deltagarlista!$K$3=2,
IF(ISBLANK(Deltagarlista!$C17),"",IF(ISBLANK(Arrangörslista!Q$143),"",IF($GV16=BQ$64," DNS ",IFERROR(VLOOKUP($F16,Arrangörslista!Q$143:$AG$180,16,FALSE), "DNS")))), IF(Deltagarlista!$K$3=1,IF(ISBLANK(Deltagarlista!$C17),"",IF(ISBLANK(Arrangörslista!Q$143),"",IFERROR(VLOOKUP($F16,Arrangörslista!Q$143:$AG$180,16,FALSE), "DNS"))),""))</f>
        <v/>
      </c>
      <c r="BR16" s="51"/>
      <c r="BS16" s="51"/>
      <c r="BT16" s="51"/>
      <c r="BU16" s="71">
        <f>SUM(BV16:EC16)</f>
        <v>0</v>
      </c>
      <c r="BV16" s="61">
        <f>IF(J16="",0,IF(OR(J16="DNF",J16="OCS",J16="DSQ",J16="DNS",J16=" DNS "),$BW$3+1,J16))</f>
        <v>0</v>
      </c>
      <c r="BW16" s="61">
        <f>IF(K16="",0,IF(OR(K16="DNF",K16="OCS",K16="DSQ",K16="DNS",K16=" DNS "),$BW$3+1,K16))</f>
        <v>0</v>
      </c>
      <c r="BX16" s="61">
        <f>IF(L16="",0,IF(OR(L16="DNF",L16="OCS",L16="DSQ",L16="DNS",L16=" DNS "),$BW$3+1,L16))</f>
        <v>0</v>
      </c>
      <c r="BY16" s="61">
        <f>IF(M16="",0,IF(OR(M16="DNF",M16="OCS",M16="DSQ",M16="DNS",M16=" DNS "),$BW$3+1,M16))</f>
        <v>0</v>
      </c>
      <c r="BZ16" s="61">
        <f>IF(N16="",0,IF(OR(N16="DNF",N16="OCS",N16="DSQ",N16="DNS",N16=" DNS "),$BW$3+1,N16))</f>
        <v>0</v>
      </c>
      <c r="CA16" s="61">
        <f>IF(O16="",0,IF(OR(O16="DNF",O16="OCS",O16="DSQ",O16="DNS",O16=" DNS "),$BW$3+1,O16))</f>
        <v>0</v>
      </c>
      <c r="CB16" s="61">
        <f>IF(P16="",0,IF(OR(P16="DNF",P16="OCS",P16="DSQ",P16="DNS",P16=" DNS "),$BW$3+1,P16))</f>
        <v>0</v>
      </c>
      <c r="CC16" s="61">
        <f>IF(Q16="",0,IF(OR(Q16="DNF",Q16="OCS",Q16="DSQ",Q16="DNS",Q16=" DNS "),$BW$3+1,Q16))</f>
        <v>0</v>
      </c>
      <c r="CD16" s="61">
        <f>IF(R16="",0,IF(OR(R16="DNF",R16="OCS",R16="DSQ",R16="DNS",R16=" DNS "),$BW$3+1,R16))</f>
        <v>0</v>
      </c>
      <c r="CE16" s="61">
        <f>IF(S16="",0,IF(OR(S16="DNF",S16="OCS",S16="DSQ",S16="DNS",S16=" DNS "),$BW$3+1,S16))</f>
        <v>0</v>
      </c>
      <c r="CF16" s="61">
        <f>IF(T16="",0,IF(OR(T16="DNF",T16="OCS",T16="DSQ",T16="DNS",T16=" DNS "),$BW$3+1,T16))</f>
        <v>0</v>
      </c>
      <c r="CG16" s="61">
        <f>IF(U16="",0,IF(OR(U16="DNF",U16="OCS",U16="DSQ",U16="DNS",U16=" DNS "),$BW$3+1,U16))</f>
        <v>0</v>
      </c>
      <c r="CH16" s="61">
        <f>IF(V16="",0,IF(OR(V16="DNF",V16="OCS",V16="DSQ",V16="DNS",V16=" DNS "),$BW$3+1,V16))</f>
        <v>0</v>
      </c>
      <c r="CI16" s="61">
        <f>IF(W16="",0,IF(OR(W16="DNF",W16="OCS",W16="DSQ",W16="DNS",W16=" DNS "),$BW$3+1,W16))</f>
        <v>0</v>
      </c>
      <c r="CJ16" s="61">
        <f>IF(X16="",0,IF(OR(X16="DNF",X16="OCS",X16="DSQ",X16="DNS",X16=" DNS "),$BW$3+1,X16))</f>
        <v>0</v>
      </c>
      <c r="CK16" s="61">
        <f>IF(Y16="",0,IF(OR(Y16="DNF",Y16="OCS",Y16="DSQ",Y16="DNS",Y16=" DNS "),$BW$3+1,Y16))</f>
        <v>0</v>
      </c>
      <c r="CL16" s="61">
        <f>IF(Z16="",0,IF(OR(Z16="DNF",Z16="OCS",Z16="DSQ",Z16="DNS",Z16=" DNS "),$BW$3+1,Z16))</f>
        <v>0</v>
      </c>
      <c r="CM16" s="61">
        <f>IF(AA16="",0,IF(OR(AA16="DNF",AA16="OCS",AA16="DSQ",AA16="DNS",AA16=" DNS "),$BW$3+1,AA16))</f>
        <v>0</v>
      </c>
      <c r="CN16" s="61">
        <f>IF(AB16="",0,IF(OR(AB16="DNF",AB16="OCS",AB16="DSQ",AB16="DNS",AB16=" DNS "),$BW$3+1,AB16))</f>
        <v>0</v>
      </c>
      <c r="CO16" s="61">
        <f>IF(AC16="",0,IF(OR(AC16="DNF",AC16="OCS",AC16="DSQ",AC16="DNS",AC16=" DNS "),$BW$3+1,AC16))</f>
        <v>0</v>
      </c>
      <c r="CP16" s="61">
        <f>IF(AD16="",0,IF(OR(AD16="DNF",AD16="OCS",AD16="DSQ",AD16="DNS",AD16=" DNS "),$BW$3+1,AD16))</f>
        <v>0</v>
      </c>
      <c r="CQ16" s="61">
        <f>IF(AE16="",0,IF(OR(AE16="DNF",AE16="OCS",AE16="DSQ",AE16="DNS",AE16=" DNS "),$BW$3+1,AE16))</f>
        <v>0</v>
      </c>
      <c r="CR16" s="61">
        <f>IF(AF16="",0,IF(OR(AF16="DNF",AF16="OCS",AF16="DSQ",AF16="DNS",AF16=" DNS "),$BW$3+1,AF16))</f>
        <v>0</v>
      </c>
      <c r="CS16" s="61">
        <f>IF(AG16="",0,IF(OR(AG16="DNF",AG16="OCS",AG16="DSQ",AG16="DNS",AG16=" DNS "),$BW$3+1,AG16))</f>
        <v>0</v>
      </c>
      <c r="CT16" s="61">
        <f>IF(AH16="",0,IF(OR(AH16="DNF",AH16="OCS",AH16="DSQ",AH16="DNS",AH16=" DNS "),$BW$3+1,AH16))</f>
        <v>0</v>
      </c>
      <c r="CU16" s="61">
        <f>IF(AI16="",0,IF(OR(AI16="DNF",AI16="OCS",AI16="DSQ",AI16="DNS",AI16=" DNS "),$BW$3+1,AI16))</f>
        <v>0</v>
      </c>
      <c r="CV16" s="61">
        <f>IF(AJ16="",0,IF(OR(AJ16="DNF",AJ16="OCS",AJ16="DSQ",AJ16="DNS",AJ16=" DNS "),$BW$3+1,AJ16))</f>
        <v>0</v>
      </c>
      <c r="CW16" s="61">
        <f>IF(AK16="",0,IF(OR(AK16="DNF",AK16="OCS",AK16="DSQ",AK16="DNS",AK16=" DNS "),$BW$3+1,AK16))</f>
        <v>0</v>
      </c>
      <c r="CX16" s="61">
        <f>IF(AL16="",0,IF(OR(AL16="DNF",AL16="OCS",AL16="DSQ",AL16="DNS",AL16=" DNS "),$BW$3+1,AL16))</f>
        <v>0</v>
      </c>
      <c r="CY16" s="61">
        <f>IF(AM16="",0,IF(OR(AM16="DNF",AM16="OCS",AM16="DSQ",AM16="DNS",AM16=" DNS "),$BW$3+1,AM16))</f>
        <v>0</v>
      </c>
      <c r="CZ16" s="61">
        <f>IF(AN16="",0,IF(OR(AN16="DNF",AN16="OCS",AN16="DSQ",AN16="DNS",AN16=" DNS "),$BW$3+1,AN16))</f>
        <v>0</v>
      </c>
      <c r="DA16" s="61">
        <f>IF(AO16="",0,IF(OR(AO16="DNF",AO16="OCS",AO16="DSQ",AO16="DNS",AO16=" DNS "),$BW$3+1,AO16))</f>
        <v>0</v>
      </c>
      <c r="DB16" s="61">
        <f>IF(AP16="",0,IF(OR(AP16="DNF",AP16="OCS",AP16="DSQ",AP16="DNS",AP16=" DNS "),$BW$3+1,AP16))</f>
        <v>0</v>
      </c>
      <c r="DC16" s="61">
        <f>IF(AQ16="",0,IF(OR(AQ16="DNF",AQ16="OCS",AQ16="DSQ",AQ16="DNS",AQ16=" DNS "),$BW$3+1,AQ16))</f>
        <v>0</v>
      </c>
      <c r="DD16" s="61">
        <f>IF(AR16="",0,IF(OR(AR16="DNF",AR16="OCS",AR16="DSQ",AR16="DNS",AR16=" DNS "),$BW$3+1,AR16))</f>
        <v>0</v>
      </c>
      <c r="DE16" s="61">
        <f>IF(AS16="",0,IF(OR(AS16="DNF",AS16="OCS",AS16="DSQ",AS16="DNS",AS16=" DNS "),$BW$3+1,AS16))</f>
        <v>0</v>
      </c>
      <c r="DF16" s="61">
        <f>IF(AT16="",0,IF(OR(AT16="DNF",AT16="OCS",AT16="DSQ",AT16="DNS",AT16=" DNS "),$BW$3+1,AT16))</f>
        <v>0</v>
      </c>
      <c r="DG16" s="61">
        <f>IF(AU16="",0,IF(OR(AU16="DNF",AU16="OCS",AU16="DSQ",AU16="DNS",AU16=" DNS "),$BW$3+1,AU16))</f>
        <v>0</v>
      </c>
      <c r="DH16" s="61">
        <f>IF(AV16="",0,IF(OR(AV16="DNF",AV16="OCS",AV16="DSQ",AV16="DNS",AV16=" DNS "),$BW$3+1,AV16))</f>
        <v>0</v>
      </c>
      <c r="DI16" s="61">
        <f>IF(AW16="",0,IF(OR(AW16="DNF",AW16="OCS",AW16="DSQ",AW16="DNS",AW16=" DNS "),$BW$3+1,AW16))</f>
        <v>0</v>
      </c>
      <c r="DJ16" s="61">
        <f>IF(AX16="",0,IF(OR(AX16="DNF",AX16="OCS",AX16="DSQ",AX16="DNS",AX16=" DNS "),$BW$3+1,AX16))</f>
        <v>0</v>
      </c>
      <c r="DK16" s="61">
        <f>IF(AY16="",0,IF(OR(AY16="DNF",AY16="OCS",AY16="DSQ",AY16="DNS",AY16=" DNS "),$BW$3+1,AY16))</f>
        <v>0</v>
      </c>
      <c r="DL16" s="61">
        <f>IF(AZ16="",0,IF(OR(AZ16="DNF",AZ16="OCS",AZ16="DSQ",AZ16="DNS",AZ16=" DNS "),$BW$3+1,AZ16))</f>
        <v>0</v>
      </c>
      <c r="DM16" s="61">
        <f>IF(BA16="",0,IF(OR(BA16="DNF",BA16="OCS",BA16="DSQ",BA16="DNS",BA16=" DNS "),$BW$3+1,BA16))</f>
        <v>0</v>
      </c>
      <c r="DN16" s="61">
        <f>IF(BB16="",0,IF(OR(BB16="DNF",BB16="OCS",BB16="DSQ",BB16="DNS",BB16=" DNS "),$BW$3+1,BB16))</f>
        <v>0</v>
      </c>
      <c r="DO16" s="61">
        <f>IF(BC16="",0,IF(OR(BC16="DNF",BC16="OCS",BC16="DSQ",BC16="DNS",BC16=" DNS "),$BW$3+1,BC16))</f>
        <v>0</v>
      </c>
      <c r="DP16" s="61">
        <f>IF(BD16="",0,IF(OR(BD16="DNF",BD16="OCS",BD16="DSQ",BD16="DNS",BD16=" DNS "),$BW$3+1,BD16))</f>
        <v>0</v>
      </c>
      <c r="DQ16" s="61">
        <f>IF(BE16="",0,IF(OR(BE16="DNF",BE16="OCS",BE16="DSQ",BE16="DNS",BE16=" DNS "),$BW$3+1,BE16))</f>
        <v>0</v>
      </c>
      <c r="DR16" s="61">
        <f>IF(BF16="",0,IF(OR(BF16="DNF",BF16="OCS",BF16="DSQ",BF16="DNS",BF16=" DNS "),$BW$3+1,BF16))</f>
        <v>0</v>
      </c>
      <c r="DS16" s="61">
        <f>IF(BG16="",0,IF(OR(BG16="DNF",BG16="OCS",BG16="DSQ",BG16="DNS",BG16=" DNS "),$BW$3+1,BG16))</f>
        <v>0</v>
      </c>
      <c r="DT16" s="61">
        <f>IF(BH16="",0,IF(OR(BH16="DNF",BH16="OCS",BH16="DSQ",BH16="DNS",BH16=" DNS "),$BW$3+1,BH16))</f>
        <v>0</v>
      </c>
      <c r="DU16" s="61">
        <f>IF(BI16="",0,IF(OR(BI16="DNF",BI16="OCS",BI16="DSQ",BI16="DNS",BI16=" DNS "),$BW$3+1,BI16))</f>
        <v>0</v>
      </c>
      <c r="DV16" s="61">
        <f>IF(BJ16="",0,IF(OR(BJ16="DNF",BJ16="OCS",BJ16="DSQ",BJ16="DNS",BJ16=" DNS "),$BW$3+1,BJ16))</f>
        <v>0</v>
      </c>
      <c r="DW16" s="61">
        <f>IF(BK16="",0,IF(OR(BK16="DNF",BK16="OCS",BK16="DSQ",BK16="DNS",BK16=" DNS "),$BW$3+1,BK16))</f>
        <v>0</v>
      </c>
      <c r="DX16" s="61">
        <f>IF(BL16="",0,IF(OR(BL16="DNF",BL16="OCS",BL16="DSQ",BL16="DNS",BL16=" DNS "),$BW$3+1,BL16))</f>
        <v>0</v>
      </c>
      <c r="DY16" s="61">
        <f>IF(BM16="",0,IF(OR(BM16="DNF",BM16="OCS",BM16="DSQ",BM16="DNS",BM16=" DNS "),$BW$3+1,BM16))</f>
        <v>0</v>
      </c>
      <c r="DZ16" s="61">
        <f>IF(BN16="",0,IF(OR(BN16="DNF",BN16="OCS",BN16="DSQ",BN16="DNS",BN16=" DNS "),$BW$3+1,BN16))</f>
        <v>0</v>
      </c>
      <c r="EA16" s="61">
        <f>IF(BO16="",0,IF(OR(BO16="DNF",BO16="OCS",BO16="DSQ",BO16="DNS",BO16=" DNS "),$BW$3+1,BO16))</f>
        <v>0</v>
      </c>
      <c r="EB16" s="61">
        <f>IF(BP16="",0,IF(OR(BP16="DNF",BP16="OCS",BP16="DSQ",BP16="DNS",BP16=" DNS "),$BW$3+1,BP16))</f>
        <v>0</v>
      </c>
      <c r="EC16" s="61">
        <f>IF(BQ16="",0,IF(OR(BQ16="DNF",BQ16="OCS",BQ16="DSQ",BQ16="DNS",BQ16=" DNS "),$BW$3+1,BQ16))</f>
        <v>0</v>
      </c>
      <c r="EE16" s="61">
        <f xml:space="preserve">
IF(OR(Deltagarlista!$K$3=3,Deltagarlista!$K$3=4),
IF(Arrangörslista!$U$5&lt;8,0,
IF(Arrangörslista!$U$5&lt;16,SUM(LARGE(BV16:CJ16,1)),
IF(Arrangörslista!$U$5&lt;24,SUM(LARGE(BV16:CR16,{1;2})),
IF(Arrangörslista!$U$5&lt;32,SUM(LARGE(BV16:CZ16,{1;2;3})),
IF(Arrangörslista!$U$5&lt;40,SUM(LARGE(BV16:DH16,{1;2;3;4})),
IF(Arrangörslista!$U$5&lt;48,SUM(LARGE(BV16:DP16,{1;2;3;4;5})),
IF(Arrangörslista!$U$5&lt;56,SUM(LARGE(BV16:DX16,{1;2;3;4;5;6})),
IF(Arrangörslista!$U$5&lt;64,SUM(LARGE(BV16:EC16,{1;2;3;4;5;6;7})),0)))))))),
IF(Deltagarlista!$K$3=2,
IF(Arrangörslista!$U$5&lt;4,LARGE(BV16:BX16,1),
IF(Arrangörslista!$U$5&lt;7,SUM(LARGE(BV16:CA16,{1;2;3})),
IF(Arrangörslista!$U$5&lt;10,SUM(LARGE(BV16:CD16,{1;2;3;4})),
IF(Arrangörslista!$U$5&lt;13,SUM(LARGE(BV16:CG16,{1;2;3;4;5;6})),
IF(Arrangörslista!$U$5&lt;16,SUM(LARGE(BV16:CJ16,{1;2;3;4;5;6;7})),
IF(Arrangörslista!$U$5&lt;19,SUM(LARGE(BV16:CM16,{1;2;3;4;5;6;7;8;9})),
IF(Arrangörslista!$U$5&lt;22,SUM(LARGE(BV16:CP16,{1;2;3;4;5;6;7;8;9;10})),
IF(Arrangörslista!$U$5&lt;25,SUM(LARGE(BV16:CS16,{1;2;3;4;5;6;7;8;9;10;11;12})),
IF(Arrangörslista!$U$5&lt;28,SUM(LARGE(BV16:CV16,{1;2;3;4;5;6;7;8;9;10;11;12;13})),
IF(Arrangörslista!$U$5&lt;31,SUM(LARGE(BV16:CY16,{1;2;3;4;5;6;7;8;9;10;11;12;13;14;15})),
IF(Arrangörslista!$U$5&lt;34,SUM(LARGE(BV16:DB16,{1;2;3;4;5;6;7;8;9;10;11;12;13;14;15;16})),
IF(Arrangörslista!$U$5&lt;37,SUM(LARGE(BV16:DE16,{1;2;3;4;5;6;7;8;9;10;11;12;13;14;15;16;17;18})),
IF(Arrangörslista!$U$5&lt;40,SUM(LARGE(BV16:DH16,{1;2;3;4;5;6;7;8;9;10;11;12;13;14;15;16;17;18;19})),
IF(Arrangörslista!$U$5&lt;43,SUM(LARGE(BV16:DK16,{1;2;3;4;5;6;7;8;9;10;11;12;13;14;15;16;17;18;19;20;21})),
IF(Arrangörslista!$U$5&lt;46,SUM(LARGE(BV16:DN16,{1;2;3;4;5;6;7;8;9;10;11;12;13;14;15;16;17;18;19;20;21;22})),
IF(Arrangörslista!$U$5&lt;49,SUM(LARGE(BV16:DQ16,{1;2;3;4;5;6;7;8;9;10;11;12;13;14;15;16;17;18;19;20;21;22;23;24})),
IF(Arrangörslista!$U$5&lt;52,SUM(LARGE(BV16:DT16,{1;2;3;4;5;6;7;8;9;10;11;12;13;14;15;16;17;18;19;20;21;22;23;24;25})),
IF(Arrangörslista!$U$5&lt;55,SUM(LARGE(BV16:DW16,{1;2;3;4;5;6;7;8;9;10;11;12;13;14;15;16;17;18;19;20;21;22;23;24;25;26;27})),
IF(Arrangörslista!$U$5&lt;58,SUM(LARGE(BV16:DZ16,{1;2;3;4;5;6;7;8;9;10;11;12;13;14;15;16;17;18;19;20;21;22;23;24;25;26;27;28})),
IF(Arrangörslista!$U$5&lt;61,SUM(LARGE(BV16:EC16,{1;2;3;4;5;6;7;8;9;10;11;12;13;14;15;16;17;18;19;20;21;22;23;24;25;26;27;28;29;30})),0)))))))))))))))))))),
IF(Arrangörslista!$U$5&lt;4,0,
IF(Arrangörslista!$U$5&lt;8,SUM(LARGE(BV16:CB16,1)),
IF(Arrangörslista!$U$5&lt;12,SUM(LARGE(BV16:CF16,{1;2})),
IF(Arrangörslista!$U$5&lt;16,SUM(LARGE(BV16:CJ16,{1;2;3})),
IF(Arrangörslista!$U$5&lt;20,SUM(LARGE(BV16:CN16,{1;2;3;4})),
IF(Arrangörslista!$U$5&lt;24,SUM(LARGE(BV16:CR16,{1;2;3;4;5})),
IF(Arrangörslista!$U$5&lt;28,SUM(LARGE(BV16:CV16,{1;2;3;4;5;6})),
IF(Arrangörslista!$U$5&lt;32,SUM(LARGE(BV16:CZ16,{1;2;3;4;5;6;7})),
IF(Arrangörslista!$U$5&lt;36,SUM(LARGE(BV16:DD16,{1;2;3;4;5;6;7;8})),
IF(Arrangörslista!$U$5&lt;40,SUM(LARGE(BV16:DH16,{1;2;3;4;5;6;7;8;9})),
IF(Arrangörslista!$U$5&lt;44,SUM(LARGE(BV16:DL16,{1;2;3;4;5;6;7;8;9;10})),
IF(Arrangörslista!$U$5&lt;48,SUM(LARGE(BV16:DP16,{1;2;3;4;5;6;7;8;9;10;11})),
IF(Arrangörslista!$U$5&lt;52,SUM(LARGE(BV16:DT16,{1;2;3;4;5;6;7;8;9;10;11;12})),
IF(Arrangörslista!$U$5&lt;56,SUM(LARGE(BV16:DX16,{1;2;3;4;5;6;7;8;9;10;11;12;13})),
IF(Arrangörslista!$U$5&lt;60,SUM(LARGE(BV16:EB16,{1;2;3;4;5;6;7;8;9;10;11;12;13;14})),
IF(Arrangörslista!$U$5=60,SUM(LARGE(BV16:EC16,{1;2;3;4;5;6;7;8;9;10;11;12;13;14;15})),0))))))))))))))))))</f>
        <v>0</v>
      </c>
      <c r="EG16" s="67">
        <f>IF(F16="",,1)</f>
        <v>0</v>
      </c>
      <c r="EH16" s="61"/>
      <c r="EI16" s="61"/>
      <c r="EK16" s="62">
        <f>SMALL($J79:$BQ79,1)</f>
        <v>61</v>
      </c>
      <c r="EL16" s="62">
        <f>SMALL($J79:$BQ79,2)</f>
        <v>61</v>
      </c>
      <c r="EM16" s="62">
        <f>SMALL($J79:$BQ79,3)</f>
        <v>61</v>
      </c>
      <c r="EN16" s="62">
        <f>SMALL($J79:$BQ79,4)</f>
        <v>61</v>
      </c>
      <c r="EO16" s="62">
        <f>SMALL($J79:$BQ79,5)</f>
        <v>61</v>
      </c>
      <c r="EP16" s="62">
        <f>SMALL($J79:$BQ79,6)</f>
        <v>61</v>
      </c>
      <c r="EQ16" s="62">
        <f>SMALL($J79:$BQ79,7)</f>
        <v>61</v>
      </c>
      <c r="ER16" s="62">
        <f>SMALL($J79:$BQ79,8)</f>
        <v>61</v>
      </c>
      <c r="ES16" s="62">
        <f>SMALL($J79:$BQ79,9)</f>
        <v>61</v>
      </c>
      <c r="ET16" s="62">
        <f>SMALL($J79:$BQ79,10)</f>
        <v>61</v>
      </c>
      <c r="EU16" s="62">
        <f>SMALL($J79:$BQ79,11)</f>
        <v>61</v>
      </c>
      <c r="EV16" s="62">
        <f>SMALL($J79:$BQ79,12)</f>
        <v>61</v>
      </c>
      <c r="EW16" s="62">
        <f>SMALL($J79:$BQ79,13)</f>
        <v>61</v>
      </c>
      <c r="EX16" s="62">
        <f>SMALL($J79:$BQ79,14)</f>
        <v>61</v>
      </c>
      <c r="EY16" s="62">
        <f>SMALL($J79:$BQ79,15)</f>
        <v>61</v>
      </c>
      <c r="EZ16" s="62">
        <f>SMALL($J79:$BQ79,16)</f>
        <v>61</v>
      </c>
      <c r="FA16" s="62">
        <f>SMALL($J79:$BQ79,17)</f>
        <v>61</v>
      </c>
      <c r="FB16" s="62">
        <f>SMALL($J79:$BQ79,18)</f>
        <v>61</v>
      </c>
      <c r="FC16" s="62">
        <f>SMALL($J79:$BQ79,19)</f>
        <v>61</v>
      </c>
      <c r="FD16" s="62">
        <f>SMALL($J79:$BQ79,20)</f>
        <v>61</v>
      </c>
      <c r="FE16" s="62">
        <f>SMALL($J79:$BQ79,21)</f>
        <v>61</v>
      </c>
      <c r="FF16" s="62">
        <f>SMALL($J79:$BQ79,22)</f>
        <v>61</v>
      </c>
      <c r="FG16" s="62">
        <f>SMALL($J79:$BQ79,23)</f>
        <v>61</v>
      </c>
      <c r="FH16" s="62">
        <f>SMALL($J79:$BQ79,24)</f>
        <v>61</v>
      </c>
      <c r="FI16" s="62">
        <f>SMALL($J79:$BQ79,25)</f>
        <v>61</v>
      </c>
      <c r="FJ16" s="62">
        <f>SMALL($J79:$BQ79,26)</f>
        <v>61</v>
      </c>
      <c r="FK16" s="62">
        <f>SMALL($J79:$BQ79,27)</f>
        <v>61</v>
      </c>
      <c r="FL16" s="62">
        <f>SMALL($J79:$BQ79,28)</f>
        <v>61</v>
      </c>
      <c r="FM16" s="62">
        <f>SMALL($J79:$BQ79,29)</f>
        <v>61</v>
      </c>
      <c r="FN16" s="62">
        <f>SMALL($J79:$BQ79,30)</f>
        <v>61</v>
      </c>
      <c r="FO16" s="62">
        <f>SMALL($J79:$BQ79,31)</f>
        <v>61</v>
      </c>
      <c r="FP16" s="62">
        <f>SMALL($J79:$BQ79,32)</f>
        <v>61</v>
      </c>
      <c r="FQ16" s="62">
        <f>SMALL($J79:$BQ79,33)</f>
        <v>61</v>
      </c>
      <c r="FR16" s="62">
        <f>SMALL($J79:$BQ79,34)</f>
        <v>61</v>
      </c>
      <c r="FS16" s="62">
        <f>SMALL($J79:$BQ79,35)</f>
        <v>61</v>
      </c>
      <c r="FT16" s="62">
        <f>SMALL($J79:$BQ79,36)</f>
        <v>61</v>
      </c>
      <c r="FU16" s="62">
        <f>SMALL($J79:$BQ79,37)</f>
        <v>61</v>
      </c>
      <c r="FV16" s="62">
        <f>SMALL($J79:$BQ79,38)</f>
        <v>61</v>
      </c>
      <c r="FW16" s="62">
        <f>SMALL($J79:$BQ79,39)</f>
        <v>61</v>
      </c>
      <c r="FX16" s="62">
        <f>SMALL($J79:$BQ79,40)</f>
        <v>61</v>
      </c>
      <c r="FY16" s="62">
        <f>SMALL($J79:$BQ79,41)</f>
        <v>61</v>
      </c>
      <c r="FZ16" s="62">
        <f>SMALL($J79:$BQ79,42)</f>
        <v>61</v>
      </c>
      <c r="GA16" s="62">
        <f>SMALL($J79:$BQ79,43)</f>
        <v>61</v>
      </c>
      <c r="GB16" s="62">
        <f>SMALL($J79:$BQ79,44)</f>
        <v>61</v>
      </c>
      <c r="GC16" s="62">
        <f>SMALL($J79:$BQ79,45)</f>
        <v>61</v>
      </c>
      <c r="GD16" s="62">
        <f>SMALL($J79:$BQ79,46)</f>
        <v>61</v>
      </c>
      <c r="GE16" s="62">
        <f>SMALL($J79:$BQ79,47)</f>
        <v>61</v>
      </c>
      <c r="GF16" s="62">
        <f>SMALL($J79:$BQ79,48)</f>
        <v>61</v>
      </c>
      <c r="GG16" s="62">
        <f>SMALL($J79:$BQ79,49)</f>
        <v>61</v>
      </c>
      <c r="GH16" s="62">
        <f>SMALL($J79:$BQ79,50)</f>
        <v>61</v>
      </c>
      <c r="GI16" s="62">
        <f>SMALL($J79:$BQ79,51)</f>
        <v>61</v>
      </c>
      <c r="GJ16" s="62">
        <f>SMALL($J79:$BQ79,52)</f>
        <v>61</v>
      </c>
      <c r="GK16" s="62">
        <f>SMALL($J79:$BQ79,53)</f>
        <v>61</v>
      </c>
      <c r="GL16" s="62">
        <f>SMALL($J79:$BQ79,54)</f>
        <v>61</v>
      </c>
      <c r="GM16" s="62">
        <f>SMALL($J79:$BQ79,55)</f>
        <v>61</v>
      </c>
      <c r="GN16" s="62">
        <f>SMALL($J79:$BQ79,56)</f>
        <v>61</v>
      </c>
      <c r="GO16" s="62">
        <f>SMALL($J79:$BQ79,57)</f>
        <v>61</v>
      </c>
      <c r="GP16" s="62">
        <f>SMALL($J79:$BQ79,58)</f>
        <v>61</v>
      </c>
      <c r="GQ16" s="62">
        <f>SMALL($J79:$BQ79,59)</f>
        <v>61</v>
      </c>
      <c r="GR16" s="62">
        <f>SMALL($J79:$BQ79,60)</f>
        <v>61</v>
      </c>
      <c r="GT16" s="62">
        <f>IF(Deltagarlista!$K$3=2,
IF(GW16="1",
      IF(Arrangörslista!$U$5=1,J79,
IF(Arrangörslista!$U$5=2,K79,
IF(Arrangörslista!$U$5=3,L79,
IF(Arrangörslista!$U$5=4,M79,
IF(Arrangörslista!$U$5=5,N79,
IF(Arrangörslista!$U$5=6,O79,
IF(Arrangörslista!$U$5=7,P79,
IF(Arrangörslista!$U$5=8,Q79,
IF(Arrangörslista!$U$5=9,R79,
IF(Arrangörslista!$U$5=10,S79,
IF(Arrangörslista!$U$5=11,T79,
IF(Arrangörslista!$U$5=12,U79,
IF(Arrangörslista!$U$5=13,V79,
IF(Arrangörslista!$U$5=14,W79,
IF(Arrangörslista!$U$5=15,X79,
IF(Arrangörslista!$U$5=16,Y79,IF(Arrangörslista!$U$5=17,Z79,IF(Arrangörslista!$U$5=18,AA79,IF(Arrangörslista!$U$5=19,AB79,IF(Arrangörslista!$U$5=20,AC79,IF(Arrangörslista!$U$5=21,AD79,IF(Arrangörslista!$U$5=22,AE79,IF(Arrangörslista!$U$5=23,AF79, IF(Arrangörslista!$U$5=24,AG79, IF(Arrangörslista!$U$5=25,AH79, IF(Arrangörslista!$U$5=26,AI79, IF(Arrangörslista!$U$5=27,AJ79, IF(Arrangörslista!$U$5=28,AK79, IF(Arrangörslista!$U$5=29,AL79, IF(Arrangörslista!$U$5=30,AM79, IF(Arrangörslista!$U$5=31,AN79, IF(Arrangörslista!$U$5=32,AO79, IF(Arrangörslista!$U$5=33,AP79, IF(Arrangörslista!$U$5=34,AQ79, IF(Arrangörslista!$U$5=35,AR79, IF(Arrangörslista!$U$5=36,AS79, IF(Arrangörslista!$U$5=37,AT79, IF(Arrangörslista!$U$5=38,AU79, IF(Arrangörslista!$U$5=39,AV79, IF(Arrangörslista!$U$5=40,AW79, IF(Arrangörslista!$U$5=41,AX79, IF(Arrangörslista!$U$5=42,AY79, IF(Arrangörslista!$U$5=43,AZ79, IF(Arrangörslista!$U$5=44,BA79, IF(Arrangörslista!$U$5=45,BB79, IF(Arrangörslista!$U$5=46,BC79, IF(Arrangörslista!$U$5=47,BD79, IF(Arrangörslista!$U$5=48,BE79, IF(Arrangörslista!$U$5=49,BF79, IF(Arrangörslista!$U$5=50,BG79, IF(Arrangörslista!$U$5=51,BH79, IF(Arrangörslista!$U$5=52,BI79, IF(Arrangörslista!$U$5=53,BJ79, IF(Arrangörslista!$U$5=54,BK79, IF(Arrangörslista!$U$5=55,BL79, IF(Arrangörslista!$U$5=56,BM79, IF(Arrangörslista!$U$5=57,BN79, IF(Arrangörslista!$U$5=58,BO79, IF(Arrangörslista!$U$5=59,BP79, IF(Arrangörslista!$U$5=60,BQ79,0))))))))))))))))))))))))))))))))))))))))))))))))))))))))))))),IF(Deltagarlista!$K$3=4, IF(Arrangörslista!$U$5=1,J79,
IF(Arrangörslista!$U$5=2,J79,
IF(Arrangörslista!$U$5=3,K79,
IF(Arrangörslista!$U$5=4,K79,
IF(Arrangörslista!$U$5=5,L79,
IF(Arrangörslista!$U$5=6,L79,
IF(Arrangörslista!$U$5=7,M79,
IF(Arrangörslista!$U$5=8,M79,
IF(Arrangörslista!$U$5=9,N79,
IF(Arrangörslista!$U$5=10,N79,
IF(Arrangörslista!$U$5=11,O79,
IF(Arrangörslista!$U$5=12,O79,
IF(Arrangörslista!$U$5=13,P79,
IF(Arrangörslista!$U$5=14,P79,
IF(Arrangörslista!$U$5=15,Q79,
IF(Arrangörslista!$U$5=16,Q79,
IF(Arrangörslista!$U$5=17,R79,
IF(Arrangörslista!$U$5=18,R79,
IF(Arrangörslista!$U$5=19,S79,
IF(Arrangörslista!$U$5=20,S79,
IF(Arrangörslista!$U$5=21,T79,
IF(Arrangörslista!$U$5=22,T79,IF(Arrangörslista!$U$5=23,U79, IF(Arrangörslista!$U$5=24,U79, IF(Arrangörslista!$U$5=25,V79, IF(Arrangörslista!$U$5=26,V79, IF(Arrangörslista!$U$5=27,W79, IF(Arrangörslista!$U$5=28,W79, IF(Arrangörslista!$U$5=29,X79, IF(Arrangörslista!$U$5=30,X79, IF(Arrangörslista!$U$5=31,X79, IF(Arrangörslista!$U$5=32,Y79, IF(Arrangörslista!$U$5=33,AO79, IF(Arrangörslista!$U$5=34,Y79, IF(Arrangörslista!$U$5=35,Z79, IF(Arrangörslista!$U$5=36,AR79, IF(Arrangörslista!$U$5=37,Z79, IF(Arrangörslista!$U$5=38,AA79, IF(Arrangörslista!$U$5=39,AU79, IF(Arrangörslista!$U$5=40,AA79, IF(Arrangörslista!$U$5=41,AB79, IF(Arrangörslista!$U$5=42,AX79, IF(Arrangörslista!$U$5=43,AB79, IF(Arrangörslista!$U$5=44,AC79, IF(Arrangörslista!$U$5=45,BA79, IF(Arrangörslista!$U$5=46,AC79, IF(Arrangörslista!$U$5=47,AD79, IF(Arrangörslista!$U$5=48,BD79, IF(Arrangörslista!$U$5=49,AD79, IF(Arrangörslista!$U$5=50,AE79, IF(Arrangörslista!$U$5=51,BG79, IF(Arrangörslista!$U$5=52,AE79, IF(Arrangörslista!$U$5=53,AF79, IF(Arrangörslista!$U$5=54,BJ79, IF(Arrangörslista!$U$5=55,AF79, IF(Arrangörslista!$U$5=56,AG79, IF(Arrangörslista!$U$5=57,BM79, IF(Arrangörslista!$U$5=58,AG79, IF(Arrangörslista!$U$5=59,AH79, IF(Arrangörslista!$U$5=60,AH79,0)))))))))))))))))))))))))))))))))))))))))))))))))))))))))))),IF(Arrangörslista!$U$5=1,J79,
IF(Arrangörslista!$U$5=2,K79,
IF(Arrangörslista!$U$5=3,L79,
IF(Arrangörslista!$U$5=4,M79,
IF(Arrangörslista!$U$5=5,N79,
IF(Arrangörslista!$U$5=6,O79,
IF(Arrangörslista!$U$5=7,P79,
IF(Arrangörslista!$U$5=8,Q79,
IF(Arrangörslista!$U$5=9,R79,
IF(Arrangörslista!$U$5=10,S79,
IF(Arrangörslista!$U$5=11,T79,
IF(Arrangörslista!$U$5=12,U79,
IF(Arrangörslista!$U$5=13,V79,
IF(Arrangörslista!$U$5=14,W79,
IF(Arrangörslista!$U$5=15,X79,
IF(Arrangörslista!$U$5=16,Y79,IF(Arrangörslista!$U$5=17,Z79,IF(Arrangörslista!$U$5=18,AA79,IF(Arrangörslista!$U$5=19,AB79,IF(Arrangörslista!$U$5=20,AC79,IF(Arrangörslista!$U$5=21,AD79,IF(Arrangörslista!$U$5=22,AE79,IF(Arrangörslista!$U$5=23,AF79, IF(Arrangörslista!$U$5=24,AG79, IF(Arrangörslista!$U$5=25,AH79, IF(Arrangörslista!$U$5=26,AI79, IF(Arrangörslista!$U$5=27,AJ79, IF(Arrangörslista!$U$5=28,AK79, IF(Arrangörslista!$U$5=29,AL79, IF(Arrangörslista!$U$5=30,AM79, IF(Arrangörslista!$U$5=31,AN79, IF(Arrangörslista!$U$5=32,AO79, IF(Arrangörslista!$U$5=33,AP79, IF(Arrangörslista!$U$5=34,AQ79, IF(Arrangörslista!$U$5=35,AR79, IF(Arrangörslista!$U$5=36,AS79, IF(Arrangörslista!$U$5=37,AT79, IF(Arrangörslista!$U$5=38,AU79, IF(Arrangörslista!$U$5=39,AV79, IF(Arrangörslista!$U$5=40,AW79, IF(Arrangörslista!$U$5=41,AX79, IF(Arrangörslista!$U$5=42,AY79, IF(Arrangörslista!$U$5=43,AZ79, IF(Arrangörslista!$U$5=44,BA79, IF(Arrangörslista!$U$5=45,BB79, IF(Arrangörslista!$U$5=46,BC79, IF(Arrangörslista!$U$5=47,BD79, IF(Arrangörslista!$U$5=48,BE79, IF(Arrangörslista!$U$5=49,BF79, IF(Arrangörslista!$U$5=50,BG79, IF(Arrangörslista!$U$5=51,BH79, IF(Arrangörslista!$U$5=52,BI79, IF(Arrangörslista!$U$5=53,BJ79, IF(Arrangörslista!$U$5=54,BK79, IF(Arrangörslista!$U$5=55,BL79, IF(Arrangörslista!$U$5=56,BM79, IF(Arrangörslista!$U$5=57,BN79, IF(Arrangörslista!$U$5=58,BO79, IF(Arrangörslista!$U$5=59,BP79, IF(Arrangörslista!$U$5=60,BQ79,0))))))))))))))))))))))))))))))))))))))))))))))))))))))))))))
))</f>
        <v>0</v>
      </c>
      <c r="GV16" s="65" t="str">
        <f>IFERROR(IF(VLOOKUP(F16,Deltagarlista!$E$5:$I$64,5,FALSE)="Grön","Gr",IF(VLOOKUP(F16,Deltagarlista!$E$5:$I$64,5,FALSE)="Röd","R",IF(VLOOKUP(F16,Deltagarlista!$E$5:$I$64,5,FALSE)="Blå","B","Gu"))),"")</f>
        <v/>
      </c>
      <c r="GW16" s="62" t="str">
        <f t="shared" si="1"/>
        <v/>
      </c>
    </row>
    <row r="17" spans="2:205" x14ac:dyDescent="0.3">
      <c r="B17" s="23" t="str">
        <f>IF($BW$3&gt;13,14,"")</f>
        <v/>
      </c>
      <c r="C17" s="92" t="str">
        <f>IF(ISBLANK(Deltagarlista!C28),"",Deltagarlista!C28)</f>
        <v/>
      </c>
      <c r="D17" s="109" t="str">
        <f>CONCATENATE(IF(AND(Deltagarlista!H28="GM",Deltagarlista!$S$14=TRUE),"GM   ",""),  IF(OR(Deltagarlista!$K$3=4,Deltagarlista!$K$3=2),Deltagarlista!I28,""))</f>
        <v/>
      </c>
      <c r="E17" s="8" t="str">
        <f>IF(ISBLANK(Deltagarlista!D28),"",Deltagarlista!D28)</f>
        <v/>
      </c>
      <c r="F17" s="8" t="str">
        <f>IF(ISBLANK(Deltagarlista!E28),"",Deltagarlista!E28)</f>
        <v/>
      </c>
      <c r="G17" s="95" t="str">
        <f>IF(ISBLANK(Deltagarlista!F28),"",Deltagarlista!F28)</f>
        <v/>
      </c>
      <c r="H17" s="72" t="str">
        <f>IF(ISBLANK(Deltagarlista!C28),"",BU17-EE17)</f>
        <v/>
      </c>
      <c r="I17" s="13" t="str">
        <f>IF(ISBLANK(Deltagarlista!C28),"",IF(AND(Deltagarlista!$K$3=2,Deltagarlista!$L$3&lt;37),SUM(SUM(BV17:EC17)-(ROUNDDOWN(Arrangörslista!$U$5/3,1))*($BW$3+1)),SUM(BV17:EC17)))</f>
        <v/>
      </c>
      <c r="J17" s="79" t="str">
        <f>IF(Deltagarlista!$K$3=4,IF(ISBLANK(Deltagarlista!$C28),"",IF(ISBLANK(Arrangörslista!C$8),"",IFERROR(VLOOKUP($F17,Arrangörslista!C$8:$AG$45,16,FALSE),IF(ISBLANK(Deltagarlista!$C28),"",IF(ISBLANK(Arrangörslista!C$8),"",IFERROR(VLOOKUP($F17,Arrangörslista!D$8:$AG$45,16,FALSE),"DNS")))))),IF(Deltagarlista!$K$3=2,
IF(ISBLANK(Deltagarlista!$C28),"",IF(ISBLANK(Arrangörslista!C$8),"",IF($GV17=J$64," DNS ",IFERROR(VLOOKUP($F17,Arrangörslista!C$8:$AG$45,16,FALSE),"DNS")))),IF(ISBLANK(Deltagarlista!$C28),"",IF(ISBLANK(Arrangörslista!C$8),"",IFERROR(VLOOKUP($F17,Arrangörslista!C$8:$AG$45,16,FALSE),"DNS")))))</f>
        <v/>
      </c>
      <c r="K17" s="5" t="str">
        <f>IF(Deltagarlista!$K$3=4,IF(ISBLANK(Deltagarlista!$C28),"",IF(ISBLANK(Arrangörslista!E$8),"",IFERROR(VLOOKUP($F17,Arrangörslista!E$8:$AG$45,16,FALSE),IF(ISBLANK(Deltagarlista!$C28),"",IF(ISBLANK(Arrangörslista!E$8),"",IFERROR(VLOOKUP($F17,Arrangörslista!F$8:$AG$45,16,FALSE),"DNS")))))),IF(Deltagarlista!$K$3=2,
IF(ISBLANK(Deltagarlista!$C28),"",IF(ISBLANK(Arrangörslista!D$8),"",IF($GV17=K$64," DNS ",IFERROR(VLOOKUP($F17,Arrangörslista!D$8:$AG$45,16,FALSE),"DNS")))),IF(ISBLANK(Deltagarlista!$C28),"",IF(ISBLANK(Arrangörslista!D$8),"",IFERROR(VLOOKUP($F17,Arrangörslista!D$8:$AG$45,16,FALSE),"DNS")))))</f>
        <v/>
      </c>
      <c r="L17" s="5" t="str">
        <f>IF(Deltagarlista!$K$3=4,IF(ISBLANK(Deltagarlista!$C28),"",IF(ISBLANK(Arrangörslista!G$8),"",IFERROR(VLOOKUP($F17,Arrangörslista!G$8:$AG$45,16,FALSE),IF(ISBLANK(Deltagarlista!$C28),"",IF(ISBLANK(Arrangörslista!G$8),"",IFERROR(VLOOKUP($F17,Arrangörslista!H$8:$AG$45,16,FALSE),"DNS")))))),IF(Deltagarlista!$K$3=2,
IF(ISBLANK(Deltagarlista!$C28),"",IF(ISBLANK(Arrangörslista!E$8),"",IF($GV17=L$64," DNS ",IFERROR(VLOOKUP($F17,Arrangörslista!E$8:$AG$45,16,FALSE),"DNS")))),IF(ISBLANK(Deltagarlista!$C28),"",IF(ISBLANK(Arrangörslista!E$8),"",IFERROR(VLOOKUP($F17,Arrangörslista!E$8:$AG$45,16,FALSE),"DNS")))))</f>
        <v/>
      </c>
      <c r="M17" s="5" t="str">
        <f>IF(Deltagarlista!$K$3=4,IF(ISBLANK(Deltagarlista!$C28),"",IF(ISBLANK(Arrangörslista!I$8),"",IFERROR(VLOOKUP($F17,Arrangörslista!I$8:$AG$45,16,FALSE),IF(ISBLANK(Deltagarlista!$C28),"",IF(ISBLANK(Arrangörslista!I$8),"",IFERROR(VLOOKUP($F17,Arrangörslista!J$8:$AG$45,16,FALSE),"DNS")))))),IF(Deltagarlista!$K$3=2,
IF(ISBLANK(Deltagarlista!$C28),"",IF(ISBLANK(Arrangörslista!F$8),"",IF($GV17=M$64," DNS ",IFERROR(VLOOKUP($F17,Arrangörslista!F$8:$AG$45,16,FALSE),"DNS")))),IF(ISBLANK(Deltagarlista!$C28),"",IF(ISBLANK(Arrangörslista!F$8),"",IFERROR(VLOOKUP($F17,Arrangörslista!F$8:$AG$45,16,FALSE),"DNS")))))</f>
        <v/>
      </c>
      <c r="N17" s="5" t="str">
        <f>IF(Deltagarlista!$K$3=4,IF(ISBLANK(Deltagarlista!$C28),"",IF(ISBLANK(Arrangörslista!K$8),"",IFERROR(VLOOKUP($F17,Arrangörslista!K$8:$AG$45,16,FALSE),IF(ISBLANK(Deltagarlista!$C28),"",IF(ISBLANK(Arrangörslista!K$8),"",IFERROR(VLOOKUP($F17,Arrangörslista!L$8:$AG$45,16,FALSE),"DNS")))))),IF(Deltagarlista!$K$3=2,
IF(ISBLANK(Deltagarlista!$C28),"",IF(ISBLANK(Arrangörslista!G$8),"",IF($GV17=N$64," DNS ",IFERROR(VLOOKUP($F17,Arrangörslista!G$8:$AG$45,16,FALSE),"DNS")))),IF(ISBLANK(Deltagarlista!$C28),"",IF(ISBLANK(Arrangörslista!G$8),"",IFERROR(VLOOKUP($F17,Arrangörslista!G$8:$AG$45,16,FALSE),"DNS")))))</f>
        <v/>
      </c>
      <c r="O17" s="5" t="str">
        <f>IF(Deltagarlista!$K$3=4,IF(ISBLANK(Deltagarlista!$C28),"",IF(ISBLANK(Arrangörslista!M$8),"",IFERROR(VLOOKUP($F17,Arrangörslista!M$8:$AG$45,16,FALSE),IF(ISBLANK(Deltagarlista!$C28),"",IF(ISBLANK(Arrangörslista!M$8),"",IFERROR(VLOOKUP($F17,Arrangörslista!N$8:$AG$45,16,FALSE),"DNS")))))),IF(Deltagarlista!$K$3=2,
IF(ISBLANK(Deltagarlista!$C28),"",IF(ISBLANK(Arrangörslista!H$8),"",IF($GV17=O$64," DNS ",IFERROR(VLOOKUP($F17,Arrangörslista!H$8:$AG$45,16,FALSE),"DNS")))),IF(ISBLANK(Deltagarlista!$C28),"",IF(ISBLANK(Arrangörslista!H$8),"",IFERROR(VLOOKUP($F17,Arrangörslista!H$8:$AG$45,16,FALSE),"DNS")))))</f>
        <v/>
      </c>
      <c r="P17" s="5" t="str">
        <f>IF(Deltagarlista!$K$3=4,IF(ISBLANK(Deltagarlista!$C28),"",IF(ISBLANK(Arrangörslista!O$8),"",IFERROR(VLOOKUP($F17,Arrangörslista!O$8:$AG$45,16,FALSE),IF(ISBLANK(Deltagarlista!$C28),"",IF(ISBLANK(Arrangörslista!O$8),"",IFERROR(VLOOKUP($F17,Arrangörslista!P$8:$AG$45,16,FALSE),"DNS")))))),IF(Deltagarlista!$K$3=2,
IF(ISBLANK(Deltagarlista!$C28),"",IF(ISBLANK(Arrangörslista!I$8),"",IF($GV17=P$64," DNS ",IFERROR(VLOOKUP($F17,Arrangörslista!I$8:$AG$45,16,FALSE),"DNS")))),IF(ISBLANK(Deltagarlista!$C28),"",IF(ISBLANK(Arrangörslista!I$8),"",IFERROR(VLOOKUP($F17,Arrangörslista!I$8:$AG$45,16,FALSE),"DNS")))))</f>
        <v/>
      </c>
      <c r="Q17" s="5" t="str">
        <f>IF(Deltagarlista!$K$3=4,IF(ISBLANK(Deltagarlista!$C28),"",IF(ISBLANK(Arrangörslista!Q$8),"",IFERROR(VLOOKUP($F17,Arrangörslista!Q$8:$AG$45,16,FALSE),IF(ISBLANK(Deltagarlista!$C28),"",IF(ISBLANK(Arrangörslista!Q$8),"",IFERROR(VLOOKUP($F17,Arrangörslista!C$53:$AG$90,16,FALSE),"DNS")))))),IF(Deltagarlista!$K$3=2,
IF(ISBLANK(Deltagarlista!$C28),"",IF(ISBLANK(Arrangörslista!J$8),"",IF($GV17=Q$64," DNS ",IFERROR(VLOOKUP($F17,Arrangörslista!J$8:$AG$45,16,FALSE),"DNS")))),IF(ISBLANK(Deltagarlista!$C28),"",IF(ISBLANK(Arrangörslista!J$8),"",IFERROR(VLOOKUP($F17,Arrangörslista!J$8:$AG$45,16,FALSE),"DNS")))))</f>
        <v/>
      </c>
      <c r="R17" s="5" t="str">
        <f>IF(Deltagarlista!$K$3=4,IF(ISBLANK(Deltagarlista!$C28),"",IF(ISBLANK(Arrangörslista!D$53),"",IFERROR(VLOOKUP($F17,Arrangörslista!D$53:$AG$90,16,FALSE),IF(ISBLANK(Deltagarlista!$C28),"",IF(ISBLANK(Arrangörslista!D$53),"",IFERROR(VLOOKUP($F17,Arrangörslista!E$53:$AG$90,16,FALSE),"DNS")))))),IF(Deltagarlista!$K$3=2,
IF(ISBLANK(Deltagarlista!$C28),"",IF(ISBLANK(Arrangörslista!K$8),"",IF($GV17=R$64," DNS ",IFERROR(VLOOKUP($F17,Arrangörslista!K$8:$AG$45,16,FALSE),"DNS")))),IF(ISBLANK(Deltagarlista!$C28),"",IF(ISBLANK(Arrangörslista!K$8),"",IFERROR(VLOOKUP($F17,Arrangörslista!K$8:$AG$45,16,FALSE),"DNS")))))</f>
        <v/>
      </c>
      <c r="S17" s="5" t="str">
        <f>IF(Deltagarlista!$K$3=4,IF(ISBLANK(Deltagarlista!$C28),"",IF(ISBLANK(Arrangörslista!F$53),"",IFERROR(VLOOKUP($F17,Arrangörslista!F$53:$AG$90,16,FALSE),IF(ISBLANK(Deltagarlista!$C28),"",IF(ISBLANK(Arrangörslista!F$53),"",IFERROR(VLOOKUP($F17,Arrangörslista!G$53:$AG$90,16,FALSE),"DNS")))))),IF(Deltagarlista!$K$3=2,
IF(ISBLANK(Deltagarlista!$C28),"",IF(ISBLANK(Arrangörslista!L$8),"",IF($GV17=S$64," DNS ",IFERROR(VLOOKUP($F17,Arrangörslista!L$8:$AG$45,16,FALSE),"DNS")))),IF(ISBLANK(Deltagarlista!$C28),"",IF(ISBLANK(Arrangörslista!L$8),"",IFERROR(VLOOKUP($F17,Arrangörslista!L$8:$AG$45,16,FALSE),"DNS")))))</f>
        <v/>
      </c>
      <c r="T17" s="5" t="str">
        <f>IF(Deltagarlista!$K$3=4,IF(ISBLANK(Deltagarlista!$C28),"",IF(ISBLANK(Arrangörslista!H$53),"",IFERROR(VLOOKUP($F17,Arrangörslista!H$53:$AG$90,16,FALSE),IF(ISBLANK(Deltagarlista!$C28),"",IF(ISBLANK(Arrangörslista!H$53),"",IFERROR(VLOOKUP($F17,Arrangörslista!I$53:$AG$90,16,FALSE),"DNS")))))),IF(Deltagarlista!$K$3=2,
IF(ISBLANK(Deltagarlista!$C28),"",IF(ISBLANK(Arrangörslista!M$8),"",IF($GV17=T$64," DNS ",IFERROR(VLOOKUP($F17,Arrangörslista!M$8:$AG$45,16,FALSE),"DNS")))),IF(ISBLANK(Deltagarlista!$C28),"",IF(ISBLANK(Arrangörslista!M$8),"",IFERROR(VLOOKUP($F17,Arrangörslista!M$8:$AG$45,16,FALSE),"DNS")))))</f>
        <v/>
      </c>
      <c r="U17" s="5" t="str">
        <f>IF(Deltagarlista!$K$3=4,IF(ISBLANK(Deltagarlista!$C28),"",IF(ISBLANK(Arrangörslista!J$53),"",IFERROR(VLOOKUP($F17,Arrangörslista!J$53:$AG$90,16,FALSE),IF(ISBLANK(Deltagarlista!$C28),"",IF(ISBLANK(Arrangörslista!J$53),"",IFERROR(VLOOKUP($F17,Arrangörslista!K$53:$AG$90,16,FALSE),"DNS")))))),IF(Deltagarlista!$K$3=2,
IF(ISBLANK(Deltagarlista!$C28),"",IF(ISBLANK(Arrangörslista!N$8),"",IF($GV17=U$64," DNS ",IFERROR(VLOOKUP($F17,Arrangörslista!N$8:$AG$45,16,FALSE),"DNS")))),IF(ISBLANK(Deltagarlista!$C28),"",IF(ISBLANK(Arrangörslista!N$8),"",IFERROR(VLOOKUP($F17,Arrangörslista!N$8:$AG$45,16,FALSE),"DNS")))))</f>
        <v/>
      </c>
      <c r="V17" s="5" t="str">
        <f>IF(Deltagarlista!$K$3=4,IF(ISBLANK(Deltagarlista!$C28),"",IF(ISBLANK(Arrangörslista!L$53),"",IFERROR(VLOOKUP($F17,Arrangörslista!L$53:$AG$90,16,FALSE),IF(ISBLANK(Deltagarlista!$C28),"",IF(ISBLANK(Arrangörslista!L$53),"",IFERROR(VLOOKUP($F17,Arrangörslista!M$53:$AG$90,16,FALSE),"DNS")))))),IF(Deltagarlista!$K$3=2,
IF(ISBLANK(Deltagarlista!$C28),"",IF(ISBLANK(Arrangörslista!O$8),"",IF($GV17=V$64," DNS ",IFERROR(VLOOKUP($F17,Arrangörslista!O$8:$AG$45,16,FALSE),"DNS")))),IF(ISBLANK(Deltagarlista!$C28),"",IF(ISBLANK(Arrangörslista!O$8),"",IFERROR(VLOOKUP($F17,Arrangörslista!O$8:$AG$45,16,FALSE),"DNS")))))</f>
        <v/>
      </c>
      <c r="W17" s="5" t="str">
        <f>IF(Deltagarlista!$K$3=4,IF(ISBLANK(Deltagarlista!$C28),"",IF(ISBLANK(Arrangörslista!N$53),"",IFERROR(VLOOKUP($F17,Arrangörslista!N$53:$AG$90,16,FALSE),IF(ISBLANK(Deltagarlista!$C28),"",IF(ISBLANK(Arrangörslista!N$53),"",IFERROR(VLOOKUP($F17,Arrangörslista!O$53:$AG$90,16,FALSE),"DNS")))))),IF(Deltagarlista!$K$3=2,
IF(ISBLANK(Deltagarlista!$C28),"",IF(ISBLANK(Arrangörslista!P$8),"",IF($GV17=W$64," DNS ",IFERROR(VLOOKUP($F17,Arrangörslista!P$8:$AG$45,16,FALSE),"DNS")))),IF(ISBLANK(Deltagarlista!$C28),"",IF(ISBLANK(Arrangörslista!P$8),"",IFERROR(VLOOKUP($F17,Arrangörslista!P$8:$AG$45,16,FALSE),"DNS")))))</f>
        <v/>
      </c>
      <c r="X17" s="5" t="str">
        <f>IF(Deltagarlista!$K$3=4,IF(ISBLANK(Deltagarlista!$C28),"",IF(ISBLANK(Arrangörslista!P$53),"",IFERROR(VLOOKUP($F17,Arrangörslista!P$53:$AG$90,16,FALSE),IF(ISBLANK(Deltagarlista!$C28),"",IF(ISBLANK(Arrangörslista!P$53),"",IFERROR(VLOOKUP($F17,Arrangörslista!Q$53:$AG$90,16,FALSE),"DNS")))))),IF(Deltagarlista!$K$3=2,
IF(ISBLANK(Deltagarlista!$C28),"",IF(ISBLANK(Arrangörslista!Q$8),"",IF($GV17=X$64," DNS ",IFERROR(VLOOKUP($F17,Arrangörslista!Q$8:$AG$45,16,FALSE),"DNS")))),IF(ISBLANK(Deltagarlista!$C28),"",IF(ISBLANK(Arrangörslista!Q$8),"",IFERROR(VLOOKUP($F17,Arrangörslista!Q$8:$AG$45,16,FALSE),"DNS")))))</f>
        <v/>
      </c>
      <c r="Y17" s="5" t="str">
        <f>IF(Deltagarlista!$K$3=4,IF(ISBLANK(Deltagarlista!$C28),"",IF(ISBLANK(Arrangörslista!C$98),"",IFERROR(VLOOKUP($F17,Arrangörslista!C$98:$AG$135,16,FALSE),IF(ISBLANK(Deltagarlista!$C28),"",IF(ISBLANK(Arrangörslista!C$98),"",IFERROR(VLOOKUP($F17,Arrangörslista!D$98:$AG$135,16,FALSE),"DNS")))))),IF(Deltagarlista!$K$3=2,
IF(ISBLANK(Deltagarlista!$C28),"",IF(ISBLANK(Arrangörslista!C$53),"",IF($GV17=Y$64," DNS ",IFERROR(VLOOKUP($F17,Arrangörslista!C$53:$AG$90,16,FALSE),"DNS")))),IF(ISBLANK(Deltagarlista!$C28),"",IF(ISBLANK(Arrangörslista!C$53),"",IFERROR(VLOOKUP($F17,Arrangörslista!C$53:$AG$90,16,FALSE),"DNS")))))</f>
        <v/>
      </c>
      <c r="Z17" s="5" t="str">
        <f>IF(Deltagarlista!$K$3=4,IF(ISBLANK(Deltagarlista!$C28),"",IF(ISBLANK(Arrangörslista!E$98),"",IFERROR(VLOOKUP($F17,Arrangörslista!E$98:$AG$135,16,FALSE),IF(ISBLANK(Deltagarlista!$C28),"",IF(ISBLANK(Arrangörslista!E$98),"",IFERROR(VLOOKUP($F17,Arrangörslista!F$98:$AG$135,16,FALSE),"DNS")))))),IF(Deltagarlista!$K$3=2,
IF(ISBLANK(Deltagarlista!$C28),"",IF(ISBLANK(Arrangörslista!D$53),"",IF($GV17=Z$64," DNS ",IFERROR(VLOOKUP($F17,Arrangörslista!D$53:$AG$90,16,FALSE),"DNS")))),IF(ISBLANK(Deltagarlista!$C28),"",IF(ISBLANK(Arrangörslista!D$53),"",IFERROR(VLOOKUP($F17,Arrangörslista!D$53:$AG$90,16,FALSE),"DNS")))))</f>
        <v/>
      </c>
      <c r="AA17" s="5" t="str">
        <f>IF(Deltagarlista!$K$3=4,IF(ISBLANK(Deltagarlista!$C28),"",IF(ISBLANK(Arrangörslista!G$98),"",IFERROR(VLOOKUP($F17,Arrangörslista!G$98:$AG$135,16,FALSE),IF(ISBLANK(Deltagarlista!$C28),"",IF(ISBLANK(Arrangörslista!G$98),"",IFERROR(VLOOKUP($F17,Arrangörslista!H$98:$AG$135,16,FALSE),"DNS")))))),IF(Deltagarlista!$K$3=2,
IF(ISBLANK(Deltagarlista!$C28),"",IF(ISBLANK(Arrangörslista!E$53),"",IF($GV17=AA$64," DNS ",IFERROR(VLOOKUP($F17,Arrangörslista!E$53:$AG$90,16,FALSE),"DNS")))),IF(ISBLANK(Deltagarlista!$C28),"",IF(ISBLANK(Arrangörslista!E$53),"",IFERROR(VLOOKUP($F17,Arrangörslista!E$53:$AG$90,16,FALSE),"DNS")))))</f>
        <v/>
      </c>
      <c r="AB17" s="5" t="str">
        <f>IF(Deltagarlista!$K$3=4,IF(ISBLANK(Deltagarlista!$C28),"",IF(ISBLANK(Arrangörslista!I$98),"",IFERROR(VLOOKUP($F17,Arrangörslista!I$98:$AG$135,16,FALSE),IF(ISBLANK(Deltagarlista!$C28),"",IF(ISBLANK(Arrangörslista!I$98),"",IFERROR(VLOOKUP($F17,Arrangörslista!J$98:$AG$135,16,FALSE),"DNS")))))),IF(Deltagarlista!$K$3=2,
IF(ISBLANK(Deltagarlista!$C28),"",IF(ISBLANK(Arrangörslista!F$53),"",IF($GV17=AB$64," DNS ",IFERROR(VLOOKUP($F17,Arrangörslista!F$53:$AG$90,16,FALSE),"DNS")))),IF(ISBLANK(Deltagarlista!$C28),"",IF(ISBLANK(Arrangörslista!F$53),"",IFERROR(VLOOKUP($F17,Arrangörslista!F$53:$AG$90,16,FALSE),"DNS")))))</f>
        <v/>
      </c>
      <c r="AC17" s="5" t="str">
        <f>IF(Deltagarlista!$K$3=4,IF(ISBLANK(Deltagarlista!$C28),"",IF(ISBLANK(Arrangörslista!K$98),"",IFERROR(VLOOKUP($F17,Arrangörslista!K$98:$AG$135,16,FALSE),IF(ISBLANK(Deltagarlista!$C28),"",IF(ISBLANK(Arrangörslista!K$98),"",IFERROR(VLOOKUP($F17,Arrangörslista!L$98:$AG$135,16,FALSE),"DNS")))))),IF(Deltagarlista!$K$3=2,
IF(ISBLANK(Deltagarlista!$C28),"",IF(ISBLANK(Arrangörslista!G$53),"",IF($GV17=AC$64," DNS ",IFERROR(VLOOKUP($F17,Arrangörslista!G$53:$AG$90,16,FALSE),"DNS")))),IF(ISBLANK(Deltagarlista!$C28),"",IF(ISBLANK(Arrangörslista!G$53),"",IFERROR(VLOOKUP($F17,Arrangörslista!G$53:$AG$90,16,FALSE),"DNS")))))</f>
        <v/>
      </c>
      <c r="AD17" s="5" t="str">
        <f>IF(Deltagarlista!$K$3=4,IF(ISBLANK(Deltagarlista!$C28),"",IF(ISBLANK(Arrangörslista!M$98),"",IFERROR(VLOOKUP($F17,Arrangörslista!M$98:$AG$135,16,FALSE),IF(ISBLANK(Deltagarlista!$C28),"",IF(ISBLANK(Arrangörslista!M$98),"",IFERROR(VLOOKUP($F17,Arrangörslista!N$98:$AG$135,16,FALSE),"DNS")))))),IF(Deltagarlista!$K$3=2,
IF(ISBLANK(Deltagarlista!$C28),"",IF(ISBLANK(Arrangörslista!H$53),"",IF($GV17=AD$64," DNS ",IFERROR(VLOOKUP($F17,Arrangörslista!H$53:$AG$90,16,FALSE),"DNS")))),IF(ISBLANK(Deltagarlista!$C28),"",IF(ISBLANK(Arrangörslista!H$53),"",IFERROR(VLOOKUP($F17,Arrangörslista!H$53:$AG$90,16,FALSE),"DNS")))))</f>
        <v/>
      </c>
      <c r="AE17" s="5" t="str">
        <f>IF(Deltagarlista!$K$3=4,IF(ISBLANK(Deltagarlista!$C28),"",IF(ISBLANK(Arrangörslista!O$98),"",IFERROR(VLOOKUP($F17,Arrangörslista!O$98:$AG$135,16,FALSE),IF(ISBLANK(Deltagarlista!$C28),"",IF(ISBLANK(Arrangörslista!O$98),"",IFERROR(VLOOKUP($F17,Arrangörslista!P$98:$AG$135,16,FALSE),"DNS")))))),IF(Deltagarlista!$K$3=2,
IF(ISBLANK(Deltagarlista!$C28),"",IF(ISBLANK(Arrangörslista!I$53),"",IF($GV17=AE$64," DNS ",IFERROR(VLOOKUP($F17,Arrangörslista!I$53:$AG$90,16,FALSE),"DNS")))),IF(ISBLANK(Deltagarlista!$C28),"",IF(ISBLANK(Arrangörslista!I$53),"",IFERROR(VLOOKUP($F17,Arrangörslista!I$53:$AG$90,16,FALSE),"DNS")))))</f>
        <v/>
      </c>
      <c r="AF17" s="5" t="str">
        <f>IF(Deltagarlista!$K$3=4,IF(ISBLANK(Deltagarlista!$C28),"",IF(ISBLANK(Arrangörslista!Q$98),"",IFERROR(VLOOKUP($F17,Arrangörslista!Q$98:$AG$135,16,FALSE),IF(ISBLANK(Deltagarlista!$C28),"",IF(ISBLANK(Arrangörslista!Q$98),"",IFERROR(VLOOKUP($F17,Arrangörslista!C$143:$AG$180,16,FALSE),"DNS")))))),IF(Deltagarlista!$K$3=2,
IF(ISBLANK(Deltagarlista!$C28),"",IF(ISBLANK(Arrangörslista!J$53),"",IF($GV17=AF$64," DNS ",IFERROR(VLOOKUP($F17,Arrangörslista!J$53:$AG$90,16,FALSE),"DNS")))),IF(ISBLANK(Deltagarlista!$C28),"",IF(ISBLANK(Arrangörslista!J$53),"",IFERROR(VLOOKUP($F17,Arrangörslista!J$53:$AG$90,16,FALSE),"DNS")))))</f>
        <v/>
      </c>
      <c r="AG17" s="5" t="str">
        <f>IF(Deltagarlista!$K$3=4,IF(ISBLANK(Deltagarlista!$C28),"",IF(ISBLANK(Arrangörslista!D$143),"",IFERROR(VLOOKUP($F17,Arrangörslista!D$143:$AG$180,16,FALSE),IF(ISBLANK(Deltagarlista!$C28),"",IF(ISBLANK(Arrangörslista!D$143),"",IFERROR(VLOOKUP($F17,Arrangörslista!E$143:$AG$180,16,FALSE),"DNS")))))),IF(Deltagarlista!$K$3=2,
IF(ISBLANK(Deltagarlista!$C28),"",IF(ISBLANK(Arrangörslista!K$53),"",IF($GV17=AG$64," DNS ",IFERROR(VLOOKUP($F17,Arrangörslista!K$53:$AG$90,16,FALSE),"DNS")))),IF(ISBLANK(Deltagarlista!$C28),"",IF(ISBLANK(Arrangörslista!K$53),"",IFERROR(VLOOKUP($F17,Arrangörslista!K$53:$AG$90,16,FALSE),"DNS")))))</f>
        <v/>
      </c>
      <c r="AH17" s="5" t="str">
        <f>IF(Deltagarlista!$K$3=4,IF(ISBLANK(Deltagarlista!$C28),"",IF(ISBLANK(Arrangörslista!F$143),"",IFERROR(VLOOKUP($F17,Arrangörslista!F$143:$AG$180,16,FALSE),IF(ISBLANK(Deltagarlista!$C28),"",IF(ISBLANK(Arrangörslista!F$143),"",IFERROR(VLOOKUP($F17,Arrangörslista!G$143:$AG$180,16,FALSE),"DNS")))))),IF(Deltagarlista!$K$3=2,
IF(ISBLANK(Deltagarlista!$C28),"",IF(ISBLANK(Arrangörslista!L$53),"",IF($GV17=AH$64," DNS ",IFERROR(VLOOKUP($F17,Arrangörslista!L$53:$AG$90,16,FALSE),"DNS")))),IF(ISBLANK(Deltagarlista!$C28),"",IF(ISBLANK(Arrangörslista!L$53),"",IFERROR(VLOOKUP($F17,Arrangörslista!L$53:$AG$90,16,FALSE),"DNS")))))</f>
        <v/>
      </c>
      <c r="AI17" s="5" t="str">
        <f>IF(Deltagarlista!$K$3=4,IF(ISBLANK(Deltagarlista!$C28),"",IF(ISBLANK(Arrangörslista!H$143),"",IFERROR(VLOOKUP($F17,Arrangörslista!H$143:$AG$180,16,FALSE),IF(ISBLANK(Deltagarlista!$C28),"",IF(ISBLANK(Arrangörslista!H$143),"",IFERROR(VLOOKUP($F17,Arrangörslista!I$143:$AG$180,16,FALSE),"DNS")))))),IF(Deltagarlista!$K$3=2,
IF(ISBLANK(Deltagarlista!$C28),"",IF(ISBLANK(Arrangörslista!M$53),"",IF($GV17=AI$64," DNS ",IFERROR(VLOOKUP($F17,Arrangörslista!M$53:$AG$90,16,FALSE),"DNS")))),IF(ISBLANK(Deltagarlista!$C28),"",IF(ISBLANK(Arrangörslista!M$53),"",IFERROR(VLOOKUP($F17,Arrangörslista!M$53:$AG$90,16,FALSE),"DNS")))))</f>
        <v/>
      </c>
      <c r="AJ17" s="5" t="str">
        <f>IF(Deltagarlista!$K$3=4,IF(ISBLANK(Deltagarlista!$C28),"",IF(ISBLANK(Arrangörslista!J$143),"",IFERROR(VLOOKUP($F17,Arrangörslista!J$143:$AG$180,16,FALSE),IF(ISBLANK(Deltagarlista!$C28),"",IF(ISBLANK(Arrangörslista!J$143),"",IFERROR(VLOOKUP($F17,Arrangörslista!K$143:$AG$180,16,FALSE),"DNS")))))),IF(Deltagarlista!$K$3=2,
IF(ISBLANK(Deltagarlista!$C28),"",IF(ISBLANK(Arrangörslista!N$53),"",IF($GV17=AJ$64," DNS ",IFERROR(VLOOKUP($F17,Arrangörslista!N$53:$AG$90,16,FALSE),"DNS")))),IF(ISBLANK(Deltagarlista!$C28),"",IF(ISBLANK(Arrangörslista!N$53),"",IFERROR(VLOOKUP($F17,Arrangörslista!N$53:$AG$90,16,FALSE),"DNS")))))</f>
        <v/>
      </c>
      <c r="AK17" s="5" t="str">
        <f>IF(Deltagarlista!$K$3=4,IF(ISBLANK(Deltagarlista!$C28),"",IF(ISBLANK(Arrangörslista!L$143),"",IFERROR(VLOOKUP($F17,Arrangörslista!L$143:$AG$180,16,FALSE),IF(ISBLANK(Deltagarlista!$C28),"",IF(ISBLANK(Arrangörslista!L$143),"",IFERROR(VLOOKUP($F17,Arrangörslista!M$143:$AG$180,16,FALSE),"DNS")))))),IF(Deltagarlista!$K$3=2,
IF(ISBLANK(Deltagarlista!$C28),"",IF(ISBLANK(Arrangörslista!O$53),"",IF($GV17=AK$64," DNS ",IFERROR(VLOOKUP($F17,Arrangörslista!O$53:$AG$90,16,FALSE),"DNS")))),IF(ISBLANK(Deltagarlista!$C28),"",IF(ISBLANK(Arrangörslista!O$53),"",IFERROR(VLOOKUP($F17,Arrangörslista!O$53:$AG$90,16,FALSE),"DNS")))))</f>
        <v/>
      </c>
      <c r="AL17" s="5" t="str">
        <f>IF(Deltagarlista!$K$3=4,IF(ISBLANK(Deltagarlista!$C28),"",IF(ISBLANK(Arrangörslista!N$143),"",IFERROR(VLOOKUP($F17,Arrangörslista!N$143:$AG$180,16,FALSE),IF(ISBLANK(Deltagarlista!$C28),"",IF(ISBLANK(Arrangörslista!N$143),"",IFERROR(VLOOKUP($F17,Arrangörslista!O$143:$AG$180,16,FALSE),"DNS")))))),IF(Deltagarlista!$K$3=2,
IF(ISBLANK(Deltagarlista!$C28),"",IF(ISBLANK(Arrangörslista!P$53),"",IF($GV17=AL$64," DNS ",IFERROR(VLOOKUP($F17,Arrangörslista!P$53:$AG$90,16,FALSE),"DNS")))),IF(ISBLANK(Deltagarlista!$C28),"",IF(ISBLANK(Arrangörslista!P$53),"",IFERROR(VLOOKUP($F17,Arrangörslista!P$53:$AG$90,16,FALSE),"DNS")))))</f>
        <v/>
      </c>
      <c r="AM17" s="5" t="str">
        <f>IF(Deltagarlista!$K$3=4,IF(ISBLANK(Deltagarlista!$C28),"",IF(ISBLANK(Arrangörslista!P$143),"",IFERROR(VLOOKUP($F17,Arrangörslista!P$143:$AG$180,16,FALSE),IF(ISBLANK(Deltagarlista!$C28),"",IF(ISBLANK(Arrangörslista!P$143),"",IFERROR(VLOOKUP($F17,Arrangörslista!Q$143:$AG$180,16,FALSE),"DNS")))))),IF(Deltagarlista!$K$3=2,
IF(ISBLANK(Deltagarlista!$C28),"",IF(ISBLANK(Arrangörslista!Q$53),"",IF($GV17=AM$64," DNS ",IFERROR(VLOOKUP($F17,Arrangörslista!Q$53:$AG$90,16,FALSE),"DNS")))),IF(ISBLANK(Deltagarlista!$C28),"",IF(ISBLANK(Arrangörslista!Q$53),"",IFERROR(VLOOKUP($F17,Arrangörslista!Q$53:$AG$90,16,FALSE),"DNS")))))</f>
        <v/>
      </c>
      <c r="AN17" s="5" t="str">
        <f>IF(Deltagarlista!$K$3=2,
IF(ISBLANK(Deltagarlista!$C28),"",IF(ISBLANK(Arrangörslista!C$98),"",IF($GV17=AN$64," DNS ",IFERROR(VLOOKUP($F17,Arrangörslista!C$98:$AG$135,16,FALSE), "DNS")))), IF(Deltagarlista!$K$3=1,IF(ISBLANK(Deltagarlista!$C28),"",IF(ISBLANK(Arrangörslista!C$98),"",IFERROR(VLOOKUP($F17,Arrangörslista!C$98:$AG$135,16,FALSE), "DNS"))),""))</f>
        <v/>
      </c>
      <c r="AO17" s="5" t="str">
        <f>IF(Deltagarlista!$K$3=2,
IF(ISBLANK(Deltagarlista!$C28),"",IF(ISBLANK(Arrangörslista!D$98),"",IF($GV17=AO$64," DNS ",IFERROR(VLOOKUP($F17,Arrangörslista!D$98:$AG$135,16,FALSE), "DNS")))), IF(Deltagarlista!$K$3=1,IF(ISBLANK(Deltagarlista!$C28),"",IF(ISBLANK(Arrangörslista!D$98),"",IFERROR(VLOOKUP($F17,Arrangörslista!D$98:$AG$135,16,FALSE), "DNS"))),""))</f>
        <v/>
      </c>
      <c r="AP17" s="5" t="str">
        <f>IF(Deltagarlista!$K$3=2,
IF(ISBLANK(Deltagarlista!$C28),"",IF(ISBLANK(Arrangörslista!E$98),"",IF($GV17=AP$64," DNS ",IFERROR(VLOOKUP($F17,Arrangörslista!E$98:$AG$135,16,FALSE), "DNS")))), IF(Deltagarlista!$K$3=1,IF(ISBLANK(Deltagarlista!$C28),"",IF(ISBLANK(Arrangörslista!E$98),"",IFERROR(VLOOKUP($F17,Arrangörslista!E$98:$AG$135,16,FALSE), "DNS"))),""))</f>
        <v/>
      </c>
      <c r="AQ17" s="5" t="str">
        <f>IF(Deltagarlista!$K$3=2,
IF(ISBLANK(Deltagarlista!$C28),"",IF(ISBLANK(Arrangörslista!F$98),"",IF($GV17=AQ$64," DNS ",IFERROR(VLOOKUP($F17,Arrangörslista!F$98:$AG$135,16,FALSE), "DNS")))), IF(Deltagarlista!$K$3=1,IF(ISBLANK(Deltagarlista!$C28),"",IF(ISBLANK(Arrangörslista!F$98),"",IFERROR(VLOOKUP($F17,Arrangörslista!F$98:$AG$135,16,FALSE), "DNS"))),""))</f>
        <v/>
      </c>
      <c r="AR17" s="5" t="str">
        <f>IF(Deltagarlista!$K$3=2,
IF(ISBLANK(Deltagarlista!$C28),"",IF(ISBLANK(Arrangörslista!G$98),"",IF($GV17=AR$64," DNS ",IFERROR(VLOOKUP($F17,Arrangörslista!G$98:$AG$135,16,FALSE), "DNS")))), IF(Deltagarlista!$K$3=1,IF(ISBLANK(Deltagarlista!$C28),"",IF(ISBLANK(Arrangörslista!G$98),"",IFERROR(VLOOKUP($F17,Arrangörslista!G$98:$AG$135,16,FALSE), "DNS"))),""))</f>
        <v/>
      </c>
      <c r="AS17" s="5" t="str">
        <f>IF(Deltagarlista!$K$3=2,
IF(ISBLANK(Deltagarlista!$C28),"",IF(ISBLANK(Arrangörslista!H$98),"",IF($GV17=AS$64," DNS ",IFERROR(VLOOKUP($F17,Arrangörslista!H$98:$AG$135,16,FALSE), "DNS")))), IF(Deltagarlista!$K$3=1,IF(ISBLANK(Deltagarlista!$C28),"",IF(ISBLANK(Arrangörslista!H$98),"",IFERROR(VLOOKUP($F17,Arrangörslista!H$98:$AG$135,16,FALSE), "DNS"))),""))</f>
        <v/>
      </c>
      <c r="AT17" s="5" t="str">
        <f>IF(Deltagarlista!$K$3=2,
IF(ISBLANK(Deltagarlista!$C28),"",IF(ISBLANK(Arrangörslista!I$98),"",IF($GV17=AT$64," DNS ",IFERROR(VLOOKUP($F17,Arrangörslista!I$98:$AG$135,16,FALSE), "DNS")))), IF(Deltagarlista!$K$3=1,IF(ISBLANK(Deltagarlista!$C28),"",IF(ISBLANK(Arrangörslista!I$98),"",IFERROR(VLOOKUP($F17,Arrangörslista!I$98:$AG$135,16,FALSE), "DNS"))),""))</f>
        <v/>
      </c>
      <c r="AU17" s="5" t="str">
        <f>IF(Deltagarlista!$K$3=2,
IF(ISBLANK(Deltagarlista!$C28),"",IF(ISBLANK(Arrangörslista!J$98),"",IF($GV17=AU$64," DNS ",IFERROR(VLOOKUP($F17,Arrangörslista!J$98:$AG$135,16,FALSE), "DNS")))), IF(Deltagarlista!$K$3=1,IF(ISBLANK(Deltagarlista!$C28),"",IF(ISBLANK(Arrangörslista!J$98),"",IFERROR(VLOOKUP($F17,Arrangörslista!J$98:$AG$135,16,FALSE), "DNS"))),""))</f>
        <v/>
      </c>
      <c r="AV17" s="5" t="str">
        <f>IF(Deltagarlista!$K$3=2,
IF(ISBLANK(Deltagarlista!$C28),"",IF(ISBLANK(Arrangörslista!K$98),"",IF($GV17=AV$64," DNS ",IFERROR(VLOOKUP($F17,Arrangörslista!K$98:$AG$135,16,FALSE), "DNS")))), IF(Deltagarlista!$K$3=1,IF(ISBLANK(Deltagarlista!$C28),"",IF(ISBLANK(Arrangörslista!K$98),"",IFERROR(VLOOKUP($F17,Arrangörslista!K$98:$AG$135,16,FALSE), "DNS"))),""))</f>
        <v/>
      </c>
      <c r="AW17" s="5" t="str">
        <f>IF(Deltagarlista!$K$3=2,
IF(ISBLANK(Deltagarlista!$C28),"",IF(ISBLANK(Arrangörslista!L$98),"",IF($GV17=AW$64," DNS ",IFERROR(VLOOKUP($F17,Arrangörslista!L$98:$AG$135,16,FALSE), "DNS")))), IF(Deltagarlista!$K$3=1,IF(ISBLANK(Deltagarlista!$C28),"",IF(ISBLANK(Arrangörslista!L$98),"",IFERROR(VLOOKUP($F17,Arrangörslista!L$98:$AG$135,16,FALSE), "DNS"))),""))</f>
        <v/>
      </c>
      <c r="AX17" s="5" t="str">
        <f>IF(Deltagarlista!$K$3=2,
IF(ISBLANK(Deltagarlista!$C28),"",IF(ISBLANK(Arrangörslista!M$98),"",IF($GV17=AX$64," DNS ",IFERROR(VLOOKUP($F17,Arrangörslista!M$98:$AG$135,16,FALSE), "DNS")))), IF(Deltagarlista!$K$3=1,IF(ISBLANK(Deltagarlista!$C28),"",IF(ISBLANK(Arrangörslista!M$98),"",IFERROR(VLOOKUP($F17,Arrangörslista!M$98:$AG$135,16,FALSE), "DNS"))),""))</f>
        <v/>
      </c>
      <c r="AY17" s="5" t="str">
        <f>IF(Deltagarlista!$K$3=2,
IF(ISBLANK(Deltagarlista!$C28),"",IF(ISBLANK(Arrangörslista!N$98),"",IF($GV17=AY$64," DNS ",IFERROR(VLOOKUP($F17,Arrangörslista!N$98:$AG$135,16,FALSE), "DNS")))), IF(Deltagarlista!$K$3=1,IF(ISBLANK(Deltagarlista!$C28),"",IF(ISBLANK(Arrangörslista!N$98),"",IFERROR(VLOOKUP($F17,Arrangörslista!N$98:$AG$135,16,FALSE), "DNS"))),""))</f>
        <v/>
      </c>
      <c r="AZ17" s="5" t="str">
        <f>IF(Deltagarlista!$K$3=2,
IF(ISBLANK(Deltagarlista!$C28),"",IF(ISBLANK(Arrangörslista!O$98),"",IF($GV17=AZ$64," DNS ",IFERROR(VLOOKUP($F17,Arrangörslista!O$98:$AG$135,16,FALSE), "DNS")))), IF(Deltagarlista!$K$3=1,IF(ISBLANK(Deltagarlista!$C28),"",IF(ISBLANK(Arrangörslista!O$98),"",IFERROR(VLOOKUP($F17,Arrangörslista!O$98:$AG$135,16,FALSE), "DNS"))),""))</f>
        <v/>
      </c>
      <c r="BA17" s="5" t="str">
        <f>IF(Deltagarlista!$K$3=2,
IF(ISBLANK(Deltagarlista!$C28),"",IF(ISBLANK(Arrangörslista!P$98),"",IF($GV17=BA$64," DNS ",IFERROR(VLOOKUP($F17,Arrangörslista!P$98:$AG$135,16,FALSE), "DNS")))), IF(Deltagarlista!$K$3=1,IF(ISBLANK(Deltagarlista!$C28),"",IF(ISBLANK(Arrangörslista!P$98),"",IFERROR(VLOOKUP($F17,Arrangörslista!P$98:$AG$135,16,FALSE), "DNS"))),""))</f>
        <v/>
      </c>
      <c r="BB17" s="5" t="str">
        <f>IF(Deltagarlista!$K$3=2,
IF(ISBLANK(Deltagarlista!$C28),"",IF(ISBLANK(Arrangörslista!Q$98),"",IF($GV17=BB$64," DNS ",IFERROR(VLOOKUP($F17,Arrangörslista!Q$98:$AG$135,16,FALSE), "DNS")))), IF(Deltagarlista!$K$3=1,IF(ISBLANK(Deltagarlista!$C28),"",IF(ISBLANK(Arrangörslista!Q$98),"",IFERROR(VLOOKUP($F17,Arrangörslista!Q$98:$AG$135,16,FALSE), "DNS"))),""))</f>
        <v/>
      </c>
      <c r="BC17" s="5" t="str">
        <f>IF(Deltagarlista!$K$3=2,
IF(ISBLANK(Deltagarlista!$C28),"",IF(ISBLANK(Arrangörslista!C$143),"",IF($GV17=BC$64," DNS ",IFERROR(VLOOKUP($F17,Arrangörslista!C$143:$AG$180,16,FALSE), "DNS")))), IF(Deltagarlista!$K$3=1,IF(ISBLANK(Deltagarlista!$C28),"",IF(ISBLANK(Arrangörslista!C$143),"",IFERROR(VLOOKUP($F17,Arrangörslista!C$143:$AG$180,16,FALSE), "DNS"))),""))</f>
        <v/>
      </c>
      <c r="BD17" s="5" t="str">
        <f>IF(Deltagarlista!$K$3=2,
IF(ISBLANK(Deltagarlista!$C28),"",IF(ISBLANK(Arrangörslista!D$143),"",IF($GV17=BD$64," DNS ",IFERROR(VLOOKUP($F17,Arrangörslista!D$143:$AG$180,16,FALSE), "DNS")))), IF(Deltagarlista!$K$3=1,IF(ISBLANK(Deltagarlista!$C28),"",IF(ISBLANK(Arrangörslista!D$143),"",IFERROR(VLOOKUP($F17,Arrangörslista!D$143:$AG$180,16,FALSE), "DNS"))),""))</f>
        <v/>
      </c>
      <c r="BE17" s="5" t="str">
        <f>IF(Deltagarlista!$K$3=2,
IF(ISBLANK(Deltagarlista!$C28),"",IF(ISBLANK(Arrangörslista!E$143),"",IF($GV17=BE$64," DNS ",IFERROR(VLOOKUP($F17,Arrangörslista!E$143:$AG$180,16,FALSE), "DNS")))), IF(Deltagarlista!$K$3=1,IF(ISBLANK(Deltagarlista!$C28),"",IF(ISBLANK(Arrangörslista!E$143),"",IFERROR(VLOOKUP($F17,Arrangörslista!E$143:$AG$180,16,FALSE), "DNS"))),""))</f>
        <v/>
      </c>
      <c r="BF17" s="5" t="str">
        <f>IF(Deltagarlista!$K$3=2,
IF(ISBLANK(Deltagarlista!$C28),"",IF(ISBLANK(Arrangörslista!F$143),"",IF($GV17=BF$64," DNS ",IFERROR(VLOOKUP($F17,Arrangörslista!F$143:$AG$180,16,FALSE), "DNS")))), IF(Deltagarlista!$K$3=1,IF(ISBLANK(Deltagarlista!$C28),"",IF(ISBLANK(Arrangörslista!F$143),"",IFERROR(VLOOKUP($F17,Arrangörslista!F$143:$AG$180,16,FALSE), "DNS"))),""))</f>
        <v/>
      </c>
      <c r="BG17" s="5" t="str">
        <f>IF(Deltagarlista!$K$3=2,
IF(ISBLANK(Deltagarlista!$C28),"",IF(ISBLANK(Arrangörslista!G$143),"",IF($GV17=BG$64," DNS ",IFERROR(VLOOKUP($F17,Arrangörslista!G$143:$AG$180,16,FALSE), "DNS")))), IF(Deltagarlista!$K$3=1,IF(ISBLANK(Deltagarlista!$C28),"",IF(ISBLANK(Arrangörslista!G$143),"",IFERROR(VLOOKUP($F17,Arrangörslista!G$143:$AG$180,16,FALSE), "DNS"))),""))</f>
        <v/>
      </c>
      <c r="BH17" s="5" t="str">
        <f>IF(Deltagarlista!$K$3=2,
IF(ISBLANK(Deltagarlista!$C28),"",IF(ISBLANK(Arrangörslista!H$143),"",IF($GV17=BH$64," DNS ",IFERROR(VLOOKUP($F17,Arrangörslista!H$143:$AG$180,16,FALSE), "DNS")))), IF(Deltagarlista!$K$3=1,IF(ISBLANK(Deltagarlista!$C28),"",IF(ISBLANK(Arrangörslista!H$143),"",IFERROR(VLOOKUP($F17,Arrangörslista!H$143:$AG$180,16,FALSE), "DNS"))),""))</f>
        <v/>
      </c>
      <c r="BI17" s="5" t="str">
        <f>IF(Deltagarlista!$K$3=2,
IF(ISBLANK(Deltagarlista!$C28),"",IF(ISBLANK(Arrangörslista!I$143),"",IF($GV17=BI$64," DNS ",IFERROR(VLOOKUP($F17,Arrangörslista!I$143:$AG$180,16,FALSE), "DNS")))), IF(Deltagarlista!$K$3=1,IF(ISBLANK(Deltagarlista!$C28),"",IF(ISBLANK(Arrangörslista!I$143),"",IFERROR(VLOOKUP($F17,Arrangörslista!I$143:$AG$180,16,FALSE), "DNS"))),""))</f>
        <v/>
      </c>
      <c r="BJ17" s="5" t="str">
        <f>IF(Deltagarlista!$K$3=2,
IF(ISBLANK(Deltagarlista!$C28),"",IF(ISBLANK(Arrangörslista!J$143),"",IF($GV17=BJ$64," DNS ",IFERROR(VLOOKUP($F17,Arrangörslista!J$143:$AG$180,16,FALSE), "DNS")))), IF(Deltagarlista!$K$3=1,IF(ISBLANK(Deltagarlista!$C28),"",IF(ISBLANK(Arrangörslista!J$143),"",IFERROR(VLOOKUP($F17,Arrangörslista!J$143:$AG$180,16,FALSE), "DNS"))),""))</f>
        <v/>
      </c>
      <c r="BK17" s="5" t="str">
        <f>IF(Deltagarlista!$K$3=2,
IF(ISBLANK(Deltagarlista!$C28),"",IF(ISBLANK(Arrangörslista!K$143),"",IF($GV17=BK$64," DNS ",IFERROR(VLOOKUP($F17,Arrangörslista!K$143:$AG$180,16,FALSE), "DNS")))), IF(Deltagarlista!$K$3=1,IF(ISBLANK(Deltagarlista!$C28),"",IF(ISBLANK(Arrangörslista!K$143),"",IFERROR(VLOOKUP($F17,Arrangörslista!K$143:$AG$180,16,FALSE), "DNS"))),""))</f>
        <v/>
      </c>
      <c r="BL17" s="5" t="str">
        <f>IF(Deltagarlista!$K$3=2,
IF(ISBLANK(Deltagarlista!$C28),"",IF(ISBLANK(Arrangörslista!L$143),"",IF($GV17=BL$64," DNS ",IFERROR(VLOOKUP($F17,Arrangörslista!L$143:$AG$180,16,FALSE), "DNS")))), IF(Deltagarlista!$K$3=1,IF(ISBLANK(Deltagarlista!$C28),"",IF(ISBLANK(Arrangörslista!L$143),"",IFERROR(VLOOKUP($F17,Arrangörslista!L$143:$AG$180,16,FALSE), "DNS"))),""))</f>
        <v/>
      </c>
      <c r="BM17" s="5" t="str">
        <f>IF(Deltagarlista!$K$3=2,
IF(ISBLANK(Deltagarlista!$C28),"",IF(ISBLANK(Arrangörslista!M$143),"",IF($GV17=BM$64," DNS ",IFERROR(VLOOKUP($F17,Arrangörslista!M$143:$AG$180,16,FALSE), "DNS")))), IF(Deltagarlista!$K$3=1,IF(ISBLANK(Deltagarlista!$C28),"",IF(ISBLANK(Arrangörslista!M$143),"",IFERROR(VLOOKUP($F17,Arrangörslista!M$143:$AG$180,16,FALSE), "DNS"))),""))</f>
        <v/>
      </c>
      <c r="BN17" s="5" t="str">
        <f>IF(Deltagarlista!$K$3=2,
IF(ISBLANK(Deltagarlista!$C28),"",IF(ISBLANK(Arrangörslista!N$143),"",IF($GV17=BN$64," DNS ",IFERROR(VLOOKUP($F17,Arrangörslista!N$143:$AG$180,16,FALSE), "DNS")))), IF(Deltagarlista!$K$3=1,IF(ISBLANK(Deltagarlista!$C28),"",IF(ISBLANK(Arrangörslista!N$143),"",IFERROR(VLOOKUP($F17,Arrangörslista!N$143:$AG$180,16,FALSE), "DNS"))),""))</f>
        <v/>
      </c>
      <c r="BO17" s="5" t="str">
        <f>IF(Deltagarlista!$K$3=2,
IF(ISBLANK(Deltagarlista!$C28),"",IF(ISBLANK(Arrangörslista!O$143),"",IF($GV17=BO$64," DNS ",IFERROR(VLOOKUP($F17,Arrangörslista!O$143:$AG$180,16,FALSE), "DNS")))), IF(Deltagarlista!$K$3=1,IF(ISBLANK(Deltagarlista!$C28),"",IF(ISBLANK(Arrangörslista!O$143),"",IFERROR(VLOOKUP($F17,Arrangörslista!O$143:$AG$180,16,FALSE), "DNS"))),""))</f>
        <v/>
      </c>
      <c r="BP17" s="5" t="str">
        <f>IF(Deltagarlista!$K$3=2,
IF(ISBLANK(Deltagarlista!$C28),"",IF(ISBLANK(Arrangörslista!P$143),"",IF($GV17=BP$64," DNS ",IFERROR(VLOOKUP($F17,Arrangörslista!P$143:$AG$180,16,FALSE), "DNS")))), IF(Deltagarlista!$K$3=1,IF(ISBLANK(Deltagarlista!$C28),"",IF(ISBLANK(Arrangörslista!P$143),"",IFERROR(VLOOKUP($F17,Arrangörslista!P$143:$AG$180,16,FALSE), "DNS"))),""))</f>
        <v/>
      </c>
      <c r="BQ17" s="80" t="str">
        <f>IF(Deltagarlista!$K$3=2,
IF(ISBLANK(Deltagarlista!$C28),"",IF(ISBLANK(Arrangörslista!Q$143),"",IF($GV17=BQ$64," DNS ",IFERROR(VLOOKUP($F17,Arrangörslista!Q$143:$AG$180,16,FALSE), "DNS")))), IF(Deltagarlista!$K$3=1,IF(ISBLANK(Deltagarlista!$C28),"",IF(ISBLANK(Arrangörslista!Q$143),"",IFERROR(VLOOKUP($F17,Arrangörslista!Q$143:$AG$180,16,FALSE), "DNS"))),""))</f>
        <v/>
      </c>
      <c r="BR17" s="51"/>
      <c r="BS17" s="51"/>
      <c r="BT17" s="51"/>
      <c r="BU17" s="71">
        <f>SUM(BV17:EC17)</f>
        <v>0</v>
      </c>
      <c r="BV17" s="61">
        <f>IF(J17="",0,IF(OR(J17="DNF",J17="OCS",J17="DSQ",J17="DNS",J17=" DNS "),$BW$3+1,J17))</f>
        <v>0</v>
      </c>
      <c r="BW17" s="61">
        <f>IF(K17="",0,IF(OR(K17="DNF",K17="OCS",K17="DSQ",K17="DNS",K17=" DNS "),$BW$3+1,K17))</f>
        <v>0</v>
      </c>
      <c r="BX17" s="61">
        <f>IF(L17="",0,IF(OR(L17="DNF",L17="OCS",L17="DSQ",L17="DNS",L17=" DNS "),$BW$3+1,L17))</f>
        <v>0</v>
      </c>
      <c r="BY17" s="61">
        <f>IF(M17="",0,IF(OR(M17="DNF",M17="OCS",M17="DSQ",M17="DNS",M17=" DNS "),$BW$3+1,M17))</f>
        <v>0</v>
      </c>
      <c r="BZ17" s="61">
        <f>IF(N17="",0,IF(OR(N17="DNF",N17="OCS",N17="DSQ",N17="DNS",N17=" DNS "),$BW$3+1,N17))</f>
        <v>0</v>
      </c>
      <c r="CA17" s="61">
        <f>IF(O17="",0,IF(OR(O17="DNF",O17="OCS",O17="DSQ",O17="DNS",O17=" DNS "),$BW$3+1,O17))</f>
        <v>0</v>
      </c>
      <c r="CB17" s="61">
        <f>IF(P17="",0,IF(OR(P17="DNF",P17="OCS",P17="DSQ",P17="DNS",P17=" DNS "),$BW$3+1,P17))</f>
        <v>0</v>
      </c>
      <c r="CC17" s="61">
        <f>IF(Q17="",0,IF(OR(Q17="DNF",Q17="OCS",Q17="DSQ",Q17="DNS",Q17=" DNS "),$BW$3+1,Q17))</f>
        <v>0</v>
      </c>
      <c r="CD17" s="61">
        <f>IF(R17="",0,IF(OR(R17="DNF",R17="OCS",R17="DSQ",R17="DNS",R17=" DNS "),$BW$3+1,R17))</f>
        <v>0</v>
      </c>
      <c r="CE17" s="61">
        <f>IF(S17="",0,IF(OR(S17="DNF",S17="OCS",S17="DSQ",S17="DNS",S17=" DNS "),$BW$3+1,S17))</f>
        <v>0</v>
      </c>
      <c r="CF17" s="61">
        <f>IF(T17="",0,IF(OR(T17="DNF",T17="OCS",T17="DSQ",T17="DNS",T17=" DNS "),$BW$3+1,T17))</f>
        <v>0</v>
      </c>
      <c r="CG17" s="61">
        <f>IF(U17="",0,IF(OR(U17="DNF",U17="OCS",U17="DSQ",U17="DNS",U17=" DNS "),$BW$3+1,U17))</f>
        <v>0</v>
      </c>
      <c r="CH17" s="61">
        <f>IF(V17="",0,IF(OR(V17="DNF",V17="OCS",V17="DSQ",V17="DNS",V17=" DNS "),$BW$3+1,V17))</f>
        <v>0</v>
      </c>
      <c r="CI17" s="61">
        <f>IF(W17="",0,IF(OR(W17="DNF",W17="OCS",W17="DSQ",W17="DNS",W17=" DNS "),$BW$3+1,W17))</f>
        <v>0</v>
      </c>
      <c r="CJ17" s="61">
        <f>IF(X17="",0,IF(OR(X17="DNF",X17="OCS",X17="DSQ",X17="DNS",X17=" DNS "),$BW$3+1,X17))</f>
        <v>0</v>
      </c>
      <c r="CK17" s="61">
        <f>IF(Y17="",0,IF(OR(Y17="DNF",Y17="OCS",Y17="DSQ",Y17="DNS",Y17=" DNS "),$BW$3+1,Y17))</f>
        <v>0</v>
      </c>
      <c r="CL17" s="61">
        <f>IF(Z17="",0,IF(OR(Z17="DNF",Z17="OCS",Z17="DSQ",Z17="DNS",Z17=" DNS "),$BW$3+1,Z17))</f>
        <v>0</v>
      </c>
      <c r="CM17" s="61">
        <f>IF(AA17="",0,IF(OR(AA17="DNF",AA17="OCS",AA17="DSQ",AA17="DNS",AA17=" DNS "),$BW$3+1,AA17))</f>
        <v>0</v>
      </c>
      <c r="CN17" s="61">
        <f>IF(AB17="",0,IF(OR(AB17="DNF",AB17="OCS",AB17="DSQ",AB17="DNS",AB17=" DNS "),$BW$3+1,AB17))</f>
        <v>0</v>
      </c>
      <c r="CO17" s="61">
        <f>IF(AC17="",0,IF(OR(AC17="DNF",AC17="OCS",AC17="DSQ",AC17="DNS",AC17=" DNS "),$BW$3+1,AC17))</f>
        <v>0</v>
      </c>
      <c r="CP17" s="61">
        <f>IF(AD17="",0,IF(OR(AD17="DNF",AD17="OCS",AD17="DSQ",AD17="DNS",AD17=" DNS "),$BW$3+1,AD17))</f>
        <v>0</v>
      </c>
      <c r="CQ17" s="61">
        <f>IF(AE17="",0,IF(OR(AE17="DNF",AE17="OCS",AE17="DSQ",AE17="DNS",AE17=" DNS "),$BW$3+1,AE17))</f>
        <v>0</v>
      </c>
      <c r="CR17" s="61">
        <f>IF(AF17="",0,IF(OR(AF17="DNF",AF17="OCS",AF17="DSQ",AF17="DNS",AF17=" DNS "),$BW$3+1,AF17))</f>
        <v>0</v>
      </c>
      <c r="CS17" s="61">
        <f>IF(AG17="",0,IF(OR(AG17="DNF",AG17="OCS",AG17="DSQ",AG17="DNS",AG17=" DNS "),$BW$3+1,AG17))</f>
        <v>0</v>
      </c>
      <c r="CT17" s="61">
        <f>IF(AH17="",0,IF(OR(AH17="DNF",AH17="OCS",AH17="DSQ",AH17="DNS",AH17=" DNS "),$BW$3+1,AH17))</f>
        <v>0</v>
      </c>
      <c r="CU17" s="61">
        <f>IF(AI17="",0,IF(OR(AI17="DNF",AI17="OCS",AI17="DSQ",AI17="DNS",AI17=" DNS "),$BW$3+1,AI17))</f>
        <v>0</v>
      </c>
      <c r="CV17" s="61">
        <f>IF(AJ17="",0,IF(OR(AJ17="DNF",AJ17="OCS",AJ17="DSQ",AJ17="DNS",AJ17=" DNS "),$BW$3+1,AJ17))</f>
        <v>0</v>
      </c>
      <c r="CW17" s="61">
        <f>IF(AK17="",0,IF(OR(AK17="DNF",AK17="OCS",AK17="DSQ",AK17="DNS",AK17=" DNS "),$BW$3+1,AK17))</f>
        <v>0</v>
      </c>
      <c r="CX17" s="61">
        <f>IF(AL17="",0,IF(OR(AL17="DNF",AL17="OCS",AL17="DSQ",AL17="DNS",AL17=" DNS "),$BW$3+1,AL17))</f>
        <v>0</v>
      </c>
      <c r="CY17" s="61">
        <f>IF(AM17="",0,IF(OR(AM17="DNF",AM17="OCS",AM17="DSQ",AM17="DNS",AM17=" DNS "),$BW$3+1,AM17))</f>
        <v>0</v>
      </c>
      <c r="CZ17" s="61">
        <f>IF(AN17="",0,IF(OR(AN17="DNF",AN17="OCS",AN17="DSQ",AN17="DNS",AN17=" DNS "),$BW$3+1,AN17))</f>
        <v>0</v>
      </c>
      <c r="DA17" s="61">
        <f>IF(AO17="",0,IF(OR(AO17="DNF",AO17="OCS",AO17="DSQ",AO17="DNS",AO17=" DNS "),$BW$3+1,AO17))</f>
        <v>0</v>
      </c>
      <c r="DB17" s="61">
        <f>IF(AP17="",0,IF(OR(AP17="DNF",AP17="OCS",AP17="DSQ",AP17="DNS",AP17=" DNS "),$BW$3+1,AP17))</f>
        <v>0</v>
      </c>
      <c r="DC17" s="61">
        <f>IF(AQ17="",0,IF(OR(AQ17="DNF",AQ17="OCS",AQ17="DSQ",AQ17="DNS",AQ17=" DNS "),$BW$3+1,AQ17))</f>
        <v>0</v>
      </c>
      <c r="DD17" s="61">
        <f>IF(AR17="",0,IF(OR(AR17="DNF",AR17="OCS",AR17="DSQ",AR17="DNS",AR17=" DNS "),$BW$3+1,AR17))</f>
        <v>0</v>
      </c>
      <c r="DE17" s="61">
        <f>IF(AS17="",0,IF(OR(AS17="DNF",AS17="OCS",AS17="DSQ",AS17="DNS",AS17=" DNS "),$BW$3+1,AS17))</f>
        <v>0</v>
      </c>
      <c r="DF17" s="61">
        <f>IF(AT17="",0,IF(OR(AT17="DNF",AT17="OCS",AT17="DSQ",AT17="DNS",AT17=" DNS "),$BW$3+1,AT17))</f>
        <v>0</v>
      </c>
      <c r="DG17" s="61">
        <f>IF(AU17="",0,IF(OR(AU17="DNF",AU17="OCS",AU17="DSQ",AU17="DNS",AU17=" DNS "),$BW$3+1,AU17))</f>
        <v>0</v>
      </c>
      <c r="DH17" s="61">
        <f>IF(AV17="",0,IF(OR(AV17="DNF",AV17="OCS",AV17="DSQ",AV17="DNS",AV17=" DNS "),$BW$3+1,AV17))</f>
        <v>0</v>
      </c>
      <c r="DI17" s="61">
        <f>IF(AW17="",0,IF(OR(AW17="DNF",AW17="OCS",AW17="DSQ",AW17="DNS",AW17=" DNS "),$BW$3+1,AW17))</f>
        <v>0</v>
      </c>
      <c r="DJ17" s="61">
        <f>IF(AX17="",0,IF(OR(AX17="DNF",AX17="OCS",AX17="DSQ",AX17="DNS",AX17=" DNS "),$BW$3+1,AX17))</f>
        <v>0</v>
      </c>
      <c r="DK17" s="61">
        <f>IF(AY17="",0,IF(OR(AY17="DNF",AY17="OCS",AY17="DSQ",AY17="DNS",AY17=" DNS "),$BW$3+1,AY17))</f>
        <v>0</v>
      </c>
      <c r="DL17" s="61">
        <f>IF(AZ17="",0,IF(OR(AZ17="DNF",AZ17="OCS",AZ17="DSQ",AZ17="DNS",AZ17=" DNS "),$BW$3+1,AZ17))</f>
        <v>0</v>
      </c>
      <c r="DM17" s="61">
        <f>IF(BA17="",0,IF(OR(BA17="DNF",BA17="OCS",BA17="DSQ",BA17="DNS",BA17=" DNS "),$BW$3+1,BA17))</f>
        <v>0</v>
      </c>
      <c r="DN17" s="61">
        <f>IF(BB17="",0,IF(OR(BB17="DNF",BB17="OCS",BB17="DSQ",BB17="DNS",BB17=" DNS "),$BW$3+1,BB17))</f>
        <v>0</v>
      </c>
      <c r="DO17" s="61">
        <f>IF(BC17="",0,IF(OR(BC17="DNF",BC17="OCS",BC17="DSQ",BC17="DNS",BC17=" DNS "),$BW$3+1,BC17))</f>
        <v>0</v>
      </c>
      <c r="DP17" s="61">
        <f>IF(BD17="",0,IF(OR(BD17="DNF",BD17="OCS",BD17="DSQ",BD17="DNS",BD17=" DNS "),$BW$3+1,BD17))</f>
        <v>0</v>
      </c>
      <c r="DQ17" s="61">
        <f>IF(BE17="",0,IF(OR(BE17="DNF",BE17="OCS",BE17="DSQ",BE17="DNS",BE17=" DNS "),$BW$3+1,BE17))</f>
        <v>0</v>
      </c>
      <c r="DR17" s="61">
        <f>IF(BF17="",0,IF(OR(BF17="DNF",BF17="OCS",BF17="DSQ",BF17="DNS",BF17=" DNS "),$BW$3+1,BF17))</f>
        <v>0</v>
      </c>
      <c r="DS17" s="61">
        <f>IF(BG17="",0,IF(OR(BG17="DNF",BG17="OCS",BG17="DSQ",BG17="DNS",BG17=" DNS "),$BW$3+1,BG17))</f>
        <v>0</v>
      </c>
      <c r="DT17" s="61">
        <f>IF(BH17="",0,IF(OR(BH17="DNF",BH17="OCS",BH17="DSQ",BH17="DNS",BH17=" DNS "),$BW$3+1,BH17))</f>
        <v>0</v>
      </c>
      <c r="DU17" s="61">
        <f>IF(BI17="",0,IF(OR(BI17="DNF",BI17="OCS",BI17="DSQ",BI17="DNS",BI17=" DNS "),$BW$3+1,BI17))</f>
        <v>0</v>
      </c>
      <c r="DV17" s="61">
        <f>IF(BJ17="",0,IF(OR(BJ17="DNF",BJ17="OCS",BJ17="DSQ",BJ17="DNS",BJ17=" DNS "),$BW$3+1,BJ17))</f>
        <v>0</v>
      </c>
      <c r="DW17" s="61">
        <f>IF(BK17="",0,IF(OR(BK17="DNF",BK17="OCS",BK17="DSQ",BK17="DNS",BK17=" DNS "),$BW$3+1,BK17))</f>
        <v>0</v>
      </c>
      <c r="DX17" s="61">
        <f>IF(BL17="",0,IF(OR(BL17="DNF",BL17="OCS",BL17="DSQ",BL17="DNS",BL17=" DNS "),$BW$3+1,BL17))</f>
        <v>0</v>
      </c>
      <c r="DY17" s="61">
        <f>IF(BM17="",0,IF(OR(BM17="DNF",BM17="OCS",BM17="DSQ",BM17="DNS",BM17=" DNS "),$BW$3+1,BM17))</f>
        <v>0</v>
      </c>
      <c r="DZ17" s="61">
        <f>IF(BN17="",0,IF(OR(BN17="DNF",BN17="OCS",BN17="DSQ",BN17="DNS",BN17=" DNS "),$BW$3+1,BN17))</f>
        <v>0</v>
      </c>
      <c r="EA17" s="61">
        <f>IF(BO17="",0,IF(OR(BO17="DNF",BO17="OCS",BO17="DSQ",BO17="DNS",BO17=" DNS "),$BW$3+1,BO17))</f>
        <v>0</v>
      </c>
      <c r="EB17" s="61">
        <f>IF(BP17="",0,IF(OR(BP17="DNF",BP17="OCS",BP17="DSQ",BP17="DNS",BP17=" DNS "),$BW$3+1,BP17))</f>
        <v>0</v>
      </c>
      <c r="EC17" s="61">
        <f>IF(BQ17="",0,IF(OR(BQ17="DNF",BQ17="OCS",BQ17="DSQ",BQ17="DNS",BQ17=" DNS "),$BW$3+1,BQ17))</f>
        <v>0</v>
      </c>
      <c r="EE17" s="61">
        <f xml:space="preserve">
IF(OR(Deltagarlista!$K$3=3,Deltagarlista!$K$3=4),
IF(Arrangörslista!$U$5&lt;8,0,
IF(Arrangörslista!$U$5&lt;16,SUM(LARGE(BV17:CJ17,1)),
IF(Arrangörslista!$U$5&lt;24,SUM(LARGE(BV17:CR17,{1;2})),
IF(Arrangörslista!$U$5&lt;32,SUM(LARGE(BV17:CZ17,{1;2;3})),
IF(Arrangörslista!$U$5&lt;40,SUM(LARGE(BV17:DH17,{1;2;3;4})),
IF(Arrangörslista!$U$5&lt;48,SUM(LARGE(BV17:DP17,{1;2;3;4;5})),
IF(Arrangörslista!$U$5&lt;56,SUM(LARGE(BV17:DX17,{1;2;3;4;5;6})),
IF(Arrangörslista!$U$5&lt;64,SUM(LARGE(BV17:EC17,{1;2;3;4;5;6;7})),0)))))))),
IF(Deltagarlista!$K$3=2,
IF(Arrangörslista!$U$5&lt;4,LARGE(BV17:BX17,1),
IF(Arrangörslista!$U$5&lt;7,SUM(LARGE(BV17:CA17,{1;2;3})),
IF(Arrangörslista!$U$5&lt;10,SUM(LARGE(BV17:CD17,{1;2;3;4})),
IF(Arrangörslista!$U$5&lt;13,SUM(LARGE(BV17:CG17,{1;2;3;4;5;6})),
IF(Arrangörslista!$U$5&lt;16,SUM(LARGE(BV17:CJ17,{1;2;3;4;5;6;7})),
IF(Arrangörslista!$U$5&lt;19,SUM(LARGE(BV17:CM17,{1;2;3;4;5;6;7;8;9})),
IF(Arrangörslista!$U$5&lt;22,SUM(LARGE(BV17:CP17,{1;2;3;4;5;6;7;8;9;10})),
IF(Arrangörslista!$U$5&lt;25,SUM(LARGE(BV17:CS17,{1;2;3;4;5;6;7;8;9;10;11;12})),
IF(Arrangörslista!$U$5&lt;28,SUM(LARGE(BV17:CV17,{1;2;3;4;5;6;7;8;9;10;11;12;13})),
IF(Arrangörslista!$U$5&lt;31,SUM(LARGE(BV17:CY17,{1;2;3;4;5;6;7;8;9;10;11;12;13;14;15})),
IF(Arrangörslista!$U$5&lt;34,SUM(LARGE(BV17:DB17,{1;2;3;4;5;6;7;8;9;10;11;12;13;14;15;16})),
IF(Arrangörslista!$U$5&lt;37,SUM(LARGE(BV17:DE17,{1;2;3;4;5;6;7;8;9;10;11;12;13;14;15;16;17;18})),
IF(Arrangörslista!$U$5&lt;40,SUM(LARGE(BV17:DH17,{1;2;3;4;5;6;7;8;9;10;11;12;13;14;15;16;17;18;19})),
IF(Arrangörslista!$U$5&lt;43,SUM(LARGE(BV17:DK17,{1;2;3;4;5;6;7;8;9;10;11;12;13;14;15;16;17;18;19;20;21})),
IF(Arrangörslista!$U$5&lt;46,SUM(LARGE(BV17:DN17,{1;2;3;4;5;6;7;8;9;10;11;12;13;14;15;16;17;18;19;20;21;22})),
IF(Arrangörslista!$U$5&lt;49,SUM(LARGE(BV17:DQ17,{1;2;3;4;5;6;7;8;9;10;11;12;13;14;15;16;17;18;19;20;21;22;23;24})),
IF(Arrangörslista!$U$5&lt;52,SUM(LARGE(BV17:DT17,{1;2;3;4;5;6;7;8;9;10;11;12;13;14;15;16;17;18;19;20;21;22;23;24;25})),
IF(Arrangörslista!$U$5&lt;55,SUM(LARGE(BV17:DW17,{1;2;3;4;5;6;7;8;9;10;11;12;13;14;15;16;17;18;19;20;21;22;23;24;25;26;27})),
IF(Arrangörslista!$U$5&lt;58,SUM(LARGE(BV17:DZ17,{1;2;3;4;5;6;7;8;9;10;11;12;13;14;15;16;17;18;19;20;21;22;23;24;25;26;27;28})),
IF(Arrangörslista!$U$5&lt;61,SUM(LARGE(BV17:EC17,{1;2;3;4;5;6;7;8;9;10;11;12;13;14;15;16;17;18;19;20;21;22;23;24;25;26;27;28;29;30})),0)))))))))))))))))))),
IF(Arrangörslista!$U$5&lt;4,0,
IF(Arrangörslista!$U$5&lt;8,SUM(LARGE(BV17:CB17,1)),
IF(Arrangörslista!$U$5&lt;12,SUM(LARGE(BV17:CF17,{1;2})),
IF(Arrangörslista!$U$5&lt;16,SUM(LARGE(BV17:CJ17,{1;2;3})),
IF(Arrangörslista!$U$5&lt;20,SUM(LARGE(BV17:CN17,{1;2;3;4})),
IF(Arrangörslista!$U$5&lt;24,SUM(LARGE(BV17:CR17,{1;2;3;4;5})),
IF(Arrangörslista!$U$5&lt;28,SUM(LARGE(BV17:CV17,{1;2;3;4;5;6})),
IF(Arrangörslista!$U$5&lt;32,SUM(LARGE(BV17:CZ17,{1;2;3;4;5;6;7})),
IF(Arrangörslista!$U$5&lt;36,SUM(LARGE(BV17:DD17,{1;2;3;4;5;6;7;8})),
IF(Arrangörslista!$U$5&lt;40,SUM(LARGE(BV17:DH17,{1;2;3;4;5;6;7;8;9})),
IF(Arrangörslista!$U$5&lt;44,SUM(LARGE(BV17:DL17,{1;2;3;4;5;6;7;8;9;10})),
IF(Arrangörslista!$U$5&lt;48,SUM(LARGE(BV17:DP17,{1;2;3;4;5;6;7;8;9;10;11})),
IF(Arrangörslista!$U$5&lt;52,SUM(LARGE(BV17:DT17,{1;2;3;4;5;6;7;8;9;10;11;12})),
IF(Arrangörslista!$U$5&lt;56,SUM(LARGE(BV17:DX17,{1;2;3;4;5;6;7;8;9;10;11;12;13})),
IF(Arrangörslista!$U$5&lt;60,SUM(LARGE(BV17:EB17,{1;2;3;4;5;6;7;8;9;10;11;12;13;14})),
IF(Arrangörslista!$U$5=60,SUM(LARGE(BV17:EC17,{1;2;3;4;5;6;7;8;9;10;11;12;13;14;15})),0))))))))))))))))))</f>
        <v>0</v>
      </c>
      <c r="EG17" s="67">
        <f>IF(F17="",,1)</f>
        <v>0</v>
      </c>
      <c r="EH17" s="61"/>
      <c r="EI17" s="61"/>
      <c r="EK17" s="62">
        <f>SMALL($J80:$BQ80,1)</f>
        <v>61</v>
      </c>
      <c r="EL17" s="62">
        <f>SMALL($J80:$BQ80,2)</f>
        <v>61</v>
      </c>
      <c r="EM17" s="62">
        <f>SMALL($J80:$BQ80,3)</f>
        <v>61</v>
      </c>
      <c r="EN17" s="62">
        <f>SMALL($J80:$BQ80,4)</f>
        <v>61</v>
      </c>
      <c r="EO17" s="62">
        <f>SMALL($J80:$BQ80,5)</f>
        <v>61</v>
      </c>
      <c r="EP17" s="62">
        <f>SMALL($J80:$BQ80,6)</f>
        <v>61</v>
      </c>
      <c r="EQ17" s="62">
        <f>SMALL($J80:$BQ80,7)</f>
        <v>61</v>
      </c>
      <c r="ER17" s="62">
        <f>SMALL($J80:$BQ80,8)</f>
        <v>61</v>
      </c>
      <c r="ES17" s="62">
        <f>SMALL($J80:$BQ80,9)</f>
        <v>61</v>
      </c>
      <c r="ET17" s="62">
        <f>SMALL($J80:$BQ80,10)</f>
        <v>61</v>
      </c>
      <c r="EU17" s="62">
        <f>SMALL($J80:$BQ80,11)</f>
        <v>61</v>
      </c>
      <c r="EV17" s="62">
        <f>SMALL($J80:$BQ80,12)</f>
        <v>61</v>
      </c>
      <c r="EW17" s="62">
        <f>SMALL($J80:$BQ80,13)</f>
        <v>61</v>
      </c>
      <c r="EX17" s="62">
        <f>SMALL($J80:$BQ80,14)</f>
        <v>61</v>
      </c>
      <c r="EY17" s="62">
        <f>SMALL($J80:$BQ80,15)</f>
        <v>61</v>
      </c>
      <c r="EZ17" s="62">
        <f>SMALL($J80:$BQ80,16)</f>
        <v>61</v>
      </c>
      <c r="FA17" s="62">
        <f>SMALL($J80:$BQ80,17)</f>
        <v>61</v>
      </c>
      <c r="FB17" s="62">
        <f>SMALL($J80:$BQ80,18)</f>
        <v>61</v>
      </c>
      <c r="FC17" s="62">
        <f>SMALL($J80:$BQ80,19)</f>
        <v>61</v>
      </c>
      <c r="FD17" s="62">
        <f>SMALL($J80:$BQ80,20)</f>
        <v>61</v>
      </c>
      <c r="FE17" s="62">
        <f>SMALL($J80:$BQ80,21)</f>
        <v>61</v>
      </c>
      <c r="FF17" s="62">
        <f>SMALL($J80:$BQ80,22)</f>
        <v>61</v>
      </c>
      <c r="FG17" s="62">
        <f>SMALL($J80:$BQ80,23)</f>
        <v>61</v>
      </c>
      <c r="FH17" s="62">
        <f>SMALL($J80:$BQ80,24)</f>
        <v>61</v>
      </c>
      <c r="FI17" s="62">
        <f>SMALL($J80:$BQ80,25)</f>
        <v>61</v>
      </c>
      <c r="FJ17" s="62">
        <f>SMALL($J80:$BQ80,26)</f>
        <v>61</v>
      </c>
      <c r="FK17" s="62">
        <f>SMALL($J80:$BQ80,27)</f>
        <v>61</v>
      </c>
      <c r="FL17" s="62">
        <f>SMALL($J80:$BQ80,28)</f>
        <v>61</v>
      </c>
      <c r="FM17" s="62">
        <f>SMALL($J80:$BQ80,29)</f>
        <v>61</v>
      </c>
      <c r="FN17" s="62">
        <f>SMALL($J80:$BQ80,30)</f>
        <v>61</v>
      </c>
      <c r="FO17" s="62">
        <f>SMALL($J80:$BQ80,31)</f>
        <v>61</v>
      </c>
      <c r="FP17" s="62">
        <f>SMALL($J80:$BQ80,32)</f>
        <v>61</v>
      </c>
      <c r="FQ17" s="62">
        <f>SMALL($J80:$BQ80,33)</f>
        <v>61</v>
      </c>
      <c r="FR17" s="62">
        <f>SMALL($J80:$BQ80,34)</f>
        <v>61</v>
      </c>
      <c r="FS17" s="62">
        <f>SMALL($J80:$BQ80,35)</f>
        <v>61</v>
      </c>
      <c r="FT17" s="62">
        <f>SMALL($J80:$BQ80,36)</f>
        <v>61</v>
      </c>
      <c r="FU17" s="62">
        <f>SMALL($J80:$BQ80,37)</f>
        <v>61</v>
      </c>
      <c r="FV17" s="62">
        <f>SMALL($J80:$BQ80,38)</f>
        <v>61</v>
      </c>
      <c r="FW17" s="62">
        <f>SMALL($J80:$BQ80,39)</f>
        <v>61</v>
      </c>
      <c r="FX17" s="62">
        <f>SMALL($J80:$BQ80,40)</f>
        <v>61</v>
      </c>
      <c r="FY17" s="62">
        <f>SMALL($J80:$BQ80,41)</f>
        <v>61</v>
      </c>
      <c r="FZ17" s="62">
        <f>SMALL($J80:$BQ80,42)</f>
        <v>61</v>
      </c>
      <c r="GA17" s="62">
        <f>SMALL($J80:$BQ80,43)</f>
        <v>61</v>
      </c>
      <c r="GB17" s="62">
        <f>SMALL($J80:$BQ80,44)</f>
        <v>61</v>
      </c>
      <c r="GC17" s="62">
        <f>SMALL($J80:$BQ80,45)</f>
        <v>61</v>
      </c>
      <c r="GD17" s="62">
        <f>SMALL($J80:$BQ80,46)</f>
        <v>61</v>
      </c>
      <c r="GE17" s="62">
        <f>SMALL($J80:$BQ80,47)</f>
        <v>61</v>
      </c>
      <c r="GF17" s="62">
        <f>SMALL($J80:$BQ80,48)</f>
        <v>61</v>
      </c>
      <c r="GG17" s="62">
        <f>SMALL($J80:$BQ80,49)</f>
        <v>61</v>
      </c>
      <c r="GH17" s="62">
        <f>SMALL($J80:$BQ80,50)</f>
        <v>61</v>
      </c>
      <c r="GI17" s="62">
        <f>SMALL($J80:$BQ80,51)</f>
        <v>61</v>
      </c>
      <c r="GJ17" s="62">
        <f>SMALL($J80:$BQ80,52)</f>
        <v>61</v>
      </c>
      <c r="GK17" s="62">
        <f>SMALL($J80:$BQ80,53)</f>
        <v>61</v>
      </c>
      <c r="GL17" s="62">
        <f>SMALL($J80:$BQ80,54)</f>
        <v>61</v>
      </c>
      <c r="GM17" s="62">
        <f>SMALL($J80:$BQ80,55)</f>
        <v>61</v>
      </c>
      <c r="GN17" s="62">
        <f>SMALL($J80:$BQ80,56)</f>
        <v>61</v>
      </c>
      <c r="GO17" s="62">
        <f>SMALL($J80:$BQ80,57)</f>
        <v>61</v>
      </c>
      <c r="GP17" s="62">
        <f>SMALL($J80:$BQ80,58)</f>
        <v>61</v>
      </c>
      <c r="GQ17" s="62">
        <f>SMALL($J80:$BQ80,59)</f>
        <v>61</v>
      </c>
      <c r="GR17" s="62">
        <f>SMALL($J80:$BQ80,60)</f>
        <v>61</v>
      </c>
      <c r="GT17" s="62">
        <f>IF(Deltagarlista!$K$3=2,
IF(GW17="1",
      IF(Arrangörslista!$U$5=1,J80,
IF(Arrangörslista!$U$5=2,K80,
IF(Arrangörslista!$U$5=3,L80,
IF(Arrangörslista!$U$5=4,M80,
IF(Arrangörslista!$U$5=5,N80,
IF(Arrangörslista!$U$5=6,O80,
IF(Arrangörslista!$U$5=7,P80,
IF(Arrangörslista!$U$5=8,Q80,
IF(Arrangörslista!$U$5=9,R80,
IF(Arrangörslista!$U$5=10,S80,
IF(Arrangörslista!$U$5=11,T80,
IF(Arrangörslista!$U$5=12,U80,
IF(Arrangörslista!$U$5=13,V80,
IF(Arrangörslista!$U$5=14,W80,
IF(Arrangörslista!$U$5=15,X80,
IF(Arrangörslista!$U$5=16,Y80,IF(Arrangörslista!$U$5=17,Z80,IF(Arrangörslista!$U$5=18,AA80,IF(Arrangörslista!$U$5=19,AB80,IF(Arrangörslista!$U$5=20,AC80,IF(Arrangörslista!$U$5=21,AD80,IF(Arrangörslista!$U$5=22,AE80,IF(Arrangörslista!$U$5=23,AF80, IF(Arrangörslista!$U$5=24,AG80, IF(Arrangörslista!$U$5=25,AH80, IF(Arrangörslista!$U$5=26,AI80, IF(Arrangörslista!$U$5=27,AJ80, IF(Arrangörslista!$U$5=28,AK80, IF(Arrangörslista!$U$5=29,AL80, IF(Arrangörslista!$U$5=30,AM80, IF(Arrangörslista!$U$5=31,AN80, IF(Arrangörslista!$U$5=32,AO80, IF(Arrangörslista!$U$5=33,AP80, IF(Arrangörslista!$U$5=34,AQ80, IF(Arrangörslista!$U$5=35,AR80, IF(Arrangörslista!$U$5=36,AS80, IF(Arrangörslista!$U$5=37,AT80, IF(Arrangörslista!$U$5=38,AU80, IF(Arrangörslista!$U$5=39,AV80, IF(Arrangörslista!$U$5=40,AW80, IF(Arrangörslista!$U$5=41,AX80, IF(Arrangörslista!$U$5=42,AY80, IF(Arrangörslista!$U$5=43,AZ80, IF(Arrangörslista!$U$5=44,BA80, IF(Arrangörslista!$U$5=45,BB80, IF(Arrangörslista!$U$5=46,BC80, IF(Arrangörslista!$U$5=47,BD80, IF(Arrangörslista!$U$5=48,BE80, IF(Arrangörslista!$U$5=49,BF80, IF(Arrangörslista!$U$5=50,BG80, IF(Arrangörslista!$U$5=51,BH80, IF(Arrangörslista!$U$5=52,BI80, IF(Arrangörslista!$U$5=53,BJ80, IF(Arrangörslista!$U$5=54,BK80, IF(Arrangörslista!$U$5=55,BL80, IF(Arrangörslista!$U$5=56,BM80, IF(Arrangörslista!$U$5=57,BN80, IF(Arrangörslista!$U$5=58,BO80, IF(Arrangörslista!$U$5=59,BP80, IF(Arrangörslista!$U$5=60,BQ80,0))))))))))))))))))))))))))))))))))))))))))))))))))))))))))))),IF(Deltagarlista!$K$3=4, IF(Arrangörslista!$U$5=1,J80,
IF(Arrangörslista!$U$5=2,J80,
IF(Arrangörslista!$U$5=3,K80,
IF(Arrangörslista!$U$5=4,K80,
IF(Arrangörslista!$U$5=5,L80,
IF(Arrangörslista!$U$5=6,L80,
IF(Arrangörslista!$U$5=7,M80,
IF(Arrangörslista!$U$5=8,M80,
IF(Arrangörslista!$U$5=9,N80,
IF(Arrangörslista!$U$5=10,N80,
IF(Arrangörslista!$U$5=11,O80,
IF(Arrangörslista!$U$5=12,O80,
IF(Arrangörslista!$U$5=13,P80,
IF(Arrangörslista!$U$5=14,P80,
IF(Arrangörslista!$U$5=15,Q80,
IF(Arrangörslista!$U$5=16,Q80,
IF(Arrangörslista!$U$5=17,R80,
IF(Arrangörslista!$U$5=18,R80,
IF(Arrangörslista!$U$5=19,S80,
IF(Arrangörslista!$U$5=20,S80,
IF(Arrangörslista!$U$5=21,T80,
IF(Arrangörslista!$U$5=22,T80,IF(Arrangörslista!$U$5=23,U80, IF(Arrangörslista!$U$5=24,U80, IF(Arrangörslista!$U$5=25,V80, IF(Arrangörslista!$U$5=26,V80, IF(Arrangörslista!$U$5=27,W80, IF(Arrangörslista!$U$5=28,W80, IF(Arrangörslista!$U$5=29,X80, IF(Arrangörslista!$U$5=30,X80, IF(Arrangörslista!$U$5=31,X80, IF(Arrangörslista!$U$5=32,Y80, IF(Arrangörslista!$U$5=33,AO80, IF(Arrangörslista!$U$5=34,Y80, IF(Arrangörslista!$U$5=35,Z80, IF(Arrangörslista!$U$5=36,AR80, IF(Arrangörslista!$U$5=37,Z80, IF(Arrangörslista!$U$5=38,AA80, IF(Arrangörslista!$U$5=39,AU80, IF(Arrangörslista!$U$5=40,AA80, IF(Arrangörslista!$U$5=41,AB80, IF(Arrangörslista!$U$5=42,AX80, IF(Arrangörslista!$U$5=43,AB80, IF(Arrangörslista!$U$5=44,AC80, IF(Arrangörslista!$U$5=45,BA80, IF(Arrangörslista!$U$5=46,AC80, IF(Arrangörslista!$U$5=47,AD80, IF(Arrangörslista!$U$5=48,BD80, IF(Arrangörslista!$U$5=49,AD80, IF(Arrangörslista!$U$5=50,AE80, IF(Arrangörslista!$U$5=51,BG80, IF(Arrangörslista!$U$5=52,AE80, IF(Arrangörslista!$U$5=53,AF80, IF(Arrangörslista!$U$5=54,BJ80, IF(Arrangörslista!$U$5=55,AF80, IF(Arrangörslista!$U$5=56,AG80, IF(Arrangörslista!$U$5=57,BM80, IF(Arrangörslista!$U$5=58,AG80, IF(Arrangörslista!$U$5=59,AH80, IF(Arrangörslista!$U$5=60,AH80,0)))))))))))))))))))))))))))))))))))))))))))))))))))))))))))),IF(Arrangörslista!$U$5=1,J80,
IF(Arrangörslista!$U$5=2,K80,
IF(Arrangörslista!$U$5=3,L80,
IF(Arrangörslista!$U$5=4,M80,
IF(Arrangörslista!$U$5=5,N80,
IF(Arrangörslista!$U$5=6,O80,
IF(Arrangörslista!$U$5=7,P80,
IF(Arrangörslista!$U$5=8,Q80,
IF(Arrangörslista!$U$5=9,R80,
IF(Arrangörslista!$U$5=10,S80,
IF(Arrangörslista!$U$5=11,T80,
IF(Arrangörslista!$U$5=12,U80,
IF(Arrangörslista!$U$5=13,V80,
IF(Arrangörslista!$U$5=14,W80,
IF(Arrangörslista!$U$5=15,X80,
IF(Arrangörslista!$U$5=16,Y80,IF(Arrangörslista!$U$5=17,Z80,IF(Arrangörslista!$U$5=18,AA80,IF(Arrangörslista!$U$5=19,AB80,IF(Arrangörslista!$U$5=20,AC80,IF(Arrangörslista!$U$5=21,AD80,IF(Arrangörslista!$U$5=22,AE80,IF(Arrangörslista!$U$5=23,AF80, IF(Arrangörslista!$U$5=24,AG80, IF(Arrangörslista!$U$5=25,AH80, IF(Arrangörslista!$U$5=26,AI80, IF(Arrangörslista!$U$5=27,AJ80, IF(Arrangörslista!$U$5=28,AK80, IF(Arrangörslista!$U$5=29,AL80, IF(Arrangörslista!$U$5=30,AM80, IF(Arrangörslista!$U$5=31,AN80, IF(Arrangörslista!$U$5=32,AO80, IF(Arrangörslista!$U$5=33,AP80, IF(Arrangörslista!$U$5=34,AQ80, IF(Arrangörslista!$U$5=35,AR80, IF(Arrangörslista!$U$5=36,AS80, IF(Arrangörslista!$U$5=37,AT80, IF(Arrangörslista!$U$5=38,AU80, IF(Arrangörslista!$U$5=39,AV80, IF(Arrangörslista!$U$5=40,AW80, IF(Arrangörslista!$U$5=41,AX80, IF(Arrangörslista!$U$5=42,AY80, IF(Arrangörslista!$U$5=43,AZ80, IF(Arrangörslista!$U$5=44,BA80, IF(Arrangörslista!$U$5=45,BB80, IF(Arrangörslista!$U$5=46,BC80, IF(Arrangörslista!$U$5=47,BD80, IF(Arrangörslista!$U$5=48,BE80, IF(Arrangörslista!$U$5=49,BF80, IF(Arrangörslista!$U$5=50,BG80, IF(Arrangörslista!$U$5=51,BH80, IF(Arrangörslista!$U$5=52,BI80, IF(Arrangörslista!$U$5=53,BJ80, IF(Arrangörslista!$U$5=54,BK80, IF(Arrangörslista!$U$5=55,BL80, IF(Arrangörslista!$U$5=56,BM80, IF(Arrangörslista!$U$5=57,BN80, IF(Arrangörslista!$U$5=58,BO80, IF(Arrangörslista!$U$5=59,BP80, IF(Arrangörslista!$U$5=60,BQ80,0))))))))))))))))))))))))))))))))))))))))))))))))))))))))))))
))</f>
        <v>0</v>
      </c>
      <c r="GV17" s="65" t="str">
        <f>IFERROR(IF(VLOOKUP(F17,Deltagarlista!$E$5:$I$64,5,FALSE)="Grön","Gr",IF(VLOOKUP(F17,Deltagarlista!$E$5:$I$64,5,FALSE)="Röd","R",IF(VLOOKUP(F17,Deltagarlista!$E$5:$I$64,5,FALSE)="Blå","B","Gu"))),"")</f>
        <v/>
      </c>
      <c r="GW17" s="62" t="str">
        <f t="shared" si="1"/>
        <v/>
      </c>
    </row>
    <row r="18" spans="2:205" x14ac:dyDescent="0.3">
      <c r="B18" s="23" t="str">
        <f>IF($BW$3&gt;14,15,"")</f>
        <v/>
      </c>
      <c r="C18" s="92" t="str">
        <f>IF(ISBLANK(Deltagarlista!C19),"",Deltagarlista!C19)</f>
        <v/>
      </c>
      <c r="D18" s="109" t="str">
        <f>CONCATENATE(IF(AND(Deltagarlista!H19="GM",Deltagarlista!$S$14=TRUE),"GM   ",""),  IF(OR(Deltagarlista!$K$3=4,Deltagarlista!$K$3=2),Deltagarlista!I19,""))</f>
        <v/>
      </c>
      <c r="E18" s="8" t="str">
        <f>IF(ISBLANK(Deltagarlista!D19),"",Deltagarlista!D19)</f>
        <v/>
      </c>
      <c r="F18" s="8" t="str">
        <f>IF(ISBLANK(Deltagarlista!E19),"",Deltagarlista!E19)</f>
        <v/>
      </c>
      <c r="G18" s="95" t="str">
        <f>IF(ISBLANK(Deltagarlista!F19),"",Deltagarlista!F19)</f>
        <v/>
      </c>
      <c r="H18" s="72" t="str">
        <f>IF(ISBLANK(Deltagarlista!C19),"",BU18-EE18)</f>
        <v/>
      </c>
      <c r="I18" s="13" t="str">
        <f>IF(ISBLANK(Deltagarlista!C19),"",IF(AND(Deltagarlista!$K$3=2,Deltagarlista!$L$3&lt;37),SUM(SUM(BV18:EC18)-(ROUNDDOWN(Arrangörslista!$U$5/3,1))*($BW$3+1)),SUM(BV18:EC18)))</f>
        <v/>
      </c>
      <c r="J18" s="79" t="str">
        <f>IF(Deltagarlista!$K$3=4,IF(ISBLANK(Deltagarlista!$C19),"",IF(ISBLANK(Arrangörslista!C$8),"",IFERROR(VLOOKUP($F18,Arrangörslista!C$8:$AG$45,16,FALSE),IF(ISBLANK(Deltagarlista!$C19),"",IF(ISBLANK(Arrangörslista!C$8),"",IFERROR(VLOOKUP($F18,Arrangörslista!D$8:$AG$45,16,FALSE),"DNS")))))),IF(Deltagarlista!$K$3=2,
IF(ISBLANK(Deltagarlista!$C19),"",IF(ISBLANK(Arrangörslista!C$8),"",IF($GV18=J$64," DNS ",IFERROR(VLOOKUP($F18,Arrangörslista!C$8:$AG$45,16,FALSE),"DNS")))),IF(ISBLANK(Deltagarlista!$C19),"",IF(ISBLANK(Arrangörslista!C$8),"",IFERROR(VLOOKUP($F18,Arrangörslista!C$8:$AG$45,16,FALSE),"DNS")))))</f>
        <v/>
      </c>
      <c r="K18" s="5" t="str">
        <f>IF(Deltagarlista!$K$3=4,IF(ISBLANK(Deltagarlista!$C19),"",IF(ISBLANK(Arrangörslista!E$8),"",IFERROR(VLOOKUP($F18,Arrangörslista!E$8:$AG$45,16,FALSE),IF(ISBLANK(Deltagarlista!$C19),"",IF(ISBLANK(Arrangörslista!E$8),"",IFERROR(VLOOKUP($F18,Arrangörslista!F$8:$AG$45,16,FALSE),"DNS")))))),IF(Deltagarlista!$K$3=2,
IF(ISBLANK(Deltagarlista!$C19),"",IF(ISBLANK(Arrangörslista!D$8),"",IF($GV18=K$64," DNS ",IFERROR(VLOOKUP($F18,Arrangörslista!D$8:$AG$45,16,FALSE),"DNS")))),IF(ISBLANK(Deltagarlista!$C19),"",IF(ISBLANK(Arrangörslista!D$8),"",IFERROR(VLOOKUP($F18,Arrangörslista!D$8:$AG$45,16,FALSE),"DNS")))))</f>
        <v/>
      </c>
      <c r="L18" s="5" t="str">
        <f>IF(Deltagarlista!$K$3=4,IF(ISBLANK(Deltagarlista!$C19),"",IF(ISBLANK(Arrangörslista!G$8),"",IFERROR(VLOOKUP($F18,Arrangörslista!G$8:$AG$45,16,FALSE),IF(ISBLANK(Deltagarlista!$C19),"",IF(ISBLANK(Arrangörslista!G$8),"",IFERROR(VLOOKUP($F18,Arrangörslista!H$8:$AG$45,16,FALSE),"DNS")))))),IF(Deltagarlista!$K$3=2,
IF(ISBLANK(Deltagarlista!$C19),"",IF(ISBLANK(Arrangörslista!E$8),"",IF($GV18=L$64," DNS ",IFERROR(VLOOKUP($F18,Arrangörslista!E$8:$AG$45,16,FALSE),"DNS")))),IF(ISBLANK(Deltagarlista!$C19),"",IF(ISBLANK(Arrangörslista!E$8),"",IFERROR(VLOOKUP($F18,Arrangörslista!E$8:$AG$45,16,FALSE),"DNS")))))</f>
        <v/>
      </c>
      <c r="M18" s="5" t="str">
        <f>IF(Deltagarlista!$K$3=4,IF(ISBLANK(Deltagarlista!$C19),"",IF(ISBLANK(Arrangörslista!I$8),"",IFERROR(VLOOKUP($F18,Arrangörslista!I$8:$AG$45,16,FALSE),IF(ISBLANK(Deltagarlista!$C19),"",IF(ISBLANK(Arrangörslista!I$8),"",IFERROR(VLOOKUP($F18,Arrangörslista!J$8:$AG$45,16,FALSE),"DNS")))))),IF(Deltagarlista!$K$3=2,
IF(ISBLANK(Deltagarlista!$C19),"",IF(ISBLANK(Arrangörslista!F$8),"",IF($GV18=M$64," DNS ",IFERROR(VLOOKUP($F18,Arrangörslista!F$8:$AG$45,16,FALSE),"DNS")))),IF(ISBLANK(Deltagarlista!$C19),"",IF(ISBLANK(Arrangörslista!F$8),"",IFERROR(VLOOKUP($F18,Arrangörslista!F$8:$AG$45,16,FALSE),"DNS")))))</f>
        <v/>
      </c>
      <c r="N18" s="5" t="str">
        <f>IF(Deltagarlista!$K$3=4,IF(ISBLANK(Deltagarlista!$C19),"",IF(ISBLANK(Arrangörslista!K$8),"",IFERROR(VLOOKUP($F18,Arrangörslista!K$8:$AG$45,16,FALSE),IF(ISBLANK(Deltagarlista!$C19),"",IF(ISBLANK(Arrangörslista!K$8),"",IFERROR(VLOOKUP($F18,Arrangörslista!L$8:$AG$45,16,FALSE),"DNS")))))),IF(Deltagarlista!$K$3=2,
IF(ISBLANK(Deltagarlista!$C19),"",IF(ISBLANK(Arrangörslista!G$8),"",IF($GV18=N$64," DNS ",IFERROR(VLOOKUP($F18,Arrangörslista!G$8:$AG$45,16,FALSE),"DNS")))),IF(ISBLANK(Deltagarlista!$C19),"",IF(ISBLANK(Arrangörslista!G$8),"",IFERROR(VLOOKUP($F18,Arrangörslista!G$8:$AG$45,16,FALSE),"DNS")))))</f>
        <v/>
      </c>
      <c r="O18" s="5" t="str">
        <f>IF(Deltagarlista!$K$3=4,IF(ISBLANK(Deltagarlista!$C19),"",IF(ISBLANK(Arrangörslista!M$8),"",IFERROR(VLOOKUP($F18,Arrangörslista!M$8:$AG$45,16,FALSE),IF(ISBLANK(Deltagarlista!$C19),"",IF(ISBLANK(Arrangörslista!M$8),"",IFERROR(VLOOKUP($F18,Arrangörslista!N$8:$AG$45,16,FALSE),"DNS")))))),IF(Deltagarlista!$K$3=2,
IF(ISBLANK(Deltagarlista!$C19),"",IF(ISBLANK(Arrangörslista!H$8),"",IF($GV18=O$64," DNS ",IFERROR(VLOOKUP($F18,Arrangörslista!H$8:$AG$45,16,FALSE),"DNS")))),IF(ISBLANK(Deltagarlista!$C19),"",IF(ISBLANK(Arrangörslista!H$8),"",IFERROR(VLOOKUP($F18,Arrangörslista!H$8:$AG$45,16,FALSE),"DNS")))))</f>
        <v/>
      </c>
      <c r="P18" s="5" t="str">
        <f>IF(Deltagarlista!$K$3=4,IF(ISBLANK(Deltagarlista!$C19),"",IF(ISBLANK(Arrangörslista!O$8),"",IFERROR(VLOOKUP($F18,Arrangörslista!O$8:$AG$45,16,FALSE),IF(ISBLANK(Deltagarlista!$C19),"",IF(ISBLANK(Arrangörslista!O$8),"",IFERROR(VLOOKUP($F18,Arrangörslista!P$8:$AG$45,16,FALSE),"DNS")))))),IF(Deltagarlista!$K$3=2,
IF(ISBLANK(Deltagarlista!$C19),"",IF(ISBLANK(Arrangörslista!I$8),"",IF($GV18=P$64," DNS ",IFERROR(VLOOKUP($F18,Arrangörslista!I$8:$AG$45,16,FALSE),"DNS")))),IF(ISBLANK(Deltagarlista!$C19),"",IF(ISBLANK(Arrangörslista!I$8),"",IFERROR(VLOOKUP($F18,Arrangörslista!I$8:$AG$45,16,FALSE),"DNS")))))</f>
        <v/>
      </c>
      <c r="Q18" s="5" t="str">
        <f>IF(Deltagarlista!$K$3=4,IF(ISBLANK(Deltagarlista!$C19),"",IF(ISBLANK(Arrangörslista!Q$8),"",IFERROR(VLOOKUP($F18,Arrangörslista!Q$8:$AG$45,16,FALSE),IF(ISBLANK(Deltagarlista!$C19),"",IF(ISBLANK(Arrangörslista!Q$8),"",IFERROR(VLOOKUP($F18,Arrangörslista!C$53:$AG$90,16,FALSE),"DNS")))))),IF(Deltagarlista!$K$3=2,
IF(ISBLANK(Deltagarlista!$C19),"",IF(ISBLANK(Arrangörslista!J$8),"",IF($GV18=Q$64," DNS ",IFERROR(VLOOKUP($F18,Arrangörslista!J$8:$AG$45,16,FALSE),"DNS")))),IF(ISBLANK(Deltagarlista!$C19),"",IF(ISBLANK(Arrangörslista!J$8),"",IFERROR(VLOOKUP($F18,Arrangörslista!J$8:$AG$45,16,FALSE),"DNS")))))</f>
        <v/>
      </c>
      <c r="R18" s="5" t="str">
        <f>IF(Deltagarlista!$K$3=4,IF(ISBLANK(Deltagarlista!$C19),"",IF(ISBLANK(Arrangörslista!D$53),"",IFERROR(VLOOKUP($F18,Arrangörslista!D$53:$AG$90,16,FALSE),IF(ISBLANK(Deltagarlista!$C19),"",IF(ISBLANK(Arrangörslista!D$53),"",IFERROR(VLOOKUP($F18,Arrangörslista!E$53:$AG$90,16,FALSE),"DNS")))))),IF(Deltagarlista!$K$3=2,
IF(ISBLANK(Deltagarlista!$C19),"",IF(ISBLANK(Arrangörslista!K$8),"",IF($GV18=R$64," DNS ",IFERROR(VLOOKUP($F18,Arrangörslista!K$8:$AG$45,16,FALSE),"DNS")))),IF(ISBLANK(Deltagarlista!$C19),"",IF(ISBLANK(Arrangörslista!K$8),"",IFERROR(VLOOKUP($F18,Arrangörslista!K$8:$AG$45,16,FALSE),"DNS")))))</f>
        <v/>
      </c>
      <c r="S18" s="5" t="str">
        <f>IF(Deltagarlista!$K$3=4,IF(ISBLANK(Deltagarlista!$C19),"",IF(ISBLANK(Arrangörslista!F$53),"",IFERROR(VLOOKUP($F18,Arrangörslista!F$53:$AG$90,16,FALSE),IF(ISBLANK(Deltagarlista!$C19),"",IF(ISBLANK(Arrangörslista!F$53),"",IFERROR(VLOOKUP($F18,Arrangörslista!G$53:$AG$90,16,FALSE),"DNS")))))),IF(Deltagarlista!$K$3=2,
IF(ISBLANK(Deltagarlista!$C19),"",IF(ISBLANK(Arrangörslista!L$8),"",IF($GV18=S$64," DNS ",IFERROR(VLOOKUP($F18,Arrangörslista!L$8:$AG$45,16,FALSE),"DNS")))),IF(ISBLANK(Deltagarlista!$C19),"",IF(ISBLANK(Arrangörslista!L$8),"",IFERROR(VLOOKUP($F18,Arrangörslista!L$8:$AG$45,16,FALSE),"DNS")))))</f>
        <v/>
      </c>
      <c r="T18" s="5" t="str">
        <f>IF(Deltagarlista!$K$3=4,IF(ISBLANK(Deltagarlista!$C19),"",IF(ISBLANK(Arrangörslista!H$53),"",IFERROR(VLOOKUP($F18,Arrangörslista!H$53:$AG$90,16,FALSE),IF(ISBLANK(Deltagarlista!$C19),"",IF(ISBLANK(Arrangörslista!H$53),"",IFERROR(VLOOKUP($F18,Arrangörslista!I$53:$AG$90,16,FALSE),"DNS")))))),IF(Deltagarlista!$K$3=2,
IF(ISBLANK(Deltagarlista!$C19),"",IF(ISBLANK(Arrangörslista!M$8),"",IF($GV18=T$64," DNS ",IFERROR(VLOOKUP($F18,Arrangörslista!M$8:$AG$45,16,FALSE),"DNS")))),IF(ISBLANK(Deltagarlista!$C19),"",IF(ISBLANK(Arrangörslista!M$8),"",IFERROR(VLOOKUP($F18,Arrangörslista!M$8:$AG$45,16,FALSE),"DNS")))))</f>
        <v/>
      </c>
      <c r="U18" s="5" t="str">
        <f>IF(Deltagarlista!$K$3=4,IF(ISBLANK(Deltagarlista!$C19),"",IF(ISBLANK(Arrangörslista!J$53),"",IFERROR(VLOOKUP($F18,Arrangörslista!J$53:$AG$90,16,FALSE),IF(ISBLANK(Deltagarlista!$C19),"",IF(ISBLANK(Arrangörslista!J$53),"",IFERROR(VLOOKUP($F18,Arrangörslista!K$53:$AG$90,16,FALSE),"DNS")))))),IF(Deltagarlista!$K$3=2,
IF(ISBLANK(Deltagarlista!$C19),"",IF(ISBLANK(Arrangörslista!N$8),"",IF($GV18=U$64," DNS ",IFERROR(VLOOKUP($F18,Arrangörslista!N$8:$AG$45,16,FALSE),"DNS")))),IF(ISBLANK(Deltagarlista!$C19),"",IF(ISBLANK(Arrangörslista!N$8),"",IFERROR(VLOOKUP($F18,Arrangörslista!N$8:$AG$45,16,FALSE),"DNS")))))</f>
        <v/>
      </c>
      <c r="V18" s="5" t="str">
        <f>IF(Deltagarlista!$K$3=4,IF(ISBLANK(Deltagarlista!$C19),"",IF(ISBLANK(Arrangörslista!L$53),"",IFERROR(VLOOKUP($F18,Arrangörslista!L$53:$AG$90,16,FALSE),IF(ISBLANK(Deltagarlista!$C19),"",IF(ISBLANK(Arrangörslista!L$53),"",IFERROR(VLOOKUP($F18,Arrangörslista!M$53:$AG$90,16,FALSE),"DNS")))))),IF(Deltagarlista!$K$3=2,
IF(ISBLANK(Deltagarlista!$C19),"",IF(ISBLANK(Arrangörslista!O$8),"",IF($GV18=V$64," DNS ",IFERROR(VLOOKUP($F18,Arrangörslista!O$8:$AG$45,16,FALSE),"DNS")))),IF(ISBLANK(Deltagarlista!$C19),"",IF(ISBLANK(Arrangörslista!O$8),"",IFERROR(VLOOKUP($F18,Arrangörslista!O$8:$AG$45,16,FALSE),"DNS")))))</f>
        <v/>
      </c>
      <c r="W18" s="5" t="str">
        <f>IF(Deltagarlista!$K$3=4,IF(ISBLANK(Deltagarlista!$C19),"",IF(ISBLANK(Arrangörslista!N$53),"",IFERROR(VLOOKUP($F18,Arrangörslista!N$53:$AG$90,16,FALSE),IF(ISBLANK(Deltagarlista!$C19),"",IF(ISBLANK(Arrangörslista!N$53),"",IFERROR(VLOOKUP($F18,Arrangörslista!O$53:$AG$90,16,FALSE),"DNS")))))),IF(Deltagarlista!$K$3=2,
IF(ISBLANK(Deltagarlista!$C19),"",IF(ISBLANK(Arrangörslista!P$8),"",IF($GV18=W$64," DNS ",IFERROR(VLOOKUP($F18,Arrangörslista!P$8:$AG$45,16,FALSE),"DNS")))),IF(ISBLANK(Deltagarlista!$C19),"",IF(ISBLANK(Arrangörslista!P$8),"",IFERROR(VLOOKUP($F18,Arrangörslista!P$8:$AG$45,16,FALSE),"DNS")))))</f>
        <v/>
      </c>
      <c r="X18" s="5" t="str">
        <f>IF(Deltagarlista!$K$3=4,IF(ISBLANK(Deltagarlista!$C19),"",IF(ISBLANK(Arrangörslista!P$53),"",IFERROR(VLOOKUP($F18,Arrangörslista!P$53:$AG$90,16,FALSE),IF(ISBLANK(Deltagarlista!$C19),"",IF(ISBLANK(Arrangörslista!P$53),"",IFERROR(VLOOKUP($F18,Arrangörslista!Q$53:$AG$90,16,FALSE),"DNS")))))),IF(Deltagarlista!$K$3=2,
IF(ISBLANK(Deltagarlista!$C19),"",IF(ISBLANK(Arrangörslista!Q$8),"",IF($GV18=X$64," DNS ",IFERROR(VLOOKUP($F18,Arrangörslista!Q$8:$AG$45,16,FALSE),"DNS")))),IF(ISBLANK(Deltagarlista!$C19),"",IF(ISBLANK(Arrangörslista!Q$8),"",IFERROR(VLOOKUP($F18,Arrangörslista!Q$8:$AG$45,16,FALSE),"DNS")))))</f>
        <v/>
      </c>
      <c r="Y18" s="5" t="str">
        <f>IF(Deltagarlista!$K$3=4,IF(ISBLANK(Deltagarlista!$C19),"",IF(ISBLANK(Arrangörslista!C$98),"",IFERROR(VLOOKUP($F18,Arrangörslista!C$98:$AG$135,16,FALSE),IF(ISBLANK(Deltagarlista!$C19),"",IF(ISBLANK(Arrangörslista!C$98),"",IFERROR(VLOOKUP($F18,Arrangörslista!D$98:$AG$135,16,FALSE),"DNS")))))),IF(Deltagarlista!$K$3=2,
IF(ISBLANK(Deltagarlista!$C19),"",IF(ISBLANK(Arrangörslista!C$53),"",IF($GV18=Y$64," DNS ",IFERROR(VLOOKUP($F18,Arrangörslista!C$53:$AG$90,16,FALSE),"DNS")))),IF(ISBLANK(Deltagarlista!$C19),"",IF(ISBLANK(Arrangörslista!C$53),"",IFERROR(VLOOKUP($F18,Arrangörslista!C$53:$AG$90,16,FALSE),"DNS")))))</f>
        <v/>
      </c>
      <c r="Z18" s="5" t="str">
        <f>IF(Deltagarlista!$K$3=4,IF(ISBLANK(Deltagarlista!$C19),"",IF(ISBLANK(Arrangörslista!E$98),"",IFERROR(VLOOKUP($F18,Arrangörslista!E$98:$AG$135,16,FALSE),IF(ISBLANK(Deltagarlista!$C19),"",IF(ISBLANK(Arrangörslista!E$98),"",IFERROR(VLOOKUP($F18,Arrangörslista!F$98:$AG$135,16,FALSE),"DNS")))))),IF(Deltagarlista!$K$3=2,
IF(ISBLANK(Deltagarlista!$C19),"",IF(ISBLANK(Arrangörslista!D$53),"",IF($GV18=Z$64," DNS ",IFERROR(VLOOKUP($F18,Arrangörslista!D$53:$AG$90,16,FALSE),"DNS")))),IF(ISBLANK(Deltagarlista!$C19),"",IF(ISBLANK(Arrangörslista!D$53),"",IFERROR(VLOOKUP($F18,Arrangörslista!D$53:$AG$90,16,FALSE),"DNS")))))</f>
        <v/>
      </c>
      <c r="AA18" s="5" t="str">
        <f>IF(Deltagarlista!$K$3=4,IF(ISBLANK(Deltagarlista!$C19),"",IF(ISBLANK(Arrangörslista!G$98),"",IFERROR(VLOOKUP($F18,Arrangörslista!G$98:$AG$135,16,FALSE),IF(ISBLANK(Deltagarlista!$C19),"",IF(ISBLANK(Arrangörslista!G$98),"",IFERROR(VLOOKUP($F18,Arrangörslista!H$98:$AG$135,16,FALSE),"DNS")))))),IF(Deltagarlista!$K$3=2,
IF(ISBLANK(Deltagarlista!$C19),"",IF(ISBLANK(Arrangörslista!E$53),"",IF($GV18=AA$64," DNS ",IFERROR(VLOOKUP($F18,Arrangörslista!E$53:$AG$90,16,FALSE),"DNS")))),IF(ISBLANK(Deltagarlista!$C19),"",IF(ISBLANK(Arrangörslista!E$53),"",IFERROR(VLOOKUP($F18,Arrangörslista!E$53:$AG$90,16,FALSE),"DNS")))))</f>
        <v/>
      </c>
      <c r="AB18" s="5" t="str">
        <f>IF(Deltagarlista!$K$3=4,IF(ISBLANK(Deltagarlista!$C19),"",IF(ISBLANK(Arrangörslista!I$98),"",IFERROR(VLOOKUP($F18,Arrangörslista!I$98:$AG$135,16,FALSE),IF(ISBLANK(Deltagarlista!$C19),"",IF(ISBLANK(Arrangörslista!I$98),"",IFERROR(VLOOKUP($F18,Arrangörslista!J$98:$AG$135,16,FALSE),"DNS")))))),IF(Deltagarlista!$K$3=2,
IF(ISBLANK(Deltagarlista!$C19),"",IF(ISBLANK(Arrangörslista!F$53),"",IF($GV18=AB$64," DNS ",IFERROR(VLOOKUP($F18,Arrangörslista!F$53:$AG$90,16,FALSE),"DNS")))),IF(ISBLANK(Deltagarlista!$C19),"",IF(ISBLANK(Arrangörslista!F$53),"",IFERROR(VLOOKUP($F18,Arrangörslista!F$53:$AG$90,16,FALSE),"DNS")))))</f>
        <v/>
      </c>
      <c r="AC18" s="5" t="str">
        <f>IF(Deltagarlista!$K$3=4,IF(ISBLANK(Deltagarlista!$C19),"",IF(ISBLANK(Arrangörslista!K$98),"",IFERROR(VLOOKUP($F18,Arrangörslista!K$98:$AG$135,16,FALSE),IF(ISBLANK(Deltagarlista!$C19),"",IF(ISBLANK(Arrangörslista!K$98),"",IFERROR(VLOOKUP($F18,Arrangörslista!L$98:$AG$135,16,FALSE),"DNS")))))),IF(Deltagarlista!$K$3=2,
IF(ISBLANK(Deltagarlista!$C19),"",IF(ISBLANK(Arrangörslista!G$53),"",IF($GV18=AC$64," DNS ",IFERROR(VLOOKUP($F18,Arrangörslista!G$53:$AG$90,16,FALSE),"DNS")))),IF(ISBLANK(Deltagarlista!$C19),"",IF(ISBLANK(Arrangörslista!G$53),"",IFERROR(VLOOKUP($F18,Arrangörslista!G$53:$AG$90,16,FALSE),"DNS")))))</f>
        <v/>
      </c>
      <c r="AD18" s="5" t="str">
        <f>IF(Deltagarlista!$K$3=4,IF(ISBLANK(Deltagarlista!$C19),"",IF(ISBLANK(Arrangörslista!M$98),"",IFERROR(VLOOKUP($F18,Arrangörslista!M$98:$AG$135,16,FALSE),IF(ISBLANK(Deltagarlista!$C19),"",IF(ISBLANK(Arrangörslista!M$98),"",IFERROR(VLOOKUP($F18,Arrangörslista!N$98:$AG$135,16,FALSE),"DNS")))))),IF(Deltagarlista!$K$3=2,
IF(ISBLANK(Deltagarlista!$C19),"",IF(ISBLANK(Arrangörslista!H$53),"",IF($GV18=AD$64," DNS ",IFERROR(VLOOKUP($F18,Arrangörslista!H$53:$AG$90,16,FALSE),"DNS")))),IF(ISBLANK(Deltagarlista!$C19),"",IF(ISBLANK(Arrangörslista!H$53),"",IFERROR(VLOOKUP($F18,Arrangörslista!H$53:$AG$90,16,FALSE),"DNS")))))</f>
        <v/>
      </c>
      <c r="AE18" s="5" t="str">
        <f>IF(Deltagarlista!$K$3=4,IF(ISBLANK(Deltagarlista!$C19),"",IF(ISBLANK(Arrangörslista!O$98),"",IFERROR(VLOOKUP($F18,Arrangörslista!O$98:$AG$135,16,FALSE),IF(ISBLANK(Deltagarlista!$C19),"",IF(ISBLANK(Arrangörslista!O$98),"",IFERROR(VLOOKUP($F18,Arrangörslista!P$98:$AG$135,16,FALSE),"DNS")))))),IF(Deltagarlista!$K$3=2,
IF(ISBLANK(Deltagarlista!$C19),"",IF(ISBLANK(Arrangörslista!I$53),"",IF($GV18=AE$64," DNS ",IFERROR(VLOOKUP($F18,Arrangörslista!I$53:$AG$90,16,FALSE),"DNS")))),IF(ISBLANK(Deltagarlista!$C19),"",IF(ISBLANK(Arrangörslista!I$53),"",IFERROR(VLOOKUP($F18,Arrangörslista!I$53:$AG$90,16,FALSE),"DNS")))))</f>
        <v/>
      </c>
      <c r="AF18" s="5" t="str">
        <f>IF(Deltagarlista!$K$3=4,IF(ISBLANK(Deltagarlista!$C19),"",IF(ISBLANK(Arrangörslista!Q$98),"",IFERROR(VLOOKUP($F18,Arrangörslista!Q$98:$AG$135,16,FALSE),IF(ISBLANK(Deltagarlista!$C19),"",IF(ISBLANK(Arrangörslista!Q$98),"",IFERROR(VLOOKUP($F18,Arrangörslista!C$143:$AG$180,16,FALSE),"DNS")))))),IF(Deltagarlista!$K$3=2,
IF(ISBLANK(Deltagarlista!$C19),"",IF(ISBLANK(Arrangörslista!J$53),"",IF($GV18=AF$64," DNS ",IFERROR(VLOOKUP($F18,Arrangörslista!J$53:$AG$90,16,FALSE),"DNS")))),IF(ISBLANK(Deltagarlista!$C19),"",IF(ISBLANK(Arrangörslista!J$53),"",IFERROR(VLOOKUP($F18,Arrangörslista!J$53:$AG$90,16,FALSE),"DNS")))))</f>
        <v/>
      </c>
      <c r="AG18" s="5" t="str">
        <f>IF(Deltagarlista!$K$3=4,IF(ISBLANK(Deltagarlista!$C19),"",IF(ISBLANK(Arrangörslista!D$143),"",IFERROR(VLOOKUP($F18,Arrangörslista!D$143:$AG$180,16,FALSE),IF(ISBLANK(Deltagarlista!$C19),"",IF(ISBLANK(Arrangörslista!D$143),"",IFERROR(VLOOKUP($F18,Arrangörslista!E$143:$AG$180,16,FALSE),"DNS")))))),IF(Deltagarlista!$K$3=2,
IF(ISBLANK(Deltagarlista!$C19),"",IF(ISBLANK(Arrangörslista!K$53),"",IF($GV18=AG$64," DNS ",IFERROR(VLOOKUP($F18,Arrangörslista!K$53:$AG$90,16,FALSE),"DNS")))),IF(ISBLANK(Deltagarlista!$C19),"",IF(ISBLANK(Arrangörslista!K$53),"",IFERROR(VLOOKUP($F18,Arrangörslista!K$53:$AG$90,16,FALSE),"DNS")))))</f>
        <v/>
      </c>
      <c r="AH18" s="5" t="str">
        <f>IF(Deltagarlista!$K$3=4,IF(ISBLANK(Deltagarlista!$C19),"",IF(ISBLANK(Arrangörslista!F$143),"",IFERROR(VLOOKUP($F18,Arrangörslista!F$143:$AG$180,16,FALSE),IF(ISBLANK(Deltagarlista!$C19),"",IF(ISBLANK(Arrangörslista!F$143),"",IFERROR(VLOOKUP($F18,Arrangörslista!G$143:$AG$180,16,FALSE),"DNS")))))),IF(Deltagarlista!$K$3=2,
IF(ISBLANK(Deltagarlista!$C19),"",IF(ISBLANK(Arrangörslista!L$53),"",IF($GV18=AH$64," DNS ",IFERROR(VLOOKUP($F18,Arrangörslista!L$53:$AG$90,16,FALSE),"DNS")))),IF(ISBLANK(Deltagarlista!$C19),"",IF(ISBLANK(Arrangörslista!L$53),"",IFERROR(VLOOKUP($F18,Arrangörslista!L$53:$AG$90,16,FALSE),"DNS")))))</f>
        <v/>
      </c>
      <c r="AI18" s="5" t="str">
        <f>IF(Deltagarlista!$K$3=4,IF(ISBLANK(Deltagarlista!$C19),"",IF(ISBLANK(Arrangörslista!H$143),"",IFERROR(VLOOKUP($F18,Arrangörslista!H$143:$AG$180,16,FALSE),IF(ISBLANK(Deltagarlista!$C19),"",IF(ISBLANK(Arrangörslista!H$143),"",IFERROR(VLOOKUP($F18,Arrangörslista!I$143:$AG$180,16,FALSE),"DNS")))))),IF(Deltagarlista!$K$3=2,
IF(ISBLANK(Deltagarlista!$C19),"",IF(ISBLANK(Arrangörslista!M$53),"",IF($GV18=AI$64," DNS ",IFERROR(VLOOKUP($F18,Arrangörslista!M$53:$AG$90,16,FALSE),"DNS")))),IF(ISBLANK(Deltagarlista!$C19),"",IF(ISBLANK(Arrangörslista!M$53),"",IFERROR(VLOOKUP($F18,Arrangörslista!M$53:$AG$90,16,FALSE),"DNS")))))</f>
        <v/>
      </c>
      <c r="AJ18" s="5" t="str">
        <f>IF(Deltagarlista!$K$3=4,IF(ISBLANK(Deltagarlista!$C19),"",IF(ISBLANK(Arrangörslista!J$143),"",IFERROR(VLOOKUP($F18,Arrangörslista!J$143:$AG$180,16,FALSE),IF(ISBLANK(Deltagarlista!$C19),"",IF(ISBLANK(Arrangörslista!J$143),"",IFERROR(VLOOKUP($F18,Arrangörslista!K$143:$AG$180,16,FALSE),"DNS")))))),IF(Deltagarlista!$K$3=2,
IF(ISBLANK(Deltagarlista!$C19),"",IF(ISBLANK(Arrangörslista!N$53),"",IF($GV18=AJ$64," DNS ",IFERROR(VLOOKUP($F18,Arrangörslista!N$53:$AG$90,16,FALSE),"DNS")))),IF(ISBLANK(Deltagarlista!$C19),"",IF(ISBLANK(Arrangörslista!N$53),"",IFERROR(VLOOKUP($F18,Arrangörslista!N$53:$AG$90,16,FALSE),"DNS")))))</f>
        <v/>
      </c>
      <c r="AK18" s="5" t="str">
        <f>IF(Deltagarlista!$K$3=4,IF(ISBLANK(Deltagarlista!$C19),"",IF(ISBLANK(Arrangörslista!L$143),"",IFERROR(VLOOKUP($F18,Arrangörslista!L$143:$AG$180,16,FALSE),IF(ISBLANK(Deltagarlista!$C19),"",IF(ISBLANK(Arrangörslista!L$143),"",IFERROR(VLOOKUP($F18,Arrangörslista!M$143:$AG$180,16,FALSE),"DNS")))))),IF(Deltagarlista!$K$3=2,
IF(ISBLANK(Deltagarlista!$C19),"",IF(ISBLANK(Arrangörslista!O$53),"",IF($GV18=AK$64," DNS ",IFERROR(VLOOKUP($F18,Arrangörslista!O$53:$AG$90,16,FALSE),"DNS")))),IF(ISBLANK(Deltagarlista!$C19),"",IF(ISBLANK(Arrangörslista!O$53),"",IFERROR(VLOOKUP($F18,Arrangörslista!O$53:$AG$90,16,FALSE),"DNS")))))</f>
        <v/>
      </c>
      <c r="AL18" s="5" t="str">
        <f>IF(Deltagarlista!$K$3=4,IF(ISBLANK(Deltagarlista!$C19),"",IF(ISBLANK(Arrangörslista!N$143),"",IFERROR(VLOOKUP($F18,Arrangörslista!N$143:$AG$180,16,FALSE),IF(ISBLANK(Deltagarlista!$C19),"",IF(ISBLANK(Arrangörslista!N$143),"",IFERROR(VLOOKUP($F18,Arrangörslista!O$143:$AG$180,16,FALSE),"DNS")))))),IF(Deltagarlista!$K$3=2,
IF(ISBLANK(Deltagarlista!$C19),"",IF(ISBLANK(Arrangörslista!P$53),"",IF($GV18=AL$64," DNS ",IFERROR(VLOOKUP($F18,Arrangörslista!P$53:$AG$90,16,FALSE),"DNS")))),IF(ISBLANK(Deltagarlista!$C19),"",IF(ISBLANK(Arrangörslista!P$53),"",IFERROR(VLOOKUP($F18,Arrangörslista!P$53:$AG$90,16,FALSE),"DNS")))))</f>
        <v/>
      </c>
      <c r="AM18" s="5" t="str">
        <f>IF(Deltagarlista!$K$3=4,IF(ISBLANK(Deltagarlista!$C19),"",IF(ISBLANK(Arrangörslista!P$143),"",IFERROR(VLOOKUP($F18,Arrangörslista!P$143:$AG$180,16,FALSE),IF(ISBLANK(Deltagarlista!$C19),"",IF(ISBLANK(Arrangörslista!P$143),"",IFERROR(VLOOKUP($F18,Arrangörslista!Q$143:$AG$180,16,FALSE),"DNS")))))),IF(Deltagarlista!$K$3=2,
IF(ISBLANK(Deltagarlista!$C19),"",IF(ISBLANK(Arrangörslista!Q$53),"",IF($GV18=AM$64," DNS ",IFERROR(VLOOKUP($F18,Arrangörslista!Q$53:$AG$90,16,FALSE),"DNS")))),IF(ISBLANK(Deltagarlista!$C19),"",IF(ISBLANK(Arrangörslista!Q$53),"",IFERROR(VLOOKUP($F18,Arrangörslista!Q$53:$AG$90,16,FALSE),"DNS")))))</f>
        <v/>
      </c>
      <c r="AN18" s="5" t="str">
        <f>IF(Deltagarlista!$K$3=2,
IF(ISBLANK(Deltagarlista!$C19),"",IF(ISBLANK(Arrangörslista!C$98),"",IF($GV18=AN$64," DNS ",IFERROR(VLOOKUP($F18,Arrangörslista!C$98:$AG$135,16,FALSE), "DNS")))), IF(Deltagarlista!$K$3=1,IF(ISBLANK(Deltagarlista!$C19),"",IF(ISBLANK(Arrangörslista!C$98),"",IFERROR(VLOOKUP($F18,Arrangörslista!C$98:$AG$135,16,FALSE), "DNS"))),""))</f>
        <v/>
      </c>
      <c r="AO18" s="5" t="str">
        <f>IF(Deltagarlista!$K$3=2,
IF(ISBLANK(Deltagarlista!$C19),"",IF(ISBLANK(Arrangörslista!D$98),"",IF($GV18=AO$64," DNS ",IFERROR(VLOOKUP($F18,Arrangörslista!D$98:$AG$135,16,FALSE), "DNS")))), IF(Deltagarlista!$K$3=1,IF(ISBLANK(Deltagarlista!$C19),"",IF(ISBLANK(Arrangörslista!D$98),"",IFERROR(VLOOKUP($F18,Arrangörslista!D$98:$AG$135,16,FALSE), "DNS"))),""))</f>
        <v/>
      </c>
      <c r="AP18" s="5" t="str">
        <f>IF(Deltagarlista!$K$3=2,
IF(ISBLANK(Deltagarlista!$C19),"",IF(ISBLANK(Arrangörslista!E$98),"",IF($GV18=AP$64," DNS ",IFERROR(VLOOKUP($F18,Arrangörslista!E$98:$AG$135,16,FALSE), "DNS")))), IF(Deltagarlista!$K$3=1,IF(ISBLANK(Deltagarlista!$C19),"",IF(ISBLANK(Arrangörslista!E$98),"",IFERROR(VLOOKUP($F18,Arrangörslista!E$98:$AG$135,16,FALSE), "DNS"))),""))</f>
        <v/>
      </c>
      <c r="AQ18" s="5" t="str">
        <f>IF(Deltagarlista!$K$3=2,
IF(ISBLANK(Deltagarlista!$C19),"",IF(ISBLANK(Arrangörslista!F$98),"",IF($GV18=AQ$64," DNS ",IFERROR(VLOOKUP($F18,Arrangörslista!F$98:$AG$135,16,FALSE), "DNS")))), IF(Deltagarlista!$K$3=1,IF(ISBLANK(Deltagarlista!$C19),"",IF(ISBLANK(Arrangörslista!F$98),"",IFERROR(VLOOKUP($F18,Arrangörslista!F$98:$AG$135,16,FALSE), "DNS"))),""))</f>
        <v/>
      </c>
      <c r="AR18" s="5" t="str">
        <f>IF(Deltagarlista!$K$3=2,
IF(ISBLANK(Deltagarlista!$C19),"",IF(ISBLANK(Arrangörslista!G$98),"",IF($GV18=AR$64," DNS ",IFERROR(VLOOKUP($F18,Arrangörslista!G$98:$AG$135,16,FALSE), "DNS")))), IF(Deltagarlista!$K$3=1,IF(ISBLANK(Deltagarlista!$C19),"",IF(ISBLANK(Arrangörslista!G$98),"",IFERROR(VLOOKUP($F18,Arrangörslista!G$98:$AG$135,16,FALSE), "DNS"))),""))</f>
        <v/>
      </c>
      <c r="AS18" s="5" t="str">
        <f>IF(Deltagarlista!$K$3=2,
IF(ISBLANK(Deltagarlista!$C19),"",IF(ISBLANK(Arrangörslista!H$98),"",IF($GV18=AS$64," DNS ",IFERROR(VLOOKUP($F18,Arrangörslista!H$98:$AG$135,16,FALSE), "DNS")))), IF(Deltagarlista!$K$3=1,IF(ISBLANK(Deltagarlista!$C19),"",IF(ISBLANK(Arrangörslista!H$98),"",IFERROR(VLOOKUP($F18,Arrangörslista!H$98:$AG$135,16,FALSE), "DNS"))),""))</f>
        <v/>
      </c>
      <c r="AT18" s="5" t="str">
        <f>IF(Deltagarlista!$K$3=2,
IF(ISBLANK(Deltagarlista!$C19),"",IF(ISBLANK(Arrangörslista!I$98),"",IF($GV18=AT$64," DNS ",IFERROR(VLOOKUP($F18,Arrangörslista!I$98:$AG$135,16,FALSE), "DNS")))), IF(Deltagarlista!$K$3=1,IF(ISBLANK(Deltagarlista!$C19),"",IF(ISBLANK(Arrangörslista!I$98),"",IFERROR(VLOOKUP($F18,Arrangörslista!I$98:$AG$135,16,FALSE), "DNS"))),""))</f>
        <v/>
      </c>
      <c r="AU18" s="5" t="str">
        <f>IF(Deltagarlista!$K$3=2,
IF(ISBLANK(Deltagarlista!$C19),"",IF(ISBLANK(Arrangörslista!J$98),"",IF($GV18=AU$64," DNS ",IFERROR(VLOOKUP($F18,Arrangörslista!J$98:$AG$135,16,FALSE), "DNS")))), IF(Deltagarlista!$K$3=1,IF(ISBLANK(Deltagarlista!$C19),"",IF(ISBLANK(Arrangörslista!J$98),"",IFERROR(VLOOKUP($F18,Arrangörslista!J$98:$AG$135,16,FALSE), "DNS"))),""))</f>
        <v/>
      </c>
      <c r="AV18" s="5" t="str">
        <f>IF(Deltagarlista!$K$3=2,
IF(ISBLANK(Deltagarlista!$C19),"",IF(ISBLANK(Arrangörslista!K$98),"",IF($GV18=AV$64," DNS ",IFERROR(VLOOKUP($F18,Arrangörslista!K$98:$AG$135,16,FALSE), "DNS")))), IF(Deltagarlista!$K$3=1,IF(ISBLANK(Deltagarlista!$C19),"",IF(ISBLANK(Arrangörslista!K$98),"",IFERROR(VLOOKUP($F18,Arrangörslista!K$98:$AG$135,16,FALSE), "DNS"))),""))</f>
        <v/>
      </c>
      <c r="AW18" s="5" t="str">
        <f>IF(Deltagarlista!$K$3=2,
IF(ISBLANK(Deltagarlista!$C19),"",IF(ISBLANK(Arrangörslista!L$98),"",IF($GV18=AW$64," DNS ",IFERROR(VLOOKUP($F18,Arrangörslista!L$98:$AG$135,16,FALSE), "DNS")))), IF(Deltagarlista!$K$3=1,IF(ISBLANK(Deltagarlista!$C19),"",IF(ISBLANK(Arrangörslista!L$98),"",IFERROR(VLOOKUP($F18,Arrangörslista!L$98:$AG$135,16,FALSE), "DNS"))),""))</f>
        <v/>
      </c>
      <c r="AX18" s="5" t="str">
        <f>IF(Deltagarlista!$K$3=2,
IF(ISBLANK(Deltagarlista!$C19),"",IF(ISBLANK(Arrangörslista!M$98),"",IF($GV18=AX$64," DNS ",IFERROR(VLOOKUP($F18,Arrangörslista!M$98:$AG$135,16,FALSE), "DNS")))), IF(Deltagarlista!$K$3=1,IF(ISBLANK(Deltagarlista!$C19),"",IF(ISBLANK(Arrangörslista!M$98),"",IFERROR(VLOOKUP($F18,Arrangörslista!M$98:$AG$135,16,FALSE), "DNS"))),""))</f>
        <v/>
      </c>
      <c r="AY18" s="5" t="str">
        <f>IF(Deltagarlista!$K$3=2,
IF(ISBLANK(Deltagarlista!$C19),"",IF(ISBLANK(Arrangörslista!N$98),"",IF($GV18=AY$64," DNS ",IFERROR(VLOOKUP($F18,Arrangörslista!N$98:$AG$135,16,FALSE), "DNS")))), IF(Deltagarlista!$K$3=1,IF(ISBLANK(Deltagarlista!$C19),"",IF(ISBLANK(Arrangörslista!N$98),"",IFERROR(VLOOKUP($F18,Arrangörslista!N$98:$AG$135,16,FALSE), "DNS"))),""))</f>
        <v/>
      </c>
      <c r="AZ18" s="5" t="str">
        <f>IF(Deltagarlista!$K$3=2,
IF(ISBLANK(Deltagarlista!$C19),"",IF(ISBLANK(Arrangörslista!O$98),"",IF($GV18=AZ$64," DNS ",IFERROR(VLOOKUP($F18,Arrangörslista!O$98:$AG$135,16,FALSE), "DNS")))), IF(Deltagarlista!$K$3=1,IF(ISBLANK(Deltagarlista!$C19),"",IF(ISBLANK(Arrangörslista!O$98),"",IFERROR(VLOOKUP($F18,Arrangörslista!O$98:$AG$135,16,FALSE), "DNS"))),""))</f>
        <v/>
      </c>
      <c r="BA18" s="5" t="str">
        <f>IF(Deltagarlista!$K$3=2,
IF(ISBLANK(Deltagarlista!$C19),"",IF(ISBLANK(Arrangörslista!P$98),"",IF($GV18=BA$64," DNS ",IFERROR(VLOOKUP($F18,Arrangörslista!P$98:$AG$135,16,FALSE), "DNS")))), IF(Deltagarlista!$K$3=1,IF(ISBLANK(Deltagarlista!$C19),"",IF(ISBLANK(Arrangörslista!P$98),"",IFERROR(VLOOKUP($F18,Arrangörslista!P$98:$AG$135,16,FALSE), "DNS"))),""))</f>
        <v/>
      </c>
      <c r="BB18" s="5" t="str">
        <f>IF(Deltagarlista!$K$3=2,
IF(ISBLANK(Deltagarlista!$C19),"",IF(ISBLANK(Arrangörslista!Q$98),"",IF($GV18=BB$64," DNS ",IFERROR(VLOOKUP($F18,Arrangörslista!Q$98:$AG$135,16,FALSE), "DNS")))), IF(Deltagarlista!$K$3=1,IF(ISBLANK(Deltagarlista!$C19),"",IF(ISBLANK(Arrangörslista!Q$98),"",IFERROR(VLOOKUP($F18,Arrangörslista!Q$98:$AG$135,16,FALSE), "DNS"))),""))</f>
        <v/>
      </c>
      <c r="BC18" s="5" t="str">
        <f>IF(Deltagarlista!$K$3=2,
IF(ISBLANK(Deltagarlista!$C19),"",IF(ISBLANK(Arrangörslista!C$143),"",IF($GV18=BC$64," DNS ",IFERROR(VLOOKUP($F18,Arrangörslista!C$143:$AG$180,16,FALSE), "DNS")))), IF(Deltagarlista!$K$3=1,IF(ISBLANK(Deltagarlista!$C19),"",IF(ISBLANK(Arrangörslista!C$143),"",IFERROR(VLOOKUP($F18,Arrangörslista!C$143:$AG$180,16,FALSE), "DNS"))),""))</f>
        <v/>
      </c>
      <c r="BD18" s="5" t="str">
        <f>IF(Deltagarlista!$K$3=2,
IF(ISBLANK(Deltagarlista!$C19),"",IF(ISBLANK(Arrangörslista!D$143),"",IF($GV18=BD$64," DNS ",IFERROR(VLOOKUP($F18,Arrangörslista!D$143:$AG$180,16,FALSE), "DNS")))), IF(Deltagarlista!$K$3=1,IF(ISBLANK(Deltagarlista!$C19),"",IF(ISBLANK(Arrangörslista!D$143),"",IFERROR(VLOOKUP($F18,Arrangörslista!D$143:$AG$180,16,FALSE), "DNS"))),""))</f>
        <v/>
      </c>
      <c r="BE18" s="5" t="str">
        <f>IF(Deltagarlista!$K$3=2,
IF(ISBLANK(Deltagarlista!$C19),"",IF(ISBLANK(Arrangörslista!E$143),"",IF($GV18=BE$64," DNS ",IFERROR(VLOOKUP($F18,Arrangörslista!E$143:$AG$180,16,FALSE), "DNS")))), IF(Deltagarlista!$K$3=1,IF(ISBLANK(Deltagarlista!$C19),"",IF(ISBLANK(Arrangörslista!E$143),"",IFERROR(VLOOKUP($F18,Arrangörslista!E$143:$AG$180,16,FALSE), "DNS"))),""))</f>
        <v/>
      </c>
      <c r="BF18" s="5" t="str">
        <f>IF(Deltagarlista!$K$3=2,
IF(ISBLANK(Deltagarlista!$C19),"",IF(ISBLANK(Arrangörslista!F$143),"",IF($GV18=BF$64," DNS ",IFERROR(VLOOKUP($F18,Arrangörslista!F$143:$AG$180,16,FALSE), "DNS")))), IF(Deltagarlista!$K$3=1,IF(ISBLANK(Deltagarlista!$C19),"",IF(ISBLANK(Arrangörslista!F$143),"",IFERROR(VLOOKUP($F18,Arrangörslista!F$143:$AG$180,16,FALSE), "DNS"))),""))</f>
        <v/>
      </c>
      <c r="BG18" s="5" t="str">
        <f>IF(Deltagarlista!$K$3=2,
IF(ISBLANK(Deltagarlista!$C19),"",IF(ISBLANK(Arrangörslista!G$143),"",IF($GV18=BG$64," DNS ",IFERROR(VLOOKUP($F18,Arrangörslista!G$143:$AG$180,16,FALSE), "DNS")))), IF(Deltagarlista!$K$3=1,IF(ISBLANK(Deltagarlista!$C19),"",IF(ISBLANK(Arrangörslista!G$143),"",IFERROR(VLOOKUP($F18,Arrangörslista!G$143:$AG$180,16,FALSE), "DNS"))),""))</f>
        <v/>
      </c>
      <c r="BH18" s="5" t="str">
        <f>IF(Deltagarlista!$K$3=2,
IF(ISBLANK(Deltagarlista!$C19),"",IF(ISBLANK(Arrangörslista!H$143),"",IF($GV18=BH$64," DNS ",IFERROR(VLOOKUP($F18,Arrangörslista!H$143:$AG$180,16,FALSE), "DNS")))), IF(Deltagarlista!$K$3=1,IF(ISBLANK(Deltagarlista!$C19),"",IF(ISBLANK(Arrangörslista!H$143),"",IFERROR(VLOOKUP($F18,Arrangörslista!H$143:$AG$180,16,FALSE), "DNS"))),""))</f>
        <v/>
      </c>
      <c r="BI18" s="5" t="str">
        <f>IF(Deltagarlista!$K$3=2,
IF(ISBLANK(Deltagarlista!$C19),"",IF(ISBLANK(Arrangörslista!I$143),"",IF($GV18=BI$64," DNS ",IFERROR(VLOOKUP($F18,Arrangörslista!I$143:$AG$180,16,FALSE), "DNS")))), IF(Deltagarlista!$K$3=1,IF(ISBLANK(Deltagarlista!$C19),"",IF(ISBLANK(Arrangörslista!I$143),"",IFERROR(VLOOKUP($F18,Arrangörslista!I$143:$AG$180,16,FALSE), "DNS"))),""))</f>
        <v/>
      </c>
      <c r="BJ18" s="5" t="str">
        <f>IF(Deltagarlista!$K$3=2,
IF(ISBLANK(Deltagarlista!$C19),"",IF(ISBLANK(Arrangörslista!J$143),"",IF($GV18=BJ$64," DNS ",IFERROR(VLOOKUP($F18,Arrangörslista!J$143:$AG$180,16,FALSE), "DNS")))), IF(Deltagarlista!$K$3=1,IF(ISBLANK(Deltagarlista!$C19),"",IF(ISBLANK(Arrangörslista!J$143),"",IFERROR(VLOOKUP($F18,Arrangörslista!J$143:$AG$180,16,FALSE), "DNS"))),""))</f>
        <v/>
      </c>
      <c r="BK18" s="5" t="str">
        <f>IF(Deltagarlista!$K$3=2,
IF(ISBLANK(Deltagarlista!$C19),"",IF(ISBLANK(Arrangörslista!K$143),"",IF($GV18=BK$64," DNS ",IFERROR(VLOOKUP($F18,Arrangörslista!K$143:$AG$180,16,FALSE), "DNS")))), IF(Deltagarlista!$K$3=1,IF(ISBLANK(Deltagarlista!$C19),"",IF(ISBLANK(Arrangörslista!K$143),"",IFERROR(VLOOKUP($F18,Arrangörslista!K$143:$AG$180,16,FALSE), "DNS"))),""))</f>
        <v/>
      </c>
      <c r="BL18" s="5" t="str">
        <f>IF(Deltagarlista!$K$3=2,
IF(ISBLANK(Deltagarlista!$C19),"",IF(ISBLANK(Arrangörslista!L$143),"",IF($GV18=BL$64," DNS ",IFERROR(VLOOKUP($F18,Arrangörslista!L$143:$AG$180,16,FALSE), "DNS")))), IF(Deltagarlista!$K$3=1,IF(ISBLANK(Deltagarlista!$C19),"",IF(ISBLANK(Arrangörslista!L$143),"",IFERROR(VLOOKUP($F18,Arrangörslista!L$143:$AG$180,16,FALSE), "DNS"))),""))</f>
        <v/>
      </c>
      <c r="BM18" s="5" t="str">
        <f>IF(Deltagarlista!$K$3=2,
IF(ISBLANK(Deltagarlista!$C19),"",IF(ISBLANK(Arrangörslista!M$143),"",IF($GV18=BM$64," DNS ",IFERROR(VLOOKUP($F18,Arrangörslista!M$143:$AG$180,16,FALSE), "DNS")))), IF(Deltagarlista!$K$3=1,IF(ISBLANK(Deltagarlista!$C19),"",IF(ISBLANK(Arrangörslista!M$143),"",IFERROR(VLOOKUP($F18,Arrangörslista!M$143:$AG$180,16,FALSE), "DNS"))),""))</f>
        <v/>
      </c>
      <c r="BN18" s="5" t="str">
        <f>IF(Deltagarlista!$K$3=2,
IF(ISBLANK(Deltagarlista!$C19),"",IF(ISBLANK(Arrangörslista!N$143),"",IF($GV18=BN$64," DNS ",IFERROR(VLOOKUP($F18,Arrangörslista!N$143:$AG$180,16,FALSE), "DNS")))), IF(Deltagarlista!$K$3=1,IF(ISBLANK(Deltagarlista!$C19),"",IF(ISBLANK(Arrangörslista!N$143),"",IFERROR(VLOOKUP($F18,Arrangörslista!N$143:$AG$180,16,FALSE), "DNS"))),""))</f>
        <v/>
      </c>
      <c r="BO18" s="5" t="str">
        <f>IF(Deltagarlista!$K$3=2,
IF(ISBLANK(Deltagarlista!$C19),"",IF(ISBLANK(Arrangörslista!O$143),"",IF($GV18=BO$64," DNS ",IFERROR(VLOOKUP($F18,Arrangörslista!O$143:$AG$180,16,FALSE), "DNS")))), IF(Deltagarlista!$K$3=1,IF(ISBLANK(Deltagarlista!$C19),"",IF(ISBLANK(Arrangörslista!O$143),"",IFERROR(VLOOKUP($F18,Arrangörslista!O$143:$AG$180,16,FALSE), "DNS"))),""))</f>
        <v/>
      </c>
      <c r="BP18" s="5" t="str">
        <f>IF(Deltagarlista!$K$3=2,
IF(ISBLANK(Deltagarlista!$C19),"",IF(ISBLANK(Arrangörslista!P$143),"",IF($GV18=BP$64," DNS ",IFERROR(VLOOKUP($F18,Arrangörslista!P$143:$AG$180,16,FALSE), "DNS")))), IF(Deltagarlista!$K$3=1,IF(ISBLANK(Deltagarlista!$C19),"",IF(ISBLANK(Arrangörslista!P$143),"",IFERROR(VLOOKUP($F18,Arrangörslista!P$143:$AG$180,16,FALSE), "DNS"))),""))</f>
        <v/>
      </c>
      <c r="BQ18" s="80" t="str">
        <f>IF(Deltagarlista!$K$3=2,
IF(ISBLANK(Deltagarlista!$C19),"",IF(ISBLANK(Arrangörslista!Q$143),"",IF($GV18=BQ$64," DNS ",IFERROR(VLOOKUP($F18,Arrangörslista!Q$143:$AG$180,16,FALSE), "DNS")))), IF(Deltagarlista!$K$3=1,IF(ISBLANK(Deltagarlista!$C19),"",IF(ISBLANK(Arrangörslista!Q$143),"",IFERROR(VLOOKUP($F18,Arrangörslista!Q$143:$AG$180,16,FALSE), "DNS"))),""))</f>
        <v/>
      </c>
      <c r="BR18" s="51"/>
      <c r="BS18" s="51"/>
      <c r="BT18" s="51"/>
      <c r="BU18" s="71">
        <f>SUM(BV18:EC18)</f>
        <v>0</v>
      </c>
      <c r="BV18" s="61">
        <f>IF(J18="",0,IF(OR(J18="DNF",J18="OCS",J18="DSQ",J18="DNS",J18=" DNS "),$BW$3+1,J18))</f>
        <v>0</v>
      </c>
      <c r="BW18" s="61">
        <f>IF(K18="",0,IF(OR(K18="DNF",K18="OCS",K18="DSQ",K18="DNS",K18=" DNS "),$BW$3+1,K18))</f>
        <v>0</v>
      </c>
      <c r="BX18" s="61">
        <f>IF(L18="",0,IF(OR(L18="DNF",L18="OCS",L18="DSQ",L18="DNS",L18=" DNS "),$BW$3+1,L18))</f>
        <v>0</v>
      </c>
      <c r="BY18" s="61">
        <f>IF(M18="",0,IF(OR(M18="DNF",M18="OCS",M18="DSQ",M18="DNS",M18=" DNS "),$BW$3+1,M18))</f>
        <v>0</v>
      </c>
      <c r="BZ18" s="61">
        <f>IF(N18="",0,IF(OR(N18="DNF",N18="OCS",N18="DSQ",N18="DNS",N18=" DNS "),$BW$3+1,N18))</f>
        <v>0</v>
      </c>
      <c r="CA18" s="61">
        <f>IF(O18="",0,IF(OR(O18="DNF",O18="OCS",O18="DSQ",O18="DNS",O18=" DNS "),$BW$3+1,O18))</f>
        <v>0</v>
      </c>
      <c r="CB18" s="61">
        <f>IF(P18="",0,IF(OR(P18="DNF",P18="OCS",P18="DSQ",P18="DNS",P18=" DNS "),$BW$3+1,P18))</f>
        <v>0</v>
      </c>
      <c r="CC18" s="61">
        <f>IF(Q18="",0,IF(OR(Q18="DNF",Q18="OCS",Q18="DSQ",Q18="DNS",Q18=" DNS "),$BW$3+1,Q18))</f>
        <v>0</v>
      </c>
      <c r="CD18" s="61">
        <f>IF(R18="",0,IF(OR(R18="DNF",R18="OCS",R18="DSQ",R18="DNS",R18=" DNS "),$BW$3+1,R18))</f>
        <v>0</v>
      </c>
      <c r="CE18" s="61">
        <f>IF(S18="",0,IF(OR(S18="DNF",S18="OCS",S18="DSQ",S18="DNS",S18=" DNS "),$BW$3+1,S18))</f>
        <v>0</v>
      </c>
      <c r="CF18" s="61">
        <f>IF(T18="",0,IF(OR(T18="DNF",T18="OCS",T18="DSQ",T18="DNS",T18=" DNS "),$BW$3+1,T18))</f>
        <v>0</v>
      </c>
      <c r="CG18" s="61">
        <f>IF(U18="",0,IF(OR(U18="DNF",U18="OCS",U18="DSQ",U18="DNS",U18=" DNS "),$BW$3+1,U18))</f>
        <v>0</v>
      </c>
      <c r="CH18" s="61">
        <f>IF(V18="",0,IF(OR(V18="DNF",V18="OCS",V18="DSQ",V18="DNS",V18=" DNS "),$BW$3+1,V18))</f>
        <v>0</v>
      </c>
      <c r="CI18" s="61">
        <f>IF(W18="",0,IF(OR(W18="DNF",W18="OCS",W18="DSQ",W18="DNS",W18=" DNS "),$BW$3+1,W18))</f>
        <v>0</v>
      </c>
      <c r="CJ18" s="61">
        <f>IF(X18="",0,IF(OR(X18="DNF",X18="OCS",X18="DSQ",X18="DNS",X18=" DNS "),$BW$3+1,X18))</f>
        <v>0</v>
      </c>
      <c r="CK18" s="61">
        <f>IF(Y18="",0,IF(OR(Y18="DNF",Y18="OCS",Y18="DSQ",Y18="DNS",Y18=" DNS "),$BW$3+1,Y18))</f>
        <v>0</v>
      </c>
      <c r="CL18" s="61">
        <f>IF(Z18="",0,IF(OR(Z18="DNF",Z18="OCS",Z18="DSQ",Z18="DNS",Z18=" DNS "),$BW$3+1,Z18))</f>
        <v>0</v>
      </c>
      <c r="CM18" s="61">
        <f>IF(AA18="",0,IF(OR(AA18="DNF",AA18="OCS",AA18="DSQ",AA18="DNS",AA18=" DNS "),$BW$3+1,AA18))</f>
        <v>0</v>
      </c>
      <c r="CN18" s="61">
        <f>IF(AB18="",0,IF(OR(AB18="DNF",AB18="OCS",AB18="DSQ",AB18="DNS",AB18=" DNS "),$BW$3+1,AB18))</f>
        <v>0</v>
      </c>
      <c r="CO18" s="61">
        <f>IF(AC18="",0,IF(OR(AC18="DNF",AC18="OCS",AC18="DSQ",AC18="DNS",AC18=" DNS "),$BW$3+1,AC18))</f>
        <v>0</v>
      </c>
      <c r="CP18" s="61">
        <f>IF(AD18="",0,IF(OR(AD18="DNF",AD18="OCS",AD18="DSQ",AD18="DNS",AD18=" DNS "),$BW$3+1,AD18))</f>
        <v>0</v>
      </c>
      <c r="CQ18" s="61">
        <f>IF(AE18="",0,IF(OR(AE18="DNF",AE18="OCS",AE18="DSQ",AE18="DNS",AE18=" DNS "),$BW$3+1,AE18))</f>
        <v>0</v>
      </c>
      <c r="CR18" s="61">
        <f>IF(AF18="",0,IF(OR(AF18="DNF",AF18="OCS",AF18="DSQ",AF18="DNS",AF18=" DNS "),$BW$3+1,AF18))</f>
        <v>0</v>
      </c>
      <c r="CS18" s="61">
        <f>IF(AG18="",0,IF(OR(AG18="DNF",AG18="OCS",AG18="DSQ",AG18="DNS",AG18=" DNS "),$BW$3+1,AG18))</f>
        <v>0</v>
      </c>
      <c r="CT18" s="61">
        <f>IF(AH18="",0,IF(OR(AH18="DNF",AH18="OCS",AH18="DSQ",AH18="DNS",AH18=" DNS "),$BW$3+1,AH18))</f>
        <v>0</v>
      </c>
      <c r="CU18" s="61">
        <f>IF(AI18="",0,IF(OR(AI18="DNF",AI18="OCS",AI18="DSQ",AI18="DNS",AI18=" DNS "),$BW$3+1,AI18))</f>
        <v>0</v>
      </c>
      <c r="CV18" s="61">
        <f>IF(AJ18="",0,IF(OR(AJ18="DNF",AJ18="OCS",AJ18="DSQ",AJ18="DNS",AJ18=" DNS "),$BW$3+1,AJ18))</f>
        <v>0</v>
      </c>
      <c r="CW18" s="61">
        <f>IF(AK18="",0,IF(OR(AK18="DNF",AK18="OCS",AK18="DSQ",AK18="DNS",AK18=" DNS "),$BW$3+1,AK18))</f>
        <v>0</v>
      </c>
      <c r="CX18" s="61">
        <f>IF(AL18="",0,IF(OR(AL18="DNF",AL18="OCS",AL18="DSQ",AL18="DNS",AL18=" DNS "),$BW$3+1,AL18))</f>
        <v>0</v>
      </c>
      <c r="CY18" s="61">
        <f>IF(AM18="",0,IF(OR(AM18="DNF",AM18="OCS",AM18="DSQ",AM18="DNS",AM18=" DNS "),$BW$3+1,AM18))</f>
        <v>0</v>
      </c>
      <c r="CZ18" s="61">
        <f>IF(AN18="",0,IF(OR(AN18="DNF",AN18="OCS",AN18="DSQ",AN18="DNS",AN18=" DNS "),$BW$3+1,AN18))</f>
        <v>0</v>
      </c>
      <c r="DA18" s="61">
        <f>IF(AO18="",0,IF(OR(AO18="DNF",AO18="OCS",AO18="DSQ",AO18="DNS",AO18=" DNS "),$BW$3+1,AO18))</f>
        <v>0</v>
      </c>
      <c r="DB18" s="61">
        <f>IF(AP18="",0,IF(OR(AP18="DNF",AP18="OCS",AP18="DSQ",AP18="DNS",AP18=" DNS "),$BW$3+1,AP18))</f>
        <v>0</v>
      </c>
      <c r="DC18" s="61">
        <f>IF(AQ18="",0,IF(OR(AQ18="DNF",AQ18="OCS",AQ18="DSQ",AQ18="DNS",AQ18=" DNS "),$BW$3+1,AQ18))</f>
        <v>0</v>
      </c>
      <c r="DD18" s="61">
        <f>IF(AR18="",0,IF(OR(AR18="DNF",AR18="OCS",AR18="DSQ",AR18="DNS",AR18=" DNS "),$BW$3+1,AR18))</f>
        <v>0</v>
      </c>
      <c r="DE18" s="61">
        <f>IF(AS18="",0,IF(OR(AS18="DNF",AS18="OCS",AS18="DSQ",AS18="DNS",AS18=" DNS "),$BW$3+1,AS18))</f>
        <v>0</v>
      </c>
      <c r="DF18" s="61">
        <f>IF(AT18="",0,IF(OR(AT18="DNF",AT18="OCS",AT18="DSQ",AT18="DNS",AT18=" DNS "),$BW$3+1,AT18))</f>
        <v>0</v>
      </c>
      <c r="DG18" s="61">
        <f>IF(AU18="",0,IF(OR(AU18="DNF",AU18="OCS",AU18="DSQ",AU18="DNS",AU18=" DNS "),$BW$3+1,AU18))</f>
        <v>0</v>
      </c>
      <c r="DH18" s="61">
        <f>IF(AV18="",0,IF(OR(AV18="DNF",AV18="OCS",AV18="DSQ",AV18="DNS",AV18=" DNS "),$BW$3+1,AV18))</f>
        <v>0</v>
      </c>
      <c r="DI18" s="61">
        <f>IF(AW18="",0,IF(OR(AW18="DNF",AW18="OCS",AW18="DSQ",AW18="DNS",AW18=" DNS "),$BW$3+1,AW18))</f>
        <v>0</v>
      </c>
      <c r="DJ18" s="61">
        <f>IF(AX18="",0,IF(OR(AX18="DNF",AX18="OCS",AX18="DSQ",AX18="DNS",AX18=" DNS "),$BW$3+1,AX18))</f>
        <v>0</v>
      </c>
      <c r="DK18" s="61">
        <f>IF(AY18="",0,IF(OR(AY18="DNF",AY18="OCS",AY18="DSQ",AY18="DNS",AY18=" DNS "),$BW$3+1,AY18))</f>
        <v>0</v>
      </c>
      <c r="DL18" s="61">
        <f>IF(AZ18="",0,IF(OR(AZ18="DNF",AZ18="OCS",AZ18="DSQ",AZ18="DNS",AZ18=" DNS "),$BW$3+1,AZ18))</f>
        <v>0</v>
      </c>
      <c r="DM18" s="61">
        <f>IF(BA18="",0,IF(OR(BA18="DNF",BA18="OCS",BA18="DSQ",BA18="DNS",BA18=" DNS "),$BW$3+1,BA18))</f>
        <v>0</v>
      </c>
      <c r="DN18" s="61">
        <f>IF(BB18="",0,IF(OR(BB18="DNF",BB18="OCS",BB18="DSQ",BB18="DNS",BB18=" DNS "),$BW$3+1,BB18))</f>
        <v>0</v>
      </c>
      <c r="DO18" s="61">
        <f>IF(BC18="",0,IF(OR(BC18="DNF",BC18="OCS",BC18="DSQ",BC18="DNS",BC18=" DNS "),$BW$3+1,BC18))</f>
        <v>0</v>
      </c>
      <c r="DP18" s="61">
        <f>IF(BD18="",0,IF(OR(BD18="DNF",BD18="OCS",BD18="DSQ",BD18="DNS",BD18=" DNS "),$BW$3+1,BD18))</f>
        <v>0</v>
      </c>
      <c r="DQ18" s="61">
        <f>IF(BE18="",0,IF(OR(BE18="DNF",BE18="OCS",BE18="DSQ",BE18="DNS",BE18=" DNS "),$BW$3+1,BE18))</f>
        <v>0</v>
      </c>
      <c r="DR18" s="61">
        <f>IF(BF18="",0,IF(OR(BF18="DNF",BF18="OCS",BF18="DSQ",BF18="DNS",BF18=" DNS "),$BW$3+1,BF18))</f>
        <v>0</v>
      </c>
      <c r="DS18" s="61">
        <f>IF(BG18="",0,IF(OR(BG18="DNF",BG18="OCS",BG18="DSQ",BG18="DNS",BG18=" DNS "),$BW$3+1,BG18))</f>
        <v>0</v>
      </c>
      <c r="DT18" s="61">
        <f>IF(BH18="",0,IF(OR(BH18="DNF",BH18="OCS",BH18="DSQ",BH18="DNS",BH18=" DNS "),$BW$3+1,BH18))</f>
        <v>0</v>
      </c>
      <c r="DU18" s="61">
        <f>IF(BI18="",0,IF(OR(BI18="DNF",BI18="OCS",BI18="DSQ",BI18="DNS",BI18=" DNS "),$BW$3+1,BI18))</f>
        <v>0</v>
      </c>
      <c r="DV18" s="61">
        <f>IF(BJ18="",0,IF(OR(BJ18="DNF",BJ18="OCS",BJ18="DSQ",BJ18="DNS",BJ18=" DNS "),$BW$3+1,BJ18))</f>
        <v>0</v>
      </c>
      <c r="DW18" s="61">
        <f>IF(BK18="",0,IF(OR(BK18="DNF",BK18="OCS",BK18="DSQ",BK18="DNS",BK18=" DNS "),$BW$3+1,BK18))</f>
        <v>0</v>
      </c>
      <c r="DX18" s="61">
        <f>IF(BL18="",0,IF(OR(BL18="DNF",BL18="OCS",BL18="DSQ",BL18="DNS",BL18=" DNS "),$BW$3+1,BL18))</f>
        <v>0</v>
      </c>
      <c r="DY18" s="61">
        <f>IF(BM18="",0,IF(OR(BM18="DNF",BM18="OCS",BM18="DSQ",BM18="DNS",BM18=" DNS "),$BW$3+1,BM18))</f>
        <v>0</v>
      </c>
      <c r="DZ18" s="61">
        <f>IF(BN18="",0,IF(OR(BN18="DNF",BN18="OCS",BN18="DSQ",BN18="DNS",BN18=" DNS "),$BW$3+1,BN18))</f>
        <v>0</v>
      </c>
      <c r="EA18" s="61">
        <f>IF(BO18="",0,IF(OR(BO18="DNF",BO18="OCS",BO18="DSQ",BO18="DNS",BO18=" DNS "),$BW$3+1,BO18))</f>
        <v>0</v>
      </c>
      <c r="EB18" s="61">
        <f>IF(BP18="",0,IF(OR(BP18="DNF",BP18="OCS",BP18="DSQ",BP18="DNS",BP18=" DNS "),$BW$3+1,BP18))</f>
        <v>0</v>
      </c>
      <c r="EC18" s="61">
        <f>IF(BQ18="",0,IF(OR(BQ18="DNF",BQ18="OCS",BQ18="DSQ",BQ18="DNS",BQ18=" DNS "),$BW$3+1,BQ18))</f>
        <v>0</v>
      </c>
      <c r="EE18" s="61">
        <f xml:space="preserve">
IF(OR(Deltagarlista!$K$3=3,Deltagarlista!$K$3=4),
IF(Arrangörslista!$U$5&lt;8,0,
IF(Arrangörslista!$U$5&lt;16,SUM(LARGE(BV18:CJ18,1)),
IF(Arrangörslista!$U$5&lt;24,SUM(LARGE(BV18:CR18,{1;2})),
IF(Arrangörslista!$U$5&lt;32,SUM(LARGE(BV18:CZ18,{1;2;3})),
IF(Arrangörslista!$U$5&lt;40,SUM(LARGE(BV18:DH18,{1;2;3;4})),
IF(Arrangörslista!$U$5&lt;48,SUM(LARGE(BV18:DP18,{1;2;3;4;5})),
IF(Arrangörslista!$U$5&lt;56,SUM(LARGE(BV18:DX18,{1;2;3;4;5;6})),
IF(Arrangörslista!$U$5&lt;64,SUM(LARGE(BV18:EC18,{1;2;3;4;5;6;7})),0)))))))),
IF(Deltagarlista!$K$3=2,
IF(Arrangörslista!$U$5&lt;4,LARGE(BV18:BX18,1),
IF(Arrangörslista!$U$5&lt;7,SUM(LARGE(BV18:CA18,{1;2;3})),
IF(Arrangörslista!$U$5&lt;10,SUM(LARGE(BV18:CD18,{1;2;3;4})),
IF(Arrangörslista!$U$5&lt;13,SUM(LARGE(BV18:CG18,{1;2;3;4;5;6})),
IF(Arrangörslista!$U$5&lt;16,SUM(LARGE(BV18:CJ18,{1;2;3;4;5;6;7})),
IF(Arrangörslista!$U$5&lt;19,SUM(LARGE(BV18:CM18,{1;2;3;4;5;6;7;8;9})),
IF(Arrangörslista!$U$5&lt;22,SUM(LARGE(BV18:CP18,{1;2;3;4;5;6;7;8;9;10})),
IF(Arrangörslista!$U$5&lt;25,SUM(LARGE(BV18:CS18,{1;2;3;4;5;6;7;8;9;10;11;12})),
IF(Arrangörslista!$U$5&lt;28,SUM(LARGE(BV18:CV18,{1;2;3;4;5;6;7;8;9;10;11;12;13})),
IF(Arrangörslista!$U$5&lt;31,SUM(LARGE(BV18:CY18,{1;2;3;4;5;6;7;8;9;10;11;12;13;14;15})),
IF(Arrangörslista!$U$5&lt;34,SUM(LARGE(BV18:DB18,{1;2;3;4;5;6;7;8;9;10;11;12;13;14;15;16})),
IF(Arrangörslista!$U$5&lt;37,SUM(LARGE(BV18:DE18,{1;2;3;4;5;6;7;8;9;10;11;12;13;14;15;16;17;18})),
IF(Arrangörslista!$U$5&lt;40,SUM(LARGE(BV18:DH18,{1;2;3;4;5;6;7;8;9;10;11;12;13;14;15;16;17;18;19})),
IF(Arrangörslista!$U$5&lt;43,SUM(LARGE(BV18:DK18,{1;2;3;4;5;6;7;8;9;10;11;12;13;14;15;16;17;18;19;20;21})),
IF(Arrangörslista!$U$5&lt;46,SUM(LARGE(BV18:DN18,{1;2;3;4;5;6;7;8;9;10;11;12;13;14;15;16;17;18;19;20;21;22})),
IF(Arrangörslista!$U$5&lt;49,SUM(LARGE(BV18:DQ18,{1;2;3;4;5;6;7;8;9;10;11;12;13;14;15;16;17;18;19;20;21;22;23;24})),
IF(Arrangörslista!$U$5&lt;52,SUM(LARGE(BV18:DT18,{1;2;3;4;5;6;7;8;9;10;11;12;13;14;15;16;17;18;19;20;21;22;23;24;25})),
IF(Arrangörslista!$U$5&lt;55,SUM(LARGE(BV18:DW18,{1;2;3;4;5;6;7;8;9;10;11;12;13;14;15;16;17;18;19;20;21;22;23;24;25;26;27})),
IF(Arrangörslista!$U$5&lt;58,SUM(LARGE(BV18:DZ18,{1;2;3;4;5;6;7;8;9;10;11;12;13;14;15;16;17;18;19;20;21;22;23;24;25;26;27;28})),
IF(Arrangörslista!$U$5&lt;61,SUM(LARGE(BV18:EC18,{1;2;3;4;5;6;7;8;9;10;11;12;13;14;15;16;17;18;19;20;21;22;23;24;25;26;27;28;29;30})),0)))))))))))))))))))),
IF(Arrangörslista!$U$5&lt;4,0,
IF(Arrangörslista!$U$5&lt;8,SUM(LARGE(BV18:CB18,1)),
IF(Arrangörslista!$U$5&lt;12,SUM(LARGE(BV18:CF18,{1;2})),
IF(Arrangörslista!$U$5&lt;16,SUM(LARGE(BV18:CJ18,{1;2;3})),
IF(Arrangörslista!$U$5&lt;20,SUM(LARGE(BV18:CN18,{1;2;3;4})),
IF(Arrangörslista!$U$5&lt;24,SUM(LARGE(BV18:CR18,{1;2;3;4;5})),
IF(Arrangörslista!$U$5&lt;28,SUM(LARGE(BV18:CV18,{1;2;3;4;5;6})),
IF(Arrangörslista!$U$5&lt;32,SUM(LARGE(BV18:CZ18,{1;2;3;4;5;6;7})),
IF(Arrangörslista!$U$5&lt;36,SUM(LARGE(BV18:DD18,{1;2;3;4;5;6;7;8})),
IF(Arrangörslista!$U$5&lt;40,SUM(LARGE(BV18:DH18,{1;2;3;4;5;6;7;8;9})),
IF(Arrangörslista!$U$5&lt;44,SUM(LARGE(BV18:DL18,{1;2;3;4;5;6;7;8;9;10})),
IF(Arrangörslista!$U$5&lt;48,SUM(LARGE(BV18:DP18,{1;2;3;4;5;6;7;8;9;10;11})),
IF(Arrangörslista!$U$5&lt;52,SUM(LARGE(BV18:DT18,{1;2;3;4;5;6;7;8;9;10;11;12})),
IF(Arrangörslista!$U$5&lt;56,SUM(LARGE(BV18:DX18,{1;2;3;4;5;6;7;8;9;10;11;12;13})),
IF(Arrangörslista!$U$5&lt;60,SUM(LARGE(BV18:EB18,{1;2;3;4;5;6;7;8;9;10;11;12;13;14})),
IF(Arrangörslista!$U$5=60,SUM(LARGE(BV18:EC18,{1;2;3;4;5;6;7;8;9;10;11;12;13;14;15})),0))))))))))))))))))</f>
        <v>0</v>
      </c>
      <c r="EG18" s="67">
        <f>IF(F18="",,1)</f>
        <v>0</v>
      </c>
      <c r="EH18" s="61"/>
      <c r="EI18" s="61"/>
      <c r="EK18" s="62">
        <f>SMALL($J81:$BQ81,1)</f>
        <v>61</v>
      </c>
      <c r="EL18" s="62">
        <f>SMALL($J81:$BQ81,2)</f>
        <v>61</v>
      </c>
      <c r="EM18" s="62">
        <f>SMALL($J81:$BQ81,3)</f>
        <v>61</v>
      </c>
      <c r="EN18" s="62">
        <f>SMALL($J81:$BQ81,4)</f>
        <v>61</v>
      </c>
      <c r="EO18" s="62">
        <f>SMALL($J81:$BQ81,5)</f>
        <v>61</v>
      </c>
      <c r="EP18" s="62">
        <f>SMALL($J81:$BQ81,6)</f>
        <v>61</v>
      </c>
      <c r="EQ18" s="62">
        <f>SMALL($J81:$BQ81,7)</f>
        <v>61</v>
      </c>
      <c r="ER18" s="62">
        <f>SMALL($J81:$BQ81,8)</f>
        <v>61</v>
      </c>
      <c r="ES18" s="62">
        <f>SMALL($J81:$BQ81,9)</f>
        <v>61</v>
      </c>
      <c r="ET18" s="62">
        <f>SMALL($J81:$BQ81,10)</f>
        <v>61</v>
      </c>
      <c r="EU18" s="62">
        <f>SMALL($J81:$BQ81,11)</f>
        <v>61</v>
      </c>
      <c r="EV18" s="62">
        <f>SMALL($J81:$BQ81,12)</f>
        <v>61</v>
      </c>
      <c r="EW18" s="62">
        <f>SMALL($J81:$BQ81,13)</f>
        <v>61</v>
      </c>
      <c r="EX18" s="62">
        <f>SMALL($J81:$BQ81,14)</f>
        <v>61</v>
      </c>
      <c r="EY18" s="62">
        <f>SMALL($J81:$BQ81,15)</f>
        <v>61</v>
      </c>
      <c r="EZ18" s="62">
        <f>SMALL($J81:$BQ81,16)</f>
        <v>61</v>
      </c>
      <c r="FA18" s="62">
        <f>SMALL($J81:$BQ81,17)</f>
        <v>61</v>
      </c>
      <c r="FB18" s="62">
        <f>SMALL($J81:$BQ81,18)</f>
        <v>61</v>
      </c>
      <c r="FC18" s="62">
        <f>SMALL($J81:$BQ81,19)</f>
        <v>61</v>
      </c>
      <c r="FD18" s="62">
        <f>SMALL($J81:$BQ81,20)</f>
        <v>61</v>
      </c>
      <c r="FE18" s="62">
        <f>SMALL($J81:$BQ81,21)</f>
        <v>61</v>
      </c>
      <c r="FF18" s="62">
        <f>SMALL($J81:$BQ81,22)</f>
        <v>61</v>
      </c>
      <c r="FG18" s="62">
        <f>SMALL($J81:$BQ81,23)</f>
        <v>61</v>
      </c>
      <c r="FH18" s="62">
        <f>SMALL($J81:$BQ81,24)</f>
        <v>61</v>
      </c>
      <c r="FI18" s="62">
        <f>SMALL($J81:$BQ81,25)</f>
        <v>61</v>
      </c>
      <c r="FJ18" s="62">
        <f>SMALL($J81:$BQ81,26)</f>
        <v>61</v>
      </c>
      <c r="FK18" s="62">
        <f>SMALL($J81:$BQ81,27)</f>
        <v>61</v>
      </c>
      <c r="FL18" s="62">
        <f>SMALL($J81:$BQ81,28)</f>
        <v>61</v>
      </c>
      <c r="FM18" s="62">
        <f>SMALL($J81:$BQ81,29)</f>
        <v>61</v>
      </c>
      <c r="FN18" s="62">
        <f>SMALL($J81:$BQ81,30)</f>
        <v>61</v>
      </c>
      <c r="FO18" s="62">
        <f>SMALL($J81:$BQ81,31)</f>
        <v>61</v>
      </c>
      <c r="FP18" s="62">
        <f>SMALL($J81:$BQ81,32)</f>
        <v>61</v>
      </c>
      <c r="FQ18" s="62">
        <f>SMALL($J81:$BQ81,33)</f>
        <v>61</v>
      </c>
      <c r="FR18" s="62">
        <f>SMALL($J81:$BQ81,34)</f>
        <v>61</v>
      </c>
      <c r="FS18" s="62">
        <f>SMALL($J81:$BQ81,35)</f>
        <v>61</v>
      </c>
      <c r="FT18" s="62">
        <f>SMALL($J81:$BQ81,36)</f>
        <v>61</v>
      </c>
      <c r="FU18" s="62">
        <f>SMALL($J81:$BQ81,37)</f>
        <v>61</v>
      </c>
      <c r="FV18" s="62">
        <f>SMALL($J81:$BQ81,38)</f>
        <v>61</v>
      </c>
      <c r="FW18" s="62">
        <f>SMALL($J81:$BQ81,39)</f>
        <v>61</v>
      </c>
      <c r="FX18" s="62">
        <f>SMALL($J81:$BQ81,40)</f>
        <v>61</v>
      </c>
      <c r="FY18" s="62">
        <f>SMALL($J81:$BQ81,41)</f>
        <v>61</v>
      </c>
      <c r="FZ18" s="62">
        <f>SMALL($J81:$BQ81,42)</f>
        <v>61</v>
      </c>
      <c r="GA18" s="62">
        <f>SMALL($J81:$BQ81,43)</f>
        <v>61</v>
      </c>
      <c r="GB18" s="62">
        <f>SMALL($J81:$BQ81,44)</f>
        <v>61</v>
      </c>
      <c r="GC18" s="62">
        <f>SMALL($J81:$BQ81,45)</f>
        <v>61</v>
      </c>
      <c r="GD18" s="62">
        <f>SMALL($J81:$BQ81,46)</f>
        <v>61</v>
      </c>
      <c r="GE18" s="62">
        <f>SMALL($J81:$BQ81,47)</f>
        <v>61</v>
      </c>
      <c r="GF18" s="62">
        <f>SMALL($J81:$BQ81,48)</f>
        <v>61</v>
      </c>
      <c r="GG18" s="62">
        <f>SMALL($J81:$BQ81,49)</f>
        <v>61</v>
      </c>
      <c r="GH18" s="62">
        <f>SMALL($J81:$BQ81,50)</f>
        <v>61</v>
      </c>
      <c r="GI18" s="62">
        <f>SMALL($J81:$BQ81,51)</f>
        <v>61</v>
      </c>
      <c r="GJ18" s="62">
        <f>SMALL($J81:$BQ81,52)</f>
        <v>61</v>
      </c>
      <c r="GK18" s="62">
        <f>SMALL($J81:$BQ81,53)</f>
        <v>61</v>
      </c>
      <c r="GL18" s="62">
        <f>SMALL($J81:$BQ81,54)</f>
        <v>61</v>
      </c>
      <c r="GM18" s="62">
        <f>SMALL($J81:$BQ81,55)</f>
        <v>61</v>
      </c>
      <c r="GN18" s="62">
        <f>SMALL($J81:$BQ81,56)</f>
        <v>61</v>
      </c>
      <c r="GO18" s="62">
        <f>SMALL($J81:$BQ81,57)</f>
        <v>61</v>
      </c>
      <c r="GP18" s="62">
        <f>SMALL($J81:$BQ81,58)</f>
        <v>61</v>
      </c>
      <c r="GQ18" s="62">
        <f>SMALL($J81:$BQ81,59)</f>
        <v>61</v>
      </c>
      <c r="GR18" s="62">
        <f>SMALL($J81:$BQ81,60)</f>
        <v>61</v>
      </c>
      <c r="GT18" s="62">
        <f>IF(Deltagarlista!$K$3=2,
IF(GW18="1",
      IF(Arrangörslista!$U$5=1,J81,
IF(Arrangörslista!$U$5=2,K81,
IF(Arrangörslista!$U$5=3,L81,
IF(Arrangörslista!$U$5=4,M81,
IF(Arrangörslista!$U$5=5,N81,
IF(Arrangörslista!$U$5=6,O81,
IF(Arrangörslista!$U$5=7,P81,
IF(Arrangörslista!$U$5=8,Q81,
IF(Arrangörslista!$U$5=9,R81,
IF(Arrangörslista!$U$5=10,S81,
IF(Arrangörslista!$U$5=11,T81,
IF(Arrangörslista!$U$5=12,U81,
IF(Arrangörslista!$U$5=13,V81,
IF(Arrangörslista!$U$5=14,W81,
IF(Arrangörslista!$U$5=15,X81,
IF(Arrangörslista!$U$5=16,Y81,IF(Arrangörslista!$U$5=17,Z81,IF(Arrangörslista!$U$5=18,AA81,IF(Arrangörslista!$U$5=19,AB81,IF(Arrangörslista!$U$5=20,AC81,IF(Arrangörslista!$U$5=21,AD81,IF(Arrangörslista!$U$5=22,AE81,IF(Arrangörslista!$U$5=23,AF81, IF(Arrangörslista!$U$5=24,AG81, IF(Arrangörslista!$U$5=25,AH81, IF(Arrangörslista!$U$5=26,AI81, IF(Arrangörslista!$U$5=27,AJ81, IF(Arrangörslista!$U$5=28,AK81, IF(Arrangörslista!$U$5=29,AL81, IF(Arrangörslista!$U$5=30,AM81, IF(Arrangörslista!$U$5=31,AN81, IF(Arrangörslista!$U$5=32,AO81, IF(Arrangörslista!$U$5=33,AP81, IF(Arrangörslista!$U$5=34,AQ81, IF(Arrangörslista!$U$5=35,AR81, IF(Arrangörslista!$U$5=36,AS81, IF(Arrangörslista!$U$5=37,AT81, IF(Arrangörslista!$U$5=38,AU81, IF(Arrangörslista!$U$5=39,AV81, IF(Arrangörslista!$U$5=40,AW81, IF(Arrangörslista!$U$5=41,AX81, IF(Arrangörslista!$U$5=42,AY81, IF(Arrangörslista!$U$5=43,AZ81, IF(Arrangörslista!$U$5=44,BA81, IF(Arrangörslista!$U$5=45,BB81, IF(Arrangörslista!$U$5=46,BC81, IF(Arrangörslista!$U$5=47,BD81, IF(Arrangörslista!$U$5=48,BE81, IF(Arrangörslista!$U$5=49,BF81, IF(Arrangörslista!$U$5=50,BG81, IF(Arrangörslista!$U$5=51,BH81, IF(Arrangörslista!$U$5=52,BI81, IF(Arrangörslista!$U$5=53,BJ81, IF(Arrangörslista!$U$5=54,BK81, IF(Arrangörslista!$U$5=55,BL81, IF(Arrangörslista!$U$5=56,BM81, IF(Arrangörslista!$U$5=57,BN81, IF(Arrangörslista!$U$5=58,BO81, IF(Arrangörslista!$U$5=59,BP81, IF(Arrangörslista!$U$5=60,BQ81,0))))))))))))))))))))))))))))))))))))))))))))))))))))))))))))),IF(Deltagarlista!$K$3=4, IF(Arrangörslista!$U$5=1,J81,
IF(Arrangörslista!$U$5=2,J81,
IF(Arrangörslista!$U$5=3,K81,
IF(Arrangörslista!$U$5=4,K81,
IF(Arrangörslista!$U$5=5,L81,
IF(Arrangörslista!$U$5=6,L81,
IF(Arrangörslista!$U$5=7,M81,
IF(Arrangörslista!$U$5=8,M81,
IF(Arrangörslista!$U$5=9,N81,
IF(Arrangörslista!$U$5=10,N81,
IF(Arrangörslista!$U$5=11,O81,
IF(Arrangörslista!$U$5=12,O81,
IF(Arrangörslista!$U$5=13,P81,
IF(Arrangörslista!$U$5=14,P81,
IF(Arrangörslista!$U$5=15,Q81,
IF(Arrangörslista!$U$5=16,Q81,
IF(Arrangörslista!$U$5=17,R81,
IF(Arrangörslista!$U$5=18,R81,
IF(Arrangörslista!$U$5=19,S81,
IF(Arrangörslista!$U$5=20,S81,
IF(Arrangörslista!$U$5=21,T81,
IF(Arrangörslista!$U$5=22,T81,IF(Arrangörslista!$U$5=23,U81, IF(Arrangörslista!$U$5=24,U81, IF(Arrangörslista!$U$5=25,V81, IF(Arrangörslista!$U$5=26,V81, IF(Arrangörslista!$U$5=27,W81, IF(Arrangörslista!$U$5=28,W81, IF(Arrangörslista!$U$5=29,X81, IF(Arrangörslista!$U$5=30,X81, IF(Arrangörslista!$U$5=31,X81, IF(Arrangörslista!$U$5=32,Y81, IF(Arrangörslista!$U$5=33,AO81, IF(Arrangörslista!$U$5=34,Y81, IF(Arrangörslista!$U$5=35,Z81, IF(Arrangörslista!$U$5=36,AR81, IF(Arrangörslista!$U$5=37,Z81, IF(Arrangörslista!$U$5=38,AA81, IF(Arrangörslista!$U$5=39,AU81, IF(Arrangörslista!$U$5=40,AA81, IF(Arrangörslista!$U$5=41,AB81, IF(Arrangörslista!$U$5=42,AX81, IF(Arrangörslista!$U$5=43,AB81, IF(Arrangörslista!$U$5=44,AC81, IF(Arrangörslista!$U$5=45,BA81, IF(Arrangörslista!$U$5=46,AC81, IF(Arrangörslista!$U$5=47,AD81, IF(Arrangörslista!$U$5=48,BD81, IF(Arrangörslista!$U$5=49,AD81, IF(Arrangörslista!$U$5=50,AE81, IF(Arrangörslista!$U$5=51,BG81, IF(Arrangörslista!$U$5=52,AE81, IF(Arrangörslista!$U$5=53,AF81, IF(Arrangörslista!$U$5=54,BJ81, IF(Arrangörslista!$U$5=55,AF81, IF(Arrangörslista!$U$5=56,AG81, IF(Arrangörslista!$U$5=57,BM81, IF(Arrangörslista!$U$5=58,AG81, IF(Arrangörslista!$U$5=59,AH81, IF(Arrangörslista!$U$5=60,AH81,0)))))))))))))))))))))))))))))))))))))))))))))))))))))))))))),IF(Arrangörslista!$U$5=1,J81,
IF(Arrangörslista!$U$5=2,K81,
IF(Arrangörslista!$U$5=3,L81,
IF(Arrangörslista!$U$5=4,M81,
IF(Arrangörslista!$U$5=5,N81,
IF(Arrangörslista!$U$5=6,O81,
IF(Arrangörslista!$U$5=7,P81,
IF(Arrangörslista!$U$5=8,Q81,
IF(Arrangörslista!$U$5=9,R81,
IF(Arrangörslista!$U$5=10,S81,
IF(Arrangörslista!$U$5=11,T81,
IF(Arrangörslista!$U$5=12,U81,
IF(Arrangörslista!$U$5=13,V81,
IF(Arrangörslista!$U$5=14,W81,
IF(Arrangörslista!$U$5=15,X81,
IF(Arrangörslista!$U$5=16,Y81,IF(Arrangörslista!$U$5=17,Z81,IF(Arrangörslista!$U$5=18,AA81,IF(Arrangörslista!$U$5=19,AB81,IF(Arrangörslista!$U$5=20,AC81,IF(Arrangörslista!$U$5=21,AD81,IF(Arrangörslista!$U$5=22,AE81,IF(Arrangörslista!$U$5=23,AF81, IF(Arrangörslista!$U$5=24,AG81, IF(Arrangörslista!$U$5=25,AH81, IF(Arrangörslista!$U$5=26,AI81, IF(Arrangörslista!$U$5=27,AJ81, IF(Arrangörslista!$U$5=28,AK81, IF(Arrangörslista!$U$5=29,AL81, IF(Arrangörslista!$U$5=30,AM81, IF(Arrangörslista!$U$5=31,AN81, IF(Arrangörslista!$U$5=32,AO81, IF(Arrangörslista!$U$5=33,AP81, IF(Arrangörslista!$U$5=34,AQ81, IF(Arrangörslista!$U$5=35,AR81, IF(Arrangörslista!$U$5=36,AS81, IF(Arrangörslista!$U$5=37,AT81, IF(Arrangörslista!$U$5=38,AU81, IF(Arrangörslista!$U$5=39,AV81, IF(Arrangörslista!$U$5=40,AW81, IF(Arrangörslista!$U$5=41,AX81, IF(Arrangörslista!$U$5=42,AY81, IF(Arrangörslista!$U$5=43,AZ81, IF(Arrangörslista!$U$5=44,BA81, IF(Arrangörslista!$U$5=45,BB81, IF(Arrangörslista!$U$5=46,BC81, IF(Arrangörslista!$U$5=47,BD81, IF(Arrangörslista!$U$5=48,BE81, IF(Arrangörslista!$U$5=49,BF81, IF(Arrangörslista!$U$5=50,BG81, IF(Arrangörslista!$U$5=51,BH81, IF(Arrangörslista!$U$5=52,BI81, IF(Arrangörslista!$U$5=53,BJ81, IF(Arrangörslista!$U$5=54,BK81, IF(Arrangörslista!$U$5=55,BL81, IF(Arrangörslista!$U$5=56,BM81, IF(Arrangörslista!$U$5=57,BN81, IF(Arrangörslista!$U$5=58,BO81, IF(Arrangörslista!$U$5=59,BP81, IF(Arrangörslista!$U$5=60,BQ81,0))))))))))))))))))))))))))))))))))))))))))))))))))))))))))))
))</f>
        <v>0</v>
      </c>
      <c r="GV18" s="65" t="str">
        <f>IFERROR(IF(VLOOKUP(F18,Deltagarlista!$E$5:$I$64,5,FALSE)="Grön","Gr",IF(VLOOKUP(F18,Deltagarlista!$E$5:$I$64,5,FALSE)="Röd","R",IF(VLOOKUP(F18,Deltagarlista!$E$5:$I$64,5,FALSE)="Blå","B","Gu"))),"")</f>
        <v/>
      </c>
      <c r="GW18" s="62" t="str">
        <f t="shared" si="1"/>
        <v/>
      </c>
    </row>
    <row r="19" spans="2:205" x14ac:dyDescent="0.3">
      <c r="B19" s="23" t="str">
        <f>IF($BW$3&gt;15,16,"")</f>
        <v/>
      </c>
      <c r="C19" s="92" t="str">
        <f>IF(ISBLANK(Deltagarlista!C22),"",Deltagarlista!C22)</f>
        <v/>
      </c>
      <c r="D19" s="109" t="str">
        <f>CONCATENATE(IF(AND(Deltagarlista!H22="GM",Deltagarlista!$S$14=TRUE),"GM   ",""),  IF(OR(Deltagarlista!$K$3=4,Deltagarlista!$K$3=2),Deltagarlista!I22,""))</f>
        <v/>
      </c>
      <c r="E19" s="8" t="str">
        <f>IF(ISBLANK(Deltagarlista!D22),"",Deltagarlista!D22)</f>
        <v/>
      </c>
      <c r="F19" s="8" t="str">
        <f>IF(ISBLANK(Deltagarlista!E22),"",Deltagarlista!E22)</f>
        <v/>
      </c>
      <c r="G19" s="95" t="str">
        <f>IF(ISBLANK(Deltagarlista!F22),"",Deltagarlista!F22)</f>
        <v/>
      </c>
      <c r="H19" s="72" t="str">
        <f>IF(ISBLANK(Deltagarlista!C22),"",BU19-EE19)</f>
        <v/>
      </c>
      <c r="I19" s="13" t="str">
        <f>IF(ISBLANK(Deltagarlista!C22),"",IF(AND(Deltagarlista!$K$3=2,Deltagarlista!$L$3&lt;37),SUM(SUM(BV19:EC19)-(ROUNDDOWN(Arrangörslista!$U$5/3,1))*($BW$3+1)),SUM(BV19:EC19)))</f>
        <v/>
      </c>
      <c r="J19" s="79" t="str">
        <f>IF(Deltagarlista!$K$3=4,IF(ISBLANK(Deltagarlista!$C22),"",IF(ISBLANK(Arrangörslista!C$8),"",IFERROR(VLOOKUP($F19,Arrangörslista!C$8:$AG$45,16,FALSE),IF(ISBLANK(Deltagarlista!$C22),"",IF(ISBLANK(Arrangörslista!C$8),"",IFERROR(VLOOKUP($F19,Arrangörslista!D$8:$AG$45,16,FALSE),"DNS")))))),IF(Deltagarlista!$K$3=2,
IF(ISBLANK(Deltagarlista!$C22),"",IF(ISBLANK(Arrangörslista!C$8),"",IF($GV19=J$64," DNS ",IFERROR(VLOOKUP($F19,Arrangörslista!C$8:$AG$45,16,FALSE),"DNS")))),IF(ISBLANK(Deltagarlista!$C22),"",IF(ISBLANK(Arrangörslista!C$8),"",IFERROR(VLOOKUP($F19,Arrangörslista!C$8:$AG$45,16,FALSE),"DNS")))))</f>
        <v/>
      </c>
      <c r="K19" s="5" t="str">
        <f>IF(Deltagarlista!$K$3=4,IF(ISBLANK(Deltagarlista!$C22),"",IF(ISBLANK(Arrangörslista!E$8),"",IFERROR(VLOOKUP($F19,Arrangörslista!E$8:$AG$45,16,FALSE),IF(ISBLANK(Deltagarlista!$C22),"",IF(ISBLANK(Arrangörslista!E$8),"",IFERROR(VLOOKUP($F19,Arrangörslista!F$8:$AG$45,16,FALSE),"DNS")))))),IF(Deltagarlista!$K$3=2,
IF(ISBLANK(Deltagarlista!$C22),"",IF(ISBLANK(Arrangörslista!D$8),"",IF($GV19=K$64," DNS ",IFERROR(VLOOKUP($F19,Arrangörslista!D$8:$AG$45,16,FALSE),"DNS")))),IF(ISBLANK(Deltagarlista!$C22),"",IF(ISBLANK(Arrangörslista!D$8),"",IFERROR(VLOOKUP($F19,Arrangörslista!D$8:$AG$45,16,FALSE),"DNS")))))</f>
        <v/>
      </c>
      <c r="L19" s="5" t="str">
        <f>IF(Deltagarlista!$K$3=4,IF(ISBLANK(Deltagarlista!$C22),"",IF(ISBLANK(Arrangörslista!G$8),"",IFERROR(VLOOKUP($F19,Arrangörslista!G$8:$AG$45,16,FALSE),IF(ISBLANK(Deltagarlista!$C22),"",IF(ISBLANK(Arrangörslista!G$8),"",IFERROR(VLOOKUP($F19,Arrangörslista!H$8:$AG$45,16,FALSE),"DNS")))))),IF(Deltagarlista!$K$3=2,
IF(ISBLANK(Deltagarlista!$C22),"",IF(ISBLANK(Arrangörslista!E$8),"",IF($GV19=L$64," DNS ",IFERROR(VLOOKUP($F19,Arrangörslista!E$8:$AG$45,16,FALSE),"DNS")))),IF(ISBLANK(Deltagarlista!$C22),"",IF(ISBLANK(Arrangörslista!E$8),"",IFERROR(VLOOKUP($F19,Arrangörslista!E$8:$AG$45,16,FALSE),"DNS")))))</f>
        <v/>
      </c>
      <c r="M19" s="5" t="str">
        <f>IF(Deltagarlista!$K$3=4,IF(ISBLANK(Deltagarlista!$C22),"",IF(ISBLANK(Arrangörslista!I$8),"",IFERROR(VLOOKUP($F19,Arrangörslista!I$8:$AG$45,16,FALSE),IF(ISBLANK(Deltagarlista!$C22),"",IF(ISBLANK(Arrangörslista!I$8),"",IFERROR(VLOOKUP($F19,Arrangörslista!J$8:$AG$45,16,FALSE),"DNS")))))),IF(Deltagarlista!$K$3=2,
IF(ISBLANK(Deltagarlista!$C22),"",IF(ISBLANK(Arrangörslista!F$8),"",IF($GV19=M$64," DNS ",IFERROR(VLOOKUP($F19,Arrangörslista!F$8:$AG$45,16,FALSE),"DNS")))),IF(ISBLANK(Deltagarlista!$C22),"",IF(ISBLANK(Arrangörslista!F$8),"",IFERROR(VLOOKUP($F19,Arrangörslista!F$8:$AG$45,16,FALSE),"DNS")))))</f>
        <v/>
      </c>
      <c r="N19" s="5" t="str">
        <f>IF(Deltagarlista!$K$3=4,IF(ISBLANK(Deltagarlista!$C22),"",IF(ISBLANK(Arrangörslista!K$8),"",IFERROR(VLOOKUP($F19,Arrangörslista!K$8:$AG$45,16,FALSE),IF(ISBLANK(Deltagarlista!$C22),"",IF(ISBLANK(Arrangörslista!K$8),"",IFERROR(VLOOKUP($F19,Arrangörslista!L$8:$AG$45,16,FALSE),"DNS")))))),IF(Deltagarlista!$K$3=2,
IF(ISBLANK(Deltagarlista!$C22),"",IF(ISBLANK(Arrangörslista!G$8),"",IF($GV19=N$64," DNS ",IFERROR(VLOOKUP($F19,Arrangörslista!G$8:$AG$45,16,FALSE),"DNS")))),IF(ISBLANK(Deltagarlista!$C22),"",IF(ISBLANK(Arrangörslista!G$8),"",IFERROR(VLOOKUP($F19,Arrangörslista!G$8:$AG$45,16,FALSE),"DNS")))))</f>
        <v/>
      </c>
      <c r="O19" s="5" t="str">
        <f>IF(Deltagarlista!$K$3=4,IF(ISBLANK(Deltagarlista!$C22),"",IF(ISBLANK(Arrangörslista!M$8),"",IFERROR(VLOOKUP($F19,Arrangörslista!M$8:$AG$45,16,FALSE),IF(ISBLANK(Deltagarlista!$C22),"",IF(ISBLANK(Arrangörslista!M$8),"",IFERROR(VLOOKUP($F19,Arrangörslista!N$8:$AG$45,16,FALSE),"DNS")))))),IF(Deltagarlista!$K$3=2,
IF(ISBLANK(Deltagarlista!$C22),"",IF(ISBLANK(Arrangörslista!H$8),"",IF($GV19=O$64," DNS ",IFERROR(VLOOKUP($F19,Arrangörslista!H$8:$AG$45,16,FALSE),"DNS")))),IF(ISBLANK(Deltagarlista!$C22),"",IF(ISBLANK(Arrangörslista!H$8),"",IFERROR(VLOOKUP($F19,Arrangörslista!H$8:$AG$45,16,FALSE),"DNS")))))</f>
        <v/>
      </c>
      <c r="P19" s="5" t="str">
        <f>IF(Deltagarlista!$K$3=4,IF(ISBLANK(Deltagarlista!$C22),"",IF(ISBLANK(Arrangörslista!O$8),"",IFERROR(VLOOKUP($F19,Arrangörslista!O$8:$AG$45,16,FALSE),IF(ISBLANK(Deltagarlista!$C22),"",IF(ISBLANK(Arrangörslista!O$8),"",IFERROR(VLOOKUP($F19,Arrangörslista!P$8:$AG$45,16,FALSE),"DNS")))))),IF(Deltagarlista!$K$3=2,
IF(ISBLANK(Deltagarlista!$C22),"",IF(ISBLANK(Arrangörslista!I$8),"",IF($GV19=P$64," DNS ",IFERROR(VLOOKUP($F19,Arrangörslista!I$8:$AG$45,16,FALSE),"DNS")))),IF(ISBLANK(Deltagarlista!$C22),"",IF(ISBLANK(Arrangörslista!I$8),"",IFERROR(VLOOKUP($F19,Arrangörslista!I$8:$AG$45,16,FALSE),"DNS")))))</f>
        <v/>
      </c>
      <c r="Q19" s="5" t="str">
        <f>IF(Deltagarlista!$K$3=4,IF(ISBLANK(Deltagarlista!$C22),"",IF(ISBLANK(Arrangörslista!Q$8),"",IFERROR(VLOOKUP($F19,Arrangörslista!Q$8:$AG$45,16,FALSE),IF(ISBLANK(Deltagarlista!$C22),"",IF(ISBLANK(Arrangörslista!Q$8),"",IFERROR(VLOOKUP($F19,Arrangörslista!C$53:$AG$90,16,FALSE),"DNS")))))),IF(Deltagarlista!$K$3=2,
IF(ISBLANK(Deltagarlista!$C22),"",IF(ISBLANK(Arrangörslista!J$8),"",IF($GV19=Q$64," DNS ",IFERROR(VLOOKUP($F19,Arrangörslista!J$8:$AG$45,16,FALSE),"DNS")))),IF(ISBLANK(Deltagarlista!$C22),"",IF(ISBLANK(Arrangörslista!J$8),"",IFERROR(VLOOKUP($F19,Arrangörslista!J$8:$AG$45,16,FALSE),"DNS")))))</f>
        <v/>
      </c>
      <c r="R19" s="5" t="str">
        <f>IF(Deltagarlista!$K$3=4,IF(ISBLANK(Deltagarlista!$C22),"",IF(ISBLANK(Arrangörslista!D$53),"",IFERROR(VLOOKUP($F19,Arrangörslista!D$53:$AG$90,16,FALSE),IF(ISBLANK(Deltagarlista!$C22),"",IF(ISBLANK(Arrangörslista!D$53),"",IFERROR(VLOOKUP($F19,Arrangörslista!E$53:$AG$90,16,FALSE),"DNS")))))),IF(Deltagarlista!$K$3=2,
IF(ISBLANK(Deltagarlista!$C22),"",IF(ISBLANK(Arrangörslista!K$8),"",IF($GV19=R$64," DNS ",IFERROR(VLOOKUP($F19,Arrangörslista!K$8:$AG$45,16,FALSE),"DNS")))),IF(ISBLANK(Deltagarlista!$C22),"",IF(ISBLANK(Arrangörslista!K$8),"",IFERROR(VLOOKUP($F19,Arrangörslista!K$8:$AG$45,16,FALSE),"DNS")))))</f>
        <v/>
      </c>
      <c r="S19" s="5" t="str">
        <f>IF(Deltagarlista!$K$3=4,IF(ISBLANK(Deltagarlista!$C22),"",IF(ISBLANK(Arrangörslista!F$53),"",IFERROR(VLOOKUP($F19,Arrangörslista!F$53:$AG$90,16,FALSE),IF(ISBLANK(Deltagarlista!$C22),"",IF(ISBLANK(Arrangörslista!F$53),"",IFERROR(VLOOKUP($F19,Arrangörslista!G$53:$AG$90,16,FALSE),"DNS")))))),IF(Deltagarlista!$K$3=2,
IF(ISBLANK(Deltagarlista!$C22),"",IF(ISBLANK(Arrangörslista!L$8),"",IF($GV19=S$64," DNS ",IFERROR(VLOOKUP($F19,Arrangörslista!L$8:$AG$45,16,FALSE),"DNS")))),IF(ISBLANK(Deltagarlista!$C22),"",IF(ISBLANK(Arrangörslista!L$8),"",IFERROR(VLOOKUP($F19,Arrangörslista!L$8:$AG$45,16,FALSE),"DNS")))))</f>
        <v/>
      </c>
      <c r="T19" s="5" t="str">
        <f>IF(Deltagarlista!$K$3=4,IF(ISBLANK(Deltagarlista!$C22),"",IF(ISBLANK(Arrangörslista!H$53),"",IFERROR(VLOOKUP($F19,Arrangörslista!H$53:$AG$90,16,FALSE),IF(ISBLANK(Deltagarlista!$C22),"",IF(ISBLANK(Arrangörslista!H$53),"",IFERROR(VLOOKUP($F19,Arrangörslista!I$53:$AG$90,16,FALSE),"DNS")))))),IF(Deltagarlista!$K$3=2,
IF(ISBLANK(Deltagarlista!$C22),"",IF(ISBLANK(Arrangörslista!M$8),"",IF($GV19=T$64," DNS ",IFERROR(VLOOKUP($F19,Arrangörslista!M$8:$AG$45,16,FALSE),"DNS")))),IF(ISBLANK(Deltagarlista!$C22),"",IF(ISBLANK(Arrangörslista!M$8),"",IFERROR(VLOOKUP($F19,Arrangörslista!M$8:$AG$45,16,FALSE),"DNS")))))</f>
        <v/>
      </c>
      <c r="U19" s="5" t="str">
        <f>IF(Deltagarlista!$K$3=4,IF(ISBLANK(Deltagarlista!$C22),"",IF(ISBLANK(Arrangörslista!J$53),"",IFERROR(VLOOKUP($F19,Arrangörslista!J$53:$AG$90,16,FALSE),IF(ISBLANK(Deltagarlista!$C22),"",IF(ISBLANK(Arrangörslista!J$53),"",IFERROR(VLOOKUP($F19,Arrangörslista!K$53:$AG$90,16,FALSE),"DNS")))))),IF(Deltagarlista!$K$3=2,
IF(ISBLANK(Deltagarlista!$C22),"",IF(ISBLANK(Arrangörslista!N$8),"",IF($GV19=U$64," DNS ",IFERROR(VLOOKUP($F19,Arrangörslista!N$8:$AG$45,16,FALSE),"DNS")))),IF(ISBLANK(Deltagarlista!$C22),"",IF(ISBLANK(Arrangörslista!N$8),"",IFERROR(VLOOKUP($F19,Arrangörslista!N$8:$AG$45,16,FALSE),"DNS")))))</f>
        <v/>
      </c>
      <c r="V19" s="5" t="str">
        <f>IF(Deltagarlista!$K$3=4,IF(ISBLANK(Deltagarlista!$C22),"",IF(ISBLANK(Arrangörslista!L$53),"",IFERROR(VLOOKUP($F19,Arrangörslista!L$53:$AG$90,16,FALSE),IF(ISBLANK(Deltagarlista!$C22),"",IF(ISBLANK(Arrangörslista!L$53),"",IFERROR(VLOOKUP($F19,Arrangörslista!M$53:$AG$90,16,FALSE),"DNS")))))),IF(Deltagarlista!$K$3=2,
IF(ISBLANK(Deltagarlista!$C22),"",IF(ISBLANK(Arrangörslista!O$8),"",IF($GV19=V$64," DNS ",IFERROR(VLOOKUP($F19,Arrangörslista!O$8:$AG$45,16,FALSE),"DNS")))),IF(ISBLANK(Deltagarlista!$C22),"",IF(ISBLANK(Arrangörslista!O$8),"",IFERROR(VLOOKUP($F19,Arrangörslista!O$8:$AG$45,16,FALSE),"DNS")))))</f>
        <v/>
      </c>
      <c r="W19" s="5" t="str">
        <f>IF(Deltagarlista!$K$3=4,IF(ISBLANK(Deltagarlista!$C22),"",IF(ISBLANK(Arrangörslista!N$53),"",IFERROR(VLOOKUP($F19,Arrangörslista!N$53:$AG$90,16,FALSE),IF(ISBLANK(Deltagarlista!$C22),"",IF(ISBLANK(Arrangörslista!N$53),"",IFERROR(VLOOKUP($F19,Arrangörslista!O$53:$AG$90,16,FALSE),"DNS")))))),IF(Deltagarlista!$K$3=2,
IF(ISBLANK(Deltagarlista!$C22),"",IF(ISBLANK(Arrangörslista!P$8),"",IF($GV19=W$64," DNS ",IFERROR(VLOOKUP($F19,Arrangörslista!P$8:$AG$45,16,FALSE),"DNS")))),IF(ISBLANK(Deltagarlista!$C22),"",IF(ISBLANK(Arrangörslista!P$8),"",IFERROR(VLOOKUP($F19,Arrangörslista!P$8:$AG$45,16,FALSE),"DNS")))))</f>
        <v/>
      </c>
      <c r="X19" s="5" t="str">
        <f>IF(Deltagarlista!$K$3=4,IF(ISBLANK(Deltagarlista!$C22),"",IF(ISBLANK(Arrangörslista!P$53),"",IFERROR(VLOOKUP($F19,Arrangörslista!P$53:$AG$90,16,FALSE),IF(ISBLANK(Deltagarlista!$C22),"",IF(ISBLANK(Arrangörslista!P$53),"",IFERROR(VLOOKUP($F19,Arrangörslista!Q$53:$AG$90,16,FALSE),"DNS")))))),IF(Deltagarlista!$K$3=2,
IF(ISBLANK(Deltagarlista!$C22),"",IF(ISBLANK(Arrangörslista!Q$8),"",IF($GV19=X$64," DNS ",IFERROR(VLOOKUP($F19,Arrangörslista!Q$8:$AG$45,16,FALSE),"DNS")))),IF(ISBLANK(Deltagarlista!$C22),"",IF(ISBLANK(Arrangörslista!Q$8),"",IFERROR(VLOOKUP($F19,Arrangörslista!Q$8:$AG$45,16,FALSE),"DNS")))))</f>
        <v/>
      </c>
      <c r="Y19" s="5" t="str">
        <f>IF(Deltagarlista!$K$3=4,IF(ISBLANK(Deltagarlista!$C22),"",IF(ISBLANK(Arrangörslista!C$98),"",IFERROR(VLOOKUP($F19,Arrangörslista!C$98:$AG$135,16,FALSE),IF(ISBLANK(Deltagarlista!$C22),"",IF(ISBLANK(Arrangörslista!C$98),"",IFERROR(VLOOKUP($F19,Arrangörslista!D$98:$AG$135,16,FALSE),"DNS")))))),IF(Deltagarlista!$K$3=2,
IF(ISBLANK(Deltagarlista!$C22),"",IF(ISBLANK(Arrangörslista!C$53),"",IF($GV19=Y$64," DNS ",IFERROR(VLOOKUP($F19,Arrangörslista!C$53:$AG$90,16,FALSE),"DNS")))),IF(ISBLANK(Deltagarlista!$C22),"",IF(ISBLANK(Arrangörslista!C$53),"",IFERROR(VLOOKUP($F19,Arrangörslista!C$53:$AG$90,16,FALSE),"DNS")))))</f>
        <v/>
      </c>
      <c r="Z19" s="5" t="str">
        <f>IF(Deltagarlista!$K$3=4,IF(ISBLANK(Deltagarlista!$C22),"",IF(ISBLANK(Arrangörslista!E$98),"",IFERROR(VLOOKUP($F19,Arrangörslista!E$98:$AG$135,16,FALSE),IF(ISBLANK(Deltagarlista!$C22),"",IF(ISBLANK(Arrangörslista!E$98),"",IFERROR(VLOOKUP($F19,Arrangörslista!F$98:$AG$135,16,FALSE),"DNS")))))),IF(Deltagarlista!$K$3=2,
IF(ISBLANK(Deltagarlista!$C22),"",IF(ISBLANK(Arrangörslista!D$53),"",IF($GV19=Z$64," DNS ",IFERROR(VLOOKUP($F19,Arrangörslista!D$53:$AG$90,16,FALSE),"DNS")))),IF(ISBLANK(Deltagarlista!$C22),"",IF(ISBLANK(Arrangörslista!D$53),"",IFERROR(VLOOKUP($F19,Arrangörslista!D$53:$AG$90,16,FALSE),"DNS")))))</f>
        <v/>
      </c>
      <c r="AA19" s="5" t="str">
        <f>IF(Deltagarlista!$K$3=4,IF(ISBLANK(Deltagarlista!$C22),"",IF(ISBLANK(Arrangörslista!G$98),"",IFERROR(VLOOKUP($F19,Arrangörslista!G$98:$AG$135,16,FALSE),IF(ISBLANK(Deltagarlista!$C22),"",IF(ISBLANK(Arrangörslista!G$98),"",IFERROR(VLOOKUP($F19,Arrangörslista!H$98:$AG$135,16,FALSE),"DNS")))))),IF(Deltagarlista!$K$3=2,
IF(ISBLANK(Deltagarlista!$C22),"",IF(ISBLANK(Arrangörslista!E$53),"",IF($GV19=AA$64," DNS ",IFERROR(VLOOKUP($F19,Arrangörslista!E$53:$AG$90,16,FALSE),"DNS")))),IF(ISBLANK(Deltagarlista!$C22),"",IF(ISBLANK(Arrangörslista!E$53),"",IFERROR(VLOOKUP($F19,Arrangörslista!E$53:$AG$90,16,FALSE),"DNS")))))</f>
        <v/>
      </c>
      <c r="AB19" s="5" t="str">
        <f>IF(Deltagarlista!$K$3=4,IF(ISBLANK(Deltagarlista!$C22),"",IF(ISBLANK(Arrangörslista!I$98),"",IFERROR(VLOOKUP($F19,Arrangörslista!I$98:$AG$135,16,FALSE),IF(ISBLANK(Deltagarlista!$C22),"",IF(ISBLANK(Arrangörslista!I$98),"",IFERROR(VLOOKUP($F19,Arrangörslista!J$98:$AG$135,16,FALSE),"DNS")))))),IF(Deltagarlista!$K$3=2,
IF(ISBLANK(Deltagarlista!$C22),"",IF(ISBLANK(Arrangörslista!F$53),"",IF($GV19=AB$64," DNS ",IFERROR(VLOOKUP($F19,Arrangörslista!F$53:$AG$90,16,FALSE),"DNS")))),IF(ISBLANK(Deltagarlista!$C22),"",IF(ISBLANK(Arrangörslista!F$53),"",IFERROR(VLOOKUP($F19,Arrangörslista!F$53:$AG$90,16,FALSE),"DNS")))))</f>
        <v/>
      </c>
      <c r="AC19" s="5" t="str">
        <f>IF(Deltagarlista!$K$3=4,IF(ISBLANK(Deltagarlista!$C22),"",IF(ISBLANK(Arrangörslista!K$98),"",IFERROR(VLOOKUP($F19,Arrangörslista!K$98:$AG$135,16,FALSE),IF(ISBLANK(Deltagarlista!$C22),"",IF(ISBLANK(Arrangörslista!K$98),"",IFERROR(VLOOKUP($F19,Arrangörslista!L$98:$AG$135,16,FALSE),"DNS")))))),IF(Deltagarlista!$K$3=2,
IF(ISBLANK(Deltagarlista!$C22),"",IF(ISBLANK(Arrangörslista!G$53),"",IF($GV19=AC$64," DNS ",IFERROR(VLOOKUP($F19,Arrangörslista!G$53:$AG$90,16,FALSE),"DNS")))),IF(ISBLANK(Deltagarlista!$C22),"",IF(ISBLANK(Arrangörslista!G$53),"",IFERROR(VLOOKUP($F19,Arrangörslista!G$53:$AG$90,16,FALSE),"DNS")))))</f>
        <v/>
      </c>
      <c r="AD19" s="5" t="str">
        <f>IF(Deltagarlista!$K$3=4,IF(ISBLANK(Deltagarlista!$C22),"",IF(ISBLANK(Arrangörslista!M$98),"",IFERROR(VLOOKUP($F19,Arrangörslista!M$98:$AG$135,16,FALSE),IF(ISBLANK(Deltagarlista!$C22),"",IF(ISBLANK(Arrangörslista!M$98),"",IFERROR(VLOOKUP($F19,Arrangörslista!N$98:$AG$135,16,FALSE),"DNS")))))),IF(Deltagarlista!$K$3=2,
IF(ISBLANK(Deltagarlista!$C22),"",IF(ISBLANK(Arrangörslista!H$53),"",IF($GV19=AD$64," DNS ",IFERROR(VLOOKUP($F19,Arrangörslista!H$53:$AG$90,16,FALSE),"DNS")))),IF(ISBLANK(Deltagarlista!$C22),"",IF(ISBLANK(Arrangörslista!H$53),"",IFERROR(VLOOKUP($F19,Arrangörslista!H$53:$AG$90,16,FALSE),"DNS")))))</f>
        <v/>
      </c>
      <c r="AE19" s="5" t="str">
        <f>IF(Deltagarlista!$K$3=4,IF(ISBLANK(Deltagarlista!$C22),"",IF(ISBLANK(Arrangörslista!O$98),"",IFERROR(VLOOKUP($F19,Arrangörslista!O$98:$AG$135,16,FALSE),IF(ISBLANK(Deltagarlista!$C22),"",IF(ISBLANK(Arrangörslista!O$98),"",IFERROR(VLOOKUP($F19,Arrangörslista!P$98:$AG$135,16,FALSE),"DNS")))))),IF(Deltagarlista!$K$3=2,
IF(ISBLANK(Deltagarlista!$C22),"",IF(ISBLANK(Arrangörslista!I$53),"",IF($GV19=AE$64," DNS ",IFERROR(VLOOKUP($F19,Arrangörslista!I$53:$AG$90,16,FALSE),"DNS")))),IF(ISBLANK(Deltagarlista!$C22),"",IF(ISBLANK(Arrangörslista!I$53),"",IFERROR(VLOOKUP($F19,Arrangörslista!I$53:$AG$90,16,FALSE),"DNS")))))</f>
        <v/>
      </c>
      <c r="AF19" s="5" t="str">
        <f>IF(Deltagarlista!$K$3=4,IF(ISBLANK(Deltagarlista!$C22),"",IF(ISBLANK(Arrangörslista!Q$98),"",IFERROR(VLOOKUP($F19,Arrangörslista!Q$98:$AG$135,16,FALSE),IF(ISBLANK(Deltagarlista!$C22),"",IF(ISBLANK(Arrangörslista!Q$98),"",IFERROR(VLOOKUP($F19,Arrangörslista!C$143:$AG$180,16,FALSE),"DNS")))))),IF(Deltagarlista!$K$3=2,
IF(ISBLANK(Deltagarlista!$C22),"",IF(ISBLANK(Arrangörslista!J$53),"",IF($GV19=AF$64," DNS ",IFERROR(VLOOKUP($F19,Arrangörslista!J$53:$AG$90,16,FALSE),"DNS")))),IF(ISBLANK(Deltagarlista!$C22),"",IF(ISBLANK(Arrangörslista!J$53),"",IFERROR(VLOOKUP($F19,Arrangörslista!J$53:$AG$90,16,FALSE),"DNS")))))</f>
        <v/>
      </c>
      <c r="AG19" s="5" t="str">
        <f>IF(Deltagarlista!$K$3=4,IF(ISBLANK(Deltagarlista!$C22),"",IF(ISBLANK(Arrangörslista!D$143),"",IFERROR(VLOOKUP($F19,Arrangörslista!D$143:$AG$180,16,FALSE),IF(ISBLANK(Deltagarlista!$C22),"",IF(ISBLANK(Arrangörslista!D$143),"",IFERROR(VLOOKUP($F19,Arrangörslista!E$143:$AG$180,16,FALSE),"DNS")))))),IF(Deltagarlista!$K$3=2,
IF(ISBLANK(Deltagarlista!$C22),"",IF(ISBLANK(Arrangörslista!K$53),"",IF($GV19=AG$64," DNS ",IFERROR(VLOOKUP($F19,Arrangörslista!K$53:$AG$90,16,FALSE),"DNS")))),IF(ISBLANK(Deltagarlista!$C22),"",IF(ISBLANK(Arrangörslista!K$53),"",IFERROR(VLOOKUP($F19,Arrangörslista!K$53:$AG$90,16,FALSE),"DNS")))))</f>
        <v/>
      </c>
      <c r="AH19" s="5" t="str">
        <f>IF(Deltagarlista!$K$3=4,IF(ISBLANK(Deltagarlista!$C22),"",IF(ISBLANK(Arrangörslista!F$143),"",IFERROR(VLOOKUP($F19,Arrangörslista!F$143:$AG$180,16,FALSE),IF(ISBLANK(Deltagarlista!$C22),"",IF(ISBLANK(Arrangörslista!F$143),"",IFERROR(VLOOKUP($F19,Arrangörslista!G$143:$AG$180,16,FALSE),"DNS")))))),IF(Deltagarlista!$K$3=2,
IF(ISBLANK(Deltagarlista!$C22),"",IF(ISBLANK(Arrangörslista!L$53),"",IF($GV19=AH$64," DNS ",IFERROR(VLOOKUP($F19,Arrangörslista!L$53:$AG$90,16,FALSE),"DNS")))),IF(ISBLANK(Deltagarlista!$C22),"",IF(ISBLANK(Arrangörslista!L$53),"",IFERROR(VLOOKUP($F19,Arrangörslista!L$53:$AG$90,16,FALSE),"DNS")))))</f>
        <v/>
      </c>
      <c r="AI19" s="5" t="str">
        <f>IF(Deltagarlista!$K$3=4,IF(ISBLANK(Deltagarlista!$C22),"",IF(ISBLANK(Arrangörslista!H$143),"",IFERROR(VLOOKUP($F19,Arrangörslista!H$143:$AG$180,16,FALSE),IF(ISBLANK(Deltagarlista!$C22),"",IF(ISBLANK(Arrangörslista!H$143),"",IFERROR(VLOOKUP($F19,Arrangörslista!I$143:$AG$180,16,FALSE),"DNS")))))),IF(Deltagarlista!$K$3=2,
IF(ISBLANK(Deltagarlista!$C22),"",IF(ISBLANK(Arrangörslista!M$53),"",IF($GV19=AI$64," DNS ",IFERROR(VLOOKUP($F19,Arrangörslista!M$53:$AG$90,16,FALSE),"DNS")))),IF(ISBLANK(Deltagarlista!$C22),"",IF(ISBLANK(Arrangörslista!M$53),"",IFERROR(VLOOKUP($F19,Arrangörslista!M$53:$AG$90,16,FALSE),"DNS")))))</f>
        <v/>
      </c>
      <c r="AJ19" s="5" t="str">
        <f>IF(Deltagarlista!$K$3=4,IF(ISBLANK(Deltagarlista!$C22),"",IF(ISBLANK(Arrangörslista!J$143),"",IFERROR(VLOOKUP($F19,Arrangörslista!J$143:$AG$180,16,FALSE),IF(ISBLANK(Deltagarlista!$C22),"",IF(ISBLANK(Arrangörslista!J$143),"",IFERROR(VLOOKUP($F19,Arrangörslista!K$143:$AG$180,16,FALSE),"DNS")))))),IF(Deltagarlista!$K$3=2,
IF(ISBLANK(Deltagarlista!$C22),"",IF(ISBLANK(Arrangörslista!N$53),"",IF($GV19=AJ$64," DNS ",IFERROR(VLOOKUP($F19,Arrangörslista!N$53:$AG$90,16,FALSE),"DNS")))),IF(ISBLANK(Deltagarlista!$C22),"",IF(ISBLANK(Arrangörslista!N$53),"",IFERROR(VLOOKUP($F19,Arrangörslista!N$53:$AG$90,16,FALSE),"DNS")))))</f>
        <v/>
      </c>
      <c r="AK19" s="5" t="str">
        <f>IF(Deltagarlista!$K$3=4,IF(ISBLANK(Deltagarlista!$C22),"",IF(ISBLANK(Arrangörslista!L$143),"",IFERROR(VLOOKUP($F19,Arrangörslista!L$143:$AG$180,16,FALSE),IF(ISBLANK(Deltagarlista!$C22),"",IF(ISBLANK(Arrangörslista!L$143),"",IFERROR(VLOOKUP($F19,Arrangörslista!M$143:$AG$180,16,FALSE),"DNS")))))),IF(Deltagarlista!$K$3=2,
IF(ISBLANK(Deltagarlista!$C22),"",IF(ISBLANK(Arrangörslista!O$53),"",IF($GV19=AK$64," DNS ",IFERROR(VLOOKUP($F19,Arrangörslista!O$53:$AG$90,16,FALSE),"DNS")))),IF(ISBLANK(Deltagarlista!$C22),"",IF(ISBLANK(Arrangörslista!O$53),"",IFERROR(VLOOKUP($F19,Arrangörslista!O$53:$AG$90,16,FALSE),"DNS")))))</f>
        <v/>
      </c>
      <c r="AL19" s="5" t="str">
        <f>IF(Deltagarlista!$K$3=4,IF(ISBLANK(Deltagarlista!$C22),"",IF(ISBLANK(Arrangörslista!N$143),"",IFERROR(VLOOKUP($F19,Arrangörslista!N$143:$AG$180,16,FALSE),IF(ISBLANK(Deltagarlista!$C22),"",IF(ISBLANK(Arrangörslista!N$143),"",IFERROR(VLOOKUP($F19,Arrangörslista!O$143:$AG$180,16,FALSE),"DNS")))))),IF(Deltagarlista!$K$3=2,
IF(ISBLANK(Deltagarlista!$C22),"",IF(ISBLANK(Arrangörslista!P$53),"",IF($GV19=AL$64," DNS ",IFERROR(VLOOKUP($F19,Arrangörslista!P$53:$AG$90,16,FALSE),"DNS")))),IF(ISBLANK(Deltagarlista!$C22),"",IF(ISBLANK(Arrangörslista!P$53),"",IFERROR(VLOOKUP($F19,Arrangörslista!P$53:$AG$90,16,FALSE),"DNS")))))</f>
        <v/>
      </c>
      <c r="AM19" s="5" t="str">
        <f>IF(Deltagarlista!$K$3=4,IF(ISBLANK(Deltagarlista!$C22),"",IF(ISBLANK(Arrangörslista!P$143),"",IFERROR(VLOOKUP($F19,Arrangörslista!P$143:$AG$180,16,FALSE),IF(ISBLANK(Deltagarlista!$C22),"",IF(ISBLANK(Arrangörslista!P$143),"",IFERROR(VLOOKUP($F19,Arrangörslista!Q$143:$AG$180,16,FALSE),"DNS")))))),IF(Deltagarlista!$K$3=2,
IF(ISBLANK(Deltagarlista!$C22),"",IF(ISBLANK(Arrangörslista!Q$53),"",IF($GV19=AM$64," DNS ",IFERROR(VLOOKUP($F19,Arrangörslista!Q$53:$AG$90,16,FALSE),"DNS")))),IF(ISBLANK(Deltagarlista!$C22),"",IF(ISBLANK(Arrangörslista!Q$53),"",IFERROR(VLOOKUP($F19,Arrangörslista!Q$53:$AG$90,16,FALSE),"DNS")))))</f>
        <v/>
      </c>
      <c r="AN19" s="5" t="str">
        <f>IF(Deltagarlista!$K$3=2,
IF(ISBLANK(Deltagarlista!$C22),"",IF(ISBLANK(Arrangörslista!C$98),"",IF($GV19=AN$64," DNS ",IFERROR(VLOOKUP($F19,Arrangörslista!C$98:$AG$135,16,FALSE), "DNS")))), IF(Deltagarlista!$K$3=1,IF(ISBLANK(Deltagarlista!$C22),"",IF(ISBLANK(Arrangörslista!C$98),"",IFERROR(VLOOKUP($F19,Arrangörslista!C$98:$AG$135,16,FALSE), "DNS"))),""))</f>
        <v/>
      </c>
      <c r="AO19" s="5" t="str">
        <f>IF(Deltagarlista!$K$3=2,
IF(ISBLANK(Deltagarlista!$C22),"",IF(ISBLANK(Arrangörslista!D$98),"",IF($GV19=AO$64," DNS ",IFERROR(VLOOKUP($F19,Arrangörslista!D$98:$AG$135,16,FALSE), "DNS")))), IF(Deltagarlista!$K$3=1,IF(ISBLANK(Deltagarlista!$C22),"",IF(ISBLANK(Arrangörslista!D$98),"",IFERROR(VLOOKUP($F19,Arrangörslista!D$98:$AG$135,16,FALSE), "DNS"))),""))</f>
        <v/>
      </c>
      <c r="AP19" s="5" t="str">
        <f>IF(Deltagarlista!$K$3=2,
IF(ISBLANK(Deltagarlista!$C22),"",IF(ISBLANK(Arrangörslista!E$98),"",IF($GV19=AP$64," DNS ",IFERROR(VLOOKUP($F19,Arrangörslista!E$98:$AG$135,16,FALSE), "DNS")))), IF(Deltagarlista!$K$3=1,IF(ISBLANK(Deltagarlista!$C22),"",IF(ISBLANK(Arrangörslista!E$98),"",IFERROR(VLOOKUP($F19,Arrangörslista!E$98:$AG$135,16,FALSE), "DNS"))),""))</f>
        <v/>
      </c>
      <c r="AQ19" s="5" t="str">
        <f>IF(Deltagarlista!$K$3=2,
IF(ISBLANK(Deltagarlista!$C22),"",IF(ISBLANK(Arrangörslista!F$98),"",IF($GV19=AQ$64," DNS ",IFERROR(VLOOKUP($F19,Arrangörslista!F$98:$AG$135,16,FALSE), "DNS")))), IF(Deltagarlista!$K$3=1,IF(ISBLANK(Deltagarlista!$C22),"",IF(ISBLANK(Arrangörslista!F$98),"",IFERROR(VLOOKUP($F19,Arrangörslista!F$98:$AG$135,16,FALSE), "DNS"))),""))</f>
        <v/>
      </c>
      <c r="AR19" s="5" t="str">
        <f>IF(Deltagarlista!$K$3=2,
IF(ISBLANK(Deltagarlista!$C22),"",IF(ISBLANK(Arrangörslista!G$98),"",IF($GV19=AR$64," DNS ",IFERROR(VLOOKUP($F19,Arrangörslista!G$98:$AG$135,16,FALSE), "DNS")))), IF(Deltagarlista!$K$3=1,IF(ISBLANK(Deltagarlista!$C22),"",IF(ISBLANK(Arrangörslista!G$98),"",IFERROR(VLOOKUP($F19,Arrangörslista!G$98:$AG$135,16,FALSE), "DNS"))),""))</f>
        <v/>
      </c>
      <c r="AS19" s="5" t="str">
        <f>IF(Deltagarlista!$K$3=2,
IF(ISBLANK(Deltagarlista!$C22),"",IF(ISBLANK(Arrangörslista!H$98),"",IF($GV19=AS$64," DNS ",IFERROR(VLOOKUP($F19,Arrangörslista!H$98:$AG$135,16,FALSE), "DNS")))), IF(Deltagarlista!$K$3=1,IF(ISBLANK(Deltagarlista!$C22),"",IF(ISBLANK(Arrangörslista!H$98),"",IFERROR(VLOOKUP($F19,Arrangörslista!H$98:$AG$135,16,FALSE), "DNS"))),""))</f>
        <v/>
      </c>
      <c r="AT19" s="5" t="str">
        <f>IF(Deltagarlista!$K$3=2,
IF(ISBLANK(Deltagarlista!$C22),"",IF(ISBLANK(Arrangörslista!I$98),"",IF($GV19=AT$64," DNS ",IFERROR(VLOOKUP($F19,Arrangörslista!I$98:$AG$135,16,FALSE), "DNS")))), IF(Deltagarlista!$K$3=1,IF(ISBLANK(Deltagarlista!$C22),"",IF(ISBLANK(Arrangörslista!I$98),"",IFERROR(VLOOKUP($F19,Arrangörslista!I$98:$AG$135,16,FALSE), "DNS"))),""))</f>
        <v/>
      </c>
      <c r="AU19" s="5" t="str">
        <f>IF(Deltagarlista!$K$3=2,
IF(ISBLANK(Deltagarlista!$C22),"",IF(ISBLANK(Arrangörslista!J$98),"",IF($GV19=AU$64," DNS ",IFERROR(VLOOKUP($F19,Arrangörslista!J$98:$AG$135,16,FALSE), "DNS")))), IF(Deltagarlista!$K$3=1,IF(ISBLANK(Deltagarlista!$C22),"",IF(ISBLANK(Arrangörslista!J$98),"",IFERROR(VLOOKUP($F19,Arrangörslista!J$98:$AG$135,16,FALSE), "DNS"))),""))</f>
        <v/>
      </c>
      <c r="AV19" s="5" t="str">
        <f>IF(Deltagarlista!$K$3=2,
IF(ISBLANK(Deltagarlista!$C22),"",IF(ISBLANK(Arrangörslista!K$98),"",IF($GV19=AV$64," DNS ",IFERROR(VLOOKUP($F19,Arrangörslista!K$98:$AG$135,16,FALSE), "DNS")))), IF(Deltagarlista!$K$3=1,IF(ISBLANK(Deltagarlista!$C22),"",IF(ISBLANK(Arrangörslista!K$98),"",IFERROR(VLOOKUP($F19,Arrangörslista!K$98:$AG$135,16,FALSE), "DNS"))),""))</f>
        <v/>
      </c>
      <c r="AW19" s="5" t="str">
        <f>IF(Deltagarlista!$K$3=2,
IF(ISBLANK(Deltagarlista!$C22),"",IF(ISBLANK(Arrangörslista!L$98),"",IF($GV19=AW$64," DNS ",IFERROR(VLOOKUP($F19,Arrangörslista!L$98:$AG$135,16,FALSE), "DNS")))), IF(Deltagarlista!$K$3=1,IF(ISBLANK(Deltagarlista!$C22),"",IF(ISBLANK(Arrangörslista!L$98),"",IFERROR(VLOOKUP($F19,Arrangörslista!L$98:$AG$135,16,FALSE), "DNS"))),""))</f>
        <v/>
      </c>
      <c r="AX19" s="5" t="str">
        <f>IF(Deltagarlista!$K$3=2,
IF(ISBLANK(Deltagarlista!$C22),"",IF(ISBLANK(Arrangörslista!M$98),"",IF($GV19=AX$64," DNS ",IFERROR(VLOOKUP($F19,Arrangörslista!M$98:$AG$135,16,FALSE), "DNS")))), IF(Deltagarlista!$K$3=1,IF(ISBLANK(Deltagarlista!$C22),"",IF(ISBLANK(Arrangörslista!M$98),"",IFERROR(VLOOKUP($F19,Arrangörslista!M$98:$AG$135,16,FALSE), "DNS"))),""))</f>
        <v/>
      </c>
      <c r="AY19" s="5" t="str">
        <f>IF(Deltagarlista!$K$3=2,
IF(ISBLANK(Deltagarlista!$C22),"",IF(ISBLANK(Arrangörslista!N$98),"",IF($GV19=AY$64," DNS ",IFERROR(VLOOKUP($F19,Arrangörslista!N$98:$AG$135,16,FALSE), "DNS")))), IF(Deltagarlista!$K$3=1,IF(ISBLANK(Deltagarlista!$C22),"",IF(ISBLANK(Arrangörslista!N$98),"",IFERROR(VLOOKUP($F19,Arrangörslista!N$98:$AG$135,16,FALSE), "DNS"))),""))</f>
        <v/>
      </c>
      <c r="AZ19" s="5" t="str">
        <f>IF(Deltagarlista!$K$3=2,
IF(ISBLANK(Deltagarlista!$C22),"",IF(ISBLANK(Arrangörslista!O$98),"",IF($GV19=AZ$64," DNS ",IFERROR(VLOOKUP($F19,Arrangörslista!O$98:$AG$135,16,FALSE), "DNS")))), IF(Deltagarlista!$K$3=1,IF(ISBLANK(Deltagarlista!$C22),"",IF(ISBLANK(Arrangörslista!O$98),"",IFERROR(VLOOKUP($F19,Arrangörslista!O$98:$AG$135,16,FALSE), "DNS"))),""))</f>
        <v/>
      </c>
      <c r="BA19" s="5" t="str">
        <f>IF(Deltagarlista!$K$3=2,
IF(ISBLANK(Deltagarlista!$C22),"",IF(ISBLANK(Arrangörslista!P$98),"",IF($GV19=BA$64," DNS ",IFERROR(VLOOKUP($F19,Arrangörslista!P$98:$AG$135,16,FALSE), "DNS")))), IF(Deltagarlista!$K$3=1,IF(ISBLANK(Deltagarlista!$C22),"",IF(ISBLANK(Arrangörslista!P$98),"",IFERROR(VLOOKUP($F19,Arrangörslista!P$98:$AG$135,16,FALSE), "DNS"))),""))</f>
        <v/>
      </c>
      <c r="BB19" s="5" t="str">
        <f>IF(Deltagarlista!$K$3=2,
IF(ISBLANK(Deltagarlista!$C22),"",IF(ISBLANK(Arrangörslista!Q$98),"",IF($GV19=BB$64," DNS ",IFERROR(VLOOKUP($F19,Arrangörslista!Q$98:$AG$135,16,FALSE), "DNS")))), IF(Deltagarlista!$K$3=1,IF(ISBLANK(Deltagarlista!$C22),"",IF(ISBLANK(Arrangörslista!Q$98),"",IFERROR(VLOOKUP($F19,Arrangörslista!Q$98:$AG$135,16,FALSE), "DNS"))),""))</f>
        <v/>
      </c>
      <c r="BC19" s="5" t="str">
        <f>IF(Deltagarlista!$K$3=2,
IF(ISBLANK(Deltagarlista!$C22),"",IF(ISBLANK(Arrangörslista!C$143),"",IF($GV19=BC$64," DNS ",IFERROR(VLOOKUP($F19,Arrangörslista!C$143:$AG$180,16,FALSE), "DNS")))), IF(Deltagarlista!$K$3=1,IF(ISBLANK(Deltagarlista!$C22),"",IF(ISBLANK(Arrangörslista!C$143),"",IFERROR(VLOOKUP($F19,Arrangörslista!C$143:$AG$180,16,FALSE), "DNS"))),""))</f>
        <v/>
      </c>
      <c r="BD19" s="5" t="str">
        <f>IF(Deltagarlista!$K$3=2,
IF(ISBLANK(Deltagarlista!$C22),"",IF(ISBLANK(Arrangörslista!D$143),"",IF($GV19=BD$64," DNS ",IFERROR(VLOOKUP($F19,Arrangörslista!D$143:$AG$180,16,FALSE), "DNS")))), IF(Deltagarlista!$K$3=1,IF(ISBLANK(Deltagarlista!$C22),"",IF(ISBLANK(Arrangörslista!D$143),"",IFERROR(VLOOKUP($F19,Arrangörslista!D$143:$AG$180,16,FALSE), "DNS"))),""))</f>
        <v/>
      </c>
      <c r="BE19" s="5" t="str">
        <f>IF(Deltagarlista!$K$3=2,
IF(ISBLANK(Deltagarlista!$C22),"",IF(ISBLANK(Arrangörslista!E$143),"",IF($GV19=BE$64," DNS ",IFERROR(VLOOKUP($F19,Arrangörslista!E$143:$AG$180,16,FALSE), "DNS")))), IF(Deltagarlista!$K$3=1,IF(ISBLANK(Deltagarlista!$C22),"",IF(ISBLANK(Arrangörslista!E$143),"",IFERROR(VLOOKUP($F19,Arrangörslista!E$143:$AG$180,16,FALSE), "DNS"))),""))</f>
        <v/>
      </c>
      <c r="BF19" s="5" t="str">
        <f>IF(Deltagarlista!$K$3=2,
IF(ISBLANK(Deltagarlista!$C22),"",IF(ISBLANK(Arrangörslista!F$143),"",IF($GV19=BF$64," DNS ",IFERROR(VLOOKUP($F19,Arrangörslista!F$143:$AG$180,16,FALSE), "DNS")))), IF(Deltagarlista!$K$3=1,IF(ISBLANK(Deltagarlista!$C22),"",IF(ISBLANK(Arrangörslista!F$143),"",IFERROR(VLOOKUP($F19,Arrangörslista!F$143:$AG$180,16,FALSE), "DNS"))),""))</f>
        <v/>
      </c>
      <c r="BG19" s="5" t="str">
        <f>IF(Deltagarlista!$K$3=2,
IF(ISBLANK(Deltagarlista!$C22),"",IF(ISBLANK(Arrangörslista!G$143),"",IF($GV19=BG$64," DNS ",IFERROR(VLOOKUP($F19,Arrangörslista!G$143:$AG$180,16,FALSE), "DNS")))), IF(Deltagarlista!$K$3=1,IF(ISBLANK(Deltagarlista!$C22),"",IF(ISBLANK(Arrangörslista!G$143),"",IFERROR(VLOOKUP($F19,Arrangörslista!G$143:$AG$180,16,FALSE), "DNS"))),""))</f>
        <v/>
      </c>
      <c r="BH19" s="5" t="str">
        <f>IF(Deltagarlista!$K$3=2,
IF(ISBLANK(Deltagarlista!$C22),"",IF(ISBLANK(Arrangörslista!H$143),"",IF($GV19=BH$64," DNS ",IFERROR(VLOOKUP($F19,Arrangörslista!H$143:$AG$180,16,FALSE), "DNS")))), IF(Deltagarlista!$K$3=1,IF(ISBLANK(Deltagarlista!$C22),"",IF(ISBLANK(Arrangörslista!H$143),"",IFERROR(VLOOKUP($F19,Arrangörslista!H$143:$AG$180,16,FALSE), "DNS"))),""))</f>
        <v/>
      </c>
      <c r="BI19" s="5" t="str">
        <f>IF(Deltagarlista!$K$3=2,
IF(ISBLANK(Deltagarlista!$C22),"",IF(ISBLANK(Arrangörslista!I$143),"",IF($GV19=BI$64," DNS ",IFERROR(VLOOKUP($F19,Arrangörslista!I$143:$AG$180,16,FALSE), "DNS")))), IF(Deltagarlista!$K$3=1,IF(ISBLANK(Deltagarlista!$C22),"",IF(ISBLANK(Arrangörslista!I$143),"",IFERROR(VLOOKUP($F19,Arrangörslista!I$143:$AG$180,16,FALSE), "DNS"))),""))</f>
        <v/>
      </c>
      <c r="BJ19" s="5" t="str">
        <f>IF(Deltagarlista!$K$3=2,
IF(ISBLANK(Deltagarlista!$C22),"",IF(ISBLANK(Arrangörslista!J$143),"",IF($GV19=BJ$64," DNS ",IFERROR(VLOOKUP($F19,Arrangörslista!J$143:$AG$180,16,FALSE), "DNS")))), IF(Deltagarlista!$K$3=1,IF(ISBLANK(Deltagarlista!$C22),"",IF(ISBLANK(Arrangörslista!J$143),"",IFERROR(VLOOKUP($F19,Arrangörslista!J$143:$AG$180,16,FALSE), "DNS"))),""))</f>
        <v/>
      </c>
      <c r="BK19" s="5" t="str">
        <f>IF(Deltagarlista!$K$3=2,
IF(ISBLANK(Deltagarlista!$C22),"",IF(ISBLANK(Arrangörslista!K$143),"",IF($GV19=BK$64," DNS ",IFERROR(VLOOKUP($F19,Arrangörslista!K$143:$AG$180,16,FALSE), "DNS")))), IF(Deltagarlista!$K$3=1,IF(ISBLANK(Deltagarlista!$C22),"",IF(ISBLANK(Arrangörslista!K$143),"",IFERROR(VLOOKUP($F19,Arrangörslista!K$143:$AG$180,16,FALSE), "DNS"))),""))</f>
        <v/>
      </c>
      <c r="BL19" s="5" t="str">
        <f>IF(Deltagarlista!$K$3=2,
IF(ISBLANK(Deltagarlista!$C22),"",IF(ISBLANK(Arrangörslista!L$143),"",IF($GV19=BL$64," DNS ",IFERROR(VLOOKUP($F19,Arrangörslista!L$143:$AG$180,16,FALSE), "DNS")))), IF(Deltagarlista!$K$3=1,IF(ISBLANK(Deltagarlista!$C22),"",IF(ISBLANK(Arrangörslista!L$143),"",IFERROR(VLOOKUP($F19,Arrangörslista!L$143:$AG$180,16,FALSE), "DNS"))),""))</f>
        <v/>
      </c>
      <c r="BM19" s="5" t="str">
        <f>IF(Deltagarlista!$K$3=2,
IF(ISBLANK(Deltagarlista!$C22),"",IF(ISBLANK(Arrangörslista!M$143),"",IF($GV19=BM$64," DNS ",IFERROR(VLOOKUP($F19,Arrangörslista!M$143:$AG$180,16,FALSE), "DNS")))), IF(Deltagarlista!$K$3=1,IF(ISBLANK(Deltagarlista!$C22),"",IF(ISBLANK(Arrangörslista!M$143),"",IFERROR(VLOOKUP($F19,Arrangörslista!M$143:$AG$180,16,FALSE), "DNS"))),""))</f>
        <v/>
      </c>
      <c r="BN19" s="5" t="str">
        <f>IF(Deltagarlista!$K$3=2,
IF(ISBLANK(Deltagarlista!$C22),"",IF(ISBLANK(Arrangörslista!N$143),"",IF($GV19=BN$64," DNS ",IFERROR(VLOOKUP($F19,Arrangörslista!N$143:$AG$180,16,FALSE), "DNS")))), IF(Deltagarlista!$K$3=1,IF(ISBLANK(Deltagarlista!$C22),"",IF(ISBLANK(Arrangörslista!N$143),"",IFERROR(VLOOKUP($F19,Arrangörslista!N$143:$AG$180,16,FALSE), "DNS"))),""))</f>
        <v/>
      </c>
      <c r="BO19" s="5" t="str">
        <f>IF(Deltagarlista!$K$3=2,
IF(ISBLANK(Deltagarlista!$C22),"",IF(ISBLANK(Arrangörslista!O$143),"",IF($GV19=BO$64," DNS ",IFERROR(VLOOKUP($F19,Arrangörslista!O$143:$AG$180,16,FALSE), "DNS")))), IF(Deltagarlista!$K$3=1,IF(ISBLANK(Deltagarlista!$C22),"",IF(ISBLANK(Arrangörslista!O$143),"",IFERROR(VLOOKUP($F19,Arrangörslista!O$143:$AG$180,16,FALSE), "DNS"))),""))</f>
        <v/>
      </c>
      <c r="BP19" s="5" t="str">
        <f>IF(Deltagarlista!$K$3=2,
IF(ISBLANK(Deltagarlista!$C22),"",IF(ISBLANK(Arrangörslista!P$143),"",IF($GV19=BP$64," DNS ",IFERROR(VLOOKUP($F19,Arrangörslista!P$143:$AG$180,16,FALSE), "DNS")))), IF(Deltagarlista!$K$3=1,IF(ISBLANK(Deltagarlista!$C22),"",IF(ISBLANK(Arrangörslista!P$143),"",IFERROR(VLOOKUP($F19,Arrangörslista!P$143:$AG$180,16,FALSE), "DNS"))),""))</f>
        <v/>
      </c>
      <c r="BQ19" s="80" t="str">
        <f>IF(Deltagarlista!$K$3=2,
IF(ISBLANK(Deltagarlista!$C22),"",IF(ISBLANK(Arrangörslista!Q$143),"",IF($GV19=BQ$64," DNS ",IFERROR(VLOOKUP($F19,Arrangörslista!Q$143:$AG$180,16,FALSE), "DNS")))), IF(Deltagarlista!$K$3=1,IF(ISBLANK(Deltagarlista!$C22),"",IF(ISBLANK(Arrangörslista!Q$143),"",IFERROR(VLOOKUP($F19,Arrangörslista!Q$143:$AG$180,16,FALSE), "DNS"))),""))</f>
        <v/>
      </c>
      <c r="BR19" s="51"/>
      <c r="BS19" s="51"/>
      <c r="BT19" s="51"/>
      <c r="BU19" s="71">
        <f>SUM(BV19:EC19)</f>
        <v>0</v>
      </c>
      <c r="BV19" s="61">
        <f>IF(J19="",0,IF(OR(J19="DNF",J19="OCS",J19="DSQ",J19="DNS",J19=" DNS "),$BW$3+1,J19))</f>
        <v>0</v>
      </c>
      <c r="BW19" s="61">
        <f>IF(K19="",0,IF(OR(K19="DNF",K19="OCS",K19="DSQ",K19="DNS",K19=" DNS "),$BW$3+1,K19))</f>
        <v>0</v>
      </c>
      <c r="BX19" s="61">
        <f>IF(L19="",0,IF(OR(L19="DNF",L19="OCS",L19="DSQ",L19="DNS",L19=" DNS "),$BW$3+1,L19))</f>
        <v>0</v>
      </c>
      <c r="BY19" s="61">
        <f>IF(M19="",0,IF(OR(M19="DNF",M19="OCS",M19="DSQ",M19="DNS",M19=" DNS "),$BW$3+1,M19))</f>
        <v>0</v>
      </c>
      <c r="BZ19" s="61">
        <f>IF(N19="",0,IF(OR(N19="DNF",N19="OCS",N19="DSQ",N19="DNS",N19=" DNS "),$BW$3+1,N19))</f>
        <v>0</v>
      </c>
      <c r="CA19" s="61">
        <f>IF(O19="",0,IF(OR(O19="DNF",O19="OCS",O19="DSQ",O19="DNS",O19=" DNS "),$BW$3+1,O19))</f>
        <v>0</v>
      </c>
      <c r="CB19" s="61">
        <f>IF(P19="",0,IF(OR(P19="DNF",P19="OCS",P19="DSQ",P19="DNS",P19=" DNS "),$BW$3+1,P19))</f>
        <v>0</v>
      </c>
      <c r="CC19" s="61">
        <f>IF(Q19="",0,IF(OR(Q19="DNF",Q19="OCS",Q19="DSQ",Q19="DNS",Q19=" DNS "),$BW$3+1,Q19))</f>
        <v>0</v>
      </c>
      <c r="CD19" s="61">
        <f>IF(R19="",0,IF(OR(R19="DNF",R19="OCS",R19="DSQ",R19="DNS",R19=" DNS "),$BW$3+1,R19))</f>
        <v>0</v>
      </c>
      <c r="CE19" s="61">
        <f>IF(S19="",0,IF(OR(S19="DNF",S19="OCS",S19="DSQ",S19="DNS",S19=" DNS "),$BW$3+1,S19))</f>
        <v>0</v>
      </c>
      <c r="CF19" s="61">
        <f>IF(T19="",0,IF(OR(T19="DNF",T19="OCS",T19="DSQ",T19="DNS",T19=" DNS "),$BW$3+1,T19))</f>
        <v>0</v>
      </c>
      <c r="CG19" s="61">
        <f>IF(U19="",0,IF(OR(U19="DNF",U19="OCS",U19="DSQ",U19="DNS",U19=" DNS "),$BW$3+1,U19))</f>
        <v>0</v>
      </c>
      <c r="CH19" s="61">
        <f>IF(V19="",0,IF(OR(V19="DNF",V19="OCS",V19="DSQ",V19="DNS",V19=" DNS "),$BW$3+1,V19))</f>
        <v>0</v>
      </c>
      <c r="CI19" s="61">
        <f>IF(W19="",0,IF(OR(W19="DNF",W19="OCS",W19="DSQ",W19="DNS",W19=" DNS "),$BW$3+1,W19))</f>
        <v>0</v>
      </c>
      <c r="CJ19" s="61">
        <f>IF(X19="",0,IF(OR(X19="DNF",X19="OCS",X19="DSQ",X19="DNS",X19=" DNS "),$BW$3+1,X19))</f>
        <v>0</v>
      </c>
      <c r="CK19" s="61">
        <f>IF(Y19="",0,IF(OR(Y19="DNF",Y19="OCS",Y19="DSQ",Y19="DNS",Y19=" DNS "),$BW$3+1,Y19))</f>
        <v>0</v>
      </c>
      <c r="CL19" s="61">
        <f>IF(Z19="",0,IF(OR(Z19="DNF",Z19="OCS",Z19="DSQ",Z19="DNS",Z19=" DNS "),$BW$3+1,Z19))</f>
        <v>0</v>
      </c>
      <c r="CM19" s="61">
        <f>IF(AA19="",0,IF(OR(AA19="DNF",AA19="OCS",AA19="DSQ",AA19="DNS",AA19=" DNS "),$BW$3+1,AA19))</f>
        <v>0</v>
      </c>
      <c r="CN19" s="61">
        <f>IF(AB19="",0,IF(OR(AB19="DNF",AB19="OCS",AB19="DSQ",AB19="DNS",AB19=" DNS "),$BW$3+1,AB19))</f>
        <v>0</v>
      </c>
      <c r="CO19" s="61">
        <f>IF(AC19="",0,IF(OR(AC19="DNF",AC19="OCS",AC19="DSQ",AC19="DNS",AC19=" DNS "),$BW$3+1,AC19))</f>
        <v>0</v>
      </c>
      <c r="CP19" s="61">
        <f>IF(AD19="",0,IF(OR(AD19="DNF",AD19="OCS",AD19="DSQ",AD19="DNS",AD19=" DNS "),$BW$3+1,AD19))</f>
        <v>0</v>
      </c>
      <c r="CQ19" s="61">
        <f>IF(AE19="",0,IF(OR(AE19="DNF",AE19="OCS",AE19="DSQ",AE19="DNS",AE19=" DNS "),$BW$3+1,AE19))</f>
        <v>0</v>
      </c>
      <c r="CR19" s="61">
        <f>IF(AF19="",0,IF(OR(AF19="DNF",AF19="OCS",AF19="DSQ",AF19="DNS",AF19=" DNS "),$BW$3+1,AF19))</f>
        <v>0</v>
      </c>
      <c r="CS19" s="61">
        <f>IF(AG19="",0,IF(OR(AG19="DNF",AG19="OCS",AG19="DSQ",AG19="DNS",AG19=" DNS "),$BW$3+1,AG19))</f>
        <v>0</v>
      </c>
      <c r="CT19" s="61">
        <f>IF(AH19="",0,IF(OR(AH19="DNF",AH19="OCS",AH19="DSQ",AH19="DNS",AH19=" DNS "),$BW$3+1,AH19))</f>
        <v>0</v>
      </c>
      <c r="CU19" s="61">
        <f>IF(AI19="",0,IF(OR(AI19="DNF",AI19="OCS",AI19="DSQ",AI19="DNS",AI19=" DNS "),$BW$3+1,AI19))</f>
        <v>0</v>
      </c>
      <c r="CV19" s="61">
        <f>IF(AJ19="",0,IF(OR(AJ19="DNF",AJ19="OCS",AJ19="DSQ",AJ19="DNS",AJ19=" DNS "),$BW$3+1,AJ19))</f>
        <v>0</v>
      </c>
      <c r="CW19" s="61">
        <f>IF(AK19="",0,IF(OR(AK19="DNF",AK19="OCS",AK19="DSQ",AK19="DNS",AK19=" DNS "),$BW$3+1,AK19))</f>
        <v>0</v>
      </c>
      <c r="CX19" s="61">
        <f>IF(AL19="",0,IF(OR(AL19="DNF",AL19="OCS",AL19="DSQ",AL19="DNS",AL19=" DNS "),$BW$3+1,AL19))</f>
        <v>0</v>
      </c>
      <c r="CY19" s="61">
        <f>IF(AM19="",0,IF(OR(AM19="DNF",AM19="OCS",AM19="DSQ",AM19="DNS",AM19=" DNS "),$BW$3+1,AM19))</f>
        <v>0</v>
      </c>
      <c r="CZ19" s="61">
        <f>IF(AN19="",0,IF(OR(AN19="DNF",AN19="OCS",AN19="DSQ",AN19="DNS",AN19=" DNS "),$BW$3+1,AN19))</f>
        <v>0</v>
      </c>
      <c r="DA19" s="61">
        <f>IF(AO19="",0,IF(OR(AO19="DNF",AO19="OCS",AO19="DSQ",AO19="DNS",AO19=" DNS "),$BW$3+1,AO19))</f>
        <v>0</v>
      </c>
      <c r="DB19" s="61">
        <f>IF(AP19="",0,IF(OR(AP19="DNF",AP19="OCS",AP19="DSQ",AP19="DNS",AP19=" DNS "),$BW$3+1,AP19))</f>
        <v>0</v>
      </c>
      <c r="DC19" s="61">
        <f>IF(AQ19="",0,IF(OR(AQ19="DNF",AQ19="OCS",AQ19="DSQ",AQ19="DNS",AQ19=" DNS "),$BW$3+1,AQ19))</f>
        <v>0</v>
      </c>
      <c r="DD19" s="61">
        <f>IF(AR19="",0,IF(OR(AR19="DNF",AR19="OCS",AR19="DSQ",AR19="DNS",AR19=" DNS "),$BW$3+1,AR19))</f>
        <v>0</v>
      </c>
      <c r="DE19" s="61">
        <f>IF(AS19="",0,IF(OR(AS19="DNF",AS19="OCS",AS19="DSQ",AS19="DNS",AS19=" DNS "),$BW$3+1,AS19))</f>
        <v>0</v>
      </c>
      <c r="DF19" s="61">
        <f>IF(AT19="",0,IF(OR(AT19="DNF",AT19="OCS",AT19="DSQ",AT19="DNS",AT19=" DNS "),$BW$3+1,AT19))</f>
        <v>0</v>
      </c>
      <c r="DG19" s="61">
        <f>IF(AU19="",0,IF(OR(AU19="DNF",AU19="OCS",AU19="DSQ",AU19="DNS",AU19=" DNS "),$BW$3+1,AU19))</f>
        <v>0</v>
      </c>
      <c r="DH19" s="61">
        <f>IF(AV19="",0,IF(OR(AV19="DNF",AV19="OCS",AV19="DSQ",AV19="DNS",AV19=" DNS "),$BW$3+1,AV19))</f>
        <v>0</v>
      </c>
      <c r="DI19" s="61">
        <f>IF(AW19="",0,IF(OR(AW19="DNF",AW19="OCS",AW19="DSQ",AW19="DNS",AW19=" DNS "),$BW$3+1,AW19))</f>
        <v>0</v>
      </c>
      <c r="DJ19" s="61">
        <f>IF(AX19="",0,IF(OR(AX19="DNF",AX19="OCS",AX19="DSQ",AX19="DNS",AX19=" DNS "),$BW$3+1,AX19))</f>
        <v>0</v>
      </c>
      <c r="DK19" s="61">
        <f>IF(AY19="",0,IF(OR(AY19="DNF",AY19="OCS",AY19="DSQ",AY19="DNS",AY19=" DNS "),$BW$3+1,AY19))</f>
        <v>0</v>
      </c>
      <c r="DL19" s="61">
        <f>IF(AZ19="",0,IF(OR(AZ19="DNF",AZ19="OCS",AZ19="DSQ",AZ19="DNS",AZ19=" DNS "),$BW$3+1,AZ19))</f>
        <v>0</v>
      </c>
      <c r="DM19" s="61">
        <f>IF(BA19="",0,IF(OR(BA19="DNF",BA19="OCS",BA19="DSQ",BA19="DNS",BA19=" DNS "),$BW$3+1,BA19))</f>
        <v>0</v>
      </c>
      <c r="DN19" s="61">
        <f>IF(BB19="",0,IF(OR(BB19="DNF",BB19="OCS",BB19="DSQ",BB19="DNS",BB19=" DNS "),$BW$3+1,BB19))</f>
        <v>0</v>
      </c>
      <c r="DO19" s="61">
        <f>IF(BC19="",0,IF(OR(BC19="DNF",BC19="OCS",BC19="DSQ",BC19="DNS",BC19=" DNS "),$BW$3+1,BC19))</f>
        <v>0</v>
      </c>
      <c r="DP19" s="61">
        <f>IF(BD19="",0,IF(OR(BD19="DNF",BD19="OCS",BD19="DSQ",BD19="DNS",BD19=" DNS "),$BW$3+1,BD19))</f>
        <v>0</v>
      </c>
      <c r="DQ19" s="61">
        <f>IF(BE19="",0,IF(OR(BE19="DNF",BE19="OCS",BE19="DSQ",BE19="DNS",BE19=" DNS "),$BW$3+1,BE19))</f>
        <v>0</v>
      </c>
      <c r="DR19" s="61">
        <f>IF(BF19="",0,IF(OR(BF19="DNF",BF19="OCS",BF19="DSQ",BF19="DNS",BF19=" DNS "),$BW$3+1,BF19))</f>
        <v>0</v>
      </c>
      <c r="DS19" s="61">
        <f>IF(BG19="",0,IF(OR(BG19="DNF",BG19="OCS",BG19="DSQ",BG19="DNS",BG19=" DNS "),$BW$3+1,BG19))</f>
        <v>0</v>
      </c>
      <c r="DT19" s="61">
        <f>IF(BH19="",0,IF(OR(BH19="DNF",BH19="OCS",BH19="DSQ",BH19="DNS",BH19=" DNS "),$BW$3+1,BH19))</f>
        <v>0</v>
      </c>
      <c r="DU19" s="61">
        <f>IF(BI19="",0,IF(OR(BI19="DNF",BI19="OCS",BI19="DSQ",BI19="DNS",BI19=" DNS "),$BW$3+1,BI19))</f>
        <v>0</v>
      </c>
      <c r="DV19" s="61">
        <f>IF(BJ19="",0,IF(OR(BJ19="DNF",BJ19="OCS",BJ19="DSQ",BJ19="DNS",BJ19=" DNS "),$BW$3+1,BJ19))</f>
        <v>0</v>
      </c>
      <c r="DW19" s="61">
        <f>IF(BK19="",0,IF(OR(BK19="DNF",BK19="OCS",BK19="DSQ",BK19="DNS",BK19=" DNS "),$BW$3+1,BK19))</f>
        <v>0</v>
      </c>
      <c r="DX19" s="61">
        <f>IF(BL19="",0,IF(OR(BL19="DNF",BL19="OCS",BL19="DSQ",BL19="DNS",BL19=" DNS "),$BW$3+1,BL19))</f>
        <v>0</v>
      </c>
      <c r="DY19" s="61">
        <f>IF(BM19="",0,IF(OR(BM19="DNF",BM19="OCS",BM19="DSQ",BM19="DNS",BM19=" DNS "),$BW$3+1,BM19))</f>
        <v>0</v>
      </c>
      <c r="DZ19" s="61">
        <f>IF(BN19="",0,IF(OR(BN19="DNF",BN19="OCS",BN19="DSQ",BN19="DNS",BN19=" DNS "),$BW$3+1,BN19))</f>
        <v>0</v>
      </c>
      <c r="EA19" s="61">
        <f>IF(BO19="",0,IF(OR(BO19="DNF",BO19="OCS",BO19="DSQ",BO19="DNS",BO19=" DNS "),$BW$3+1,BO19))</f>
        <v>0</v>
      </c>
      <c r="EB19" s="61">
        <f>IF(BP19="",0,IF(OR(BP19="DNF",BP19="OCS",BP19="DSQ",BP19="DNS",BP19=" DNS "),$BW$3+1,BP19))</f>
        <v>0</v>
      </c>
      <c r="EC19" s="61">
        <f>IF(BQ19="",0,IF(OR(BQ19="DNF",BQ19="OCS",BQ19="DSQ",BQ19="DNS",BQ19=" DNS "),$BW$3+1,BQ19))</f>
        <v>0</v>
      </c>
      <c r="EE19" s="61">
        <f xml:space="preserve">
IF(OR(Deltagarlista!$K$3=3,Deltagarlista!$K$3=4),
IF(Arrangörslista!$U$5&lt;8,0,
IF(Arrangörslista!$U$5&lt;16,SUM(LARGE(BV19:CJ19,1)),
IF(Arrangörslista!$U$5&lt;24,SUM(LARGE(BV19:CR19,{1;2})),
IF(Arrangörslista!$U$5&lt;32,SUM(LARGE(BV19:CZ19,{1;2;3})),
IF(Arrangörslista!$U$5&lt;40,SUM(LARGE(BV19:DH19,{1;2;3;4})),
IF(Arrangörslista!$U$5&lt;48,SUM(LARGE(BV19:DP19,{1;2;3;4;5})),
IF(Arrangörslista!$U$5&lt;56,SUM(LARGE(BV19:DX19,{1;2;3;4;5;6})),
IF(Arrangörslista!$U$5&lt;64,SUM(LARGE(BV19:EC19,{1;2;3;4;5;6;7})),0)))))))),
IF(Deltagarlista!$K$3=2,
IF(Arrangörslista!$U$5&lt;4,LARGE(BV19:BX19,1),
IF(Arrangörslista!$U$5&lt;7,SUM(LARGE(BV19:CA19,{1;2;3})),
IF(Arrangörslista!$U$5&lt;10,SUM(LARGE(BV19:CD19,{1;2;3;4})),
IF(Arrangörslista!$U$5&lt;13,SUM(LARGE(BV19:CG19,{1;2;3;4;5;6})),
IF(Arrangörslista!$U$5&lt;16,SUM(LARGE(BV19:CJ19,{1;2;3;4;5;6;7})),
IF(Arrangörslista!$U$5&lt;19,SUM(LARGE(BV19:CM19,{1;2;3;4;5;6;7;8;9})),
IF(Arrangörslista!$U$5&lt;22,SUM(LARGE(BV19:CP19,{1;2;3;4;5;6;7;8;9;10})),
IF(Arrangörslista!$U$5&lt;25,SUM(LARGE(BV19:CS19,{1;2;3;4;5;6;7;8;9;10;11;12})),
IF(Arrangörslista!$U$5&lt;28,SUM(LARGE(BV19:CV19,{1;2;3;4;5;6;7;8;9;10;11;12;13})),
IF(Arrangörslista!$U$5&lt;31,SUM(LARGE(BV19:CY19,{1;2;3;4;5;6;7;8;9;10;11;12;13;14;15})),
IF(Arrangörslista!$U$5&lt;34,SUM(LARGE(BV19:DB19,{1;2;3;4;5;6;7;8;9;10;11;12;13;14;15;16})),
IF(Arrangörslista!$U$5&lt;37,SUM(LARGE(BV19:DE19,{1;2;3;4;5;6;7;8;9;10;11;12;13;14;15;16;17;18})),
IF(Arrangörslista!$U$5&lt;40,SUM(LARGE(BV19:DH19,{1;2;3;4;5;6;7;8;9;10;11;12;13;14;15;16;17;18;19})),
IF(Arrangörslista!$U$5&lt;43,SUM(LARGE(BV19:DK19,{1;2;3;4;5;6;7;8;9;10;11;12;13;14;15;16;17;18;19;20;21})),
IF(Arrangörslista!$U$5&lt;46,SUM(LARGE(BV19:DN19,{1;2;3;4;5;6;7;8;9;10;11;12;13;14;15;16;17;18;19;20;21;22})),
IF(Arrangörslista!$U$5&lt;49,SUM(LARGE(BV19:DQ19,{1;2;3;4;5;6;7;8;9;10;11;12;13;14;15;16;17;18;19;20;21;22;23;24})),
IF(Arrangörslista!$U$5&lt;52,SUM(LARGE(BV19:DT19,{1;2;3;4;5;6;7;8;9;10;11;12;13;14;15;16;17;18;19;20;21;22;23;24;25})),
IF(Arrangörslista!$U$5&lt;55,SUM(LARGE(BV19:DW19,{1;2;3;4;5;6;7;8;9;10;11;12;13;14;15;16;17;18;19;20;21;22;23;24;25;26;27})),
IF(Arrangörslista!$U$5&lt;58,SUM(LARGE(BV19:DZ19,{1;2;3;4;5;6;7;8;9;10;11;12;13;14;15;16;17;18;19;20;21;22;23;24;25;26;27;28})),
IF(Arrangörslista!$U$5&lt;61,SUM(LARGE(BV19:EC19,{1;2;3;4;5;6;7;8;9;10;11;12;13;14;15;16;17;18;19;20;21;22;23;24;25;26;27;28;29;30})),0)))))))))))))))))))),
IF(Arrangörslista!$U$5&lt;4,0,
IF(Arrangörslista!$U$5&lt;8,SUM(LARGE(BV19:CB19,1)),
IF(Arrangörslista!$U$5&lt;12,SUM(LARGE(BV19:CF19,{1;2})),
IF(Arrangörslista!$U$5&lt;16,SUM(LARGE(BV19:CJ19,{1;2;3})),
IF(Arrangörslista!$U$5&lt;20,SUM(LARGE(BV19:CN19,{1;2;3;4})),
IF(Arrangörslista!$U$5&lt;24,SUM(LARGE(BV19:CR19,{1;2;3;4;5})),
IF(Arrangörslista!$U$5&lt;28,SUM(LARGE(BV19:CV19,{1;2;3;4;5;6})),
IF(Arrangörslista!$U$5&lt;32,SUM(LARGE(BV19:CZ19,{1;2;3;4;5;6;7})),
IF(Arrangörslista!$U$5&lt;36,SUM(LARGE(BV19:DD19,{1;2;3;4;5;6;7;8})),
IF(Arrangörslista!$U$5&lt;40,SUM(LARGE(BV19:DH19,{1;2;3;4;5;6;7;8;9})),
IF(Arrangörslista!$U$5&lt;44,SUM(LARGE(BV19:DL19,{1;2;3;4;5;6;7;8;9;10})),
IF(Arrangörslista!$U$5&lt;48,SUM(LARGE(BV19:DP19,{1;2;3;4;5;6;7;8;9;10;11})),
IF(Arrangörslista!$U$5&lt;52,SUM(LARGE(BV19:DT19,{1;2;3;4;5;6;7;8;9;10;11;12})),
IF(Arrangörslista!$U$5&lt;56,SUM(LARGE(BV19:DX19,{1;2;3;4;5;6;7;8;9;10;11;12;13})),
IF(Arrangörslista!$U$5&lt;60,SUM(LARGE(BV19:EB19,{1;2;3;4;5;6;7;8;9;10;11;12;13;14})),
IF(Arrangörslista!$U$5=60,SUM(LARGE(BV19:EC19,{1;2;3;4;5;6;7;8;9;10;11;12;13;14;15})),0))))))))))))))))))</f>
        <v>0</v>
      </c>
      <c r="EG19" s="67">
        <f>IF(F19="",,1)</f>
        <v>0</v>
      </c>
      <c r="EH19" s="61"/>
      <c r="EI19" s="61"/>
      <c r="EK19" s="62">
        <f>SMALL($J82:$BQ82,1)</f>
        <v>61</v>
      </c>
      <c r="EL19" s="62">
        <f>SMALL($J82:$BQ82,2)</f>
        <v>61</v>
      </c>
      <c r="EM19" s="62">
        <f>SMALL($J82:$BQ82,3)</f>
        <v>61</v>
      </c>
      <c r="EN19" s="62">
        <f>SMALL($J82:$BQ82,4)</f>
        <v>61</v>
      </c>
      <c r="EO19" s="62">
        <f>SMALL($J82:$BQ82,5)</f>
        <v>61</v>
      </c>
      <c r="EP19" s="62">
        <f>SMALL($J82:$BQ82,6)</f>
        <v>61</v>
      </c>
      <c r="EQ19" s="62">
        <f>SMALL($J82:$BQ82,7)</f>
        <v>61</v>
      </c>
      <c r="ER19" s="62">
        <f>SMALL($J82:$BQ82,8)</f>
        <v>61</v>
      </c>
      <c r="ES19" s="62">
        <f>SMALL($J82:$BQ82,9)</f>
        <v>61</v>
      </c>
      <c r="ET19" s="62">
        <f>SMALL($J82:$BQ82,10)</f>
        <v>61</v>
      </c>
      <c r="EU19" s="62">
        <f>SMALL($J82:$BQ82,11)</f>
        <v>61</v>
      </c>
      <c r="EV19" s="62">
        <f>SMALL($J82:$BQ82,12)</f>
        <v>61</v>
      </c>
      <c r="EW19" s="62">
        <f>SMALL($J82:$BQ82,13)</f>
        <v>61</v>
      </c>
      <c r="EX19" s="62">
        <f>SMALL($J82:$BQ82,14)</f>
        <v>61</v>
      </c>
      <c r="EY19" s="62">
        <f>SMALL($J82:$BQ82,15)</f>
        <v>61</v>
      </c>
      <c r="EZ19" s="62">
        <f>SMALL($J82:$BQ82,16)</f>
        <v>61</v>
      </c>
      <c r="FA19" s="62">
        <f>SMALL($J82:$BQ82,17)</f>
        <v>61</v>
      </c>
      <c r="FB19" s="62">
        <f>SMALL($J82:$BQ82,18)</f>
        <v>61</v>
      </c>
      <c r="FC19" s="62">
        <f>SMALL($J82:$BQ82,19)</f>
        <v>61</v>
      </c>
      <c r="FD19" s="62">
        <f>SMALL($J82:$BQ82,20)</f>
        <v>61</v>
      </c>
      <c r="FE19" s="62">
        <f>SMALL($J82:$BQ82,21)</f>
        <v>61</v>
      </c>
      <c r="FF19" s="62">
        <f>SMALL($J82:$BQ82,22)</f>
        <v>61</v>
      </c>
      <c r="FG19" s="62">
        <f>SMALL($J82:$BQ82,23)</f>
        <v>61</v>
      </c>
      <c r="FH19" s="62">
        <f>SMALL($J82:$BQ82,24)</f>
        <v>61</v>
      </c>
      <c r="FI19" s="62">
        <f>SMALL($J82:$BQ82,25)</f>
        <v>61</v>
      </c>
      <c r="FJ19" s="62">
        <f>SMALL($J82:$BQ82,26)</f>
        <v>61</v>
      </c>
      <c r="FK19" s="62">
        <f>SMALL($J82:$BQ82,27)</f>
        <v>61</v>
      </c>
      <c r="FL19" s="62">
        <f>SMALL($J82:$BQ82,28)</f>
        <v>61</v>
      </c>
      <c r="FM19" s="62">
        <f>SMALL($J82:$BQ82,29)</f>
        <v>61</v>
      </c>
      <c r="FN19" s="62">
        <f>SMALL($J82:$BQ82,30)</f>
        <v>61</v>
      </c>
      <c r="FO19" s="62">
        <f>SMALL($J82:$BQ82,31)</f>
        <v>61</v>
      </c>
      <c r="FP19" s="62">
        <f>SMALL($J82:$BQ82,32)</f>
        <v>61</v>
      </c>
      <c r="FQ19" s="62">
        <f>SMALL($J82:$BQ82,33)</f>
        <v>61</v>
      </c>
      <c r="FR19" s="62">
        <f>SMALL($J82:$BQ82,34)</f>
        <v>61</v>
      </c>
      <c r="FS19" s="62">
        <f>SMALL($J82:$BQ82,35)</f>
        <v>61</v>
      </c>
      <c r="FT19" s="62">
        <f>SMALL($J82:$BQ82,36)</f>
        <v>61</v>
      </c>
      <c r="FU19" s="62">
        <f>SMALL($J82:$BQ82,37)</f>
        <v>61</v>
      </c>
      <c r="FV19" s="62">
        <f>SMALL($J82:$BQ82,38)</f>
        <v>61</v>
      </c>
      <c r="FW19" s="62">
        <f>SMALL($J82:$BQ82,39)</f>
        <v>61</v>
      </c>
      <c r="FX19" s="62">
        <f>SMALL($J82:$BQ82,40)</f>
        <v>61</v>
      </c>
      <c r="FY19" s="62">
        <f>SMALL($J82:$BQ82,41)</f>
        <v>61</v>
      </c>
      <c r="FZ19" s="62">
        <f>SMALL($J82:$BQ82,42)</f>
        <v>61</v>
      </c>
      <c r="GA19" s="62">
        <f>SMALL($J82:$BQ82,43)</f>
        <v>61</v>
      </c>
      <c r="GB19" s="62">
        <f>SMALL($J82:$BQ82,44)</f>
        <v>61</v>
      </c>
      <c r="GC19" s="62">
        <f>SMALL($J82:$BQ82,45)</f>
        <v>61</v>
      </c>
      <c r="GD19" s="62">
        <f>SMALL($J82:$BQ82,46)</f>
        <v>61</v>
      </c>
      <c r="GE19" s="62">
        <f>SMALL($J82:$BQ82,47)</f>
        <v>61</v>
      </c>
      <c r="GF19" s="62">
        <f>SMALL($J82:$BQ82,48)</f>
        <v>61</v>
      </c>
      <c r="GG19" s="62">
        <f>SMALL($J82:$BQ82,49)</f>
        <v>61</v>
      </c>
      <c r="GH19" s="62">
        <f>SMALL($J82:$BQ82,50)</f>
        <v>61</v>
      </c>
      <c r="GI19" s="62">
        <f>SMALL($J82:$BQ82,51)</f>
        <v>61</v>
      </c>
      <c r="GJ19" s="62">
        <f>SMALL($J82:$BQ82,52)</f>
        <v>61</v>
      </c>
      <c r="GK19" s="62">
        <f>SMALL($J82:$BQ82,53)</f>
        <v>61</v>
      </c>
      <c r="GL19" s="62">
        <f>SMALL($J82:$BQ82,54)</f>
        <v>61</v>
      </c>
      <c r="GM19" s="62">
        <f>SMALL($J82:$BQ82,55)</f>
        <v>61</v>
      </c>
      <c r="GN19" s="62">
        <f>SMALL($J82:$BQ82,56)</f>
        <v>61</v>
      </c>
      <c r="GO19" s="62">
        <f>SMALL($J82:$BQ82,57)</f>
        <v>61</v>
      </c>
      <c r="GP19" s="62">
        <f>SMALL($J82:$BQ82,58)</f>
        <v>61</v>
      </c>
      <c r="GQ19" s="62">
        <f>SMALL($J82:$BQ82,59)</f>
        <v>61</v>
      </c>
      <c r="GR19" s="62">
        <f>SMALL($J82:$BQ82,60)</f>
        <v>61</v>
      </c>
      <c r="GT19" s="62">
        <f>IF(Deltagarlista!$K$3=2,
IF(GW19="1",
      IF(Arrangörslista!$U$5=1,J82,
IF(Arrangörslista!$U$5=2,K82,
IF(Arrangörslista!$U$5=3,L82,
IF(Arrangörslista!$U$5=4,M82,
IF(Arrangörslista!$U$5=5,N82,
IF(Arrangörslista!$U$5=6,O82,
IF(Arrangörslista!$U$5=7,P82,
IF(Arrangörslista!$U$5=8,Q82,
IF(Arrangörslista!$U$5=9,R82,
IF(Arrangörslista!$U$5=10,S82,
IF(Arrangörslista!$U$5=11,T82,
IF(Arrangörslista!$U$5=12,U82,
IF(Arrangörslista!$U$5=13,V82,
IF(Arrangörslista!$U$5=14,W82,
IF(Arrangörslista!$U$5=15,X82,
IF(Arrangörslista!$U$5=16,Y82,IF(Arrangörslista!$U$5=17,Z82,IF(Arrangörslista!$U$5=18,AA82,IF(Arrangörslista!$U$5=19,AB82,IF(Arrangörslista!$U$5=20,AC82,IF(Arrangörslista!$U$5=21,AD82,IF(Arrangörslista!$U$5=22,AE82,IF(Arrangörslista!$U$5=23,AF82, IF(Arrangörslista!$U$5=24,AG82, IF(Arrangörslista!$U$5=25,AH82, IF(Arrangörslista!$U$5=26,AI82, IF(Arrangörslista!$U$5=27,AJ82, IF(Arrangörslista!$U$5=28,AK82, IF(Arrangörslista!$U$5=29,AL82, IF(Arrangörslista!$U$5=30,AM82, IF(Arrangörslista!$U$5=31,AN82, IF(Arrangörslista!$U$5=32,AO82, IF(Arrangörslista!$U$5=33,AP82, IF(Arrangörslista!$U$5=34,AQ82, IF(Arrangörslista!$U$5=35,AR82, IF(Arrangörslista!$U$5=36,AS82, IF(Arrangörslista!$U$5=37,AT82, IF(Arrangörslista!$U$5=38,AU82, IF(Arrangörslista!$U$5=39,AV82, IF(Arrangörslista!$U$5=40,AW82, IF(Arrangörslista!$U$5=41,AX82, IF(Arrangörslista!$U$5=42,AY82, IF(Arrangörslista!$U$5=43,AZ82, IF(Arrangörslista!$U$5=44,BA82, IF(Arrangörslista!$U$5=45,BB82, IF(Arrangörslista!$U$5=46,BC82, IF(Arrangörslista!$U$5=47,BD82, IF(Arrangörslista!$U$5=48,BE82, IF(Arrangörslista!$U$5=49,BF82, IF(Arrangörslista!$U$5=50,BG82, IF(Arrangörslista!$U$5=51,BH82, IF(Arrangörslista!$U$5=52,BI82, IF(Arrangörslista!$U$5=53,BJ82, IF(Arrangörslista!$U$5=54,BK82, IF(Arrangörslista!$U$5=55,BL82, IF(Arrangörslista!$U$5=56,BM82, IF(Arrangörslista!$U$5=57,BN82, IF(Arrangörslista!$U$5=58,BO82, IF(Arrangörslista!$U$5=59,BP82, IF(Arrangörslista!$U$5=60,BQ82,0))))))))))))))))))))))))))))))))))))))))))))))))))))))))))))),IF(Deltagarlista!$K$3=4, IF(Arrangörslista!$U$5=1,J82,
IF(Arrangörslista!$U$5=2,J82,
IF(Arrangörslista!$U$5=3,K82,
IF(Arrangörslista!$U$5=4,K82,
IF(Arrangörslista!$U$5=5,L82,
IF(Arrangörslista!$U$5=6,L82,
IF(Arrangörslista!$U$5=7,M82,
IF(Arrangörslista!$U$5=8,M82,
IF(Arrangörslista!$U$5=9,N82,
IF(Arrangörslista!$U$5=10,N82,
IF(Arrangörslista!$U$5=11,O82,
IF(Arrangörslista!$U$5=12,O82,
IF(Arrangörslista!$U$5=13,P82,
IF(Arrangörslista!$U$5=14,P82,
IF(Arrangörslista!$U$5=15,Q82,
IF(Arrangörslista!$U$5=16,Q82,
IF(Arrangörslista!$U$5=17,R82,
IF(Arrangörslista!$U$5=18,R82,
IF(Arrangörslista!$U$5=19,S82,
IF(Arrangörslista!$U$5=20,S82,
IF(Arrangörslista!$U$5=21,T82,
IF(Arrangörslista!$U$5=22,T82,IF(Arrangörslista!$U$5=23,U82, IF(Arrangörslista!$U$5=24,U82, IF(Arrangörslista!$U$5=25,V82, IF(Arrangörslista!$U$5=26,V82, IF(Arrangörslista!$U$5=27,W82, IF(Arrangörslista!$U$5=28,W82, IF(Arrangörslista!$U$5=29,X82, IF(Arrangörslista!$U$5=30,X82, IF(Arrangörslista!$U$5=31,X82, IF(Arrangörslista!$U$5=32,Y82, IF(Arrangörslista!$U$5=33,AO82, IF(Arrangörslista!$U$5=34,Y82, IF(Arrangörslista!$U$5=35,Z82, IF(Arrangörslista!$U$5=36,AR82, IF(Arrangörslista!$U$5=37,Z82, IF(Arrangörslista!$U$5=38,AA82, IF(Arrangörslista!$U$5=39,AU82, IF(Arrangörslista!$U$5=40,AA82, IF(Arrangörslista!$U$5=41,AB82, IF(Arrangörslista!$U$5=42,AX82, IF(Arrangörslista!$U$5=43,AB82, IF(Arrangörslista!$U$5=44,AC82, IF(Arrangörslista!$U$5=45,BA82, IF(Arrangörslista!$U$5=46,AC82, IF(Arrangörslista!$U$5=47,AD82, IF(Arrangörslista!$U$5=48,BD82, IF(Arrangörslista!$U$5=49,AD82, IF(Arrangörslista!$U$5=50,AE82, IF(Arrangörslista!$U$5=51,BG82, IF(Arrangörslista!$U$5=52,AE82, IF(Arrangörslista!$U$5=53,AF82, IF(Arrangörslista!$U$5=54,BJ82, IF(Arrangörslista!$U$5=55,AF82, IF(Arrangörslista!$U$5=56,AG82, IF(Arrangörslista!$U$5=57,BM82, IF(Arrangörslista!$U$5=58,AG82, IF(Arrangörslista!$U$5=59,AH82, IF(Arrangörslista!$U$5=60,AH82,0)))))))))))))))))))))))))))))))))))))))))))))))))))))))))))),IF(Arrangörslista!$U$5=1,J82,
IF(Arrangörslista!$U$5=2,K82,
IF(Arrangörslista!$U$5=3,L82,
IF(Arrangörslista!$U$5=4,M82,
IF(Arrangörslista!$U$5=5,N82,
IF(Arrangörslista!$U$5=6,O82,
IF(Arrangörslista!$U$5=7,P82,
IF(Arrangörslista!$U$5=8,Q82,
IF(Arrangörslista!$U$5=9,R82,
IF(Arrangörslista!$U$5=10,S82,
IF(Arrangörslista!$U$5=11,T82,
IF(Arrangörslista!$U$5=12,U82,
IF(Arrangörslista!$U$5=13,V82,
IF(Arrangörslista!$U$5=14,W82,
IF(Arrangörslista!$U$5=15,X82,
IF(Arrangörslista!$U$5=16,Y82,IF(Arrangörslista!$U$5=17,Z82,IF(Arrangörslista!$U$5=18,AA82,IF(Arrangörslista!$U$5=19,AB82,IF(Arrangörslista!$U$5=20,AC82,IF(Arrangörslista!$U$5=21,AD82,IF(Arrangörslista!$U$5=22,AE82,IF(Arrangörslista!$U$5=23,AF82, IF(Arrangörslista!$U$5=24,AG82, IF(Arrangörslista!$U$5=25,AH82, IF(Arrangörslista!$U$5=26,AI82, IF(Arrangörslista!$U$5=27,AJ82, IF(Arrangörslista!$U$5=28,AK82, IF(Arrangörslista!$U$5=29,AL82, IF(Arrangörslista!$U$5=30,AM82, IF(Arrangörslista!$U$5=31,AN82, IF(Arrangörslista!$U$5=32,AO82, IF(Arrangörslista!$U$5=33,AP82, IF(Arrangörslista!$U$5=34,AQ82, IF(Arrangörslista!$U$5=35,AR82, IF(Arrangörslista!$U$5=36,AS82, IF(Arrangörslista!$U$5=37,AT82, IF(Arrangörslista!$U$5=38,AU82, IF(Arrangörslista!$U$5=39,AV82, IF(Arrangörslista!$U$5=40,AW82, IF(Arrangörslista!$U$5=41,AX82, IF(Arrangörslista!$U$5=42,AY82, IF(Arrangörslista!$U$5=43,AZ82, IF(Arrangörslista!$U$5=44,BA82, IF(Arrangörslista!$U$5=45,BB82, IF(Arrangörslista!$U$5=46,BC82, IF(Arrangörslista!$U$5=47,BD82, IF(Arrangörslista!$U$5=48,BE82, IF(Arrangörslista!$U$5=49,BF82, IF(Arrangörslista!$U$5=50,BG82, IF(Arrangörslista!$U$5=51,BH82, IF(Arrangörslista!$U$5=52,BI82, IF(Arrangörslista!$U$5=53,BJ82, IF(Arrangörslista!$U$5=54,BK82, IF(Arrangörslista!$U$5=55,BL82, IF(Arrangörslista!$U$5=56,BM82, IF(Arrangörslista!$U$5=57,BN82, IF(Arrangörslista!$U$5=58,BO82, IF(Arrangörslista!$U$5=59,BP82, IF(Arrangörslista!$U$5=60,BQ82,0))))))))))))))))))))))))))))))))))))))))))))))))))))))))))))
))</f>
        <v>0</v>
      </c>
      <c r="GV19" s="65" t="str">
        <f>IFERROR(IF(VLOOKUP(F19,Deltagarlista!$E$5:$I$64,5,FALSE)="Grön","Gr",IF(VLOOKUP(F19,Deltagarlista!$E$5:$I$64,5,FALSE)="Röd","R",IF(VLOOKUP(F19,Deltagarlista!$E$5:$I$64,5,FALSE)="Blå","B","Gu"))),"")</f>
        <v/>
      </c>
      <c r="GW19" s="62" t="str">
        <f t="shared" si="1"/>
        <v/>
      </c>
    </row>
    <row r="20" spans="2:205" x14ac:dyDescent="0.3">
      <c r="B20" s="23" t="str">
        <f>IF($BW$3&gt;16,17,"")</f>
        <v/>
      </c>
      <c r="C20" s="92" t="str">
        <f>IF(ISBLANK(Deltagarlista!C25),"",Deltagarlista!C25)</f>
        <v/>
      </c>
      <c r="D20" s="109" t="str">
        <f>CONCATENATE(IF(AND(Deltagarlista!H25="GM",Deltagarlista!$S$14=TRUE),"GM   ",""), IF(OR(Deltagarlista!$K$3=4,Deltagarlista!$K$3=2),Deltagarlista!I25,""))</f>
        <v/>
      </c>
      <c r="E20" s="8" t="str">
        <f>IF(ISBLANK(Deltagarlista!D25),"",Deltagarlista!D25)</f>
        <v/>
      </c>
      <c r="F20" s="8" t="str">
        <f>IF(ISBLANK(Deltagarlista!E25),"",Deltagarlista!E25)</f>
        <v/>
      </c>
      <c r="G20" s="95" t="str">
        <f>IF(ISBLANK(Deltagarlista!F25),"",Deltagarlista!F25)</f>
        <v/>
      </c>
      <c r="H20" s="72" t="str">
        <f>IF(ISBLANK(Deltagarlista!C25),"",BU20-EE20)</f>
        <v/>
      </c>
      <c r="I20" s="13" t="str">
        <f>IF(ISBLANK(Deltagarlista!C25),"",IF(AND(Deltagarlista!$K$3=2,Deltagarlista!$L$3&lt;37),SUM(SUM(BV20:EC20)-(ROUNDDOWN(Arrangörslista!$U$5/3,1))*($BW$3+1)),SUM(BV20:EC20)))</f>
        <v/>
      </c>
      <c r="J20" s="79" t="str">
        <f>IF(Deltagarlista!$K$3=4,IF(ISBLANK(Deltagarlista!$C25),"",IF(ISBLANK(Arrangörslista!C$8),"",IFERROR(VLOOKUP($F20,Arrangörslista!C$8:$AG$45,16,FALSE),IF(ISBLANK(Deltagarlista!$C25),"",IF(ISBLANK(Arrangörslista!C$8),"",IFERROR(VLOOKUP($F20,Arrangörslista!D$8:$AG$45,16,FALSE),"DNS")))))),IF(Deltagarlista!$K$3=2,
IF(ISBLANK(Deltagarlista!$C25),"",IF(ISBLANK(Arrangörslista!C$8),"",IF($GV20=J$64," DNS ",IFERROR(VLOOKUP($F20,Arrangörslista!C$8:$AG$45,16,FALSE),"DNS")))),IF(ISBLANK(Deltagarlista!$C25),"",IF(ISBLANK(Arrangörslista!C$8),"",IFERROR(VLOOKUP($F20,Arrangörslista!C$8:$AG$45,16,FALSE),"DNS")))))</f>
        <v/>
      </c>
      <c r="K20" s="5" t="str">
        <f>IF(Deltagarlista!$K$3=4,IF(ISBLANK(Deltagarlista!$C25),"",IF(ISBLANK(Arrangörslista!E$8),"",IFERROR(VLOOKUP($F20,Arrangörslista!E$8:$AG$45,16,FALSE),IF(ISBLANK(Deltagarlista!$C25),"",IF(ISBLANK(Arrangörslista!E$8),"",IFERROR(VLOOKUP($F20,Arrangörslista!F$8:$AG$45,16,FALSE),"DNS")))))),IF(Deltagarlista!$K$3=2,
IF(ISBLANK(Deltagarlista!$C25),"",IF(ISBLANK(Arrangörslista!D$8),"",IF($GV20=K$64," DNS ",IFERROR(VLOOKUP($F20,Arrangörslista!D$8:$AG$45,16,FALSE),"DNS")))),IF(ISBLANK(Deltagarlista!$C25),"",IF(ISBLANK(Arrangörslista!D$8),"",IFERROR(VLOOKUP($F20,Arrangörslista!D$8:$AG$45,16,FALSE),"DNS")))))</f>
        <v/>
      </c>
      <c r="L20" s="5" t="str">
        <f>IF(Deltagarlista!$K$3=4,IF(ISBLANK(Deltagarlista!$C25),"",IF(ISBLANK(Arrangörslista!G$8),"",IFERROR(VLOOKUP($F20,Arrangörslista!G$8:$AG$45,16,FALSE),IF(ISBLANK(Deltagarlista!$C25),"",IF(ISBLANK(Arrangörslista!G$8),"",IFERROR(VLOOKUP($F20,Arrangörslista!H$8:$AG$45,16,FALSE),"DNS")))))),IF(Deltagarlista!$K$3=2,
IF(ISBLANK(Deltagarlista!$C25),"",IF(ISBLANK(Arrangörslista!E$8),"",IF($GV20=L$64," DNS ",IFERROR(VLOOKUP($F20,Arrangörslista!E$8:$AG$45,16,FALSE),"DNS")))),IF(ISBLANK(Deltagarlista!$C25),"",IF(ISBLANK(Arrangörslista!E$8),"",IFERROR(VLOOKUP($F20,Arrangörslista!E$8:$AG$45,16,FALSE),"DNS")))))</f>
        <v/>
      </c>
      <c r="M20" s="5" t="str">
        <f>IF(Deltagarlista!$K$3=4,IF(ISBLANK(Deltagarlista!$C25),"",IF(ISBLANK(Arrangörslista!I$8),"",IFERROR(VLOOKUP($F20,Arrangörslista!I$8:$AG$45,16,FALSE),IF(ISBLANK(Deltagarlista!$C25),"",IF(ISBLANK(Arrangörslista!I$8),"",IFERROR(VLOOKUP($F20,Arrangörslista!J$8:$AG$45,16,FALSE),"DNS")))))),IF(Deltagarlista!$K$3=2,
IF(ISBLANK(Deltagarlista!$C25),"",IF(ISBLANK(Arrangörslista!F$8),"",IF($GV20=M$64," DNS ",IFERROR(VLOOKUP($F20,Arrangörslista!F$8:$AG$45,16,FALSE),"DNS")))),IF(ISBLANK(Deltagarlista!$C25),"",IF(ISBLANK(Arrangörslista!F$8),"",IFERROR(VLOOKUP($F20,Arrangörslista!F$8:$AG$45,16,FALSE),"DNS")))))</f>
        <v/>
      </c>
      <c r="N20" s="5" t="str">
        <f>IF(Deltagarlista!$K$3=4,IF(ISBLANK(Deltagarlista!$C25),"",IF(ISBLANK(Arrangörslista!K$8),"",IFERROR(VLOOKUP($F20,Arrangörslista!K$8:$AG$45,16,FALSE),IF(ISBLANK(Deltagarlista!$C25),"",IF(ISBLANK(Arrangörslista!K$8),"",IFERROR(VLOOKUP($F20,Arrangörslista!L$8:$AG$45,16,FALSE),"DNS")))))),IF(Deltagarlista!$K$3=2,
IF(ISBLANK(Deltagarlista!$C25),"",IF(ISBLANK(Arrangörslista!G$8),"",IF($GV20=N$64," DNS ",IFERROR(VLOOKUP($F20,Arrangörslista!G$8:$AG$45,16,FALSE),"DNS")))),IF(ISBLANK(Deltagarlista!$C25),"",IF(ISBLANK(Arrangörslista!G$8),"",IFERROR(VLOOKUP($F20,Arrangörslista!G$8:$AG$45,16,FALSE),"DNS")))))</f>
        <v/>
      </c>
      <c r="O20" s="5" t="str">
        <f>IF(Deltagarlista!$K$3=4,IF(ISBLANK(Deltagarlista!$C25),"",IF(ISBLANK(Arrangörslista!M$8),"",IFERROR(VLOOKUP($F20,Arrangörslista!M$8:$AG$45,16,FALSE),IF(ISBLANK(Deltagarlista!$C25),"",IF(ISBLANK(Arrangörslista!M$8),"",IFERROR(VLOOKUP($F20,Arrangörslista!N$8:$AG$45,16,FALSE),"DNS")))))),IF(Deltagarlista!$K$3=2,
IF(ISBLANK(Deltagarlista!$C25),"",IF(ISBLANK(Arrangörslista!H$8),"",IF($GV20=O$64," DNS ",IFERROR(VLOOKUP($F20,Arrangörslista!H$8:$AG$45,16,FALSE),"DNS")))),IF(ISBLANK(Deltagarlista!$C25),"",IF(ISBLANK(Arrangörslista!H$8),"",IFERROR(VLOOKUP($F20,Arrangörslista!H$8:$AG$45,16,FALSE),"DNS")))))</f>
        <v/>
      </c>
      <c r="P20" s="5" t="str">
        <f>IF(Deltagarlista!$K$3=4,IF(ISBLANK(Deltagarlista!$C25),"",IF(ISBLANK(Arrangörslista!O$8),"",IFERROR(VLOOKUP($F20,Arrangörslista!O$8:$AG$45,16,FALSE),IF(ISBLANK(Deltagarlista!$C25),"",IF(ISBLANK(Arrangörslista!O$8),"",IFERROR(VLOOKUP($F20,Arrangörslista!P$8:$AG$45,16,FALSE),"DNS")))))),IF(Deltagarlista!$K$3=2,
IF(ISBLANK(Deltagarlista!$C25),"",IF(ISBLANK(Arrangörslista!I$8),"",IF($GV20=P$64," DNS ",IFERROR(VLOOKUP($F20,Arrangörslista!I$8:$AG$45,16,FALSE),"DNS")))),IF(ISBLANK(Deltagarlista!$C25),"",IF(ISBLANK(Arrangörslista!I$8),"",IFERROR(VLOOKUP($F20,Arrangörslista!I$8:$AG$45,16,FALSE),"DNS")))))</f>
        <v/>
      </c>
      <c r="Q20" s="5" t="str">
        <f>IF(Deltagarlista!$K$3=4,IF(ISBLANK(Deltagarlista!$C25),"",IF(ISBLANK(Arrangörslista!Q$8),"",IFERROR(VLOOKUP($F20,Arrangörslista!Q$8:$AG$45,16,FALSE),IF(ISBLANK(Deltagarlista!$C25),"",IF(ISBLANK(Arrangörslista!Q$8),"",IFERROR(VLOOKUP($F20,Arrangörslista!C$53:$AG$90,16,FALSE),"DNS")))))),IF(Deltagarlista!$K$3=2,
IF(ISBLANK(Deltagarlista!$C25),"",IF(ISBLANK(Arrangörslista!J$8),"",IF($GV20=Q$64," DNS ",IFERROR(VLOOKUP($F20,Arrangörslista!J$8:$AG$45,16,FALSE),"DNS")))),IF(ISBLANK(Deltagarlista!$C25),"",IF(ISBLANK(Arrangörslista!J$8),"",IFERROR(VLOOKUP($F20,Arrangörslista!J$8:$AG$45,16,FALSE),"DNS")))))</f>
        <v/>
      </c>
      <c r="R20" s="5" t="str">
        <f>IF(Deltagarlista!$K$3=4,IF(ISBLANK(Deltagarlista!$C25),"",IF(ISBLANK(Arrangörslista!D$53),"",IFERROR(VLOOKUP($F20,Arrangörslista!D$53:$AG$90,16,FALSE),IF(ISBLANK(Deltagarlista!$C25),"",IF(ISBLANK(Arrangörslista!D$53),"",IFERROR(VLOOKUP($F20,Arrangörslista!E$53:$AG$90,16,FALSE),"DNS")))))),IF(Deltagarlista!$K$3=2,
IF(ISBLANK(Deltagarlista!$C25),"",IF(ISBLANK(Arrangörslista!K$8),"",IF($GV20=R$64," DNS ",IFERROR(VLOOKUP($F20,Arrangörslista!K$8:$AG$45,16,FALSE),"DNS")))),IF(ISBLANK(Deltagarlista!$C25),"",IF(ISBLANK(Arrangörslista!K$8),"",IFERROR(VLOOKUP($F20,Arrangörslista!K$8:$AG$45,16,FALSE),"DNS")))))</f>
        <v/>
      </c>
      <c r="S20" s="5" t="str">
        <f>IF(Deltagarlista!$K$3=4,IF(ISBLANK(Deltagarlista!$C25),"",IF(ISBLANK(Arrangörslista!F$53),"",IFERROR(VLOOKUP($F20,Arrangörslista!F$53:$AG$90,16,FALSE),IF(ISBLANK(Deltagarlista!$C25),"",IF(ISBLANK(Arrangörslista!F$53),"",IFERROR(VLOOKUP($F20,Arrangörslista!G$53:$AG$90,16,FALSE),"DNS")))))),IF(Deltagarlista!$K$3=2,
IF(ISBLANK(Deltagarlista!$C25),"",IF(ISBLANK(Arrangörslista!L$8),"",IF($GV20=S$64," DNS ",IFERROR(VLOOKUP($F20,Arrangörslista!L$8:$AG$45,16,FALSE),"DNS")))),IF(ISBLANK(Deltagarlista!$C25),"",IF(ISBLANK(Arrangörslista!L$8),"",IFERROR(VLOOKUP($F20,Arrangörslista!L$8:$AG$45,16,FALSE),"DNS")))))</f>
        <v/>
      </c>
      <c r="T20" s="5" t="str">
        <f>IF(Deltagarlista!$K$3=4,IF(ISBLANK(Deltagarlista!$C25),"",IF(ISBLANK(Arrangörslista!H$53),"",IFERROR(VLOOKUP($F20,Arrangörslista!H$53:$AG$90,16,FALSE),IF(ISBLANK(Deltagarlista!$C25),"",IF(ISBLANK(Arrangörslista!H$53),"",IFERROR(VLOOKUP($F20,Arrangörslista!I$53:$AG$90,16,FALSE),"DNS")))))),IF(Deltagarlista!$K$3=2,
IF(ISBLANK(Deltagarlista!$C25),"",IF(ISBLANK(Arrangörslista!M$8),"",IF($GV20=T$64," DNS ",IFERROR(VLOOKUP($F20,Arrangörslista!M$8:$AG$45,16,FALSE),"DNS")))),IF(ISBLANK(Deltagarlista!$C25),"",IF(ISBLANK(Arrangörslista!M$8),"",IFERROR(VLOOKUP($F20,Arrangörslista!M$8:$AG$45,16,FALSE),"DNS")))))</f>
        <v/>
      </c>
      <c r="U20" s="5" t="str">
        <f>IF(Deltagarlista!$K$3=4,IF(ISBLANK(Deltagarlista!$C25),"",IF(ISBLANK(Arrangörslista!J$53),"",IFERROR(VLOOKUP($F20,Arrangörslista!J$53:$AG$90,16,FALSE),IF(ISBLANK(Deltagarlista!$C25),"",IF(ISBLANK(Arrangörslista!J$53),"",IFERROR(VLOOKUP($F20,Arrangörslista!K$53:$AG$90,16,FALSE),"DNS")))))),IF(Deltagarlista!$K$3=2,
IF(ISBLANK(Deltagarlista!$C25),"",IF(ISBLANK(Arrangörslista!N$8),"",IF($GV20=U$64," DNS ",IFERROR(VLOOKUP($F20,Arrangörslista!N$8:$AG$45,16,FALSE),"DNS")))),IF(ISBLANK(Deltagarlista!$C25),"",IF(ISBLANK(Arrangörslista!N$8),"",IFERROR(VLOOKUP($F20,Arrangörslista!N$8:$AG$45,16,FALSE),"DNS")))))</f>
        <v/>
      </c>
      <c r="V20" s="5" t="str">
        <f>IF(Deltagarlista!$K$3=4,IF(ISBLANK(Deltagarlista!$C25),"",IF(ISBLANK(Arrangörslista!L$53),"",IFERROR(VLOOKUP($F20,Arrangörslista!L$53:$AG$90,16,FALSE),IF(ISBLANK(Deltagarlista!$C25),"",IF(ISBLANK(Arrangörslista!L$53),"",IFERROR(VLOOKUP($F20,Arrangörslista!M$53:$AG$90,16,FALSE),"DNS")))))),IF(Deltagarlista!$K$3=2,
IF(ISBLANK(Deltagarlista!$C25),"",IF(ISBLANK(Arrangörslista!O$8),"",IF($GV20=V$64," DNS ",IFERROR(VLOOKUP($F20,Arrangörslista!O$8:$AG$45,16,FALSE),"DNS")))),IF(ISBLANK(Deltagarlista!$C25),"",IF(ISBLANK(Arrangörslista!O$8),"",IFERROR(VLOOKUP($F20,Arrangörslista!O$8:$AG$45,16,FALSE),"DNS")))))</f>
        <v/>
      </c>
      <c r="W20" s="5" t="str">
        <f>IF(Deltagarlista!$K$3=4,IF(ISBLANK(Deltagarlista!$C25),"",IF(ISBLANK(Arrangörslista!N$53),"",IFERROR(VLOOKUP($F20,Arrangörslista!N$53:$AG$90,16,FALSE),IF(ISBLANK(Deltagarlista!$C25),"",IF(ISBLANK(Arrangörslista!N$53),"",IFERROR(VLOOKUP($F20,Arrangörslista!O$53:$AG$90,16,FALSE),"DNS")))))),IF(Deltagarlista!$K$3=2,
IF(ISBLANK(Deltagarlista!$C25),"",IF(ISBLANK(Arrangörslista!P$8),"",IF($GV20=W$64," DNS ",IFERROR(VLOOKUP($F20,Arrangörslista!P$8:$AG$45,16,FALSE),"DNS")))),IF(ISBLANK(Deltagarlista!$C25),"",IF(ISBLANK(Arrangörslista!P$8),"",IFERROR(VLOOKUP($F20,Arrangörslista!P$8:$AG$45,16,FALSE),"DNS")))))</f>
        <v/>
      </c>
      <c r="X20" s="5" t="str">
        <f>IF(Deltagarlista!$K$3=4,IF(ISBLANK(Deltagarlista!$C25),"",IF(ISBLANK(Arrangörslista!P$53),"",IFERROR(VLOOKUP($F20,Arrangörslista!P$53:$AG$90,16,FALSE),IF(ISBLANK(Deltagarlista!$C25),"",IF(ISBLANK(Arrangörslista!P$53),"",IFERROR(VLOOKUP($F20,Arrangörslista!Q$53:$AG$90,16,FALSE),"DNS")))))),IF(Deltagarlista!$K$3=2,
IF(ISBLANK(Deltagarlista!$C25),"",IF(ISBLANK(Arrangörslista!Q$8),"",IF($GV20=X$64," DNS ",IFERROR(VLOOKUP($F20,Arrangörslista!Q$8:$AG$45,16,FALSE),"DNS")))),IF(ISBLANK(Deltagarlista!$C25),"",IF(ISBLANK(Arrangörslista!Q$8),"",IFERROR(VLOOKUP($F20,Arrangörslista!Q$8:$AG$45,16,FALSE),"DNS")))))</f>
        <v/>
      </c>
      <c r="Y20" s="5" t="str">
        <f>IF(Deltagarlista!$K$3=4,IF(ISBLANK(Deltagarlista!$C25),"",IF(ISBLANK(Arrangörslista!C$98),"",IFERROR(VLOOKUP($F20,Arrangörslista!C$98:$AG$135,16,FALSE),IF(ISBLANK(Deltagarlista!$C25),"",IF(ISBLANK(Arrangörslista!C$98),"",IFERROR(VLOOKUP($F20,Arrangörslista!D$98:$AG$135,16,FALSE),"DNS")))))),IF(Deltagarlista!$K$3=2,
IF(ISBLANK(Deltagarlista!$C25),"",IF(ISBLANK(Arrangörslista!C$53),"",IF($GV20=Y$64," DNS ",IFERROR(VLOOKUP($F20,Arrangörslista!C$53:$AG$90,16,FALSE),"DNS")))),IF(ISBLANK(Deltagarlista!$C25),"",IF(ISBLANK(Arrangörslista!C$53),"",IFERROR(VLOOKUP($F20,Arrangörslista!C$53:$AG$90,16,FALSE),"DNS")))))</f>
        <v/>
      </c>
      <c r="Z20" s="5" t="str">
        <f>IF(Deltagarlista!$K$3=4,IF(ISBLANK(Deltagarlista!$C25),"",IF(ISBLANK(Arrangörslista!E$98),"",IFERROR(VLOOKUP($F20,Arrangörslista!E$98:$AG$135,16,FALSE),IF(ISBLANK(Deltagarlista!$C25),"",IF(ISBLANK(Arrangörslista!E$98),"",IFERROR(VLOOKUP($F20,Arrangörslista!F$98:$AG$135,16,FALSE),"DNS")))))),IF(Deltagarlista!$K$3=2,
IF(ISBLANK(Deltagarlista!$C25),"",IF(ISBLANK(Arrangörslista!D$53),"",IF($GV20=Z$64," DNS ",IFERROR(VLOOKUP($F20,Arrangörslista!D$53:$AG$90,16,FALSE),"DNS")))),IF(ISBLANK(Deltagarlista!$C25),"",IF(ISBLANK(Arrangörslista!D$53),"",IFERROR(VLOOKUP($F20,Arrangörslista!D$53:$AG$90,16,FALSE),"DNS")))))</f>
        <v/>
      </c>
      <c r="AA20" s="5" t="str">
        <f>IF(Deltagarlista!$K$3=4,IF(ISBLANK(Deltagarlista!$C25),"",IF(ISBLANK(Arrangörslista!G$98),"",IFERROR(VLOOKUP($F20,Arrangörslista!G$98:$AG$135,16,FALSE),IF(ISBLANK(Deltagarlista!$C25),"",IF(ISBLANK(Arrangörslista!G$98),"",IFERROR(VLOOKUP($F20,Arrangörslista!H$98:$AG$135,16,FALSE),"DNS")))))),IF(Deltagarlista!$K$3=2,
IF(ISBLANK(Deltagarlista!$C25),"",IF(ISBLANK(Arrangörslista!E$53),"",IF($GV20=AA$64," DNS ",IFERROR(VLOOKUP($F20,Arrangörslista!E$53:$AG$90,16,FALSE),"DNS")))),IF(ISBLANK(Deltagarlista!$C25),"",IF(ISBLANK(Arrangörslista!E$53),"",IFERROR(VLOOKUP($F20,Arrangörslista!E$53:$AG$90,16,FALSE),"DNS")))))</f>
        <v/>
      </c>
      <c r="AB20" s="5" t="str">
        <f>IF(Deltagarlista!$K$3=4,IF(ISBLANK(Deltagarlista!$C25),"",IF(ISBLANK(Arrangörslista!I$98),"",IFERROR(VLOOKUP($F20,Arrangörslista!I$98:$AG$135,16,FALSE),IF(ISBLANK(Deltagarlista!$C25),"",IF(ISBLANK(Arrangörslista!I$98),"",IFERROR(VLOOKUP($F20,Arrangörslista!J$98:$AG$135,16,FALSE),"DNS")))))),IF(Deltagarlista!$K$3=2,
IF(ISBLANK(Deltagarlista!$C25),"",IF(ISBLANK(Arrangörslista!F$53),"",IF($GV20=AB$64," DNS ",IFERROR(VLOOKUP($F20,Arrangörslista!F$53:$AG$90,16,FALSE),"DNS")))),IF(ISBLANK(Deltagarlista!$C25),"",IF(ISBLANK(Arrangörslista!F$53),"",IFERROR(VLOOKUP($F20,Arrangörslista!F$53:$AG$90,16,FALSE),"DNS")))))</f>
        <v/>
      </c>
      <c r="AC20" s="5" t="str">
        <f>IF(Deltagarlista!$K$3=4,IF(ISBLANK(Deltagarlista!$C25),"",IF(ISBLANK(Arrangörslista!K$98),"",IFERROR(VLOOKUP($F20,Arrangörslista!K$98:$AG$135,16,FALSE),IF(ISBLANK(Deltagarlista!$C25),"",IF(ISBLANK(Arrangörslista!K$98),"",IFERROR(VLOOKUP($F20,Arrangörslista!L$98:$AG$135,16,FALSE),"DNS")))))),IF(Deltagarlista!$K$3=2,
IF(ISBLANK(Deltagarlista!$C25),"",IF(ISBLANK(Arrangörslista!G$53),"",IF($GV20=AC$64," DNS ",IFERROR(VLOOKUP($F20,Arrangörslista!G$53:$AG$90,16,FALSE),"DNS")))),IF(ISBLANK(Deltagarlista!$C25),"",IF(ISBLANK(Arrangörslista!G$53),"",IFERROR(VLOOKUP($F20,Arrangörslista!G$53:$AG$90,16,FALSE),"DNS")))))</f>
        <v/>
      </c>
      <c r="AD20" s="5" t="str">
        <f>IF(Deltagarlista!$K$3=4,IF(ISBLANK(Deltagarlista!$C25),"",IF(ISBLANK(Arrangörslista!M$98),"",IFERROR(VLOOKUP($F20,Arrangörslista!M$98:$AG$135,16,FALSE),IF(ISBLANK(Deltagarlista!$C25),"",IF(ISBLANK(Arrangörslista!M$98),"",IFERROR(VLOOKUP($F20,Arrangörslista!N$98:$AG$135,16,FALSE),"DNS")))))),IF(Deltagarlista!$K$3=2,
IF(ISBLANK(Deltagarlista!$C25),"",IF(ISBLANK(Arrangörslista!H$53),"",IF($GV20=AD$64," DNS ",IFERROR(VLOOKUP($F20,Arrangörslista!H$53:$AG$90,16,FALSE),"DNS")))),IF(ISBLANK(Deltagarlista!$C25),"",IF(ISBLANK(Arrangörslista!H$53),"",IFERROR(VLOOKUP($F20,Arrangörslista!H$53:$AG$90,16,FALSE),"DNS")))))</f>
        <v/>
      </c>
      <c r="AE20" s="5" t="str">
        <f>IF(Deltagarlista!$K$3=4,IF(ISBLANK(Deltagarlista!$C25),"",IF(ISBLANK(Arrangörslista!O$98),"",IFERROR(VLOOKUP($F20,Arrangörslista!O$98:$AG$135,16,FALSE),IF(ISBLANK(Deltagarlista!$C25),"",IF(ISBLANK(Arrangörslista!O$98),"",IFERROR(VLOOKUP($F20,Arrangörslista!P$98:$AG$135,16,FALSE),"DNS")))))),IF(Deltagarlista!$K$3=2,
IF(ISBLANK(Deltagarlista!$C25),"",IF(ISBLANK(Arrangörslista!I$53),"",IF($GV20=AE$64," DNS ",IFERROR(VLOOKUP($F20,Arrangörslista!I$53:$AG$90,16,FALSE),"DNS")))),IF(ISBLANK(Deltagarlista!$C25),"",IF(ISBLANK(Arrangörslista!I$53),"",IFERROR(VLOOKUP($F20,Arrangörslista!I$53:$AG$90,16,FALSE),"DNS")))))</f>
        <v/>
      </c>
      <c r="AF20" s="5" t="str">
        <f>IF(Deltagarlista!$K$3=4,IF(ISBLANK(Deltagarlista!$C25),"",IF(ISBLANK(Arrangörslista!Q$98),"",IFERROR(VLOOKUP($F20,Arrangörslista!Q$98:$AG$135,16,FALSE),IF(ISBLANK(Deltagarlista!$C25),"",IF(ISBLANK(Arrangörslista!Q$98),"",IFERROR(VLOOKUP($F20,Arrangörslista!C$143:$AG$180,16,FALSE),"DNS")))))),IF(Deltagarlista!$K$3=2,
IF(ISBLANK(Deltagarlista!$C25),"",IF(ISBLANK(Arrangörslista!J$53),"",IF($GV20=AF$64," DNS ",IFERROR(VLOOKUP($F20,Arrangörslista!J$53:$AG$90,16,FALSE),"DNS")))),IF(ISBLANK(Deltagarlista!$C25),"",IF(ISBLANK(Arrangörslista!J$53),"",IFERROR(VLOOKUP($F20,Arrangörslista!J$53:$AG$90,16,FALSE),"DNS")))))</f>
        <v/>
      </c>
      <c r="AG20" s="5" t="str">
        <f>IF(Deltagarlista!$K$3=4,IF(ISBLANK(Deltagarlista!$C25),"",IF(ISBLANK(Arrangörslista!D$143),"",IFERROR(VLOOKUP($F20,Arrangörslista!D$143:$AG$180,16,FALSE),IF(ISBLANK(Deltagarlista!$C25),"",IF(ISBLANK(Arrangörslista!D$143),"",IFERROR(VLOOKUP($F20,Arrangörslista!E$143:$AG$180,16,FALSE),"DNS")))))),IF(Deltagarlista!$K$3=2,
IF(ISBLANK(Deltagarlista!$C25),"",IF(ISBLANK(Arrangörslista!K$53),"",IF($GV20=AG$64," DNS ",IFERROR(VLOOKUP($F20,Arrangörslista!K$53:$AG$90,16,FALSE),"DNS")))),IF(ISBLANK(Deltagarlista!$C25),"",IF(ISBLANK(Arrangörslista!K$53),"",IFERROR(VLOOKUP($F20,Arrangörslista!K$53:$AG$90,16,FALSE),"DNS")))))</f>
        <v/>
      </c>
      <c r="AH20" s="5" t="str">
        <f>IF(Deltagarlista!$K$3=4,IF(ISBLANK(Deltagarlista!$C25),"",IF(ISBLANK(Arrangörslista!F$143),"",IFERROR(VLOOKUP($F20,Arrangörslista!F$143:$AG$180,16,FALSE),IF(ISBLANK(Deltagarlista!$C25),"",IF(ISBLANK(Arrangörslista!F$143),"",IFERROR(VLOOKUP($F20,Arrangörslista!G$143:$AG$180,16,FALSE),"DNS")))))),IF(Deltagarlista!$K$3=2,
IF(ISBLANK(Deltagarlista!$C25),"",IF(ISBLANK(Arrangörslista!L$53),"",IF($GV20=AH$64," DNS ",IFERROR(VLOOKUP($F20,Arrangörslista!L$53:$AG$90,16,FALSE),"DNS")))),IF(ISBLANK(Deltagarlista!$C25),"",IF(ISBLANK(Arrangörslista!L$53),"",IFERROR(VLOOKUP($F20,Arrangörslista!L$53:$AG$90,16,FALSE),"DNS")))))</f>
        <v/>
      </c>
      <c r="AI20" s="5" t="str">
        <f>IF(Deltagarlista!$K$3=4,IF(ISBLANK(Deltagarlista!$C25),"",IF(ISBLANK(Arrangörslista!H$143),"",IFERROR(VLOOKUP($F20,Arrangörslista!H$143:$AG$180,16,FALSE),IF(ISBLANK(Deltagarlista!$C25),"",IF(ISBLANK(Arrangörslista!H$143),"",IFERROR(VLOOKUP($F20,Arrangörslista!I$143:$AG$180,16,FALSE),"DNS")))))),IF(Deltagarlista!$K$3=2,
IF(ISBLANK(Deltagarlista!$C25),"",IF(ISBLANK(Arrangörslista!M$53),"",IF($GV20=AI$64," DNS ",IFERROR(VLOOKUP($F20,Arrangörslista!M$53:$AG$90,16,FALSE),"DNS")))),IF(ISBLANK(Deltagarlista!$C25),"",IF(ISBLANK(Arrangörslista!M$53),"",IFERROR(VLOOKUP($F20,Arrangörslista!M$53:$AG$90,16,FALSE),"DNS")))))</f>
        <v/>
      </c>
      <c r="AJ20" s="5" t="str">
        <f>IF(Deltagarlista!$K$3=4,IF(ISBLANK(Deltagarlista!$C25),"",IF(ISBLANK(Arrangörslista!J$143),"",IFERROR(VLOOKUP($F20,Arrangörslista!J$143:$AG$180,16,FALSE),IF(ISBLANK(Deltagarlista!$C25),"",IF(ISBLANK(Arrangörslista!J$143),"",IFERROR(VLOOKUP($F20,Arrangörslista!K$143:$AG$180,16,FALSE),"DNS")))))),IF(Deltagarlista!$K$3=2,
IF(ISBLANK(Deltagarlista!$C25),"",IF(ISBLANK(Arrangörslista!N$53),"",IF($GV20=AJ$64," DNS ",IFERROR(VLOOKUP($F20,Arrangörslista!N$53:$AG$90,16,FALSE),"DNS")))),IF(ISBLANK(Deltagarlista!$C25),"",IF(ISBLANK(Arrangörslista!N$53),"",IFERROR(VLOOKUP($F20,Arrangörslista!N$53:$AG$90,16,FALSE),"DNS")))))</f>
        <v/>
      </c>
      <c r="AK20" s="5" t="str">
        <f>IF(Deltagarlista!$K$3=4,IF(ISBLANK(Deltagarlista!$C25),"",IF(ISBLANK(Arrangörslista!L$143),"",IFERROR(VLOOKUP($F20,Arrangörslista!L$143:$AG$180,16,FALSE),IF(ISBLANK(Deltagarlista!$C25),"",IF(ISBLANK(Arrangörslista!L$143),"",IFERROR(VLOOKUP($F20,Arrangörslista!M$143:$AG$180,16,FALSE),"DNS")))))),IF(Deltagarlista!$K$3=2,
IF(ISBLANK(Deltagarlista!$C25),"",IF(ISBLANK(Arrangörslista!O$53),"",IF($GV20=AK$64," DNS ",IFERROR(VLOOKUP($F20,Arrangörslista!O$53:$AG$90,16,FALSE),"DNS")))),IF(ISBLANK(Deltagarlista!$C25),"",IF(ISBLANK(Arrangörslista!O$53),"",IFERROR(VLOOKUP($F20,Arrangörslista!O$53:$AG$90,16,FALSE),"DNS")))))</f>
        <v/>
      </c>
      <c r="AL20" s="5" t="str">
        <f>IF(Deltagarlista!$K$3=4,IF(ISBLANK(Deltagarlista!$C25),"",IF(ISBLANK(Arrangörslista!N$143),"",IFERROR(VLOOKUP($F20,Arrangörslista!N$143:$AG$180,16,FALSE),IF(ISBLANK(Deltagarlista!$C25),"",IF(ISBLANK(Arrangörslista!N$143),"",IFERROR(VLOOKUP($F20,Arrangörslista!O$143:$AG$180,16,FALSE),"DNS")))))),IF(Deltagarlista!$K$3=2,
IF(ISBLANK(Deltagarlista!$C25),"",IF(ISBLANK(Arrangörslista!P$53),"",IF($GV20=AL$64," DNS ",IFERROR(VLOOKUP($F20,Arrangörslista!P$53:$AG$90,16,FALSE),"DNS")))),IF(ISBLANK(Deltagarlista!$C25),"",IF(ISBLANK(Arrangörslista!P$53),"",IFERROR(VLOOKUP($F20,Arrangörslista!P$53:$AG$90,16,FALSE),"DNS")))))</f>
        <v/>
      </c>
      <c r="AM20" s="5" t="str">
        <f>IF(Deltagarlista!$K$3=4,IF(ISBLANK(Deltagarlista!$C25),"",IF(ISBLANK(Arrangörslista!P$143),"",IFERROR(VLOOKUP($F20,Arrangörslista!P$143:$AG$180,16,FALSE),IF(ISBLANK(Deltagarlista!$C25),"",IF(ISBLANK(Arrangörslista!P$143),"",IFERROR(VLOOKUP($F20,Arrangörslista!Q$143:$AG$180,16,FALSE),"DNS")))))),IF(Deltagarlista!$K$3=2,
IF(ISBLANK(Deltagarlista!$C25),"",IF(ISBLANK(Arrangörslista!Q$53),"",IF($GV20=AM$64," DNS ",IFERROR(VLOOKUP($F20,Arrangörslista!Q$53:$AG$90,16,FALSE),"DNS")))),IF(ISBLANK(Deltagarlista!$C25),"",IF(ISBLANK(Arrangörslista!Q$53),"",IFERROR(VLOOKUP($F20,Arrangörslista!Q$53:$AG$90,16,FALSE),"DNS")))))</f>
        <v/>
      </c>
      <c r="AN20" s="5" t="str">
        <f>IF(Deltagarlista!$K$3=2,
IF(ISBLANK(Deltagarlista!$C25),"",IF(ISBLANK(Arrangörslista!C$98),"",IF($GV20=AN$64," DNS ",IFERROR(VLOOKUP($F20,Arrangörslista!C$98:$AG$135,16,FALSE), "DNS")))), IF(Deltagarlista!$K$3=1,IF(ISBLANK(Deltagarlista!$C25),"",IF(ISBLANK(Arrangörslista!C$98),"",IFERROR(VLOOKUP($F20,Arrangörslista!C$98:$AG$135,16,FALSE), "DNS"))),""))</f>
        <v/>
      </c>
      <c r="AO20" s="5" t="str">
        <f>IF(Deltagarlista!$K$3=2,
IF(ISBLANK(Deltagarlista!$C25),"",IF(ISBLANK(Arrangörslista!D$98),"",IF($GV20=AO$64," DNS ",IFERROR(VLOOKUP($F20,Arrangörslista!D$98:$AG$135,16,FALSE), "DNS")))), IF(Deltagarlista!$K$3=1,IF(ISBLANK(Deltagarlista!$C25),"",IF(ISBLANK(Arrangörslista!D$98),"",IFERROR(VLOOKUP($F20,Arrangörslista!D$98:$AG$135,16,FALSE), "DNS"))),""))</f>
        <v/>
      </c>
      <c r="AP20" s="5" t="str">
        <f>IF(Deltagarlista!$K$3=2,
IF(ISBLANK(Deltagarlista!$C25),"",IF(ISBLANK(Arrangörslista!E$98),"",IF($GV20=AP$64," DNS ",IFERROR(VLOOKUP($F20,Arrangörslista!E$98:$AG$135,16,FALSE), "DNS")))), IF(Deltagarlista!$K$3=1,IF(ISBLANK(Deltagarlista!$C25),"",IF(ISBLANK(Arrangörslista!E$98),"",IFERROR(VLOOKUP($F20,Arrangörslista!E$98:$AG$135,16,FALSE), "DNS"))),""))</f>
        <v/>
      </c>
      <c r="AQ20" s="5" t="str">
        <f>IF(Deltagarlista!$K$3=2,
IF(ISBLANK(Deltagarlista!$C25),"",IF(ISBLANK(Arrangörslista!F$98),"",IF($GV20=AQ$64," DNS ",IFERROR(VLOOKUP($F20,Arrangörslista!F$98:$AG$135,16,FALSE), "DNS")))), IF(Deltagarlista!$K$3=1,IF(ISBLANK(Deltagarlista!$C25),"",IF(ISBLANK(Arrangörslista!F$98),"",IFERROR(VLOOKUP($F20,Arrangörslista!F$98:$AG$135,16,FALSE), "DNS"))),""))</f>
        <v/>
      </c>
      <c r="AR20" s="5" t="str">
        <f>IF(Deltagarlista!$K$3=2,
IF(ISBLANK(Deltagarlista!$C25),"",IF(ISBLANK(Arrangörslista!G$98),"",IF($GV20=AR$64," DNS ",IFERROR(VLOOKUP($F20,Arrangörslista!G$98:$AG$135,16,FALSE), "DNS")))), IF(Deltagarlista!$K$3=1,IF(ISBLANK(Deltagarlista!$C25),"",IF(ISBLANK(Arrangörslista!G$98),"",IFERROR(VLOOKUP($F20,Arrangörslista!G$98:$AG$135,16,FALSE), "DNS"))),""))</f>
        <v/>
      </c>
      <c r="AS20" s="5" t="str">
        <f>IF(Deltagarlista!$K$3=2,
IF(ISBLANK(Deltagarlista!$C25),"",IF(ISBLANK(Arrangörslista!H$98),"",IF($GV20=AS$64," DNS ",IFERROR(VLOOKUP($F20,Arrangörslista!H$98:$AG$135,16,FALSE), "DNS")))), IF(Deltagarlista!$K$3=1,IF(ISBLANK(Deltagarlista!$C25),"",IF(ISBLANK(Arrangörslista!H$98),"",IFERROR(VLOOKUP($F20,Arrangörslista!H$98:$AG$135,16,FALSE), "DNS"))),""))</f>
        <v/>
      </c>
      <c r="AT20" s="5" t="str">
        <f>IF(Deltagarlista!$K$3=2,
IF(ISBLANK(Deltagarlista!$C25),"",IF(ISBLANK(Arrangörslista!I$98),"",IF($GV20=AT$64," DNS ",IFERROR(VLOOKUP($F20,Arrangörslista!I$98:$AG$135,16,FALSE), "DNS")))), IF(Deltagarlista!$K$3=1,IF(ISBLANK(Deltagarlista!$C25),"",IF(ISBLANK(Arrangörslista!I$98),"",IFERROR(VLOOKUP($F20,Arrangörslista!I$98:$AG$135,16,FALSE), "DNS"))),""))</f>
        <v/>
      </c>
      <c r="AU20" s="5" t="str">
        <f>IF(Deltagarlista!$K$3=2,
IF(ISBLANK(Deltagarlista!$C25),"",IF(ISBLANK(Arrangörslista!J$98),"",IF($GV20=AU$64," DNS ",IFERROR(VLOOKUP($F20,Arrangörslista!J$98:$AG$135,16,FALSE), "DNS")))), IF(Deltagarlista!$K$3=1,IF(ISBLANK(Deltagarlista!$C25),"",IF(ISBLANK(Arrangörslista!J$98),"",IFERROR(VLOOKUP($F20,Arrangörslista!J$98:$AG$135,16,FALSE), "DNS"))),""))</f>
        <v/>
      </c>
      <c r="AV20" s="5" t="str">
        <f>IF(Deltagarlista!$K$3=2,
IF(ISBLANK(Deltagarlista!$C25),"",IF(ISBLANK(Arrangörslista!K$98),"",IF($GV20=AV$64," DNS ",IFERROR(VLOOKUP($F20,Arrangörslista!K$98:$AG$135,16,FALSE), "DNS")))), IF(Deltagarlista!$K$3=1,IF(ISBLANK(Deltagarlista!$C25),"",IF(ISBLANK(Arrangörslista!K$98),"",IFERROR(VLOOKUP($F20,Arrangörslista!K$98:$AG$135,16,FALSE), "DNS"))),""))</f>
        <v/>
      </c>
      <c r="AW20" s="5" t="str">
        <f>IF(Deltagarlista!$K$3=2,
IF(ISBLANK(Deltagarlista!$C25),"",IF(ISBLANK(Arrangörslista!L$98),"",IF($GV20=AW$64," DNS ",IFERROR(VLOOKUP($F20,Arrangörslista!L$98:$AG$135,16,FALSE), "DNS")))), IF(Deltagarlista!$K$3=1,IF(ISBLANK(Deltagarlista!$C25),"",IF(ISBLANK(Arrangörslista!L$98),"",IFERROR(VLOOKUP($F20,Arrangörslista!L$98:$AG$135,16,FALSE), "DNS"))),""))</f>
        <v/>
      </c>
      <c r="AX20" s="5" t="str">
        <f>IF(Deltagarlista!$K$3=2,
IF(ISBLANK(Deltagarlista!$C25),"",IF(ISBLANK(Arrangörslista!M$98),"",IF($GV20=AX$64," DNS ",IFERROR(VLOOKUP($F20,Arrangörslista!M$98:$AG$135,16,FALSE), "DNS")))), IF(Deltagarlista!$K$3=1,IF(ISBLANK(Deltagarlista!$C25),"",IF(ISBLANK(Arrangörslista!M$98),"",IFERROR(VLOOKUP($F20,Arrangörslista!M$98:$AG$135,16,FALSE), "DNS"))),""))</f>
        <v/>
      </c>
      <c r="AY20" s="5" t="str">
        <f>IF(Deltagarlista!$K$3=2,
IF(ISBLANK(Deltagarlista!$C25),"",IF(ISBLANK(Arrangörslista!N$98),"",IF($GV20=AY$64," DNS ",IFERROR(VLOOKUP($F20,Arrangörslista!N$98:$AG$135,16,FALSE), "DNS")))), IF(Deltagarlista!$K$3=1,IF(ISBLANK(Deltagarlista!$C25),"",IF(ISBLANK(Arrangörslista!N$98),"",IFERROR(VLOOKUP($F20,Arrangörslista!N$98:$AG$135,16,FALSE), "DNS"))),""))</f>
        <v/>
      </c>
      <c r="AZ20" s="5" t="str">
        <f>IF(Deltagarlista!$K$3=2,
IF(ISBLANK(Deltagarlista!$C25),"",IF(ISBLANK(Arrangörslista!O$98),"",IF($GV20=AZ$64," DNS ",IFERROR(VLOOKUP($F20,Arrangörslista!O$98:$AG$135,16,FALSE), "DNS")))), IF(Deltagarlista!$K$3=1,IF(ISBLANK(Deltagarlista!$C25),"",IF(ISBLANK(Arrangörslista!O$98),"",IFERROR(VLOOKUP($F20,Arrangörslista!O$98:$AG$135,16,FALSE), "DNS"))),""))</f>
        <v/>
      </c>
      <c r="BA20" s="5" t="str">
        <f>IF(Deltagarlista!$K$3=2,
IF(ISBLANK(Deltagarlista!$C25),"",IF(ISBLANK(Arrangörslista!P$98),"",IF($GV20=BA$64," DNS ",IFERROR(VLOOKUP($F20,Arrangörslista!P$98:$AG$135,16,FALSE), "DNS")))), IF(Deltagarlista!$K$3=1,IF(ISBLANK(Deltagarlista!$C25),"",IF(ISBLANK(Arrangörslista!P$98),"",IFERROR(VLOOKUP($F20,Arrangörslista!P$98:$AG$135,16,FALSE), "DNS"))),""))</f>
        <v/>
      </c>
      <c r="BB20" s="5" t="str">
        <f>IF(Deltagarlista!$K$3=2,
IF(ISBLANK(Deltagarlista!$C25),"",IF(ISBLANK(Arrangörslista!Q$98),"",IF($GV20=BB$64," DNS ",IFERROR(VLOOKUP($F20,Arrangörslista!Q$98:$AG$135,16,FALSE), "DNS")))), IF(Deltagarlista!$K$3=1,IF(ISBLANK(Deltagarlista!$C25),"",IF(ISBLANK(Arrangörslista!Q$98),"",IFERROR(VLOOKUP($F20,Arrangörslista!Q$98:$AG$135,16,FALSE), "DNS"))),""))</f>
        <v/>
      </c>
      <c r="BC20" s="5" t="str">
        <f>IF(Deltagarlista!$K$3=2,
IF(ISBLANK(Deltagarlista!$C25),"",IF(ISBLANK(Arrangörslista!C$143),"",IF($GV20=BC$64," DNS ",IFERROR(VLOOKUP($F20,Arrangörslista!C$143:$AG$180,16,FALSE), "DNS")))), IF(Deltagarlista!$K$3=1,IF(ISBLANK(Deltagarlista!$C25),"",IF(ISBLANK(Arrangörslista!C$143),"",IFERROR(VLOOKUP($F20,Arrangörslista!C$143:$AG$180,16,FALSE), "DNS"))),""))</f>
        <v/>
      </c>
      <c r="BD20" s="5" t="str">
        <f>IF(Deltagarlista!$K$3=2,
IF(ISBLANK(Deltagarlista!$C25),"",IF(ISBLANK(Arrangörslista!D$143),"",IF($GV20=BD$64," DNS ",IFERROR(VLOOKUP($F20,Arrangörslista!D$143:$AG$180,16,FALSE), "DNS")))), IF(Deltagarlista!$K$3=1,IF(ISBLANK(Deltagarlista!$C25),"",IF(ISBLANK(Arrangörslista!D$143),"",IFERROR(VLOOKUP($F20,Arrangörslista!D$143:$AG$180,16,FALSE), "DNS"))),""))</f>
        <v/>
      </c>
      <c r="BE20" s="5" t="str">
        <f>IF(Deltagarlista!$K$3=2,
IF(ISBLANK(Deltagarlista!$C25),"",IF(ISBLANK(Arrangörslista!E$143),"",IF($GV20=BE$64," DNS ",IFERROR(VLOOKUP($F20,Arrangörslista!E$143:$AG$180,16,FALSE), "DNS")))), IF(Deltagarlista!$K$3=1,IF(ISBLANK(Deltagarlista!$C25),"",IF(ISBLANK(Arrangörslista!E$143),"",IFERROR(VLOOKUP($F20,Arrangörslista!E$143:$AG$180,16,FALSE), "DNS"))),""))</f>
        <v/>
      </c>
      <c r="BF20" s="5" t="str">
        <f>IF(Deltagarlista!$K$3=2,
IF(ISBLANK(Deltagarlista!$C25),"",IF(ISBLANK(Arrangörslista!F$143),"",IF($GV20=BF$64," DNS ",IFERROR(VLOOKUP($F20,Arrangörslista!F$143:$AG$180,16,FALSE), "DNS")))), IF(Deltagarlista!$K$3=1,IF(ISBLANK(Deltagarlista!$C25),"",IF(ISBLANK(Arrangörslista!F$143),"",IFERROR(VLOOKUP($F20,Arrangörslista!F$143:$AG$180,16,FALSE), "DNS"))),""))</f>
        <v/>
      </c>
      <c r="BG20" s="5" t="str">
        <f>IF(Deltagarlista!$K$3=2,
IF(ISBLANK(Deltagarlista!$C25),"",IF(ISBLANK(Arrangörslista!G$143),"",IF($GV20=BG$64," DNS ",IFERROR(VLOOKUP($F20,Arrangörslista!G$143:$AG$180,16,FALSE), "DNS")))), IF(Deltagarlista!$K$3=1,IF(ISBLANK(Deltagarlista!$C25),"",IF(ISBLANK(Arrangörslista!G$143),"",IFERROR(VLOOKUP($F20,Arrangörslista!G$143:$AG$180,16,FALSE), "DNS"))),""))</f>
        <v/>
      </c>
      <c r="BH20" s="5" t="str">
        <f>IF(Deltagarlista!$K$3=2,
IF(ISBLANK(Deltagarlista!$C25),"",IF(ISBLANK(Arrangörslista!H$143),"",IF($GV20=BH$64," DNS ",IFERROR(VLOOKUP($F20,Arrangörslista!H$143:$AG$180,16,FALSE), "DNS")))), IF(Deltagarlista!$K$3=1,IF(ISBLANK(Deltagarlista!$C25),"",IF(ISBLANK(Arrangörslista!H$143),"",IFERROR(VLOOKUP($F20,Arrangörslista!H$143:$AG$180,16,FALSE), "DNS"))),""))</f>
        <v/>
      </c>
      <c r="BI20" s="5" t="str">
        <f>IF(Deltagarlista!$K$3=2,
IF(ISBLANK(Deltagarlista!$C25),"",IF(ISBLANK(Arrangörslista!I$143),"",IF($GV20=BI$64," DNS ",IFERROR(VLOOKUP($F20,Arrangörslista!I$143:$AG$180,16,FALSE), "DNS")))), IF(Deltagarlista!$K$3=1,IF(ISBLANK(Deltagarlista!$C25),"",IF(ISBLANK(Arrangörslista!I$143),"",IFERROR(VLOOKUP($F20,Arrangörslista!I$143:$AG$180,16,FALSE), "DNS"))),""))</f>
        <v/>
      </c>
      <c r="BJ20" s="5" t="str">
        <f>IF(Deltagarlista!$K$3=2,
IF(ISBLANK(Deltagarlista!$C25),"",IF(ISBLANK(Arrangörslista!J$143),"",IF($GV20=BJ$64," DNS ",IFERROR(VLOOKUP($F20,Arrangörslista!J$143:$AG$180,16,FALSE), "DNS")))), IF(Deltagarlista!$K$3=1,IF(ISBLANK(Deltagarlista!$C25),"",IF(ISBLANK(Arrangörslista!J$143),"",IFERROR(VLOOKUP($F20,Arrangörslista!J$143:$AG$180,16,FALSE), "DNS"))),""))</f>
        <v/>
      </c>
      <c r="BK20" s="5" t="str">
        <f>IF(Deltagarlista!$K$3=2,
IF(ISBLANK(Deltagarlista!$C25),"",IF(ISBLANK(Arrangörslista!K$143),"",IF($GV20=BK$64," DNS ",IFERROR(VLOOKUP($F20,Arrangörslista!K$143:$AG$180,16,FALSE), "DNS")))), IF(Deltagarlista!$K$3=1,IF(ISBLANK(Deltagarlista!$C25),"",IF(ISBLANK(Arrangörslista!K$143),"",IFERROR(VLOOKUP($F20,Arrangörslista!K$143:$AG$180,16,FALSE), "DNS"))),""))</f>
        <v/>
      </c>
      <c r="BL20" s="5" t="str">
        <f>IF(Deltagarlista!$K$3=2,
IF(ISBLANK(Deltagarlista!$C25),"",IF(ISBLANK(Arrangörslista!L$143),"",IF($GV20=BL$64," DNS ",IFERROR(VLOOKUP($F20,Arrangörslista!L$143:$AG$180,16,FALSE), "DNS")))), IF(Deltagarlista!$K$3=1,IF(ISBLANK(Deltagarlista!$C25),"",IF(ISBLANK(Arrangörslista!L$143),"",IFERROR(VLOOKUP($F20,Arrangörslista!L$143:$AG$180,16,FALSE), "DNS"))),""))</f>
        <v/>
      </c>
      <c r="BM20" s="5" t="str">
        <f>IF(Deltagarlista!$K$3=2,
IF(ISBLANK(Deltagarlista!$C25),"",IF(ISBLANK(Arrangörslista!M$143),"",IF($GV20=BM$64," DNS ",IFERROR(VLOOKUP($F20,Arrangörslista!M$143:$AG$180,16,FALSE), "DNS")))), IF(Deltagarlista!$K$3=1,IF(ISBLANK(Deltagarlista!$C25),"",IF(ISBLANK(Arrangörslista!M$143),"",IFERROR(VLOOKUP($F20,Arrangörslista!M$143:$AG$180,16,FALSE), "DNS"))),""))</f>
        <v/>
      </c>
      <c r="BN20" s="5" t="str">
        <f>IF(Deltagarlista!$K$3=2,
IF(ISBLANK(Deltagarlista!$C25),"",IF(ISBLANK(Arrangörslista!N$143),"",IF($GV20=BN$64," DNS ",IFERROR(VLOOKUP($F20,Arrangörslista!N$143:$AG$180,16,FALSE), "DNS")))), IF(Deltagarlista!$K$3=1,IF(ISBLANK(Deltagarlista!$C25),"",IF(ISBLANK(Arrangörslista!N$143),"",IFERROR(VLOOKUP($F20,Arrangörslista!N$143:$AG$180,16,FALSE), "DNS"))),""))</f>
        <v/>
      </c>
      <c r="BO20" s="5" t="str">
        <f>IF(Deltagarlista!$K$3=2,
IF(ISBLANK(Deltagarlista!$C25),"",IF(ISBLANK(Arrangörslista!O$143),"",IF($GV20=BO$64," DNS ",IFERROR(VLOOKUP($F20,Arrangörslista!O$143:$AG$180,16,FALSE), "DNS")))), IF(Deltagarlista!$K$3=1,IF(ISBLANK(Deltagarlista!$C25),"",IF(ISBLANK(Arrangörslista!O$143),"",IFERROR(VLOOKUP($F20,Arrangörslista!O$143:$AG$180,16,FALSE), "DNS"))),""))</f>
        <v/>
      </c>
      <c r="BP20" s="5" t="str">
        <f>IF(Deltagarlista!$K$3=2,
IF(ISBLANK(Deltagarlista!$C25),"",IF(ISBLANK(Arrangörslista!P$143),"",IF($GV20=BP$64," DNS ",IFERROR(VLOOKUP($F20,Arrangörslista!P$143:$AG$180,16,FALSE), "DNS")))), IF(Deltagarlista!$K$3=1,IF(ISBLANK(Deltagarlista!$C25),"",IF(ISBLANK(Arrangörslista!P$143),"",IFERROR(VLOOKUP($F20,Arrangörslista!P$143:$AG$180,16,FALSE), "DNS"))),""))</f>
        <v/>
      </c>
      <c r="BQ20" s="80" t="str">
        <f>IF(Deltagarlista!$K$3=2,
IF(ISBLANK(Deltagarlista!$C25),"",IF(ISBLANK(Arrangörslista!Q$143),"",IF($GV20=BQ$64," DNS ",IFERROR(VLOOKUP($F20,Arrangörslista!Q$143:$AG$180,16,FALSE), "DNS")))), IF(Deltagarlista!$K$3=1,IF(ISBLANK(Deltagarlista!$C25),"",IF(ISBLANK(Arrangörslista!Q$143),"",IFERROR(VLOOKUP($F20,Arrangörslista!Q$143:$AG$180,16,FALSE), "DNS"))),""))</f>
        <v/>
      </c>
      <c r="BR20" s="51"/>
      <c r="BS20" s="51"/>
      <c r="BT20" s="51"/>
      <c r="BU20" s="71">
        <f>SUM(BV20:EC20)</f>
        <v>0</v>
      </c>
      <c r="BV20" s="61">
        <f>IF(J20="",0,IF(OR(J20="DNF",J20="OCS",J20="DSQ",J20="DNS",J20=" DNS "),$BW$3+1,J20))</f>
        <v>0</v>
      </c>
      <c r="BW20" s="61">
        <f>IF(K20="",0,IF(OR(K20="DNF",K20="OCS",K20="DSQ",K20="DNS",K20=" DNS "),$BW$3+1,K20))</f>
        <v>0</v>
      </c>
      <c r="BX20" s="61">
        <f>IF(L20="",0,IF(OR(L20="DNF",L20="OCS",L20="DSQ",L20="DNS",L20=" DNS "),$BW$3+1,L20))</f>
        <v>0</v>
      </c>
      <c r="BY20" s="61">
        <f>IF(M20="",0,IF(OR(M20="DNF",M20="OCS",M20="DSQ",M20="DNS",M20=" DNS "),$BW$3+1,M20))</f>
        <v>0</v>
      </c>
      <c r="BZ20" s="61">
        <f>IF(N20="",0,IF(OR(N20="DNF",N20="OCS",N20="DSQ",N20="DNS",N20=" DNS "),$BW$3+1,N20))</f>
        <v>0</v>
      </c>
      <c r="CA20" s="61">
        <f>IF(O20="",0,IF(OR(O20="DNF",O20="OCS",O20="DSQ",O20="DNS",O20=" DNS "),$BW$3+1,O20))</f>
        <v>0</v>
      </c>
      <c r="CB20" s="61">
        <f>IF(P20="",0,IF(OR(P20="DNF",P20="OCS",P20="DSQ",P20="DNS",P20=" DNS "),$BW$3+1,P20))</f>
        <v>0</v>
      </c>
      <c r="CC20" s="61">
        <f>IF(Q20="",0,IF(OR(Q20="DNF",Q20="OCS",Q20="DSQ",Q20="DNS",Q20=" DNS "),$BW$3+1,Q20))</f>
        <v>0</v>
      </c>
      <c r="CD20" s="61">
        <f>IF(R20="",0,IF(OR(R20="DNF",R20="OCS",R20="DSQ",R20="DNS",R20=" DNS "),$BW$3+1,R20))</f>
        <v>0</v>
      </c>
      <c r="CE20" s="61">
        <f>IF(S20="",0,IF(OR(S20="DNF",S20="OCS",S20="DSQ",S20="DNS",S20=" DNS "),$BW$3+1,S20))</f>
        <v>0</v>
      </c>
      <c r="CF20" s="61">
        <f>IF(T20="",0,IF(OR(T20="DNF",T20="OCS",T20="DSQ",T20="DNS",T20=" DNS "),$BW$3+1,T20))</f>
        <v>0</v>
      </c>
      <c r="CG20" s="61">
        <f>IF(U20="",0,IF(OR(U20="DNF",U20="OCS",U20="DSQ",U20="DNS",U20=" DNS "),$BW$3+1,U20))</f>
        <v>0</v>
      </c>
      <c r="CH20" s="61">
        <f>IF(V20="",0,IF(OR(V20="DNF",V20="OCS",V20="DSQ",V20="DNS",V20=" DNS "),$BW$3+1,V20))</f>
        <v>0</v>
      </c>
      <c r="CI20" s="61">
        <f>IF(W20="",0,IF(OR(W20="DNF",W20="OCS",W20="DSQ",W20="DNS",W20=" DNS "),$BW$3+1,W20))</f>
        <v>0</v>
      </c>
      <c r="CJ20" s="61">
        <f>IF(X20="",0,IF(OR(X20="DNF",X20="OCS",X20="DSQ",X20="DNS",X20=" DNS "),$BW$3+1,X20))</f>
        <v>0</v>
      </c>
      <c r="CK20" s="61">
        <f>IF(Y20="",0,IF(OR(Y20="DNF",Y20="OCS",Y20="DSQ",Y20="DNS",Y20=" DNS "),$BW$3+1,Y20))</f>
        <v>0</v>
      </c>
      <c r="CL20" s="61">
        <f>IF(Z20="",0,IF(OR(Z20="DNF",Z20="OCS",Z20="DSQ",Z20="DNS",Z20=" DNS "),$BW$3+1,Z20))</f>
        <v>0</v>
      </c>
      <c r="CM20" s="61">
        <f>IF(AA20="",0,IF(OR(AA20="DNF",AA20="OCS",AA20="DSQ",AA20="DNS",AA20=" DNS "),$BW$3+1,AA20))</f>
        <v>0</v>
      </c>
      <c r="CN20" s="61">
        <f>IF(AB20="",0,IF(OR(AB20="DNF",AB20="OCS",AB20="DSQ",AB20="DNS",AB20=" DNS "),$BW$3+1,AB20))</f>
        <v>0</v>
      </c>
      <c r="CO20" s="61">
        <f>IF(AC20="",0,IF(OR(AC20="DNF",AC20="OCS",AC20="DSQ",AC20="DNS",AC20=" DNS "),$BW$3+1,AC20))</f>
        <v>0</v>
      </c>
      <c r="CP20" s="61">
        <f>IF(AD20="",0,IF(OR(AD20="DNF",AD20="OCS",AD20="DSQ",AD20="DNS",AD20=" DNS "),$BW$3+1,AD20))</f>
        <v>0</v>
      </c>
      <c r="CQ20" s="61">
        <f>IF(AE20="",0,IF(OR(AE20="DNF",AE20="OCS",AE20="DSQ",AE20="DNS",AE20=" DNS "),$BW$3+1,AE20))</f>
        <v>0</v>
      </c>
      <c r="CR20" s="61">
        <f>IF(AF20="",0,IF(OR(AF20="DNF",AF20="OCS",AF20="DSQ",AF20="DNS",AF20=" DNS "),$BW$3+1,AF20))</f>
        <v>0</v>
      </c>
      <c r="CS20" s="61">
        <f>IF(AG20="",0,IF(OR(AG20="DNF",AG20="OCS",AG20="DSQ",AG20="DNS",AG20=" DNS "),$BW$3+1,AG20))</f>
        <v>0</v>
      </c>
      <c r="CT20" s="61">
        <f>IF(AH20="",0,IF(OR(AH20="DNF",AH20="OCS",AH20="DSQ",AH20="DNS",AH20=" DNS "),$BW$3+1,AH20))</f>
        <v>0</v>
      </c>
      <c r="CU20" s="61">
        <f>IF(AI20="",0,IF(OR(AI20="DNF",AI20="OCS",AI20="DSQ",AI20="DNS",AI20=" DNS "),$BW$3+1,AI20))</f>
        <v>0</v>
      </c>
      <c r="CV20" s="61">
        <f>IF(AJ20="",0,IF(OR(AJ20="DNF",AJ20="OCS",AJ20="DSQ",AJ20="DNS",AJ20=" DNS "),$BW$3+1,AJ20))</f>
        <v>0</v>
      </c>
      <c r="CW20" s="61">
        <f>IF(AK20="",0,IF(OR(AK20="DNF",AK20="OCS",AK20="DSQ",AK20="DNS",AK20=" DNS "),$BW$3+1,AK20))</f>
        <v>0</v>
      </c>
      <c r="CX20" s="61">
        <f>IF(AL20="",0,IF(OR(AL20="DNF",AL20="OCS",AL20="DSQ",AL20="DNS",AL20=" DNS "),$BW$3+1,AL20))</f>
        <v>0</v>
      </c>
      <c r="CY20" s="61">
        <f>IF(AM20="",0,IF(OR(AM20="DNF",AM20="OCS",AM20="DSQ",AM20="DNS",AM20=" DNS "),$BW$3+1,AM20))</f>
        <v>0</v>
      </c>
      <c r="CZ20" s="61">
        <f>IF(AN20="",0,IF(OR(AN20="DNF",AN20="OCS",AN20="DSQ",AN20="DNS",AN20=" DNS "),$BW$3+1,AN20))</f>
        <v>0</v>
      </c>
      <c r="DA20" s="61">
        <f>IF(AO20="",0,IF(OR(AO20="DNF",AO20="OCS",AO20="DSQ",AO20="DNS",AO20=" DNS "),$BW$3+1,AO20))</f>
        <v>0</v>
      </c>
      <c r="DB20" s="61">
        <f>IF(AP20="",0,IF(OR(AP20="DNF",AP20="OCS",AP20="DSQ",AP20="DNS",AP20=" DNS "),$BW$3+1,AP20))</f>
        <v>0</v>
      </c>
      <c r="DC20" s="61">
        <f>IF(AQ20="",0,IF(OR(AQ20="DNF",AQ20="OCS",AQ20="DSQ",AQ20="DNS",AQ20=" DNS "),$BW$3+1,AQ20))</f>
        <v>0</v>
      </c>
      <c r="DD20" s="61">
        <f>IF(AR20="",0,IF(OR(AR20="DNF",AR20="OCS",AR20="DSQ",AR20="DNS",AR20=" DNS "),$BW$3+1,AR20))</f>
        <v>0</v>
      </c>
      <c r="DE20" s="61">
        <f>IF(AS20="",0,IF(OR(AS20="DNF",AS20="OCS",AS20="DSQ",AS20="DNS",AS20=" DNS "),$BW$3+1,AS20))</f>
        <v>0</v>
      </c>
      <c r="DF20" s="61">
        <f>IF(AT20="",0,IF(OR(AT20="DNF",AT20="OCS",AT20="DSQ",AT20="DNS",AT20=" DNS "),$BW$3+1,AT20))</f>
        <v>0</v>
      </c>
      <c r="DG20" s="61">
        <f>IF(AU20="",0,IF(OR(AU20="DNF",AU20="OCS",AU20="DSQ",AU20="DNS",AU20=" DNS "),$BW$3+1,AU20))</f>
        <v>0</v>
      </c>
      <c r="DH20" s="61">
        <f>IF(AV20="",0,IF(OR(AV20="DNF",AV20="OCS",AV20="DSQ",AV20="DNS",AV20=" DNS "),$BW$3+1,AV20))</f>
        <v>0</v>
      </c>
      <c r="DI20" s="61">
        <f>IF(AW20="",0,IF(OR(AW20="DNF",AW20="OCS",AW20="DSQ",AW20="DNS",AW20=" DNS "),$BW$3+1,AW20))</f>
        <v>0</v>
      </c>
      <c r="DJ20" s="61">
        <f>IF(AX20="",0,IF(OR(AX20="DNF",AX20="OCS",AX20="DSQ",AX20="DNS",AX20=" DNS "),$BW$3+1,AX20))</f>
        <v>0</v>
      </c>
      <c r="DK20" s="61">
        <f>IF(AY20="",0,IF(OR(AY20="DNF",AY20="OCS",AY20="DSQ",AY20="DNS",AY20=" DNS "),$BW$3+1,AY20))</f>
        <v>0</v>
      </c>
      <c r="DL20" s="61">
        <f>IF(AZ20="",0,IF(OR(AZ20="DNF",AZ20="OCS",AZ20="DSQ",AZ20="DNS",AZ20=" DNS "),$BW$3+1,AZ20))</f>
        <v>0</v>
      </c>
      <c r="DM20" s="61">
        <f>IF(BA20="",0,IF(OR(BA20="DNF",BA20="OCS",BA20="DSQ",BA20="DNS",BA20=" DNS "),$BW$3+1,BA20))</f>
        <v>0</v>
      </c>
      <c r="DN20" s="61">
        <f>IF(BB20="",0,IF(OR(BB20="DNF",BB20="OCS",BB20="DSQ",BB20="DNS",BB20=" DNS "),$BW$3+1,BB20))</f>
        <v>0</v>
      </c>
      <c r="DO20" s="61">
        <f>IF(BC20="",0,IF(OR(BC20="DNF",BC20="OCS",BC20="DSQ",BC20="DNS",BC20=" DNS "),$BW$3+1,BC20))</f>
        <v>0</v>
      </c>
      <c r="DP20" s="61">
        <f>IF(BD20="",0,IF(OR(BD20="DNF",BD20="OCS",BD20="DSQ",BD20="DNS",BD20=" DNS "),$BW$3+1,BD20))</f>
        <v>0</v>
      </c>
      <c r="DQ20" s="61">
        <f>IF(BE20="",0,IF(OR(BE20="DNF",BE20="OCS",BE20="DSQ",BE20="DNS",BE20=" DNS "),$BW$3+1,BE20))</f>
        <v>0</v>
      </c>
      <c r="DR20" s="61">
        <f>IF(BF20="",0,IF(OR(BF20="DNF",BF20="OCS",BF20="DSQ",BF20="DNS",BF20=" DNS "),$BW$3+1,BF20))</f>
        <v>0</v>
      </c>
      <c r="DS20" s="61">
        <f>IF(BG20="",0,IF(OR(BG20="DNF",BG20="OCS",BG20="DSQ",BG20="DNS",BG20=" DNS "),$BW$3+1,BG20))</f>
        <v>0</v>
      </c>
      <c r="DT20" s="61">
        <f>IF(BH20="",0,IF(OR(BH20="DNF",BH20="OCS",BH20="DSQ",BH20="DNS",BH20=" DNS "),$BW$3+1,BH20))</f>
        <v>0</v>
      </c>
      <c r="DU20" s="61">
        <f>IF(BI20="",0,IF(OR(BI20="DNF",BI20="OCS",BI20="DSQ",BI20="DNS",BI20=" DNS "),$BW$3+1,BI20))</f>
        <v>0</v>
      </c>
      <c r="DV20" s="61">
        <f>IF(BJ20="",0,IF(OR(BJ20="DNF",BJ20="OCS",BJ20="DSQ",BJ20="DNS",BJ20=" DNS "),$BW$3+1,BJ20))</f>
        <v>0</v>
      </c>
      <c r="DW20" s="61">
        <f>IF(BK20="",0,IF(OR(BK20="DNF",BK20="OCS",BK20="DSQ",BK20="DNS",BK20=" DNS "),$BW$3+1,BK20))</f>
        <v>0</v>
      </c>
      <c r="DX20" s="61">
        <f>IF(BL20="",0,IF(OR(BL20="DNF",BL20="OCS",BL20="DSQ",BL20="DNS",BL20=" DNS "),$BW$3+1,BL20))</f>
        <v>0</v>
      </c>
      <c r="DY20" s="61">
        <f>IF(BM20="",0,IF(OR(BM20="DNF",BM20="OCS",BM20="DSQ",BM20="DNS",BM20=" DNS "),$BW$3+1,BM20))</f>
        <v>0</v>
      </c>
      <c r="DZ20" s="61">
        <f>IF(BN20="",0,IF(OR(BN20="DNF",BN20="OCS",BN20="DSQ",BN20="DNS",BN20=" DNS "),$BW$3+1,BN20))</f>
        <v>0</v>
      </c>
      <c r="EA20" s="61">
        <f>IF(BO20="",0,IF(OR(BO20="DNF",BO20="OCS",BO20="DSQ",BO20="DNS",BO20=" DNS "),$BW$3+1,BO20))</f>
        <v>0</v>
      </c>
      <c r="EB20" s="61">
        <f>IF(BP20="",0,IF(OR(BP20="DNF",BP20="OCS",BP20="DSQ",BP20="DNS",BP20=" DNS "),$BW$3+1,BP20))</f>
        <v>0</v>
      </c>
      <c r="EC20" s="61">
        <f>IF(BQ20="",0,IF(OR(BQ20="DNF",BQ20="OCS",BQ20="DSQ",BQ20="DNS",BQ20=" DNS "),$BW$3+1,BQ20))</f>
        <v>0</v>
      </c>
      <c r="EE20" s="61">
        <f xml:space="preserve">
IF(OR(Deltagarlista!$K$3=3,Deltagarlista!$K$3=4),
IF(Arrangörslista!$U$5&lt;8,0,
IF(Arrangörslista!$U$5&lt;16,SUM(LARGE(BV20:CJ20,1)),
IF(Arrangörslista!$U$5&lt;24,SUM(LARGE(BV20:CR20,{1;2})),
IF(Arrangörslista!$U$5&lt;32,SUM(LARGE(BV20:CZ20,{1;2;3})),
IF(Arrangörslista!$U$5&lt;40,SUM(LARGE(BV20:DH20,{1;2;3;4})),
IF(Arrangörslista!$U$5&lt;48,SUM(LARGE(BV20:DP20,{1;2;3;4;5})),
IF(Arrangörslista!$U$5&lt;56,SUM(LARGE(BV20:DX20,{1;2;3;4;5;6})),
IF(Arrangörslista!$U$5&lt;64,SUM(LARGE(BV20:EC20,{1;2;3;4;5;6;7})),0)))))))),
IF(Deltagarlista!$K$3=2,
IF(Arrangörslista!$U$5&lt;4,LARGE(BV20:BX20,1),
IF(Arrangörslista!$U$5&lt;7,SUM(LARGE(BV20:CA20,{1;2;3})),
IF(Arrangörslista!$U$5&lt;10,SUM(LARGE(BV20:CD20,{1;2;3;4})),
IF(Arrangörslista!$U$5&lt;13,SUM(LARGE(BV20:CG20,{1;2;3;4;5;6})),
IF(Arrangörslista!$U$5&lt;16,SUM(LARGE(BV20:CJ20,{1;2;3;4;5;6;7})),
IF(Arrangörslista!$U$5&lt;19,SUM(LARGE(BV20:CM20,{1;2;3;4;5;6;7;8;9})),
IF(Arrangörslista!$U$5&lt;22,SUM(LARGE(BV20:CP20,{1;2;3;4;5;6;7;8;9;10})),
IF(Arrangörslista!$U$5&lt;25,SUM(LARGE(BV20:CS20,{1;2;3;4;5;6;7;8;9;10;11;12})),
IF(Arrangörslista!$U$5&lt;28,SUM(LARGE(BV20:CV20,{1;2;3;4;5;6;7;8;9;10;11;12;13})),
IF(Arrangörslista!$U$5&lt;31,SUM(LARGE(BV20:CY20,{1;2;3;4;5;6;7;8;9;10;11;12;13;14;15})),
IF(Arrangörslista!$U$5&lt;34,SUM(LARGE(BV20:DB20,{1;2;3;4;5;6;7;8;9;10;11;12;13;14;15;16})),
IF(Arrangörslista!$U$5&lt;37,SUM(LARGE(BV20:DE20,{1;2;3;4;5;6;7;8;9;10;11;12;13;14;15;16;17;18})),
IF(Arrangörslista!$U$5&lt;40,SUM(LARGE(BV20:DH20,{1;2;3;4;5;6;7;8;9;10;11;12;13;14;15;16;17;18;19})),
IF(Arrangörslista!$U$5&lt;43,SUM(LARGE(BV20:DK20,{1;2;3;4;5;6;7;8;9;10;11;12;13;14;15;16;17;18;19;20;21})),
IF(Arrangörslista!$U$5&lt;46,SUM(LARGE(BV20:DN20,{1;2;3;4;5;6;7;8;9;10;11;12;13;14;15;16;17;18;19;20;21;22})),
IF(Arrangörslista!$U$5&lt;49,SUM(LARGE(BV20:DQ20,{1;2;3;4;5;6;7;8;9;10;11;12;13;14;15;16;17;18;19;20;21;22;23;24})),
IF(Arrangörslista!$U$5&lt;52,SUM(LARGE(BV20:DT20,{1;2;3;4;5;6;7;8;9;10;11;12;13;14;15;16;17;18;19;20;21;22;23;24;25})),
IF(Arrangörslista!$U$5&lt;55,SUM(LARGE(BV20:DW20,{1;2;3;4;5;6;7;8;9;10;11;12;13;14;15;16;17;18;19;20;21;22;23;24;25;26;27})),
IF(Arrangörslista!$U$5&lt;58,SUM(LARGE(BV20:DZ20,{1;2;3;4;5;6;7;8;9;10;11;12;13;14;15;16;17;18;19;20;21;22;23;24;25;26;27;28})),
IF(Arrangörslista!$U$5&lt;61,SUM(LARGE(BV20:EC20,{1;2;3;4;5;6;7;8;9;10;11;12;13;14;15;16;17;18;19;20;21;22;23;24;25;26;27;28;29;30})),0)))))))))))))))))))),
IF(Arrangörslista!$U$5&lt;4,0,
IF(Arrangörslista!$U$5&lt;8,SUM(LARGE(BV20:CB20,1)),
IF(Arrangörslista!$U$5&lt;12,SUM(LARGE(BV20:CF20,{1;2})),
IF(Arrangörslista!$U$5&lt;16,SUM(LARGE(BV20:CJ20,{1;2;3})),
IF(Arrangörslista!$U$5&lt;20,SUM(LARGE(BV20:CN20,{1;2;3;4})),
IF(Arrangörslista!$U$5&lt;24,SUM(LARGE(BV20:CR20,{1;2;3;4;5})),
IF(Arrangörslista!$U$5&lt;28,SUM(LARGE(BV20:CV20,{1;2;3;4;5;6})),
IF(Arrangörslista!$U$5&lt;32,SUM(LARGE(BV20:CZ20,{1;2;3;4;5;6;7})),
IF(Arrangörslista!$U$5&lt;36,SUM(LARGE(BV20:DD20,{1;2;3;4;5;6;7;8})),
IF(Arrangörslista!$U$5&lt;40,SUM(LARGE(BV20:DH20,{1;2;3;4;5;6;7;8;9})),
IF(Arrangörslista!$U$5&lt;44,SUM(LARGE(BV20:DL20,{1;2;3;4;5;6;7;8;9;10})),
IF(Arrangörslista!$U$5&lt;48,SUM(LARGE(BV20:DP20,{1;2;3;4;5;6;7;8;9;10;11})),
IF(Arrangörslista!$U$5&lt;52,SUM(LARGE(BV20:DT20,{1;2;3;4;5;6;7;8;9;10;11;12})),
IF(Arrangörslista!$U$5&lt;56,SUM(LARGE(BV20:DX20,{1;2;3;4;5;6;7;8;9;10;11;12;13})),
IF(Arrangörslista!$U$5&lt;60,SUM(LARGE(BV20:EB20,{1;2;3;4;5;6;7;8;9;10;11;12;13;14})),
IF(Arrangörslista!$U$5=60,SUM(LARGE(BV20:EC20,{1;2;3;4;5;6;7;8;9;10;11;12;13;14;15})),0))))))))))))))))))</f>
        <v>0</v>
      </c>
      <c r="EG20" s="67">
        <f>IF(F20="",,1)</f>
        <v>0</v>
      </c>
      <c r="EH20" s="61"/>
      <c r="EI20" s="61"/>
      <c r="EK20" s="62">
        <f>SMALL($J83:$BQ83,1)</f>
        <v>61</v>
      </c>
      <c r="EL20" s="62">
        <f>SMALL($J83:$BQ83,2)</f>
        <v>61</v>
      </c>
      <c r="EM20" s="62">
        <f>SMALL($J83:$BQ83,3)</f>
        <v>61</v>
      </c>
      <c r="EN20" s="62">
        <f>SMALL($J83:$BQ83,4)</f>
        <v>61</v>
      </c>
      <c r="EO20" s="62">
        <f>SMALL($J83:$BQ83,5)</f>
        <v>61</v>
      </c>
      <c r="EP20" s="62">
        <f>SMALL($J83:$BQ83,6)</f>
        <v>61</v>
      </c>
      <c r="EQ20" s="62">
        <f>SMALL($J83:$BQ83,7)</f>
        <v>61</v>
      </c>
      <c r="ER20" s="62">
        <f>SMALL($J83:$BQ83,8)</f>
        <v>61</v>
      </c>
      <c r="ES20" s="62">
        <f>SMALL($J83:$BQ83,9)</f>
        <v>61</v>
      </c>
      <c r="ET20" s="62">
        <f>SMALL($J83:$BQ83,10)</f>
        <v>61</v>
      </c>
      <c r="EU20" s="62">
        <f>SMALL($J83:$BQ83,11)</f>
        <v>61</v>
      </c>
      <c r="EV20" s="62">
        <f>SMALL($J83:$BQ83,12)</f>
        <v>61</v>
      </c>
      <c r="EW20" s="62">
        <f>SMALL($J83:$BQ83,13)</f>
        <v>61</v>
      </c>
      <c r="EX20" s="62">
        <f>SMALL($J83:$BQ83,14)</f>
        <v>61</v>
      </c>
      <c r="EY20" s="62">
        <f>SMALL($J83:$BQ83,15)</f>
        <v>61</v>
      </c>
      <c r="EZ20" s="62">
        <f>SMALL($J83:$BQ83,16)</f>
        <v>61</v>
      </c>
      <c r="FA20" s="62">
        <f>SMALL($J83:$BQ83,17)</f>
        <v>61</v>
      </c>
      <c r="FB20" s="62">
        <f>SMALL($J83:$BQ83,18)</f>
        <v>61</v>
      </c>
      <c r="FC20" s="62">
        <f>SMALL($J83:$BQ83,19)</f>
        <v>61</v>
      </c>
      <c r="FD20" s="62">
        <f>SMALL($J83:$BQ83,20)</f>
        <v>61</v>
      </c>
      <c r="FE20" s="62">
        <f>SMALL($J83:$BQ83,21)</f>
        <v>61</v>
      </c>
      <c r="FF20" s="62">
        <f>SMALL($J83:$BQ83,22)</f>
        <v>61</v>
      </c>
      <c r="FG20" s="62">
        <f>SMALL($J83:$BQ83,23)</f>
        <v>61</v>
      </c>
      <c r="FH20" s="62">
        <f>SMALL($J83:$BQ83,24)</f>
        <v>61</v>
      </c>
      <c r="FI20" s="62">
        <f>SMALL($J83:$BQ83,25)</f>
        <v>61</v>
      </c>
      <c r="FJ20" s="62">
        <f>SMALL($J83:$BQ83,26)</f>
        <v>61</v>
      </c>
      <c r="FK20" s="62">
        <f>SMALL($J83:$BQ83,27)</f>
        <v>61</v>
      </c>
      <c r="FL20" s="62">
        <f>SMALL($J83:$BQ83,28)</f>
        <v>61</v>
      </c>
      <c r="FM20" s="62">
        <f>SMALL($J83:$BQ83,29)</f>
        <v>61</v>
      </c>
      <c r="FN20" s="62">
        <f>SMALL($J83:$BQ83,30)</f>
        <v>61</v>
      </c>
      <c r="FO20" s="62">
        <f>SMALL($J83:$BQ83,31)</f>
        <v>61</v>
      </c>
      <c r="FP20" s="62">
        <f>SMALL($J83:$BQ83,32)</f>
        <v>61</v>
      </c>
      <c r="FQ20" s="62">
        <f>SMALL($J83:$BQ83,33)</f>
        <v>61</v>
      </c>
      <c r="FR20" s="62">
        <f>SMALL($J83:$BQ83,34)</f>
        <v>61</v>
      </c>
      <c r="FS20" s="62">
        <f>SMALL($J83:$BQ83,35)</f>
        <v>61</v>
      </c>
      <c r="FT20" s="62">
        <f>SMALL($J83:$BQ83,36)</f>
        <v>61</v>
      </c>
      <c r="FU20" s="62">
        <f>SMALL($J83:$BQ83,37)</f>
        <v>61</v>
      </c>
      <c r="FV20" s="62">
        <f>SMALL($J83:$BQ83,38)</f>
        <v>61</v>
      </c>
      <c r="FW20" s="62">
        <f>SMALL($J83:$BQ83,39)</f>
        <v>61</v>
      </c>
      <c r="FX20" s="62">
        <f>SMALL($J83:$BQ83,40)</f>
        <v>61</v>
      </c>
      <c r="FY20" s="62">
        <f>SMALL($J83:$BQ83,41)</f>
        <v>61</v>
      </c>
      <c r="FZ20" s="62">
        <f>SMALL($J83:$BQ83,42)</f>
        <v>61</v>
      </c>
      <c r="GA20" s="62">
        <f>SMALL($J83:$BQ83,43)</f>
        <v>61</v>
      </c>
      <c r="GB20" s="62">
        <f>SMALL($J83:$BQ83,44)</f>
        <v>61</v>
      </c>
      <c r="GC20" s="62">
        <f>SMALL($J83:$BQ83,45)</f>
        <v>61</v>
      </c>
      <c r="GD20" s="62">
        <f>SMALL($J83:$BQ83,46)</f>
        <v>61</v>
      </c>
      <c r="GE20" s="62">
        <f>SMALL($J83:$BQ83,47)</f>
        <v>61</v>
      </c>
      <c r="GF20" s="62">
        <f>SMALL($J83:$BQ83,48)</f>
        <v>61</v>
      </c>
      <c r="GG20" s="62">
        <f>SMALL($J83:$BQ83,49)</f>
        <v>61</v>
      </c>
      <c r="GH20" s="62">
        <f>SMALL($J83:$BQ83,50)</f>
        <v>61</v>
      </c>
      <c r="GI20" s="62">
        <f>SMALL($J83:$BQ83,51)</f>
        <v>61</v>
      </c>
      <c r="GJ20" s="62">
        <f>SMALL($J83:$BQ83,52)</f>
        <v>61</v>
      </c>
      <c r="GK20" s="62">
        <f>SMALL($J83:$BQ83,53)</f>
        <v>61</v>
      </c>
      <c r="GL20" s="62">
        <f>SMALL($J83:$BQ83,54)</f>
        <v>61</v>
      </c>
      <c r="GM20" s="62">
        <f>SMALL($J83:$BQ83,55)</f>
        <v>61</v>
      </c>
      <c r="GN20" s="62">
        <f>SMALL($J83:$BQ83,56)</f>
        <v>61</v>
      </c>
      <c r="GO20" s="62">
        <f>SMALL($J83:$BQ83,57)</f>
        <v>61</v>
      </c>
      <c r="GP20" s="62">
        <f>SMALL($J83:$BQ83,58)</f>
        <v>61</v>
      </c>
      <c r="GQ20" s="62">
        <f>SMALL($J83:$BQ83,59)</f>
        <v>61</v>
      </c>
      <c r="GR20" s="62">
        <f>SMALL($J83:$BQ83,60)</f>
        <v>61</v>
      </c>
      <c r="GT20" s="62">
        <f>IF(Deltagarlista!$K$3=2,
IF(GW20="1",
      IF(Arrangörslista!$U$5=1,J83,
IF(Arrangörslista!$U$5=2,K83,
IF(Arrangörslista!$U$5=3,L83,
IF(Arrangörslista!$U$5=4,M83,
IF(Arrangörslista!$U$5=5,N83,
IF(Arrangörslista!$U$5=6,O83,
IF(Arrangörslista!$U$5=7,P83,
IF(Arrangörslista!$U$5=8,Q83,
IF(Arrangörslista!$U$5=9,R83,
IF(Arrangörslista!$U$5=10,S83,
IF(Arrangörslista!$U$5=11,T83,
IF(Arrangörslista!$U$5=12,U83,
IF(Arrangörslista!$U$5=13,V83,
IF(Arrangörslista!$U$5=14,W83,
IF(Arrangörslista!$U$5=15,X83,
IF(Arrangörslista!$U$5=16,Y83,IF(Arrangörslista!$U$5=17,Z83,IF(Arrangörslista!$U$5=18,AA83,IF(Arrangörslista!$U$5=19,AB83,IF(Arrangörslista!$U$5=20,AC83,IF(Arrangörslista!$U$5=21,AD83,IF(Arrangörslista!$U$5=22,AE83,IF(Arrangörslista!$U$5=23,AF83, IF(Arrangörslista!$U$5=24,AG83, IF(Arrangörslista!$U$5=25,AH83, IF(Arrangörslista!$U$5=26,AI83, IF(Arrangörslista!$U$5=27,AJ83, IF(Arrangörslista!$U$5=28,AK83, IF(Arrangörslista!$U$5=29,AL83, IF(Arrangörslista!$U$5=30,AM83, IF(Arrangörslista!$U$5=31,AN83, IF(Arrangörslista!$U$5=32,AO83, IF(Arrangörslista!$U$5=33,AP83, IF(Arrangörslista!$U$5=34,AQ83, IF(Arrangörslista!$U$5=35,AR83, IF(Arrangörslista!$U$5=36,AS83, IF(Arrangörslista!$U$5=37,AT83, IF(Arrangörslista!$U$5=38,AU83, IF(Arrangörslista!$U$5=39,AV83, IF(Arrangörslista!$U$5=40,AW83, IF(Arrangörslista!$U$5=41,AX83, IF(Arrangörslista!$U$5=42,AY83, IF(Arrangörslista!$U$5=43,AZ83, IF(Arrangörslista!$U$5=44,BA83, IF(Arrangörslista!$U$5=45,BB83, IF(Arrangörslista!$U$5=46,BC83, IF(Arrangörslista!$U$5=47,BD83, IF(Arrangörslista!$U$5=48,BE83, IF(Arrangörslista!$U$5=49,BF83, IF(Arrangörslista!$U$5=50,BG83, IF(Arrangörslista!$U$5=51,BH83, IF(Arrangörslista!$U$5=52,BI83, IF(Arrangörslista!$U$5=53,BJ83, IF(Arrangörslista!$U$5=54,BK83, IF(Arrangörslista!$U$5=55,BL83, IF(Arrangörslista!$U$5=56,BM83, IF(Arrangörslista!$U$5=57,BN83, IF(Arrangörslista!$U$5=58,BO83, IF(Arrangörslista!$U$5=59,BP83, IF(Arrangörslista!$U$5=60,BQ83,0))))))))))))))))))))))))))))))))))))))))))))))))))))))))))))),IF(Deltagarlista!$K$3=4, IF(Arrangörslista!$U$5=1,J83,
IF(Arrangörslista!$U$5=2,J83,
IF(Arrangörslista!$U$5=3,K83,
IF(Arrangörslista!$U$5=4,K83,
IF(Arrangörslista!$U$5=5,L83,
IF(Arrangörslista!$U$5=6,L83,
IF(Arrangörslista!$U$5=7,M83,
IF(Arrangörslista!$U$5=8,M83,
IF(Arrangörslista!$U$5=9,N83,
IF(Arrangörslista!$U$5=10,N83,
IF(Arrangörslista!$U$5=11,O83,
IF(Arrangörslista!$U$5=12,O83,
IF(Arrangörslista!$U$5=13,P83,
IF(Arrangörslista!$U$5=14,P83,
IF(Arrangörslista!$U$5=15,Q83,
IF(Arrangörslista!$U$5=16,Q83,
IF(Arrangörslista!$U$5=17,R83,
IF(Arrangörslista!$U$5=18,R83,
IF(Arrangörslista!$U$5=19,S83,
IF(Arrangörslista!$U$5=20,S83,
IF(Arrangörslista!$U$5=21,T83,
IF(Arrangörslista!$U$5=22,T83,IF(Arrangörslista!$U$5=23,U83, IF(Arrangörslista!$U$5=24,U83, IF(Arrangörslista!$U$5=25,V83, IF(Arrangörslista!$U$5=26,V83, IF(Arrangörslista!$U$5=27,W83, IF(Arrangörslista!$U$5=28,W83, IF(Arrangörslista!$U$5=29,X83, IF(Arrangörslista!$U$5=30,X83, IF(Arrangörslista!$U$5=31,X83, IF(Arrangörslista!$U$5=32,Y83, IF(Arrangörslista!$U$5=33,AO83, IF(Arrangörslista!$U$5=34,Y83, IF(Arrangörslista!$U$5=35,Z83, IF(Arrangörslista!$U$5=36,AR83, IF(Arrangörslista!$U$5=37,Z83, IF(Arrangörslista!$U$5=38,AA83, IF(Arrangörslista!$U$5=39,AU83, IF(Arrangörslista!$U$5=40,AA83, IF(Arrangörslista!$U$5=41,AB83, IF(Arrangörslista!$U$5=42,AX83, IF(Arrangörslista!$U$5=43,AB83, IF(Arrangörslista!$U$5=44,AC83, IF(Arrangörslista!$U$5=45,BA83, IF(Arrangörslista!$U$5=46,AC83, IF(Arrangörslista!$U$5=47,AD83, IF(Arrangörslista!$U$5=48,BD83, IF(Arrangörslista!$U$5=49,AD83, IF(Arrangörslista!$U$5=50,AE83, IF(Arrangörslista!$U$5=51,BG83, IF(Arrangörslista!$U$5=52,AE83, IF(Arrangörslista!$U$5=53,AF83, IF(Arrangörslista!$U$5=54,BJ83, IF(Arrangörslista!$U$5=55,AF83, IF(Arrangörslista!$U$5=56,AG83, IF(Arrangörslista!$U$5=57,BM83, IF(Arrangörslista!$U$5=58,AG83, IF(Arrangörslista!$U$5=59,AH83, IF(Arrangörslista!$U$5=60,AH83,0)))))))))))))))))))))))))))))))))))))))))))))))))))))))))))),IF(Arrangörslista!$U$5=1,J83,
IF(Arrangörslista!$U$5=2,K83,
IF(Arrangörslista!$U$5=3,L83,
IF(Arrangörslista!$U$5=4,M83,
IF(Arrangörslista!$U$5=5,N83,
IF(Arrangörslista!$U$5=6,O83,
IF(Arrangörslista!$U$5=7,P83,
IF(Arrangörslista!$U$5=8,Q83,
IF(Arrangörslista!$U$5=9,R83,
IF(Arrangörslista!$U$5=10,S83,
IF(Arrangörslista!$U$5=11,T83,
IF(Arrangörslista!$U$5=12,U83,
IF(Arrangörslista!$U$5=13,V83,
IF(Arrangörslista!$U$5=14,W83,
IF(Arrangörslista!$U$5=15,X83,
IF(Arrangörslista!$U$5=16,Y83,IF(Arrangörslista!$U$5=17,Z83,IF(Arrangörslista!$U$5=18,AA83,IF(Arrangörslista!$U$5=19,AB83,IF(Arrangörslista!$U$5=20,AC83,IF(Arrangörslista!$U$5=21,AD83,IF(Arrangörslista!$U$5=22,AE83,IF(Arrangörslista!$U$5=23,AF83, IF(Arrangörslista!$U$5=24,AG83, IF(Arrangörslista!$U$5=25,AH83, IF(Arrangörslista!$U$5=26,AI83, IF(Arrangörslista!$U$5=27,AJ83, IF(Arrangörslista!$U$5=28,AK83, IF(Arrangörslista!$U$5=29,AL83, IF(Arrangörslista!$U$5=30,AM83, IF(Arrangörslista!$U$5=31,AN83, IF(Arrangörslista!$U$5=32,AO83, IF(Arrangörslista!$U$5=33,AP83, IF(Arrangörslista!$U$5=34,AQ83, IF(Arrangörslista!$U$5=35,AR83, IF(Arrangörslista!$U$5=36,AS83, IF(Arrangörslista!$U$5=37,AT83, IF(Arrangörslista!$U$5=38,AU83, IF(Arrangörslista!$U$5=39,AV83, IF(Arrangörslista!$U$5=40,AW83, IF(Arrangörslista!$U$5=41,AX83, IF(Arrangörslista!$U$5=42,AY83, IF(Arrangörslista!$U$5=43,AZ83, IF(Arrangörslista!$U$5=44,BA83, IF(Arrangörslista!$U$5=45,BB83, IF(Arrangörslista!$U$5=46,BC83, IF(Arrangörslista!$U$5=47,BD83, IF(Arrangörslista!$U$5=48,BE83, IF(Arrangörslista!$U$5=49,BF83, IF(Arrangörslista!$U$5=50,BG83, IF(Arrangörslista!$U$5=51,BH83, IF(Arrangörslista!$U$5=52,BI83, IF(Arrangörslista!$U$5=53,BJ83, IF(Arrangörslista!$U$5=54,BK83, IF(Arrangörslista!$U$5=55,BL83, IF(Arrangörslista!$U$5=56,BM83, IF(Arrangörslista!$U$5=57,BN83, IF(Arrangörslista!$U$5=58,BO83, IF(Arrangörslista!$U$5=59,BP83, IF(Arrangörslista!$U$5=60,BQ83,0))))))))))))))))))))))))))))))))))))))))))))))))))))))))))))
))</f>
        <v>0</v>
      </c>
      <c r="GV20" s="65" t="str">
        <f>IFERROR(IF(VLOOKUP(F20,Deltagarlista!$E$5:$I$64,5,FALSE)="Grön","Gr",IF(VLOOKUP(F20,Deltagarlista!$E$5:$I$64,5,FALSE)="Röd","R",IF(VLOOKUP(F20,Deltagarlista!$E$5:$I$64,5,FALSE)="Blå","B","Gu"))),"")</f>
        <v/>
      </c>
      <c r="GW20" s="62" t="str">
        <f t="shared" si="1"/>
        <v/>
      </c>
    </row>
    <row r="21" spans="2:205" x14ac:dyDescent="0.3">
      <c r="B21" s="23" t="str">
        <f>IF($BW$3&gt;17,18,"")</f>
        <v/>
      </c>
      <c r="C21" s="92" t="str">
        <f>IF(ISBLANK(Deltagarlista!C20),"",Deltagarlista!C20)</f>
        <v/>
      </c>
      <c r="D21" s="109" t="str">
        <f>CONCATENATE(IF(AND(Deltagarlista!H20="GM",Deltagarlista!$S$14=TRUE),"GM   ",""),  IF(OR(Deltagarlista!$K$3=4,Deltagarlista!$K$3=2),Deltagarlista!I20,""))</f>
        <v/>
      </c>
      <c r="E21" s="8" t="str">
        <f>IF(ISBLANK(Deltagarlista!D20),"",Deltagarlista!D20)</f>
        <v/>
      </c>
      <c r="F21" s="8" t="str">
        <f>IF(ISBLANK(Deltagarlista!E20),"",Deltagarlista!E20)</f>
        <v/>
      </c>
      <c r="G21" s="95" t="str">
        <f>IF(ISBLANK(Deltagarlista!F20),"",Deltagarlista!F20)</f>
        <v/>
      </c>
      <c r="H21" s="72" t="str">
        <f>IF(ISBLANK(Deltagarlista!C20),"",BU21-EE21)</f>
        <v/>
      </c>
      <c r="I21" s="13" t="str">
        <f>IF(ISBLANK(Deltagarlista!C20),"",IF(AND(Deltagarlista!$K$3=2,Deltagarlista!$L$3&lt;37),SUM(SUM(BV21:EC21)-(ROUNDDOWN(Arrangörslista!$U$5/3,1))*($BW$3+1)),SUM(BV21:EC21)))</f>
        <v/>
      </c>
      <c r="J21" s="79" t="str">
        <f>IF(Deltagarlista!$K$3=4,IF(ISBLANK(Deltagarlista!$C20),"",IF(ISBLANK(Arrangörslista!C$8),"",IFERROR(VLOOKUP($F21,Arrangörslista!C$8:$AG$45,16,FALSE),IF(ISBLANK(Deltagarlista!$C20),"",IF(ISBLANK(Arrangörslista!C$8),"",IFERROR(VLOOKUP($F21,Arrangörslista!D$8:$AG$45,16,FALSE),"DNS")))))),IF(Deltagarlista!$K$3=2,
IF(ISBLANK(Deltagarlista!$C20),"",IF(ISBLANK(Arrangörslista!C$8),"",IF($GV21=J$64," DNS ",IFERROR(VLOOKUP($F21,Arrangörslista!C$8:$AG$45,16,FALSE),"DNS")))),IF(ISBLANK(Deltagarlista!$C20),"",IF(ISBLANK(Arrangörslista!C$8),"",IFERROR(VLOOKUP($F21,Arrangörslista!C$8:$AG$45,16,FALSE),"DNS")))))</f>
        <v/>
      </c>
      <c r="K21" s="5" t="str">
        <f>IF(Deltagarlista!$K$3=4,IF(ISBLANK(Deltagarlista!$C20),"",IF(ISBLANK(Arrangörslista!E$8),"",IFERROR(VLOOKUP($F21,Arrangörslista!E$8:$AG$45,16,FALSE),IF(ISBLANK(Deltagarlista!$C20),"",IF(ISBLANK(Arrangörslista!E$8),"",IFERROR(VLOOKUP($F21,Arrangörslista!F$8:$AG$45,16,FALSE),"DNS")))))),IF(Deltagarlista!$K$3=2,
IF(ISBLANK(Deltagarlista!$C20),"",IF(ISBLANK(Arrangörslista!D$8),"",IF($GV21=K$64," DNS ",IFERROR(VLOOKUP($F21,Arrangörslista!D$8:$AG$45,16,FALSE),"DNS")))),IF(ISBLANK(Deltagarlista!$C20),"",IF(ISBLANK(Arrangörslista!D$8),"",IFERROR(VLOOKUP($F21,Arrangörslista!D$8:$AG$45,16,FALSE),"DNS")))))</f>
        <v/>
      </c>
      <c r="L21" s="5" t="str">
        <f>IF(Deltagarlista!$K$3=4,IF(ISBLANK(Deltagarlista!$C20),"",IF(ISBLANK(Arrangörslista!G$8),"",IFERROR(VLOOKUP($F21,Arrangörslista!G$8:$AG$45,16,FALSE),IF(ISBLANK(Deltagarlista!$C20),"",IF(ISBLANK(Arrangörslista!G$8),"",IFERROR(VLOOKUP($F21,Arrangörslista!H$8:$AG$45,16,FALSE),"DNS")))))),IF(Deltagarlista!$K$3=2,
IF(ISBLANK(Deltagarlista!$C20),"",IF(ISBLANK(Arrangörslista!E$8),"",IF($GV21=L$64," DNS ",IFERROR(VLOOKUP($F21,Arrangörslista!E$8:$AG$45,16,FALSE),"DNS")))),IF(ISBLANK(Deltagarlista!$C20),"",IF(ISBLANK(Arrangörslista!E$8),"",IFERROR(VLOOKUP($F21,Arrangörslista!E$8:$AG$45,16,FALSE),"DNS")))))</f>
        <v/>
      </c>
      <c r="M21" s="5" t="str">
        <f>IF(Deltagarlista!$K$3=4,IF(ISBLANK(Deltagarlista!$C20),"",IF(ISBLANK(Arrangörslista!I$8),"",IFERROR(VLOOKUP($F21,Arrangörslista!I$8:$AG$45,16,FALSE),IF(ISBLANK(Deltagarlista!$C20),"",IF(ISBLANK(Arrangörslista!I$8),"",IFERROR(VLOOKUP($F21,Arrangörslista!J$8:$AG$45,16,FALSE),"DNS")))))),IF(Deltagarlista!$K$3=2,
IF(ISBLANK(Deltagarlista!$C20),"",IF(ISBLANK(Arrangörslista!F$8),"",IF($GV21=M$64," DNS ",IFERROR(VLOOKUP($F21,Arrangörslista!F$8:$AG$45,16,FALSE),"DNS")))),IF(ISBLANK(Deltagarlista!$C20),"",IF(ISBLANK(Arrangörslista!F$8),"",IFERROR(VLOOKUP($F21,Arrangörslista!F$8:$AG$45,16,FALSE),"DNS")))))</f>
        <v/>
      </c>
      <c r="N21" s="5" t="str">
        <f>IF(Deltagarlista!$K$3=4,IF(ISBLANK(Deltagarlista!$C20),"",IF(ISBLANK(Arrangörslista!K$8),"",IFERROR(VLOOKUP($F21,Arrangörslista!K$8:$AG$45,16,FALSE),IF(ISBLANK(Deltagarlista!$C20),"",IF(ISBLANK(Arrangörslista!K$8),"",IFERROR(VLOOKUP($F21,Arrangörslista!L$8:$AG$45,16,FALSE),"DNS")))))),IF(Deltagarlista!$K$3=2,
IF(ISBLANK(Deltagarlista!$C20),"",IF(ISBLANK(Arrangörslista!G$8),"",IF($GV21=N$64," DNS ",IFERROR(VLOOKUP($F21,Arrangörslista!G$8:$AG$45,16,FALSE),"DNS")))),IF(ISBLANK(Deltagarlista!$C20),"",IF(ISBLANK(Arrangörslista!G$8),"",IFERROR(VLOOKUP($F21,Arrangörslista!G$8:$AG$45,16,FALSE),"DNS")))))</f>
        <v/>
      </c>
      <c r="O21" s="5" t="str">
        <f>IF(Deltagarlista!$K$3=4,IF(ISBLANK(Deltagarlista!$C20),"",IF(ISBLANK(Arrangörslista!M$8),"",IFERROR(VLOOKUP($F21,Arrangörslista!M$8:$AG$45,16,FALSE),IF(ISBLANK(Deltagarlista!$C20),"",IF(ISBLANK(Arrangörslista!M$8),"",IFERROR(VLOOKUP($F21,Arrangörslista!N$8:$AG$45,16,FALSE),"DNS")))))),IF(Deltagarlista!$K$3=2,
IF(ISBLANK(Deltagarlista!$C20),"",IF(ISBLANK(Arrangörslista!H$8),"",IF($GV21=O$64," DNS ",IFERROR(VLOOKUP($F21,Arrangörslista!H$8:$AG$45,16,FALSE),"DNS")))),IF(ISBLANK(Deltagarlista!$C20),"",IF(ISBLANK(Arrangörslista!H$8),"",IFERROR(VLOOKUP($F21,Arrangörslista!H$8:$AG$45,16,FALSE),"DNS")))))</f>
        <v/>
      </c>
      <c r="P21" s="5" t="str">
        <f>IF(Deltagarlista!$K$3=4,IF(ISBLANK(Deltagarlista!$C20),"",IF(ISBLANK(Arrangörslista!O$8),"",IFERROR(VLOOKUP($F21,Arrangörslista!O$8:$AG$45,16,FALSE),IF(ISBLANK(Deltagarlista!$C20),"",IF(ISBLANK(Arrangörslista!O$8),"",IFERROR(VLOOKUP($F21,Arrangörslista!P$8:$AG$45,16,FALSE),"DNS")))))),IF(Deltagarlista!$K$3=2,
IF(ISBLANK(Deltagarlista!$C20),"",IF(ISBLANK(Arrangörslista!I$8),"",IF($GV21=P$64," DNS ",IFERROR(VLOOKUP($F21,Arrangörslista!I$8:$AG$45,16,FALSE),"DNS")))),IF(ISBLANK(Deltagarlista!$C20),"",IF(ISBLANK(Arrangörslista!I$8),"",IFERROR(VLOOKUP($F21,Arrangörslista!I$8:$AG$45,16,FALSE),"DNS")))))</f>
        <v/>
      </c>
      <c r="Q21" s="5" t="str">
        <f>IF(Deltagarlista!$K$3=4,IF(ISBLANK(Deltagarlista!$C20),"",IF(ISBLANK(Arrangörslista!Q$8),"",IFERROR(VLOOKUP($F21,Arrangörslista!Q$8:$AG$45,16,FALSE),IF(ISBLANK(Deltagarlista!$C20),"",IF(ISBLANK(Arrangörslista!Q$8),"",IFERROR(VLOOKUP($F21,Arrangörslista!C$53:$AG$90,16,FALSE),"DNS")))))),IF(Deltagarlista!$K$3=2,
IF(ISBLANK(Deltagarlista!$C20),"",IF(ISBLANK(Arrangörslista!J$8),"",IF($GV21=Q$64," DNS ",IFERROR(VLOOKUP($F21,Arrangörslista!J$8:$AG$45,16,FALSE),"DNS")))),IF(ISBLANK(Deltagarlista!$C20),"",IF(ISBLANK(Arrangörslista!J$8),"",IFERROR(VLOOKUP($F21,Arrangörslista!J$8:$AG$45,16,FALSE),"DNS")))))</f>
        <v/>
      </c>
      <c r="R21" s="5" t="str">
        <f>IF(Deltagarlista!$K$3=4,IF(ISBLANK(Deltagarlista!$C20),"",IF(ISBLANK(Arrangörslista!D$53),"",IFERROR(VLOOKUP($F21,Arrangörslista!D$53:$AG$90,16,FALSE),IF(ISBLANK(Deltagarlista!$C20),"",IF(ISBLANK(Arrangörslista!D$53),"",IFERROR(VLOOKUP($F21,Arrangörslista!E$53:$AG$90,16,FALSE),"DNS")))))),IF(Deltagarlista!$K$3=2,
IF(ISBLANK(Deltagarlista!$C20),"",IF(ISBLANK(Arrangörslista!K$8),"",IF($GV21=R$64," DNS ",IFERROR(VLOOKUP($F21,Arrangörslista!K$8:$AG$45,16,FALSE),"DNS")))),IF(ISBLANK(Deltagarlista!$C20),"",IF(ISBLANK(Arrangörslista!K$8),"",IFERROR(VLOOKUP($F21,Arrangörslista!K$8:$AG$45,16,FALSE),"DNS")))))</f>
        <v/>
      </c>
      <c r="S21" s="5" t="str">
        <f>IF(Deltagarlista!$K$3=4,IF(ISBLANK(Deltagarlista!$C20),"",IF(ISBLANK(Arrangörslista!F$53),"",IFERROR(VLOOKUP($F21,Arrangörslista!F$53:$AG$90,16,FALSE),IF(ISBLANK(Deltagarlista!$C20),"",IF(ISBLANK(Arrangörslista!F$53),"",IFERROR(VLOOKUP($F21,Arrangörslista!G$53:$AG$90,16,FALSE),"DNS")))))),IF(Deltagarlista!$K$3=2,
IF(ISBLANK(Deltagarlista!$C20),"",IF(ISBLANK(Arrangörslista!L$8),"",IF($GV21=S$64," DNS ",IFERROR(VLOOKUP($F21,Arrangörslista!L$8:$AG$45,16,FALSE),"DNS")))),IF(ISBLANK(Deltagarlista!$C20),"",IF(ISBLANK(Arrangörslista!L$8),"",IFERROR(VLOOKUP($F21,Arrangörslista!L$8:$AG$45,16,FALSE),"DNS")))))</f>
        <v/>
      </c>
      <c r="T21" s="5" t="str">
        <f>IF(Deltagarlista!$K$3=4,IF(ISBLANK(Deltagarlista!$C20),"",IF(ISBLANK(Arrangörslista!H$53),"",IFERROR(VLOOKUP($F21,Arrangörslista!H$53:$AG$90,16,FALSE),IF(ISBLANK(Deltagarlista!$C20),"",IF(ISBLANK(Arrangörslista!H$53),"",IFERROR(VLOOKUP($F21,Arrangörslista!I$53:$AG$90,16,FALSE),"DNS")))))),IF(Deltagarlista!$K$3=2,
IF(ISBLANK(Deltagarlista!$C20),"",IF(ISBLANK(Arrangörslista!M$8),"",IF($GV21=T$64," DNS ",IFERROR(VLOOKUP($F21,Arrangörslista!M$8:$AG$45,16,FALSE),"DNS")))),IF(ISBLANK(Deltagarlista!$C20),"",IF(ISBLANK(Arrangörslista!M$8),"",IFERROR(VLOOKUP($F21,Arrangörslista!M$8:$AG$45,16,FALSE),"DNS")))))</f>
        <v/>
      </c>
      <c r="U21" s="5" t="str">
        <f>IF(Deltagarlista!$K$3=4,IF(ISBLANK(Deltagarlista!$C20),"",IF(ISBLANK(Arrangörslista!J$53),"",IFERROR(VLOOKUP($F21,Arrangörslista!J$53:$AG$90,16,FALSE),IF(ISBLANK(Deltagarlista!$C20),"",IF(ISBLANK(Arrangörslista!J$53),"",IFERROR(VLOOKUP($F21,Arrangörslista!K$53:$AG$90,16,FALSE),"DNS")))))),IF(Deltagarlista!$K$3=2,
IF(ISBLANK(Deltagarlista!$C20),"",IF(ISBLANK(Arrangörslista!N$8),"",IF($GV21=U$64," DNS ",IFERROR(VLOOKUP($F21,Arrangörslista!N$8:$AG$45,16,FALSE),"DNS")))),IF(ISBLANK(Deltagarlista!$C20),"",IF(ISBLANK(Arrangörslista!N$8),"",IFERROR(VLOOKUP($F21,Arrangörslista!N$8:$AG$45,16,FALSE),"DNS")))))</f>
        <v/>
      </c>
      <c r="V21" s="5" t="str">
        <f>IF(Deltagarlista!$K$3=4,IF(ISBLANK(Deltagarlista!$C20),"",IF(ISBLANK(Arrangörslista!L$53),"",IFERROR(VLOOKUP($F21,Arrangörslista!L$53:$AG$90,16,FALSE),IF(ISBLANK(Deltagarlista!$C20),"",IF(ISBLANK(Arrangörslista!L$53),"",IFERROR(VLOOKUP($F21,Arrangörslista!M$53:$AG$90,16,FALSE),"DNS")))))),IF(Deltagarlista!$K$3=2,
IF(ISBLANK(Deltagarlista!$C20),"",IF(ISBLANK(Arrangörslista!O$8),"",IF($GV21=V$64," DNS ",IFERROR(VLOOKUP($F21,Arrangörslista!O$8:$AG$45,16,FALSE),"DNS")))),IF(ISBLANK(Deltagarlista!$C20),"",IF(ISBLANK(Arrangörslista!O$8),"",IFERROR(VLOOKUP($F21,Arrangörslista!O$8:$AG$45,16,FALSE),"DNS")))))</f>
        <v/>
      </c>
      <c r="W21" s="5" t="str">
        <f>IF(Deltagarlista!$K$3=4,IF(ISBLANK(Deltagarlista!$C20),"",IF(ISBLANK(Arrangörslista!N$53),"",IFERROR(VLOOKUP($F21,Arrangörslista!N$53:$AG$90,16,FALSE),IF(ISBLANK(Deltagarlista!$C20),"",IF(ISBLANK(Arrangörslista!N$53),"",IFERROR(VLOOKUP($F21,Arrangörslista!O$53:$AG$90,16,FALSE),"DNS")))))),IF(Deltagarlista!$K$3=2,
IF(ISBLANK(Deltagarlista!$C20),"",IF(ISBLANK(Arrangörslista!P$8),"",IF($GV21=W$64," DNS ",IFERROR(VLOOKUP($F21,Arrangörslista!P$8:$AG$45,16,FALSE),"DNS")))),IF(ISBLANK(Deltagarlista!$C20),"",IF(ISBLANK(Arrangörslista!P$8),"",IFERROR(VLOOKUP($F21,Arrangörslista!P$8:$AG$45,16,FALSE),"DNS")))))</f>
        <v/>
      </c>
      <c r="X21" s="5" t="str">
        <f>IF(Deltagarlista!$K$3=4,IF(ISBLANK(Deltagarlista!$C20),"",IF(ISBLANK(Arrangörslista!P$53),"",IFERROR(VLOOKUP($F21,Arrangörslista!P$53:$AG$90,16,FALSE),IF(ISBLANK(Deltagarlista!$C20),"",IF(ISBLANK(Arrangörslista!P$53),"",IFERROR(VLOOKUP($F21,Arrangörslista!Q$53:$AG$90,16,FALSE),"DNS")))))),IF(Deltagarlista!$K$3=2,
IF(ISBLANK(Deltagarlista!$C20),"",IF(ISBLANK(Arrangörslista!Q$8),"",IF($GV21=X$64," DNS ",IFERROR(VLOOKUP($F21,Arrangörslista!Q$8:$AG$45,16,FALSE),"DNS")))),IF(ISBLANK(Deltagarlista!$C20),"",IF(ISBLANK(Arrangörslista!Q$8),"",IFERROR(VLOOKUP($F21,Arrangörslista!Q$8:$AG$45,16,FALSE),"DNS")))))</f>
        <v/>
      </c>
      <c r="Y21" s="5" t="str">
        <f>IF(Deltagarlista!$K$3=4,IF(ISBLANK(Deltagarlista!$C20),"",IF(ISBLANK(Arrangörslista!C$98),"",IFERROR(VLOOKUP($F21,Arrangörslista!C$98:$AG$135,16,FALSE),IF(ISBLANK(Deltagarlista!$C20),"",IF(ISBLANK(Arrangörslista!C$98),"",IFERROR(VLOOKUP($F21,Arrangörslista!D$98:$AG$135,16,FALSE),"DNS")))))),IF(Deltagarlista!$K$3=2,
IF(ISBLANK(Deltagarlista!$C20),"",IF(ISBLANK(Arrangörslista!C$53),"",IF($GV21=Y$64," DNS ",IFERROR(VLOOKUP($F21,Arrangörslista!C$53:$AG$90,16,FALSE),"DNS")))),IF(ISBLANK(Deltagarlista!$C20),"",IF(ISBLANK(Arrangörslista!C$53),"",IFERROR(VLOOKUP($F21,Arrangörslista!C$53:$AG$90,16,FALSE),"DNS")))))</f>
        <v/>
      </c>
      <c r="Z21" s="5" t="str">
        <f>IF(Deltagarlista!$K$3=4,IF(ISBLANK(Deltagarlista!$C20),"",IF(ISBLANK(Arrangörslista!E$98),"",IFERROR(VLOOKUP($F21,Arrangörslista!E$98:$AG$135,16,FALSE),IF(ISBLANK(Deltagarlista!$C20),"",IF(ISBLANK(Arrangörslista!E$98),"",IFERROR(VLOOKUP($F21,Arrangörslista!F$98:$AG$135,16,FALSE),"DNS")))))),IF(Deltagarlista!$K$3=2,
IF(ISBLANK(Deltagarlista!$C20),"",IF(ISBLANK(Arrangörslista!D$53),"",IF($GV21=Z$64," DNS ",IFERROR(VLOOKUP($F21,Arrangörslista!D$53:$AG$90,16,FALSE),"DNS")))),IF(ISBLANK(Deltagarlista!$C20),"",IF(ISBLANK(Arrangörslista!D$53),"",IFERROR(VLOOKUP($F21,Arrangörslista!D$53:$AG$90,16,FALSE),"DNS")))))</f>
        <v/>
      </c>
      <c r="AA21" s="5" t="str">
        <f>IF(Deltagarlista!$K$3=4,IF(ISBLANK(Deltagarlista!$C20),"",IF(ISBLANK(Arrangörslista!G$98),"",IFERROR(VLOOKUP($F21,Arrangörslista!G$98:$AG$135,16,FALSE),IF(ISBLANK(Deltagarlista!$C20),"",IF(ISBLANK(Arrangörslista!G$98),"",IFERROR(VLOOKUP($F21,Arrangörslista!H$98:$AG$135,16,FALSE),"DNS")))))),IF(Deltagarlista!$K$3=2,
IF(ISBLANK(Deltagarlista!$C20),"",IF(ISBLANK(Arrangörslista!E$53),"",IF($GV21=AA$64," DNS ",IFERROR(VLOOKUP($F21,Arrangörslista!E$53:$AG$90,16,FALSE),"DNS")))),IF(ISBLANK(Deltagarlista!$C20),"",IF(ISBLANK(Arrangörslista!E$53),"",IFERROR(VLOOKUP($F21,Arrangörslista!E$53:$AG$90,16,FALSE),"DNS")))))</f>
        <v/>
      </c>
      <c r="AB21" s="5" t="str">
        <f>IF(Deltagarlista!$K$3=4,IF(ISBLANK(Deltagarlista!$C20),"",IF(ISBLANK(Arrangörslista!I$98),"",IFERROR(VLOOKUP($F21,Arrangörslista!I$98:$AG$135,16,FALSE),IF(ISBLANK(Deltagarlista!$C20),"",IF(ISBLANK(Arrangörslista!I$98),"",IFERROR(VLOOKUP($F21,Arrangörslista!J$98:$AG$135,16,FALSE),"DNS")))))),IF(Deltagarlista!$K$3=2,
IF(ISBLANK(Deltagarlista!$C20),"",IF(ISBLANK(Arrangörslista!F$53),"",IF($GV21=AB$64," DNS ",IFERROR(VLOOKUP($F21,Arrangörslista!F$53:$AG$90,16,FALSE),"DNS")))),IF(ISBLANK(Deltagarlista!$C20),"",IF(ISBLANK(Arrangörslista!F$53),"",IFERROR(VLOOKUP($F21,Arrangörslista!F$53:$AG$90,16,FALSE),"DNS")))))</f>
        <v/>
      </c>
      <c r="AC21" s="5" t="str">
        <f>IF(Deltagarlista!$K$3=4,IF(ISBLANK(Deltagarlista!$C20),"",IF(ISBLANK(Arrangörslista!K$98),"",IFERROR(VLOOKUP($F21,Arrangörslista!K$98:$AG$135,16,FALSE),IF(ISBLANK(Deltagarlista!$C20),"",IF(ISBLANK(Arrangörslista!K$98),"",IFERROR(VLOOKUP($F21,Arrangörslista!L$98:$AG$135,16,FALSE),"DNS")))))),IF(Deltagarlista!$K$3=2,
IF(ISBLANK(Deltagarlista!$C20),"",IF(ISBLANK(Arrangörslista!G$53),"",IF($GV21=AC$64," DNS ",IFERROR(VLOOKUP($F21,Arrangörslista!G$53:$AG$90,16,FALSE),"DNS")))),IF(ISBLANK(Deltagarlista!$C20),"",IF(ISBLANK(Arrangörslista!G$53),"",IFERROR(VLOOKUP($F21,Arrangörslista!G$53:$AG$90,16,FALSE),"DNS")))))</f>
        <v/>
      </c>
      <c r="AD21" s="5" t="str">
        <f>IF(Deltagarlista!$K$3=4,IF(ISBLANK(Deltagarlista!$C20),"",IF(ISBLANK(Arrangörslista!M$98),"",IFERROR(VLOOKUP($F21,Arrangörslista!M$98:$AG$135,16,FALSE),IF(ISBLANK(Deltagarlista!$C20),"",IF(ISBLANK(Arrangörslista!M$98),"",IFERROR(VLOOKUP($F21,Arrangörslista!N$98:$AG$135,16,FALSE),"DNS")))))),IF(Deltagarlista!$K$3=2,
IF(ISBLANK(Deltagarlista!$C20),"",IF(ISBLANK(Arrangörslista!H$53),"",IF($GV21=AD$64," DNS ",IFERROR(VLOOKUP($F21,Arrangörslista!H$53:$AG$90,16,FALSE),"DNS")))),IF(ISBLANK(Deltagarlista!$C20),"",IF(ISBLANK(Arrangörslista!H$53),"",IFERROR(VLOOKUP($F21,Arrangörslista!H$53:$AG$90,16,FALSE),"DNS")))))</f>
        <v/>
      </c>
      <c r="AE21" s="5" t="str">
        <f>IF(Deltagarlista!$K$3=4,IF(ISBLANK(Deltagarlista!$C20),"",IF(ISBLANK(Arrangörslista!O$98),"",IFERROR(VLOOKUP($F21,Arrangörslista!O$98:$AG$135,16,FALSE),IF(ISBLANK(Deltagarlista!$C20),"",IF(ISBLANK(Arrangörslista!O$98),"",IFERROR(VLOOKUP($F21,Arrangörslista!P$98:$AG$135,16,FALSE),"DNS")))))),IF(Deltagarlista!$K$3=2,
IF(ISBLANK(Deltagarlista!$C20),"",IF(ISBLANK(Arrangörslista!I$53),"",IF($GV21=AE$64," DNS ",IFERROR(VLOOKUP($F21,Arrangörslista!I$53:$AG$90,16,FALSE),"DNS")))),IF(ISBLANK(Deltagarlista!$C20),"",IF(ISBLANK(Arrangörslista!I$53),"",IFERROR(VLOOKUP($F21,Arrangörslista!I$53:$AG$90,16,FALSE),"DNS")))))</f>
        <v/>
      </c>
      <c r="AF21" s="5" t="str">
        <f>IF(Deltagarlista!$K$3=4,IF(ISBLANK(Deltagarlista!$C20),"",IF(ISBLANK(Arrangörslista!Q$98),"",IFERROR(VLOOKUP($F21,Arrangörslista!Q$98:$AG$135,16,FALSE),IF(ISBLANK(Deltagarlista!$C20),"",IF(ISBLANK(Arrangörslista!Q$98),"",IFERROR(VLOOKUP($F21,Arrangörslista!C$143:$AG$180,16,FALSE),"DNS")))))),IF(Deltagarlista!$K$3=2,
IF(ISBLANK(Deltagarlista!$C20),"",IF(ISBLANK(Arrangörslista!J$53),"",IF($GV21=AF$64," DNS ",IFERROR(VLOOKUP($F21,Arrangörslista!J$53:$AG$90,16,FALSE),"DNS")))),IF(ISBLANK(Deltagarlista!$C20),"",IF(ISBLANK(Arrangörslista!J$53),"",IFERROR(VLOOKUP($F21,Arrangörslista!J$53:$AG$90,16,FALSE),"DNS")))))</f>
        <v/>
      </c>
      <c r="AG21" s="5" t="str">
        <f>IF(Deltagarlista!$K$3=4,IF(ISBLANK(Deltagarlista!$C20),"",IF(ISBLANK(Arrangörslista!D$143),"",IFERROR(VLOOKUP($F21,Arrangörslista!D$143:$AG$180,16,FALSE),IF(ISBLANK(Deltagarlista!$C20),"",IF(ISBLANK(Arrangörslista!D$143),"",IFERROR(VLOOKUP($F21,Arrangörslista!E$143:$AG$180,16,FALSE),"DNS")))))),IF(Deltagarlista!$K$3=2,
IF(ISBLANK(Deltagarlista!$C20),"",IF(ISBLANK(Arrangörslista!K$53),"",IF($GV21=AG$64," DNS ",IFERROR(VLOOKUP($F21,Arrangörslista!K$53:$AG$90,16,FALSE),"DNS")))),IF(ISBLANK(Deltagarlista!$C20),"",IF(ISBLANK(Arrangörslista!K$53),"",IFERROR(VLOOKUP($F21,Arrangörslista!K$53:$AG$90,16,FALSE),"DNS")))))</f>
        <v/>
      </c>
      <c r="AH21" s="5" t="str">
        <f>IF(Deltagarlista!$K$3=4,IF(ISBLANK(Deltagarlista!$C20),"",IF(ISBLANK(Arrangörslista!F$143),"",IFERROR(VLOOKUP($F21,Arrangörslista!F$143:$AG$180,16,FALSE),IF(ISBLANK(Deltagarlista!$C20),"",IF(ISBLANK(Arrangörslista!F$143),"",IFERROR(VLOOKUP($F21,Arrangörslista!G$143:$AG$180,16,FALSE),"DNS")))))),IF(Deltagarlista!$K$3=2,
IF(ISBLANK(Deltagarlista!$C20),"",IF(ISBLANK(Arrangörslista!L$53),"",IF($GV21=AH$64," DNS ",IFERROR(VLOOKUP($F21,Arrangörslista!L$53:$AG$90,16,FALSE),"DNS")))),IF(ISBLANK(Deltagarlista!$C20),"",IF(ISBLANK(Arrangörslista!L$53),"",IFERROR(VLOOKUP($F21,Arrangörslista!L$53:$AG$90,16,FALSE),"DNS")))))</f>
        <v/>
      </c>
      <c r="AI21" s="5" t="str">
        <f>IF(Deltagarlista!$K$3=4,IF(ISBLANK(Deltagarlista!$C20),"",IF(ISBLANK(Arrangörslista!H$143),"",IFERROR(VLOOKUP($F21,Arrangörslista!H$143:$AG$180,16,FALSE),IF(ISBLANK(Deltagarlista!$C20),"",IF(ISBLANK(Arrangörslista!H$143),"",IFERROR(VLOOKUP($F21,Arrangörslista!I$143:$AG$180,16,FALSE),"DNS")))))),IF(Deltagarlista!$K$3=2,
IF(ISBLANK(Deltagarlista!$C20),"",IF(ISBLANK(Arrangörslista!M$53),"",IF($GV21=AI$64," DNS ",IFERROR(VLOOKUP($F21,Arrangörslista!M$53:$AG$90,16,FALSE),"DNS")))),IF(ISBLANK(Deltagarlista!$C20),"",IF(ISBLANK(Arrangörslista!M$53),"",IFERROR(VLOOKUP($F21,Arrangörslista!M$53:$AG$90,16,FALSE),"DNS")))))</f>
        <v/>
      </c>
      <c r="AJ21" s="5" t="str">
        <f>IF(Deltagarlista!$K$3=4,IF(ISBLANK(Deltagarlista!$C20),"",IF(ISBLANK(Arrangörslista!J$143),"",IFERROR(VLOOKUP($F21,Arrangörslista!J$143:$AG$180,16,FALSE),IF(ISBLANK(Deltagarlista!$C20),"",IF(ISBLANK(Arrangörslista!J$143),"",IFERROR(VLOOKUP($F21,Arrangörslista!K$143:$AG$180,16,FALSE),"DNS")))))),IF(Deltagarlista!$K$3=2,
IF(ISBLANK(Deltagarlista!$C20),"",IF(ISBLANK(Arrangörslista!N$53),"",IF($GV21=AJ$64," DNS ",IFERROR(VLOOKUP($F21,Arrangörslista!N$53:$AG$90,16,FALSE),"DNS")))),IF(ISBLANK(Deltagarlista!$C20),"",IF(ISBLANK(Arrangörslista!N$53),"",IFERROR(VLOOKUP($F21,Arrangörslista!N$53:$AG$90,16,FALSE),"DNS")))))</f>
        <v/>
      </c>
      <c r="AK21" s="5" t="str">
        <f>IF(Deltagarlista!$K$3=4,IF(ISBLANK(Deltagarlista!$C20),"",IF(ISBLANK(Arrangörslista!L$143),"",IFERROR(VLOOKUP($F21,Arrangörslista!L$143:$AG$180,16,FALSE),IF(ISBLANK(Deltagarlista!$C20),"",IF(ISBLANK(Arrangörslista!L$143),"",IFERROR(VLOOKUP($F21,Arrangörslista!M$143:$AG$180,16,FALSE),"DNS")))))),IF(Deltagarlista!$K$3=2,
IF(ISBLANK(Deltagarlista!$C20),"",IF(ISBLANK(Arrangörslista!O$53),"",IF($GV21=AK$64," DNS ",IFERROR(VLOOKUP($F21,Arrangörslista!O$53:$AG$90,16,FALSE),"DNS")))),IF(ISBLANK(Deltagarlista!$C20),"",IF(ISBLANK(Arrangörslista!O$53),"",IFERROR(VLOOKUP($F21,Arrangörslista!O$53:$AG$90,16,FALSE),"DNS")))))</f>
        <v/>
      </c>
      <c r="AL21" s="5" t="str">
        <f>IF(Deltagarlista!$K$3=4,IF(ISBLANK(Deltagarlista!$C20),"",IF(ISBLANK(Arrangörslista!N$143),"",IFERROR(VLOOKUP($F21,Arrangörslista!N$143:$AG$180,16,FALSE),IF(ISBLANK(Deltagarlista!$C20),"",IF(ISBLANK(Arrangörslista!N$143),"",IFERROR(VLOOKUP($F21,Arrangörslista!O$143:$AG$180,16,FALSE),"DNS")))))),IF(Deltagarlista!$K$3=2,
IF(ISBLANK(Deltagarlista!$C20),"",IF(ISBLANK(Arrangörslista!P$53),"",IF($GV21=AL$64," DNS ",IFERROR(VLOOKUP($F21,Arrangörslista!P$53:$AG$90,16,FALSE),"DNS")))),IF(ISBLANK(Deltagarlista!$C20),"",IF(ISBLANK(Arrangörslista!P$53),"",IFERROR(VLOOKUP($F21,Arrangörslista!P$53:$AG$90,16,FALSE),"DNS")))))</f>
        <v/>
      </c>
      <c r="AM21" s="5" t="str">
        <f>IF(Deltagarlista!$K$3=4,IF(ISBLANK(Deltagarlista!$C20),"",IF(ISBLANK(Arrangörslista!P$143),"",IFERROR(VLOOKUP($F21,Arrangörslista!P$143:$AG$180,16,FALSE),IF(ISBLANK(Deltagarlista!$C20),"",IF(ISBLANK(Arrangörslista!P$143),"",IFERROR(VLOOKUP($F21,Arrangörslista!Q$143:$AG$180,16,FALSE),"DNS")))))),IF(Deltagarlista!$K$3=2,
IF(ISBLANK(Deltagarlista!$C20),"",IF(ISBLANK(Arrangörslista!Q$53),"",IF($GV21=AM$64," DNS ",IFERROR(VLOOKUP($F21,Arrangörslista!Q$53:$AG$90,16,FALSE),"DNS")))),IF(ISBLANK(Deltagarlista!$C20),"",IF(ISBLANK(Arrangörslista!Q$53),"",IFERROR(VLOOKUP($F21,Arrangörslista!Q$53:$AG$90,16,FALSE),"DNS")))))</f>
        <v/>
      </c>
      <c r="AN21" s="5" t="str">
        <f>IF(Deltagarlista!$K$3=2,
IF(ISBLANK(Deltagarlista!$C20),"",IF(ISBLANK(Arrangörslista!C$98),"",IF($GV21=AN$64," DNS ",IFERROR(VLOOKUP($F21,Arrangörslista!C$98:$AG$135,16,FALSE), "DNS")))), IF(Deltagarlista!$K$3=1,IF(ISBLANK(Deltagarlista!$C20),"",IF(ISBLANK(Arrangörslista!C$98),"",IFERROR(VLOOKUP($F21,Arrangörslista!C$98:$AG$135,16,FALSE), "DNS"))),""))</f>
        <v/>
      </c>
      <c r="AO21" s="5" t="str">
        <f>IF(Deltagarlista!$K$3=2,
IF(ISBLANK(Deltagarlista!$C20),"",IF(ISBLANK(Arrangörslista!D$98),"",IF($GV21=AO$64," DNS ",IFERROR(VLOOKUP($F21,Arrangörslista!D$98:$AG$135,16,FALSE), "DNS")))), IF(Deltagarlista!$K$3=1,IF(ISBLANK(Deltagarlista!$C20),"",IF(ISBLANK(Arrangörslista!D$98),"",IFERROR(VLOOKUP($F21,Arrangörslista!D$98:$AG$135,16,FALSE), "DNS"))),""))</f>
        <v/>
      </c>
      <c r="AP21" s="5" t="str">
        <f>IF(Deltagarlista!$K$3=2,
IF(ISBLANK(Deltagarlista!$C20),"",IF(ISBLANK(Arrangörslista!E$98),"",IF($GV21=AP$64," DNS ",IFERROR(VLOOKUP($F21,Arrangörslista!E$98:$AG$135,16,FALSE), "DNS")))), IF(Deltagarlista!$K$3=1,IF(ISBLANK(Deltagarlista!$C20),"",IF(ISBLANK(Arrangörslista!E$98),"",IFERROR(VLOOKUP($F21,Arrangörslista!E$98:$AG$135,16,FALSE), "DNS"))),""))</f>
        <v/>
      </c>
      <c r="AQ21" s="5" t="str">
        <f>IF(Deltagarlista!$K$3=2,
IF(ISBLANK(Deltagarlista!$C20),"",IF(ISBLANK(Arrangörslista!F$98),"",IF($GV21=AQ$64," DNS ",IFERROR(VLOOKUP($F21,Arrangörslista!F$98:$AG$135,16,FALSE), "DNS")))), IF(Deltagarlista!$K$3=1,IF(ISBLANK(Deltagarlista!$C20),"",IF(ISBLANK(Arrangörslista!F$98),"",IFERROR(VLOOKUP($F21,Arrangörslista!F$98:$AG$135,16,FALSE), "DNS"))),""))</f>
        <v/>
      </c>
      <c r="AR21" s="5" t="str">
        <f>IF(Deltagarlista!$K$3=2,
IF(ISBLANK(Deltagarlista!$C20),"",IF(ISBLANK(Arrangörslista!G$98),"",IF($GV21=AR$64," DNS ",IFERROR(VLOOKUP($F21,Arrangörslista!G$98:$AG$135,16,FALSE), "DNS")))), IF(Deltagarlista!$K$3=1,IF(ISBLANK(Deltagarlista!$C20),"",IF(ISBLANK(Arrangörslista!G$98),"",IFERROR(VLOOKUP($F21,Arrangörslista!G$98:$AG$135,16,FALSE), "DNS"))),""))</f>
        <v/>
      </c>
      <c r="AS21" s="5" t="str">
        <f>IF(Deltagarlista!$K$3=2,
IF(ISBLANK(Deltagarlista!$C20),"",IF(ISBLANK(Arrangörslista!H$98),"",IF($GV21=AS$64," DNS ",IFERROR(VLOOKUP($F21,Arrangörslista!H$98:$AG$135,16,FALSE), "DNS")))), IF(Deltagarlista!$K$3=1,IF(ISBLANK(Deltagarlista!$C20),"",IF(ISBLANK(Arrangörslista!H$98),"",IFERROR(VLOOKUP($F21,Arrangörslista!H$98:$AG$135,16,FALSE), "DNS"))),""))</f>
        <v/>
      </c>
      <c r="AT21" s="5" t="str">
        <f>IF(Deltagarlista!$K$3=2,
IF(ISBLANK(Deltagarlista!$C20),"",IF(ISBLANK(Arrangörslista!I$98),"",IF($GV21=AT$64," DNS ",IFERROR(VLOOKUP($F21,Arrangörslista!I$98:$AG$135,16,FALSE), "DNS")))), IF(Deltagarlista!$K$3=1,IF(ISBLANK(Deltagarlista!$C20),"",IF(ISBLANK(Arrangörslista!I$98),"",IFERROR(VLOOKUP($F21,Arrangörslista!I$98:$AG$135,16,FALSE), "DNS"))),""))</f>
        <v/>
      </c>
      <c r="AU21" s="5" t="str">
        <f>IF(Deltagarlista!$K$3=2,
IF(ISBLANK(Deltagarlista!$C20),"",IF(ISBLANK(Arrangörslista!J$98),"",IF($GV21=AU$64," DNS ",IFERROR(VLOOKUP($F21,Arrangörslista!J$98:$AG$135,16,FALSE), "DNS")))), IF(Deltagarlista!$K$3=1,IF(ISBLANK(Deltagarlista!$C20),"",IF(ISBLANK(Arrangörslista!J$98),"",IFERROR(VLOOKUP($F21,Arrangörslista!J$98:$AG$135,16,FALSE), "DNS"))),""))</f>
        <v/>
      </c>
      <c r="AV21" s="5" t="str">
        <f>IF(Deltagarlista!$K$3=2,
IF(ISBLANK(Deltagarlista!$C20),"",IF(ISBLANK(Arrangörslista!K$98),"",IF($GV21=AV$64," DNS ",IFERROR(VLOOKUP($F21,Arrangörslista!K$98:$AG$135,16,FALSE), "DNS")))), IF(Deltagarlista!$K$3=1,IF(ISBLANK(Deltagarlista!$C20),"",IF(ISBLANK(Arrangörslista!K$98),"",IFERROR(VLOOKUP($F21,Arrangörslista!K$98:$AG$135,16,FALSE), "DNS"))),""))</f>
        <v/>
      </c>
      <c r="AW21" s="5" t="str">
        <f>IF(Deltagarlista!$K$3=2,
IF(ISBLANK(Deltagarlista!$C20),"",IF(ISBLANK(Arrangörslista!L$98),"",IF($GV21=AW$64," DNS ",IFERROR(VLOOKUP($F21,Arrangörslista!L$98:$AG$135,16,FALSE), "DNS")))), IF(Deltagarlista!$K$3=1,IF(ISBLANK(Deltagarlista!$C20),"",IF(ISBLANK(Arrangörslista!L$98),"",IFERROR(VLOOKUP($F21,Arrangörslista!L$98:$AG$135,16,FALSE), "DNS"))),""))</f>
        <v/>
      </c>
      <c r="AX21" s="5" t="str">
        <f>IF(Deltagarlista!$K$3=2,
IF(ISBLANK(Deltagarlista!$C20),"",IF(ISBLANK(Arrangörslista!M$98),"",IF($GV21=AX$64," DNS ",IFERROR(VLOOKUP($F21,Arrangörslista!M$98:$AG$135,16,FALSE), "DNS")))), IF(Deltagarlista!$K$3=1,IF(ISBLANK(Deltagarlista!$C20),"",IF(ISBLANK(Arrangörslista!M$98),"",IFERROR(VLOOKUP($F21,Arrangörslista!M$98:$AG$135,16,FALSE), "DNS"))),""))</f>
        <v/>
      </c>
      <c r="AY21" s="5" t="str">
        <f>IF(Deltagarlista!$K$3=2,
IF(ISBLANK(Deltagarlista!$C20),"",IF(ISBLANK(Arrangörslista!N$98),"",IF($GV21=AY$64," DNS ",IFERROR(VLOOKUP($F21,Arrangörslista!N$98:$AG$135,16,FALSE), "DNS")))), IF(Deltagarlista!$K$3=1,IF(ISBLANK(Deltagarlista!$C20),"",IF(ISBLANK(Arrangörslista!N$98),"",IFERROR(VLOOKUP($F21,Arrangörslista!N$98:$AG$135,16,FALSE), "DNS"))),""))</f>
        <v/>
      </c>
      <c r="AZ21" s="5" t="str">
        <f>IF(Deltagarlista!$K$3=2,
IF(ISBLANK(Deltagarlista!$C20),"",IF(ISBLANK(Arrangörslista!O$98),"",IF($GV21=AZ$64," DNS ",IFERROR(VLOOKUP($F21,Arrangörslista!O$98:$AG$135,16,FALSE), "DNS")))), IF(Deltagarlista!$K$3=1,IF(ISBLANK(Deltagarlista!$C20),"",IF(ISBLANK(Arrangörslista!O$98),"",IFERROR(VLOOKUP($F21,Arrangörslista!O$98:$AG$135,16,FALSE), "DNS"))),""))</f>
        <v/>
      </c>
      <c r="BA21" s="5" t="str">
        <f>IF(Deltagarlista!$K$3=2,
IF(ISBLANK(Deltagarlista!$C20),"",IF(ISBLANK(Arrangörslista!P$98),"",IF($GV21=BA$64," DNS ",IFERROR(VLOOKUP($F21,Arrangörslista!P$98:$AG$135,16,FALSE), "DNS")))), IF(Deltagarlista!$K$3=1,IF(ISBLANK(Deltagarlista!$C20),"",IF(ISBLANK(Arrangörslista!P$98),"",IFERROR(VLOOKUP($F21,Arrangörslista!P$98:$AG$135,16,FALSE), "DNS"))),""))</f>
        <v/>
      </c>
      <c r="BB21" s="5" t="str">
        <f>IF(Deltagarlista!$K$3=2,
IF(ISBLANK(Deltagarlista!$C20),"",IF(ISBLANK(Arrangörslista!Q$98),"",IF($GV21=BB$64," DNS ",IFERROR(VLOOKUP($F21,Arrangörslista!Q$98:$AG$135,16,FALSE), "DNS")))), IF(Deltagarlista!$K$3=1,IF(ISBLANK(Deltagarlista!$C20),"",IF(ISBLANK(Arrangörslista!Q$98),"",IFERROR(VLOOKUP($F21,Arrangörslista!Q$98:$AG$135,16,FALSE), "DNS"))),""))</f>
        <v/>
      </c>
      <c r="BC21" s="5" t="str">
        <f>IF(Deltagarlista!$K$3=2,
IF(ISBLANK(Deltagarlista!$C20),"",IF(ISBLANK(Arrangörslista!C$143),"",IF($GV21=BC$64," DNS ",IFERROR(VLOOKUP($F21,Arrangörslista!C$143:$AG$180,16,FALSE), "DNS")))), IF(Deltagarlista!$K$3=1,IF(ISBLANK(Deltagarlista!$C20),"",IF(ISBLANK(Arrangörslista!C$143),"",IFERROR(VLOOKUP($F21,Arrangörslista!C$143:$AG$180,16,FALSE), "DNS"))),""))</f>
        <v/>
      </c>
      <c r="BD21" s="5" t="str">
        <f>IF(Deltagarlista!$K$3=2,
IF(ISBLANK(Deltagarlista!$C20),"",IF(ISBLANK(Arrangörslista!D$143),"",IF($GV21=BD$64," DNS ",IFERROR(VLOOKUP($F21,Arrangörslista!D$143:$AG$180,16,FALSE), "DNS")))), IF(Deltagarlista!$K$3=1,IF(ISBLANK(Deltagarlista!$C20),"",IF(ISBLANK(Arrangörslista!D$143),"",IFERROR(VLOOKUP($F21,Arrangörslista!D$143:$AG$180,16,FALSE), "DNS"))),""))</f>
        <v/>
      </c>
      <c r="BE21" s="5" t="str">
        <f>IF(Deltagarlista!$K$3=2,
IF(ISBLANK(Deltagarlista!$C20),"",IF(ISBLANK(Arrangörslista!E$143),"",IF($GV21=BE$64," DNS ",IFERROR(VLOOKUP($F21,Arrangörslista!E$143:$AG$180,16,FALSE), "DNS")))), IF(Deltagarlista!$K$3=1,IF(ISBLANK(Deltagarlista!$C20),"",IF(ISBLANK(Arrangörslista!E$143),"",IFERROR(VLOOKUP($F21,Arrangörslista!E$143:$AG$180,16,FALSE), "DNS"))),""))</f>
        <v/>
      </c>
      <c r="BF21" s="5" t="str">
        <f>IF(Deltagarlista!$K$3=2,
IF(ISBLANK(Deltagarlista!$C20),"",IF(ISBLANK(Arrangörslista!F$143),"",IF($GV21=BF$64," DNS ",IFERROR(VLOOKUP($F21,Arrangörslista!F$143:$AG$180,16,FALSE), "DNS")))), IF(Deltagarlista!$K$3=1,IF(ISBLANK(Deltagarlista!$C20),"",IF(ISBLANK(Arrangörslista!F$143),"",IFERROR(VLOOKUP($F21,Arrangörslista!F$143:$AG$180,16,FALSE), "DNS"))),""))</f>
        <v/>
      </c>
      <c r="BG21" s="5" t="str">
        <f>IF(Deltagarlista!$K$3=2,
IF(ISBLANK(Deltagarlista!$C20),"",IF(ISBLANK(Arrangörslista!G$143),"",IF($GV21=BG$64," DNS ",IFERROR(VLOOKUP($F21,Arrangörslista!G$143:$AG$180,16,FALSE), "DNS")))), IF(Deltagarlista!$K$3=1,IF(ISBLANK(Deltagarlista!$C20),"",IF(ISBLANK(Arrangörslista!G$143),"",IFERROR(VLOOKUP($F21,Arrangörslista!G$143:$AG$180,16,FALSE), "DNS"))),""))</f>
        <v/>
      </c>
      <c r="BH21" s="5" t="str">
        <f>IF(Deltagarlista!$K$3=2,
IF(ISBLANK(Deltagarlista!$C20),"",IF(ISBLANK(Arrangörslista!H$143),"",IF($GV21=BH$64," DNS ",IFERROR(VLOOKUP($F21,Arrangörslista!H$143:$AG$180,16,FALSE), "DNS")))), IF(Deltagarlista!$K$3=1,IF(ISBLANK(Deltagarlista!$C20),"",IF(ISBLANK(Arrangörslista!H$143),"",IFERROR(VLOOKUP($F21,Arrangörslista!H$143:$AG$180,16,FALSE), "DNS"))),""))</f>
        <v/>
      </c>
      <c r="BI21" s="5" t="str">
        <f>IF(Deltagarlista!$K$3=2,
IF(ISBLANK(Deltagarlista!$C20),"",IF(ISBLANK(Arrangörslista!I$143),"",IF($GV21=BI$64," DNS ",IFERROR(VLOOKUP($F21,Arrangörslista!I$143:$AG$180,16,FALSE), "DNS")))), IF(Deltagarlista!$K$3=1,IF(ISBLANK(Deltagarlista!$C20),"",IF(ISBLANK(Arrangörslista!I$143),"",IFERROR(VLOOKUP($F21,Arrangörslista!I$143:$AG$180,16,FALSE), "DNS"))),""))</f>
        <v/>
      </c>
      <c r="BJ21" s="5" t="str">
        <f>IF(Deltagarlista!$K$3=2,
IF(ISBLANK(Deltagarlista!$C20),"",IF(ISBLANK(Arrangörslista!J$143),"",IF($GV21=BJ$64," DNS ",IFERROR(VLOOKUP($F21,Arrangörslista!J$143:$AG$180,16,FALSE), "DNS")))), IF(Deltagarlista!$K$3=1,IF(ISBLANK(Deltagarlista!$C20),"",IF(ISBLANK(Arrangörslista!J$143),"",IFERROR(VLOOKUP($F21,Arrangörslista!J$143:$AG$180,16,FALSE), "DNS"))),""))</f>
        <v/>
      </c>
      <c r="BK21" s="5" t="str">
        <f>IF(Deltagarlista!$K$3=2,
IF(ISBLANK(Deltagarlista!$C20),"",IF(ISBLANK(Arrangörslista!K$143),"",IF($GV21=BK$64," DNS ",IFERROR(VLOOKUP($F21,Arrangörslista!K$143:$AG$180,16,FALSE), "DNS")))), IF(Deltagarlista!$K$3=1,IF(ISBLANK(Deltagarlista!$C20),"",IF(ISBLANK(Arrangörslista!K$143),"",IFERROR(VLOOKUP($F21,Arrangörslista!K$143:$AG$180,16,FALSE), "DNS"))),""))</f>
        <v/>
      </c>
      <c r="BL21" s="5" t="str">
        <f>IF(Deltagarlista!$K$3=2,
IF(ISBLANK(Deltagarlista!$C20),"",IF(ISBLANK(Arrangörslista!L$143),"",IF($GV21=BL$64," DNS ",IFERROR(VLOOKUP($F21,Arrangörslista!L$143:$AG$180,16,FALSE), "DNS")))), IF(Deltagarlista!$K$3=1,IF(ISBLANK(Deltagarlista!$C20),"",IF(ISBLANK(Arrangörslista!L$143),"",IFERROR(VLOOKUP($F21,Arrangörslista!L$143:$AG$180,16,FALSE), "DNS"))),""))</f>
        <v/>
      </c>
      <c r="BM21" s="5" t="str">
        <f>IF(Deltagarlista!$K$3=2,
IF(ISBLANK(Deltagarlista!$C20),"",IF(ISBLANK(Arrangörslista!M$143),"",IF($GV21=BM$64," DNS ",IFERROR(VLOOKUP($F21,Arrangörslista!M$143:$AG$180,16,FALSE), "DNS")))), IF(Deltagarlista!$K$3=1,IF(ISBLANK(Deltagarlista!$C20),"",IF(ISBLANK(Arrangörslista!M$143),"",IFERROR(VLOOKUP($F21,Arrangörslista!M$143:$AG$180,16,FALSE), "DNS"))),""))</f>
        <v/>
      </c>
      <c r="BN21" s="5" t="str">
        <f>IF(Deltagarlista!$K$3=2,
IF(ISBLANK(Deltagarlista!$C20),"",IF(ISBLANK(Arrangörslista!N$143),"",IF($GV21=BN$64," DNS ",IFERROR(VLOOKUP($F21,Arrangörslista!N$143:$AG$180,16,FALSE), "DNS")))), IF(Deltagarlista!$K$3=1,IF(ISBLANK(Deltagarlista!$C20),"",IF(ISBLANK(Arrangörslista!N$143),"",IFERROR(VLOOKUP($F21,Arrangörslista!N$143:$AG$180,16,FALSE), "DNS"))),""))</f>
        <v/>
      </c>
      <c r="BO21" s="5" t="str">
        <f>IF(Deltagarlista!$K$3=2,
IF(ISBLANK(Deltagarlista!$C20),"",IF(ISBLANK(Arrangörslista!O$143),"",IF($GV21=BO$64," DNS ",IFERROR(VLOOKUP($F21,Arrangörslista!O$143:$AG$180,16,FALSE), "DNS")))), IF(Deltagarlista!$K$3=1,IF(ISBLANK(Deltagarlista!$C20),"",IF(ISBLANK(Arrangörslista!O$143),"",IFERROR(VLOOKUP($F21,Arrangörslista!O$143:$AG$180,16,FALSE), "DNS"))),""))</f>
        <v/>
      </c>
      <c r="BP21" s="5" t="str">
        <f>IF(Deltagarlista!$K$3=2,
IF(ISBLANK(Deltagarlista!$C20),"",IF(ISBLANK(Arrangörslista!P$143),"",IF($GV21=BP$64," DNS ",IFERROR(VLOOKUP($F21,Arrangörslista!P$143:$AG$180,16,FALSE), "DNS")))), IF(Deltagarlista!$K$3=1,IF(ISBLANK(Deltagarlista!$C20),"",IF(ISBLANK(Arrangörslista!P$143),"",IFERROR(VLOOKUP($F21,Arrangörslista!P$143:$AG$180,16,FALSE), "DNS"))),""))</f>
        <v/>
      </c>
      <c r="BQ21" s="80" t="str">
        <f>IF(Deltagarlista!$K$3=2,
IF(ISBLANK(Deltagarlista!$C20),"",IF(ISBLANK(Arrangörslista!Q$143),"",IF($GV21=BQ$64," DNS ",IFERROR(VLOOKUP($F21,Arrangörslista!Q$143:$AG$180,16,FALSE), "DNS")))), IF(Deltagarlista!$K$3=1,IF(ISBLANK(Deltagarlista!$C20),"",IF(ISBLANK(Arrangörslista!Q$143),"",IFERROR(VLOOKUP($F21,Arrangörslista!Q$143:$AG$180,16,FALSE), "DNS"))),""))</f>
        <v/>
      </c>
      <c r="BR21" s="51"/>
      <c r="BS21" s="51"/>
      <c r="BT21" s="51"/>
      <c r="BU21" s="71">
        <f>SUM(BV21:EC21)</f>
        <v>0</v>
      </c>
      <c r="BV21" s="61">
        <f>IF(J21="",0,IF(OR(J21="DNF",J21="OCS",J21="DSQ",J21="DNS",J21=" DNS "),$BW$3+1,J21))</f>
        <v>0</v>
      </c>
      <c r="BW21" s="61">
        <f>IF(K21="",0,IF(OR(K21="DNF",K21="OCS",K21="DSQ",K21="DNS",K21=" DNS "),$BW$3+1,K21))</f>
        <v>0</v>
      </c>
      <c r="BX21" s="61">
        <f>IF(L21="",0,IF(OR(L21="DNF",L21="OCS",L21="DSQ",L21="DNS",L21=" DNS "),$BW$3+1,L21))</f>
        <v>0</v>
      </c>
      <c r="BY21" s="61">
        <f>IF(M21="",0,IF(OR(M21="DNF",M21="OCS",M21="DSQ",M21="DNS",M21=" DNS "),$BW$3+1,M21))</f>
        <v>0</v>
      </c>
      <c r="BZ21" s="61">
        <f>IF(N21="",0,IF(OR(N21="DNF",N21="OCS",N21="DSQ",N21="DNS",N21=" DNS "),$BW$3+1,N21))</f>
        <v>0</v>
      </c>
      <c r="CA21" s="61">
        <f>IF(O21="",0,IF(OR(O21="DNF",O21="OCS",O21="DSQ",O21="DNS",O21=" DNS "),$BW$3+1,O21))</f>
        <v>0</v>
      </c>
      <c r="CB21" s="61">
        <f>IF(P21="",0,IF(OR(P21="DNF",P21="OCS",P21="DSQ",P21="DNS",P21=" DNS "),$BW$3+1,P21))</f>
        <v>0</v>
      </c>
      <c r="CC21" s="61">
        <f>IF(Q21="",0,IF(OR(Q21="DNF",Q21="OCS",Q21="DSQ",Q21="DNS",Q21=" DNS "),$BW$3+1,Q21))</f>
        <v>0</v>
      </c>
      <c r="CD21" s="61">
        <f>IF(R21="",0,IF(OR(R21="DNF",R21="OCS",R21="DSQ",R21="DNS",R21=" DNS "),$BW$3+1,R21))</f>
        <v>0</v>
      </c>
      <c r="CE21" s="61">
        <f>IF(S21="",0,IF(OR(S21="DNF",S21="OCS",S21="DSQ",S21="DNS",S21=" DNS "),$BW$3+1,S21))</f>
        <v>0</v>
      </c>
      <c r="CF21" s="61">
        <f>IF(T21="",0,IF(OR(T21="DNF",T21="OCS",T21="DSQ",T21="DNS",T21=" DNS "),$BW$3+1,T21))</f>
        <v>0</v>
      </c>
      <c r="CG21" s="61">
        <f>IF(U21="",0,IF(OR(U21="DNF",U21="OCS",U21="DSQ",U21="DNS",U21=" DNS "),$BW$3+1,U21))</f>
        <v>0</v>
      </c>
      <c r="CH21" s="61">
        <f>IF(V21="",0,IF(OR(V21="DNF",V21="OCS",V21="DSQ",V21="DNS",V21=" DNS "),$BW$3+1,V21))</f>
        <v>0</v>
      </c>
      <c r="CI21" s="61">
        <f>IF(W21="",0,IF(OR(W21="DNF",W21="OCS",W21="DSQ",W21="DNS",W21=" DNS "),$BW$3+1,W21))</f>
        <v>0</v>
      </c>
      <c r="CJ21" s="61">
        <f>IF(X21="",0,IF(OR(X21="DNF",X21="OCS",X21="DSQ",X21="DNS",X21=" DNS "),$BW$3+1,X21))</f>
        <v>0</v>
      </c>
      <c r="CK21" s="61">
        <f>IF(Y21="",0,IF(OR(Y21="DNF",Y21="OCS",Y21="DSQ",Y21="DNS",Y21=" DNS "),$BW$3+1,Y21))</f>
        <v>0</v>
      </c>
      <c r="CL21" s="61">
        <f>IF(Z21="",0,IF(OR(Z21="DNF",Z21="OCS",Z21="DSQ",Z21="DNS",Z21=" DNS "),$BW$3+1,Z21))</f>
        <v>0</v>
      </c>
      <c r="CM21" s="61">
        <f>IF(AA21="",0,IF(OR(AA21="DNF",AA21="OCS",AA21="DSQ",AA21="DNS",AA21=" DNS "),$BW$3+1,AA21))</f>
        <v>0</v>
      </c>
      <c r="CN21" s="61">
        <f>IF(AB21="",0,IF(OR(AB21="DNF",AB21="OCS",AB21="DSQ",AB21="DNS",AB21=" DNS "),$BW$3+1,AB21))</f>
        <v>0</v>
      </c>
      <c r="CO21" s="61">
        <f>IF(AC21="",0,IF(OR(AC21="DNF",AC21="OCS",AC21="DSQ",AC21="DNS",AC21=" DNS "),$BW$3+1,AC21))</f>
        <v>0</v>
      </c>
      <c r="CP21" s="61">
        <f>IF(AD21="",0,IF(OR(AD21="DNF",AD21="OCS",AD21="DSQ",AD21="DNS",AD21=" DNS "),$BW$3+1,AD21))</f>
        <v>0</v>
      </c>
      <c r="CQ21" s="61">
        <f>IF(AE21="",0,IF(OR(AE21="DNF",AE21="OCS",AE21="DSQ",AE21="DNS",AE21=" DNS "),$BW$3+1,AE21))</f>
        <v>0</v>
      </c>
      <c r="CR21" s="61">
        <f>IF(AF21="",0,IF(OR(AF21="DNF",AF21="OCS",AF21="DSQ",AF21="DNS",AF21=" DNS "),$BW$3+1,AF21))</f>
        <v>0</v>
      </c>
      <c r="CS21" s="61">
        <f>IF(AG21="",0,IF(OR(AG21="DNF",AG21="OCS",AG21="DSQ",AG21="DNS",AG21=" DNS "),$BW$3+1,AG21))</f>
        <v>0</v>
      </c>
      <c r="CT21" s="61">
        <f>IF(AH21="",0,IF(OR(AH21="DNF",AH21="OCS",AH21="DSQ",AH21="DNS",AH21=" DNS "),$BW$3+1,AH21))</f>
        <v>0</v>
      </c>
      <c r="CU21" s="61">
        <f>IF(AI21="",0,IF(OR(AI21="DNF",AI21="OCS",AI21="DSQ",AI21="DNS",AI21=" DNS "),$BW$3+1,AI21))</f>
        <v>0</v>
      </c>
      <c r="CV21" s="61">
        <f>IF(AJ21="",0,IF(OR(AJ21="DNF",AJ21="OCS",AJ21="DSQ",AJ21="DNS",AJ21=" DNS "),$BW$3+1,AJ21))</f>
        <v>0</v>
      </c>
      <c r="CW21" s="61">
        <f>IF(AK21="",0,IF(OR(AK21="DNF",AK21="OCS",AK21="DSQ",AK21="DNS",AK21=" DNS "),$BW$3+1,AK21))</f>
        <v>0</v>
      </c>
      <c r="CX21" s="61">
        <f>IF(AL21="",0,IF(OR(AL21="DNF",AL21="OCS",AL21="DSQ",AL21="DNS",AL21=" DNS "),$BW$3+1,AL21))</f>
        <v>0</v>
      </c>
      <c r="CY21" s="61">
        <f>IF(AM21="",0,IF(OR(AM21="DNF",AM21="OCS",AM21="DSQ",AM21="DNS",AM21=" DNS "),$BW$3+1,AM21))</f>
        <v>0</v>
      </c>
      <c r="CZ21" s="61">
        <f>IF(AN21="",0,IF(OR(AN21="DNF",AN21="OCS",AN21="DSQ",AN21="DNS",AN21=" DNS "),$BW$3+1,AN21))</f>
        <v>0</v>
      </c>
      <c r="DA21" s="61">
        <f>IF(AO21="",0,IF(OR(AO21="DNF",AO21="OCS",AO21="DSQ",AO21="DNS",AO21=" DNS "),$BW$3+1,AO21))</f>
        <v>0</v>
      </c>
      <c r="DB21" s="61">
        <f>IF(AP21="",0,IF(OR(AP21="DNF",AP21="OCS",AP21="DSQ",AP21="DNS",AP21=" DNS "),$BW$3+1,AP21))</f>
        <v>0</v>
      </c>
      <c r="DC21" s="61">
        <f>IF(AQ21="",0,IF(OR(AQ21="DNF",AQ21="OCS",AQ21="DSQ",AQ21="DNS",AQ21=" DNS "),$BW$3+1,AQ21))</f>
        <v>0</v>
      </c>
      <c r="DD21" s="61">
        <f>IF(AR21="",0,IF(OR(AR21="DNF",AR21="OCS",AR21="DSQ",AR21="DNS",AR21=" DNS "),$BW$3+1,AR21))</f>
        <v>0</v>
      </c>
      <c r="DE21" s="61">
        <f>IF(AS21="",0,IF(OR(AS21="DNF",AS21="OCS",AS21="DSQ",AS21="DNS",AS21=" DNS "),$BW$3+1,AS21))</f>
        <v>0</v>
      </c>
      <c r="DF21" s="61">
        <f>IF(AT21="",0,IF(OR(AT21="DNF",AT21="OCS",AT21="DSQ",AT21="DNS",AT21=" DNS "),$BW$3+1,AT21))</f>
        <v>0</v>
      </c>
      <c r="DG21" s="61">
        <f>IF(AU21="",0,IF(OR(AU21="DNF",AU21="OCS",AU21="DSQ",AU21="DNS",AU21=" DNS "),$BW$3+1,AU21))</f>
        <v>0</v>
      </c>
      <c r="DH21" s="61">
        <f>IF(AV21="",0,IF(OR(AV21="DNF",AV21="OCS",AV21="DSQ",AV21="DNS",AV21=" DNS "),$BW$3+1,AV21))</f>
        <v>0</v>
      </c>
      <c r="DI21" s="61">
        <f>IF(AW21="",0,IF(OR(AW21="DNF",AW21="OCS",AW21="DSQ",AW21="DNS",AW21=" DNS "),$BW$3+1,AW21))</f>
        <v>0</v>
      </c>
      <c r="DJ21" s="61">
        <f>IF(AX21="",0,IF(OR(AX21="DNF",AX21="OCS",AX21="DSQ",AX21="DNS",AX21=" DNS "),$BW$3+1,AX21))</f>
        <v>0</v>
      </c>
      <c r="DK21" s="61">
        <f>IF(AY21="",0,IF(OR(AY21="DNF",AY21="OCS",AY21="DSQ",AY21="DNS",AY21=" DNS "),$BW$3+1,AY21))</f>
        <v>0</v>
      </c>
      <c r="DL21" s="61">
        <f>IF(AZ21="",0,IF(OR(AZ21="DNF",AZ21="OCS",AZ21="DSQ",AZ21="DNS",AZ21=" DNS "),$BW$3+1,AZ21))</f>
        <v>0</v>
      </c>
      <c r="DM21" s="61">
        <f>IF(BA21="",0,IF(OR(BA21="DNF",BA21="OCS",BA21="DSQ",BA21="DNS",BA21=" DNS "),$BW$3+1,BA21))</f>
        <v>0</v>
      </c>
      <c r="DN21" s="61">
        <f>IF(BB21="",0,IF(OR(BB21="DNF",BB21="OCS",BB21="DSQ",BB21="DNS",BB21=" DNS "),$BW$3+1,BB21))</f>
        <v>0</v>
      </c>
      <c r="DO21" s="61">
        <f>IF(BC21="",0,IF(OR(BC21="DNF",BC21="OCS",BC21="DSQ",BC21="DNS",BC21=" DNS "),$BW$3+1,BC21))</f>
        <v>0</v>
      </c>
      <c r="DP21" s="61">
        <f>IF(BD21="",0,IF(OR(BD21="DNF",BD21="OCS",BD21="DSQ",BD21="DNS",BD21=" DNS "),$BW$3+1,BD21))</f>
        <v>0</v>
      </c>
      <c r="DQ21" s="61">
        <f>IF(BE21="",0,IF(OR(BE21="DNF",BE21="OCS",BE21="DSQ",BE21="DNS",BE21=" DNS "),$BW$3+1,BE21))</f>
        <v>0</v>
      </c>
      <c r="DR21" s="61">
        <f>IF(BF21="",0,IF(OR(BF21="DNF",BF21="OCS",BF21="DSQ",BF21="DNS",BF21=" DNS "),$BW$3+1,BF21))</f>
        <v>0</v>
      </c>
      <c r="DS21" s="61">
        <f>IF(BG21="",0,IF(OR(BG21="DNF",BG21="OCS",BG21="DSQ",BG21="DNS",BG21=" DNS "),$BW$3+1,BG21))</f>
        <v>0</v>
      </c>
      <c r="DT21" s="61">
        <f>IF(BH21="",0,IF(OR(BH21="DNF",BH21="OCS",BH21="DSQ",BH21="DNS",BH21=" DNS "),$BW$3+1,BH21))</f>
        <v>0</v>
      </c>
      <c r="DU21" s="61">
        <f>IF(BI21="",0,IF(OR(BI21="DNF",BI21="OCS",BI21="DSQ",BI21="DNS",BI21=" DNS "),$BW$3+1,BI21))</f>
        <v>0</v>
      </c>
      <c r="DV21" s="61">
        <f>IF(BJ21="",0,IF(OR(BJ21="DNF",BJ21="OCS",BJ21="DSQ",BJ21="DNS",BJ21=" DNS "),$BW$3+1,BJ21))</f>
        <v>0</v>
      </c>
      <c r="DW21" s="61">
        <f>IF(BK21="",0,IF(OR(BK21="DNF",BK21="OCS",BK21="DSQ",BK21="DNS",BK21=" DNS "),$BW$3+1,BK21))</f>
        <v>0</v>
      </c>
      <c r="DX21" s="61">
        <f>IF(BL21="",0,IF(OR(BL21="DNF",BL21="OCS",BL21="DSQ",BL21="DNS",BL21=" DNS "),$BW$3+1,BL21))</f>
        <v>0</v>
      </c>
      <c r="DY21" s="61">
        <f>IF(BM21="",0,IF(OR(BM21="DNF",BM21="OCS",BM21="DSQ",BM21="DNS",BM21=" DNS "),$BW$3+1,BM21))</f>
        <v>0</v>
      </c>
      <c r="DZ21" s="61">
        <f>IF(BN21="",0,IF(OR(BN21="DNF",BN21="OCS",BN21="DSQ",BN21="DNS",BN21=" DNS "),$BW$3+1,BN21))</f>
        <v>0</v>
      </c>
      <c r="EA21" s="61">
        <f>IF(BO21="",0,IF(OR(BO21="DNF",BO21="OCS",BO21="DSQ",BO21="DNS",BO21=" DNS "),$BW$3+1,BO21))</f>
        <v>0</v>
      </c>
      <c r="EB21" s="61">
        <f>IF(BP21="",0,IF(OR(BP21="DNF",BP21="OCS",BP21="DSQ",BP21="DNS",BP21=" DNS "),$BW$3+1,BP21))</f>
        <v>0</v>
      </c>
      <c r="EC21" s="61">
        <f>IF(BQ21="",0,IF(OR(BQ21="DNF",BQ21="OCS",BQ21="DSQ",BQ21="DNS",BQ21=" DNS "),$BW$3+1,BQ21))</f>
        <v>0</v>
      </c>
      <c r="EE21" s="61">
        <f xml:space="preserve">
IF(OR(Deltagarlista!$K$3=3,Deltagarlista!$K$3=4),
IF(Arrangörslista!$U$5&lt;8,0,
IF(Arrangörslista!$U$5&lt;16,SUM(LARGE(BV21:CJ21,1)),
IF(Arrangörslista!$U$5&lt;24,SUM(LARGE(BV21:CR21,{1;2})),
IF(Arrangörslista!$U$5&lt;32,SUM(LARGE(BV21:CZ21,{1;2;3})),
IF(Arrangörslista!$U$5&lt;40,SUM(LARGE(BV21:DH21,{1;2;3;4})),
IF(Arrangörslista!$U$5&lt;48,SUM(LARGE(BV21:DP21,{1;2;3;4;5})),
IF(Arrangörslista!$U$5&lt;56,SUM(LARGE(BV21:DX21,{1;2;3;4;5;6})),
IF(Arrangörslista!$U$5&lt;64,SUM(LARGE(BV21:EC21,{1;2;3;4;5;6;7})),0)))))))),
IF(Deltagarlista!$K$3=2,
IF(Arrangörslista!$U$5&lt;4,LARGE(BV21:BX21,1),
IF(Arrangörslista!$U$5&lt;7,SUM(LARGE(BV21:CA21,{1;2;3})),
IF(Arrangörslista!$U$5&lt;10,SUM(LARGE(BV21:CD21,{1;2;3;4})),
IF(Arrangörslista!$U$5&lt;13,SUM(LARGE(BV21:CG21,{1;2;3;4;5;6})),
IF(Arrangörslista!$U$5&lt;16,SUM(LARGE(BV21:CJ21,{1;2;3;4;5;6;7})),
IF(Arrangörslista!$U$5&lt;19,SUM(LARGE(BV21:CM21,{1;2;3;4;5;6;7;8;9})),
IF(Arrangörslista!$U$5&lt;22,SUM(LARGE(BV21:CP21,{1;2;3;4;5;6;7;8;9;10})),
IF(Arrangörslista!$U$5&lt;25,SUM(LARGE(BV21:CS21,{1;2;3;4;5;6;7;8;9;10;11;12})),
IF(Arrangörslista!$U$5&lt;28,SUM(LARGE(BV21:CV21,{1;2;3;4;5;6;7;8;9;10;11;12;13})),
IF(Arrangörslista!$U$5&lt;31,SUM(LARGE(BV21:CY21,{1;2;3;4;5;6;7;8;9;10;11;12;13;14;15})),
IF(Arrangörslista!$U$5&lt;34,SUM(LARGE(BV21:DB21,{1;2;3;4;5;6;7;8;9;10;11;12;13;14;15;16})),
IF(Arrangörslista!$U$5&lt;37,SUM(LARGE(BV21:DE21,{1;2;3;4;5;6;7;8;9;10;11;12;13;14;15;16;17;18})),
IF(Arrangörslista!$U$5&lt;40,SUM(LARGE(BV21:DH21,{1;2;3;4;5;6;7;8;9;10;11;12;13;14;15;16;17;18;19})),
IF(Arrangörslista!$U$5&lt;43,SUM(LARGE(BV21:DK21,{1;2;3;4;5;6;7;8;9;10;11;12;13;14;15;16;17;18;19;20;21})),
IF(Arrangörslista!$U$5&lt;46,SUM(LARGE(BV21:DN21,{1;2;3;4;5;6;7;8;9;10;11;12;13;14;15;16;17;18;19;20;21;22})),
IF(Arrangörslista!$U$5&lt;49,SUM(LARGE(BV21:DQ21,{1;2;3;4;5;6;7;8;9;10;11;12;13;14;15;16;17;18;19;20;21;22;23;24})),
IF(Arrangörslista!$U$5&lt;52,SUM(LARGE(BV21:DT21,{1;2;3;4;5;6;7;8;9;10;11;12;13;14;15;16;17;18;19;20;21;22;23;24;25})),
IF(Arrangörslista!$U$5&lt;55,SUM(LARGE(BV21:DW21,{1;2;3;4;5;6;7;8;9;10;11;12;13;14;15;16;17;18;19;20;21;22;23;24;25;26;27})),
IF(Arrangörslista!$U$5&lt;58,SUM(LARGE(BV21:DZ21,{1;2;3;4;5;6;7;8;9;10;11;12;13;14;15;16;17;18;19;20;21;22;23;24;25;26;27;28})),
IF(Arrangörslista!$U$5&lt;61,SUM(LARGE(BV21:EC21,{1;2;3;4;5;6;7;8;9;10;11;12;13;14;15;16;17;18;19;20;21;22;23;24;25;26;27;28;29;30})),0)))))))))))))))))))),
IF(Arrangörslista!$U$5&lt;4,0,
IF(Arrangörslista!$U$5&lt;8,SUM(LARGE(BV21:CB21,1)),
IF(Arrangörslista!$U$5&lt;12,SUM(LARGE(BV21:CF21,{1;2})),
IF(Arrangörslista!$U$5&lt;16,SUM(LARGE(BV21:CJ21,{1;2;3})),
IF(Arrangörslista!$U$5&lt;20,SUM(LARGE(BV21:CN21,{1;2;3;4})),
IF(Arrangörslista!$U$5&lt;24,SUM(LARGE(BV21:CR21,{1;2;3;4;5})),
IF(Arrangörslista!$U$5&lt;28,SUM(LARGE(BV21:CV21,{1;2;3;4;5;6})),
IF(Arrangörslista!$U$5&lt;32,SUM(LARGE(BV21:CZ21,{1;2;3;4;5;6;7})),
IF(Arrangörslista!$U$5&lt;36,SUM(LARGE(BV21:DD21,{1;2;3;4;5;6;7;8})),
IF(Arrangörslista!$U$5&lt;40,SUM(LARGE(BV21:DH21,{1;2;3;4;5;6;7;8;9})),
IF(Arrangörslista!$U$5&lt;44,SUM(LARGE(BV21:DL21,{1;2;3;4;5;6;7;8;9;10})),
IF(Arrangörslista!$U$5&lt;48,SUM(LARGE(BV21:DP21,{1;2;3;4;5;6;7;8;9;10;11})),
IF(Arrangörslista!$U$5&lt;52,SUM(LARGE(BV21:DT21,{1;2;3;4;5;6;7;8;9;10;11;12})),
IF(Arrangörslista!$U$5&lt;56,SUM(LARGE(BV21:DX21,{1;2;3;4;5;6;7;8;9;10;11;12;13})),
IF(Arrangörslista!$U$5&lt;60,SUM(LARGE(BV21:EB21,{1;2;3;4;5;6;7;8;9;10;11;12;13;14})),
IF(Arrangörslista!$U$5=60,SUM(LARGE(BV21:EC21,{1;2;3;4;5;6;7;8;9;10;11;12;13;14;15})),0))))))))))))))))))</f>
        <v>0</v>
      </c>
      <c r="EG21" s="67">
        <f>IF(F21="",,1)</f>
        <v>0</v>
      </c>
      <c r="EH21" s="61"/>
      <c r="EI21" s="61"/>
      <c r="EK21" s="62">
        <f>SMALL($J84:$BQ84,1)</f>
        <v>61</v>
      </c>
      <c r="EL21" s="62">
        <f>SMALL($J84:$BQ84,2)</f>
        <v>61</v>
      </c>
      <c r="EM21" s="62">
        <f>SMALL($J84:$BQ84,3)</f>
        <v>61</v>
      </c>
      <c r="EN21" s="62">
        <f>SMALL($J84:$BQ84,4)</f>
        <v>61</v>
      </c>
      <c r="EO21" s="62">
        <f>SMALL($J84:$BQ84,5)</f>
        <v>61</v>
      </c>
      <c r="EP21" s="62">
        <f>SMALL($J84:$BQ84,6)</f>
        <v>61</v>
      </c>
      <c r="EQ21" s="62">
        <f>SMALL($J84:$BQ84,7)</f>
        <v>61</v>
      </c>
      <c r="ER21" s="62">
        <f>SMALL($J84:$BQ84,8)</f>
        <v>61</v>
      </c>
      <c r="ES21" s="62">
        <f>SMALL($J84:$BQ84,9)</f>
        <v>61</v>
      </c>
      <c r="ET21" s="62">
        <f>SMALL($J84:$BQ84,10)</f>
        <v>61</v>
      </c>
      <c r="EU21" s="62">
        <f>SMALL($J84:$BQ84,11)</f>
        <v>61</v>
      </c>
      <c r="EV21" s="62">
        <f>SMALL($J84:$BQ84,12)</f>
        <v>61</v>
      </c>
      <c r="EW21" s="62">
        <f>SMALL($J84:$BQ84,13)</f>
        <v>61</v>
      </c>
      <c r="EX21" s="62">
        <f>SMALL($J84:$BQ84,14)</f>
        <v>61</v>
      </c>
      <c r="EY21" s="62">
        <f>SMALL($J84:$BQ84,15)</f>
        <v>61</v>
      </c>
      <c r="EZ21" s="62">
        <f>SMALL($J84:$BQ84,16)</f>
        <v>61</v>
      </c>
      <c r="FA21" s="62">
        <f>SMALL($J84:$BQ84,17)</f>
        <v>61</v>
      </c>
      <c r="FB21" s="62">
        <f>SMALL($J84:$BQ84,18)</f>
        <v>61</v>
      </c>
      <c r="FC21" s="62">
        <f>SMALL($J84:$BQ84,19)</f>
        <v>61</v>
      </c>
      <c r="FD21" s="62">
        <f>SMALL($J84:$BQ84,20)</f>
        <v>61</v>
      </c>
      <c r="FE21" s="62">
        <f>SMALL($J84:$BQ84,21)</f>
        <v>61</v>
      </c>
      <c r="FF21" s="62">
        <f>SMALL($J84:$BQ84,22)</f>
        <v>61</v>
      </c>
      <c r="FG21" s="62">
        <f>SMALL($J84:$BQ84,23)</f>
        <v>61</v>
      </c>
      <c r="FH21" s="62">
        <f>SMALL($J84:$BQ84,24)</f>
        <v>61</v>
      </c>
      <c r="FI21" s="62">
        <f>SMALL($J84:$BQ84,25)</f>
        <v>61</v>
      </c>
      <c r="FJ21" s="62">
        <f>SMALL($J84:$BQ84,26)</f>
        <v>61</v>
      </c>
      <c r="FK21" s="62">
        <f>SMALL($J84:$BQ84,27)</f>
        <v>61</v>
      </c>
      <c r="FL21" s="62">
        <f>SMALL($J84:$BQ84,28)</f>
        <v>61</v>
      </c>
      <c r="FM21" s="62">
        <f>SMALL($J84:$BQ84,29)</f>
        <v>61</v>
      </c>
      <c r="FN21" s="62">
        <f>SMALL($J84:$BQ84,30)</f>
        <v>61</v>
      </c>
      <c r="FO21" s="62">
        <f>SMALL($J84:$BQ84,31)</f>
        <v>61</v>
      </c>
      <c r="FP21" s="62">
        <f>SMALL($J84:$BQ84,32)</f>
        <v>61</v>
      </c>
      <c r="FQ21" s="62">
        <f>SMALL($J84:$BQ84,33)</f>
        <v>61</v>
      </c>
      <c r="FR21" s="62">
        <f>SMALL($J84:$BQ84,34)</f>
        <v>61</v>
      </c>
      <c r="FS21" s="62">
        <f>SMALL($J84:$BQ84,35)</f>
        <v>61</v>
      </c>
      <c r="FT21" s="62">
        <f>SMALL($J84:$BQ84,36)</f>
        <v>61</v>
      </c>
      <c r="FU21" s="62">
        <f>SMALL($J84:$BQ84,37)</f>
        <v>61</v>
      </c>
      <c r="FV21" s="62">
        <f>SMALL($J84:$BQ84,38)</f>
        <v>61</v>
      </c>
      <c r="FW21" s="62">
        <f>SMALL($J84:$BQ84,39)</f>
        <v>61</v>
      </c>
      <c r="FX21" s="62">
        <f>SMALL($J84:$BQ84,40)</f>
        <v>61</v>
      </c>
      <c r="FY21" s="62">
        <f>SMALL($J84:$BQ84,41)</f>
        <v>61</v>
      </c>
      <c r="FZ21" s="62">
        <f>SMALL($J84:$BQ84,42)</f>
        <v>61</v>
      </c>
      <c r="GA21" s="62">
        <f>SMALL($J84:$BQ84,43)</f>
        <v>61</v>
      </c>
      <c r="GB21" s="62">
        <f>SMALL($J84:$BQ84,44)</f>
        <v>61</v>
      </c>
      <c r="GC21" s="62">
        <f>SMALL($J84:$BQ84,45)</f>
        <v>61</v>
      </c>
      <c r="GD21" s="62">
        <f>SMALL($J84:$BQ84,46)</f>
        <v>61</v>
      </c>
      <c r="GE21" s="62">
        <f>SMALL($J84:$BQ84,47)</f>
        <v>61</v>
      </c>
      <c r="GF21" s="62">
        <f>SMALL($J84:$BQ84,48)</f>
        <v>61</v>
      </c>
      <c r="GG21" s="62">
        <f>SMALL($J84:$BQ84,49)</f>
        <v>61</v>
      </c>
      <c r="GH21" s="62">
        <f>SMALL($J84:$BQ84,50)</f>
        <v>61</v>
      </c>
      <c r="GI21" s="62">
        <f>SMALL($J84:$BQ84,51)</f>
        <v>61</v>
      </c>
      <c r="GJ21" s="62">
        <f>SMALL($J84:$BQ84,52)</f>
        <v>61</v>
      </c>
      <c r="GK21" s="62">
        <f>SMALL($J84:$BQ84,53)</f>
        <v>61</v>
      </c>
      <c r="GL21" s="62">
        <f>SMALL($J84:$BQ84,54)</f>
        <v>61</v>
      </c>
      <c r="GM21" s="62">
        <f>SMALL($J84:$BQ84,55)</f>
        <v>61</v>
      </c>
      <c r="GN21" s="62">
        <f>SMALL($J84:$BQ84,56)</f>
        <v>61</v>
      </c>
      <c r="GO21" s="62">
        <f>SMALL($J84:$BQ84,57)</f>
        <v>61</v>
      </c>
      <c r="GP21" s="62">
        <f>SMALL($J84:$BQ84,58)</f>
        <v>61</v>
      </c>
      <c r="GQ21" s="62">
        <f>SMALL($J84:$BQ84,59)</f>
        <v>61</v>
      </c>
      <c r="GR21" s="62">
        <f>SMALL($J84:$BQ84,60)</f>
        <v>61</v>
      </c>
      <c r="GT21" s="62">
        <f>IF(Deltagarlista!$K$3=2,
IF(GW21="1",
      IF(Arrangörslista!$U$5=1,J84,
IF(Arrangörslista!$U$5=2,K84,
IF(Arrangörslista!$U$5=3,L84,
IF(Arrangörslista!$U$5=4,M84,
IF(Arrangörslista!$U$5=5,N84,
IF(Arrangörslista!$U$5=6,O84,
IF(Arrangörslista!$U$5=7,P84,
IF(Arrangörslista!$U$5=8,Q84,
IF(Arrangörslista!$U$5=9,R84,
IF(Arrangörslista!$U$5=10,S84,
IF(Arrangörslista!$U$5=11,T84,
IF(Arrangörslista!$U$5=12,U84,
IF(Arrangörslista!$U$5=13,V84,
IF(Arrangörslista!$U$5=14,W84,
IF(Arrangörslista!$U$5=15,X84,
IF(Arrangörslista!$U$5=16,Y84,IF(Arrangörslista!$U$5=17,Z84,IF(Arrangörslista!$U$5=18,AA84,IF(Arrangörslista!$U$5=19,AB84,IF(Arrangörslista!$U$5=20,AC84,IF(Arrangörslista!$U$5=21,AD84,IF(Arrangörslista!$U$5=22,AE84,IF(Arrangörslista!$U$5=23,AF84, IF(Arrangörslista!$U$5=24,AG84, IF(Arrangörslista!$U$5=25,AH84, IF(Arrangörslista!$U$5=26,AI84, IF(Arrangörslista!$U$5=27,AJ84, IF(Arrangörslista!$U$5=28,AK84, IF(Arrangörslista!$U$5=29,AL84, IF(Arrangörslista!$U$5=30,AM84, IF(Arrangörslista!$U$5=31,AN84, IF(Arrangörslista!$U$5=32,AO84, IF(Arrangörslista!$U$5=33,AP84, IF(Arrangörslista!$U$5=34,AQ84, IF(Arrangörslista!$U$5=35,AR84, IF(Arrangörslista!$U$5=36,AS84, IF(Arrangörslista!$U$5=37,AT84, IF(Arrangörslista!$U$5=38,AU84, IF(Arrangörslista!$U$5=39,AV84, IF(Arrangörslista!$U$5=40,AW84, IF(Arrangörslista!$U$5=41,AX84, IF(Arrangörslista!$U$5=42,AY84, IF(Arrangörslista!$U$5=43,AZ84, IF(Arrangörslista!$U$5=44,BA84, IF(Arrangörslista!$U$5=45,BB84, IF(Arrangörslista!$U$5=46,BC84, IF(Arrangörslista!$U$5=47,BD84, IF(Arrangörslista!$U$5=48,BE84, IF(Arrangörslista!$U$5=49,BF84, IF(Arrangörslista!$U$5=50,BG84, IF(Arrangörslista!$U$5=51,BH84, IF(Arrangörslista!$U$5=52,BI84, IF(Arrangörslista!$U$5=53,BJ84, IF(Arrangörslista!$U$5=54,BK84, IF(Arrangörslista!$U$5=55,BL84, IF(Arrangörslista!$U$5=56,BM84, IF(Arrangörslista!$U$5=57,BN84, IF(Arrangörslista!$U$5=58,BO84, IF(Arrangörslista!$U$5=59,BP84, IF(Arrangörslista!$U$5=60,BQ84,0))))))))))))))))))))))))))))))))))))))))))))))))))))))))))))),IF(Deltagarlista!$K$3=4, IF(Arrangörslista!$U$5=1,J84,
IF(Arrangörslista!$U$5=2,J84,
IF(Arrangörslista!$U$5=3,K84,
IF(Arrangörslista!$U$5=4,K84,
IF(Arrangörslista!$U$5=5,L84,
IF(Arrangörslista!$U$5=6,L84,
IF(Arrangörslista!$U$5=7,M84,
IF(Arrangörslista!$U$5=8,M84,
IF(Arrangörslista!$U$5=9,N84,
IF(Arrangörslista!$U$5=10,N84,
IF(Arrangörslista!$U$5=11,O84,
IF(Arrangörslista!$U$5=12,O84,
IF(Arrangörslista!$U$5=13,P84,
IF(Arrangörslista!$U$5=14,P84,
IF(Arrangörslista!$U$5=15,Q84,
IF(Arrangörslista!$U$5=16,Q84,
IF(Arrangörslista!$U$5=17,R84,
IF(Arrangörslista!$U$5=18,R84,
IF(Arrangörslista!$U$5=19,S84,
IF(Arrangörslista!$U$5=20,S84,
IF(Arrangörslista!$U$5=21,T84,
IF(Arrangörslista!$U$5=22,T84,IF(Arrangörslista!$U$5=23,U84, IF(Arrangörslista!$U$5=24,U84, IF(Arrangörslista!$U$5=25,V84, IF(Arrangörslista!$U$5=26,V84, IF(Arrangörslista!$U$5=27,W84, IF(Arrangörslista!$U$5=28,W84, IF(Arrangörslista!$U$5=29,X84, IF(Arrangörslista!$U$5=30,X84, IF(Arrangörslista!$U$5=31,X84, IF(Arrangörslista!$U$5=32,Y84, IF(Arrangörslista!$U$5=33,AO84, IF(Arrangörslista!$U$5=34,Y84, IF(Arrangörslista!$U$5=35,Z84, IF(Arrangörslista!$U$5=36,AR84, IF(Arrangörslista!$U$5=37,Z84, IF(Arrangörslista!$U$5=38,AA84, IF(Arrangörslista!$U$5=39,AU84, IF(Arrangörslista!$U$5=40,AA84, IF(Arrangörslista!$U$5=41,AB84, IF(Arrangörslista!$U$5=42,AX84, IF(Arrangörslista!$U$5=43,AB84, IF(Arrangörslista!$U$5=44,AC84, IF(Arrangörslista!$U$5=45,BA84, IF(Arrangörslista!$U$5=46,AC84, IF(Arrangörslista!$U$5=47,AD84, IF(Arrangörslista!$U$5=48,BD84, IF(Arrangörslista!$U$5=49,AD84, IF(Arrangörslista!$U$5=50,AE84, IF(Arrangörslista!$U$5=51,BG84, IF(Arrangörslista!$U$5=52,AE84, IF(Arrangörslista!$U$5=53,AF84, IF(Arrangörslista!$U$5=54,BJ84, IF(Arrangörslista!$U$5=55,AF84, IF(Arrangörslista!$U$5=56,AG84, IF(Arrangörslista!$U$5=57,BM84, IF(Arrangörslista!$U$5=58,AG84, IF(Arrangörslista!$U$5=59,AH84, IF(Arrangörslista!$U$5=60,AH84,0)))))))))))))))))))))))))))))))))))))))))))))))))))))))))))),IF(Arrangörslista!$U$5=1,J84,
IF(Arrangörslista!$U$5=2,K84,
IF(Arrangörslista!$U$5=3,L84,
IF(Arrangörslista!$U$5=4,M84,
IF(Arrangörslista!$U$5=5,N84,
IF(Arrangörslista!$U$5=6,O84,
IF(Arrangörslista!$U$5=7,P84,
IF(Arrangörslista!$U$5=8,Q84,
IF(Arrangörslista!$U$5=9,R84,
IF(Arrangörslista!$U$5=10,S84,
IF(Arrangörslista!$U$5=11,T84,
IF(Arrangörslista!$U$5=12,U84,
IF(Arrangörslista!$U$5=13,V84,
IF(Arrangörslista!$U$5=14,W84,
IF(Arrangörslista!$U$5=15,X84,
IF(Arrangörslista!$U$5=16,Y84,IF(Arrangörslista!$U$5=17,Z84,IF(Arrangörslista!$U$5=18,AA84,IF(Arrangörslista!$U$5=19,AB84,IF(Arrangörslista!$U$5=20,AC84,IF(Arrangörslista!$U$5=21,AD84,IF(Arrangörslista!$U$5=22,AE84,IF(Arrangörslista!$U$5=23,AF84, IF(Arrangörslista!$U$5=24,AG84, IF(Arrangörslista!$U$5=25,AH84, IF(Arrangörslista!$U$5=26,AI84, IF(Arrangörslista!$U$5=27,AJ84, IF(Arrangörslista!$U$5=28,AK84, IF(Arrangörslista!$U$5=29,AL84, IF(Arrangörslista!$U$5=30,AM84, IF(Arrangörslista!$U$5=31,AN84, IF(Arrangörslista!$U$5=32,AO84, IF(Arrangörslista!$U$5=33,AP84, IF(Arrangörslista!$U$5=34,AQ84, IF(Arrangörslista!$U$5=35,AR84, IF(Arrangörslista!$U$5=36,AS84, IF(Arrangörslista!$U$5=37,AT84, IF(Arrangörslista!$U$5=38,AU84, IF(Arrangörslista!$U$5=39,AV84, IF(Arrangörslista!$U$5=40,AW84, IF(Arrangörslista!$U$5=41,AX84, IF(Arrangörslista!$U$5=42,AY84, IF(Arrangörslista!$U$5=43,AZ84, IF(Arrangörslista!$U$5=44,BA84, IF(Arrangörslista!$U$5=45,BB84, IF(Arrangörslista!$U$5=46,BC84, IF(Arrangörslista!$U$5=47,BD84, IF(Arrangörslista!$U$5=48,BE84, IF(Arrangörslista!$U$5=49,BF84, IF(Arrangörslista!$U$5=50,BG84, IF(Arrangörslista!$U$5=51,BH84, IF(Arrangörslista!$U$5=52,BI84, IF(Arrangörslista!$U$5=53,BJ84, IF(Arrangörslista!$U$5=54,BK84, IF(Arrangörslista!$U$5=55,BL84, IF(Arrangörslista!$U$5=56,BM84, IF(Arrangörslista!$U$5=57,BN84, IF(Arrangörslista!$U$5=58,BO84, IF(Arrangörslista!$U$5=59,BP84, IF(Arrangörslista!$U$5=60,BQ84,0))))))))))))))))))))))))))))))))))))))))))))))))))))))))))))
))</f>
        <v>0</v>
      </c>
      <c r="GV21" s="65" t="str">
        <f>IFERROR(IF(VLOOKUP(F21,Deltagarlista!$E$5:$I$64,5,FALSE)="Grön","Gr",IF(VLOOKUP(F21,Deltagarlista!$E$5:$I$64,5,FALSE)="Röd","R",IF(VLOOKUP(F21,Deltagarlista!$E$5:$I$64,5,FALSE)="Blå","B","Gu"))),"")</f>
        <v/>
      </c>
      <c r="GW21" s="62" t="str">
        <f t="shared" si="1"/>
        <v/>
      </c>
    </row>
    <row r="22" spans="2:205" x14ac:dyDescent="0.3">
      <c r="B22" s="23" t="str">
        <f>IF($BW$3&gt;18,19,"")</f>
        <v/>
      </c>
      <c r="C22" s="92" t="str">
        <f>IF(ISBLANK(Deltagarlista!C26),"",Deltagarlista!C26)</f>
        <v/>
      </c>
      <c r="D22" s="109" t="str">
        <f>CONCATENATE(IF(AND(Deltagarlista!H26="GM",Deltagarlista!$S$14=TRUE),"GM   ",""), IF(OR(Deltagarlista!$K$3=4,Deltagarlista!$K$3=2),Deltagarlista!I26,""))</f>
        <v/>
      </c>
      <c r="E22" s="8" t="str">
        <f>IF(ISBLANK(Deltagarlista!D26),"",Deltagarlista!D26)</f>
        <v/>
      </c>
      <c r="F22" s="8" t="str">
        <f>IF(ISBLANK(Deltagarlista!E26),"",Deltagarlista!E26)</f>
        <v/>
      </c>
      <c r="G22" s="95" t="str">
        <f>IF(ISBLANK(Deltagarlista!F26),"",Deltagarlista!F26)</f>
        <v/>
      </c>
      <c r="H22" s="72" t="str">
        <f>IF(ISBLANK(Deltagarlista!C26),"",BU22-EE22)</f>
        <v/>
      </c>
      <c r="I22" s="13" t="str">
        <f>IF(ISBLANK(Deltagarlista!C26),"",IF(AND(Deltagarlista!$K$3=2,Deltagarlista!$L$3&lt;37),SUM(SUM(BV22:EC22)-(ROUNDDOWN(Arrangörslista!$U$5/3,1))*($BW$3+1)),SUM(BV22:EC22)))</f>
        <v/>
      </c>
      <c r="J22" s="79" t="str">
        <f>IF(Deltagarlista!$K$3=4,IF(ISBLANK(Deltagarlista!$C26),"",IF(ISBLANK(Arrangörslista!C$8),"",IFERROR(VLOOKUP($F22,Arrangörslista!C$8:$AG$45,16,FALSE),IF(ISBLANK(Deltagarlista!$C26),"",IF(ISBLANK(Arrangörslista!C$8),"",IFERROR(VLOOKUP($F22,Arrangörslista!D$8:$AG$45,16,FALSE),"DNS")))))),IF(Deltagarlista!$K$3=2,
IF(ISBLANK(Deltagarlista!$C26),"",IF(ISBLANK(Arrangörslista!C$8),"",IF($GV22=J$64," DNS ",IFERROR(VLOOKUP($F22,Arrangörslista!C$8:$AG$45,16,FALSE),"DNS")))),IF(ISBLANK(Deltagarlista!$C26),"",IF(ISBLANK(Arrangörslista!C$8),"",IFERROR(VLOOKUP($F22,Arrangörslista!C$8:$AG$45,16,FALSE),"DNS")))))</f>
        <v/>
      </c>
      <c r="K22" s="5" t="str">
        <f>IF(Deltagarlista!$K$3=4,IF(ISBLANK(Deltagarlista!$C26),"",IF(ISBLANK(Arrangörslista!E$8),"",IFERROR(VLOOKUP($F22,Arrangörslista!E$8:$AG$45,16,FALSE),IF(ISBLANK(Deltagarlista!$C26),"",IF(ISBLANK(Arrangörslista!E$8),"",IFERROR(VLOOKUP($F22,Arrangörslista!F$8:$AG$45,16,FALSE),"DNS")))))),IF(Deltagarlista!$K$3=2,
IF(ISBLANK(Deltagarlista!$C26),"",IF(ISBLANK(Arrangörslista!D$8),"",IF($GV22=K$64," DNS ",IFERROR(VLOOKUP($F22,Arrangörslista!D$8:$AG$45,16,FALSE),"DNS")))),IF(ISBLANK(Deltagarlista!$C26),"",IF(ISBLANK(Arrangörslista!D$8),"",IFERROR(VLOOKUP($F22,Arrangörslista!D$8:$AG$45,16,FALSE),"DNS")))))</f>
        <v/>
      </c>
      <c r="L22" s="5" t="str">
        <f>IF(Deltagarlista!$K$3=4,IF(ISBLANK(Deltagarlista!$C26),"",IF(ISBLANK(Arrangörslista!G$8),"",IFERROR(VLOOKUP($F22,Arrangörslista!G$8:$AG$45,16,FALSE),IF(ISBLANK(Deltagarlista!$C26),"",IF(ISBLANK(Arrangörslista!G$8),"",IFERROR(VLOOKUP($F22,Arrangörslista!H$8:$AG$45,16,FALSE),"DNS")))))),IF(Deltagarlista!$K$3=2,
IF(ISBLANK(Deltagarlista!$C26),"",IF(ISBLANK(Arrangörslista!E$8),"",IF($GV22=L$64," DNS ",IFERROR(VLOOKUP($F22,Arrangörslista!E$8:$AG$45,16,FALSE),"DNS")))),IF(ISBLANK(Deltagarlista!$C26),"",IF(ISBLANK(Arrangörslista!E$8),"",IFERROR(VLOOKUP($F22,Arrangörslista!E$8:$AG$45,16,FALSE),"DNS")))))</f>
        <v/>
      </c>
      <c r="M22" s="5" t="str">
        <f>IF(Deltagarlista!$K$3=4,IF(ISBLANK(Deltagarlista!$C26),"",IF(ISBLANK(Arrangörslista!I$8),"",IFERROR(VLOOKUP($F22,Arrangörslista!I$8:$AG$45,16,FALSE),IF(ISBLANK(Deltagarlista!$C26),"",IF(ISBLANK(Arrangörslista!I$8),"",IFERROR(VLOOKUP($F22,Arrangörslista!J$8:$AG$45,16,FALSE),"DNS")))))),IF(Deltagarlista!$K$3=2,
IF(ISBLANK(Deltagarlista!$C26),"",IF(ISBLANK(Arrangörslista!F$8),"",IF($GV22=M$64," DNS ",IFERROR(VLOOKUP($F22,Arrangörslista!F$8:$AG$45,16,FALSE),"DNS")))),IF(ISBLANK(Deltagarlista!$C26),"",IF(ISBLANK(Arrangörslista!F$8),"",IFERROR(VLOOKUP($F22,Arrangörslista!F$8:$AG$45,16,FALSE),"DNS")))))</f>
        <v/>
      </c>
      <c r="N22" s="5" t="str">
        <f>IF(Deltagarlista!$K$3=4,IF(ISBLANK(Deltagarlista!$C26),"",IF(ISBLANK(Arrangörslista!K$8),"",IFERROR(VLOOKUP($F22,Arrangörslista!K$8:$AG$45,16,FALSE),IF(ISBLANK(Deltagarlista!$C26),"",IF(ISBLANK(Arrangörslista!K$8),"",IFERROR(VLOOKUP($F22,Arrangörslista!L$8:$AG$45,16,FALSE),"DNS")))))),IF(Deltagarlista!$K$3=2,
IF(ISBLANK(Deltagarlista!$C26),"",IF(ISBLANK(Arrangörslista!G$8),"",IF($GV22=N$64," DNS ",IFERROR(VLOOKUP($F22,Arrangörslista!G$8:$AG$45,16,FALSE),"DNS")))),IF(ISBLANK(Deltagarlista!$C26),"",IF(ISBLANK(Arrangörslista!G$8),"",IFERROR(VLOOKUP($F22,Arrangörslista!G$8:$AG$45,16,FALSE),"DNS")))))</f>
        <v/>
      </c>
      <c r="O22" s="5" t="str">
        <f>IF(Deltagarlista!$K$3=4,IF(ISBLANK(Deltagarlista!$C26),"",IF(ISBLANK(Arrangörslista!M$8),"",IFERROR(VLOOKUP($F22,Arrangörslista!M$8:$AG$45,16,FALSE),IF(ISBLANK(Deltagarlista!$C26),"",IF(ISBLANK(Arrangörslista!M$8),"",IFERROR(VLOOKUP($F22,Arrangörslista!N$8:$AG$45,16,FALSE),"DNS")))))),IF(Deltagarlista!$K$3=2,
IF(ISBLANK(Deltagarlista!$C26),"",IF(ISBLANK(Arrangörslista!H$8),"",IF($GV22=O$64," DNS ",IFERROR(VLOOKUP($F22,Arrangörslista!H$8:$AG$45,16,FALSE),"DNS")))),IF(ISBLANK(Deltagarlista!$C26),"",IF(ISBLANK(Arrangörslista!H$8),"",IFERROR(VLOOKUP($F22,Arrangörslista!H$8:$AG$45,16,FALSE),"DNS")))))</f>
        <v/>
      </c>
      <c r="P22" s="5" t="str">
        <f>IF(Deltagarlista!$K$3=4,IF(ISBLANK(Deltagarlista!$C26),"",IF(ISBLANK(Arrangörslista!O$8),"",IFERROR(VLOOKUP($F22,Arrangörslista!O$8:$AG$45,16,FALSE),IF(ISBLANK(Deltagarlista!$C26),"",IF(ISBLANK(Arrangörslista!O$8),"",IFERROR(VLOOKUP($F22,Arrangörslista!P$8:$AG$45,16,FALSE),"DNS")))))),IF(Deltagarlista!$K$3=2,
IF(ISBLANK(Deltagarlista!$C26),"",IF(ISBLANK(Arrangörslista!I$8),"",IF($GV22=P$64," DNS ",IFERROR(VLOOKUP($F22,Arrangörslista!I$8:$AG$45,16,FALSE),"DNS")))),IF(ISBLANK(Deltagarlista!$C26),"",IF(ISBLANK(Arrangörslista!I$8),"",IFERROR(VLOOKUP($F22,Arrangörslista!I$8:$AG$45,16,FALSE),"DNS")))))</f>
        <v/>
      </c>
      <c r="Q22" s="5" t="str">
        <f>IF(Deltagarlista!$K$3=4,IF(ISBLANK(Deltagarlista!$C26),"",IF(ISBLANK(Arrangörslista!Q$8),"",IFERROR(VLOOKUP($F22,Arrangörslista!Q$8:$AG$45,16,FALSE),IF(ISBLANK(Deltagarlista!$C26),"",IF(ISBLANK(Arrangörslista!Q$8),"",IFERROR(VLOOKUP($F22,Arrangörslista!C$53:$AG$90,16,FALSE),"DNS")))))),IF(Deltagarlista!$K$3=2,
IF(ISBLANK(Deltagarlista!$C26),"",IF(ISBLANK(Arrangörslista!J$8),"",IF($GV22=Q$64," DNS ",IFERROR(VLOOKUP($F22,Arrangörslista!J$8:$AG$45,16,FALSE),"DNS")))),IF(ISBLANK(Deltagarlista!$C26),"",IF(ISBLANK(Arrangörslista!J$8),"",IFERROR(VLOOKUP($F22,Arrangörslista!J$8:$AG$45,16,FALSE),"DNS")))))</f>
        <v/>
      </c>
      <c r="R22" s="5" t="str">
        <f>IF(Deltagarlista!$K$3=4,IF(ISBLANK(Deltagarlista!$C26),"",IF(ISBLANK(Arrangörslista!D$53),"",IFERROR(VLOOKUP($F22,Arrangörslista!D$53:$AG$90,16,FALSE),IF(ISBLANK(Deltagarlista!$C26),"",IF(ISBLANK(Arrangörslista!D$53),"",IFERROR(VLOOKUP($F22,Arrangörslista!E$53:$AG$90,16,FALSE),"DNS")))))),IF(Deltagarlista!$K$3=2,
IF(ISBLANK(Deltagarlista!$C26),"",IF(ISBLANK(Arrangörslista!K$8),"",IF($GV22=R$64," DNS ",IFERROR(VLOOKUP($F22,Arrangörslista!K$8:$AG$45,16,FALSE),"DNS")))),IF(ISBLANK(Deltagarlista!$C26),"",IF(ISBLANK(Arrangörslista!K$8),"",IFERROR(VLOOKUP($F22,Arrangörslista!K$8:$AG$45,16,FALSE),"DNS")))))</f>
        <v/>
      </c>
      <c r="S22" s="5" t="str">
        <f>IF(Deltagarlista!$K$3=4,IF(ISBLANK(Deltagarlista!$C26),"",IF(ISBLANK(Arrangörslista!F$53),"",IFERROR(VLOOKUP($F22,Arrangörslista!F$53:$AG$90,16,FALSE),IF(ISBLANK(Deltagarlista!$C26),"",IF(ISBLANK(Arrangörslista!F$53),"",IFERROR(VLOOKUP($F22,Arrangörslista!G$53:$AG$90,16,FALSE),"DNS")))))),IF(Deltagarlista!$K$3=2,
IF(ISBLANK(Deltagarlista!$C26),"",IF(ISBLANK(Arrangörslista!L$8),"",IF($GV22=S$64," DNS ",IFERROR(VLOOKUP($F22,Arrangörslista!L$8:$AG$45,16,FALSE),"DNS")))),IF(ISBLANK(Deltagarlista!$C26),"",IF(ISBLANK(Arrangörslista!L$8),"",IFERROR(VLOOKUP($F22,Arrangörslista!L$8:$AG$45,16,FALSE),"DNS")))))</f>
        <v/>
      </c>
      <c r="T22" s="5" t="str">
        <f>IF(Deltagarlista!$K$3=4,IF(ISBLANK(Deltagarlista!$C26),"",IF(ISBLANK(Arrangörslista!H$53),"",IFERROR(VLOOKUP($F22,Arrangörslista!H$53:$AG$90,16,FALSE),IF(ISBLANK(Deltagarlista!$C26),"",IF(ISBLANK(Arrangörslista!H$53),"",IFERROR(VLOOKUP($F22,Arrangörslista!I$53:$AG$90,16,FALSE),"DNS")))))),IF(Deltagarlista!$K$3=2,
IF(ISBLANK(Deltagarlista!$C26),"",IF(ISBLANK(Arrangörslista!M$8),"",IF($GV22=T$64," DNS ",IFERROR(VLOOKUP($F22,Arrangörslista!M$8:$AG$45,16,FALSE),"DNS")))),IF(ISBLANK(Deltagarlista!$C26),"",IF(ISBLANK(Arrangörslista!M$8),"",IFERROR(VLOOKUP($F22,Arrangörslista!M$8:$AG$45,16,FALSE),"DNS")))))</f>
        <v/>
      </c>
      <c r="U22" s="5" t="str">
        <f>IF(Deltagarlista!$K$3=4,IF(ISBLANK(Deltagarlista!$C26),"",IF(ISBLANK(Arrangörslista!J$53),"",IFERROR(VLOOKUP($F22,Arrangörslista!J$53:$AG$90,16,FALSE),IF(ISBLANK(Deltagarlista!$C26),"",IF(ISBLANK(Arrangörslista!J$53),"",IFERROR(VLOOKUP($F22,Arrangörslista!K$53:$AG$90,16,FALSE),"DNS")))))),IF(Deltagarlista!$K$3=2,
IF(ISBLANK(Deltagarlista!$C26),"",IF(ISBLANK(Arrangörslista!N$8),"",IF($GV22=U$64," DNS ",IFERROR(VLOOKUP($F22,Arrangörslista!N$8:$AG$45,16,FALSE),"DNS")))),IF(ISBLANK(Deltagarlista!$C26),"",IF(ISBLANK(Arrangörslista!N$8),"",IFERROR(VLOOKUP($F22,Arrangörslista!N$8:$AG$45,16,FALSE),"DNS")))))</f>
        <v/>
      </c>
      <c r="V22" s="5" t="str">
        <f>IF(Deltagarlista!$K$3=4,IF(ISBLANK(Deltagarlista!$C26),"",IF(ISBLANK(Arrangörslista!L$53),"",IFERROR(VLOOKUP($F22,Arrangörslista!L$53:$AG$90,16,FALSE),IF(ISBLANK(Deltagarlista!$C26),"",IF(ISBLANK(Arrangörslista!L$53),"",IFERROR(VLOOKUP($F22,Arrangörslista!M$53:$AG$90,16,FALSE),"DNS")))))),IF(Deltagarlista!$K$3=2,
IF(ISBLANK(Deltagarlista!$C26),"",IF(ISBLANK(Arrangörslista!O$8),"",IF($GV22=V$64," DNS ",IFERROR(VLOOKUP($F22,Arrangörslista!O$8:$AG$45,16,FALSE),"DNS")))),IF(ISBLANK(Deltagarlista!$C26),"",IF(ISBLANK(Arrangörslista!O$8),"",IFERROR(VLOOKUP($F22,Arrangörslista!O$8:$AG$45,16,FALSE),"DNS")))))</f>
        <v/>
      </c>
      <c r="W22" s="5" t="str">
        <f>IF(Deltagarlista!$K$3=4,IF(ISBLANK(Deltagarlista!$C26),"",IF(ISBLANK(Arrangörslista!N$53),"",IFERROR(VLOOKUP($F22,Arrangörslista!N$53:$AG$90,16,FALSE),IF(ISBLANK(Deltagarlista!$C26),"",IF(ISBLANK(Arrangörslista!N$53),"",IFERROR(VLOOKUP($F22,Arrangörslista!O$53:$AG$90,16,FALSE),"DNS")))))),IF(Deltagarlista!$K$3=2,
IF(ISBLANK(Deltagarlista!$C26),"",IF(ISBLANK(Arrangörslista!P$8),"",IF($GV22=W$64," DNS ",IFERROR(VLOOKUP($F22,Arrangörslista!P$8:$AG$45,16,FALSE),"DNS")))),IF(ISBLANK(Deltagarlista!$C26),"",IF(ISBLANK(Arrangörslista!P$8),"",IFERROR(VLOOKUP($F22,Arrangörslista!P$8:$AG$45,16,FALSE),"DNS")))))</f>
        <v/>
      </c>
      <c r="X22" s="5" t="str">
        <f>IF(Deltagarlista!$K$3=4,IF(ISBLANK(Deltagarlista!$C26),"",IF(ISBLANK(Arrangörslista!P$53),"",IFERROR(VLOOKUP($F22,Arrangörslista!P$53:$AG$90,16,FALSE),IF(ISBLANK(Deltagarlista!$C26),"",IF(ISBLANK(Arrangörslista!P$53),"",IFERROR(VLOOKUP($F22,Arrangörslista!Q$53:$AG$90,16,FALSE),"DNS")))))),IF(Deltagarlista!$K$3=2,
IF(ISBLANK(Deltagarlista!$C26),"",IF(ISBLANK(Arrangörslista!Q$8),"",IF($GV22=X$64," DNS ",IFERROR(VLOOKUP($F22,Arrangörslista!Q$8:$AG$45,16,FALSE),"DNS")))),IF(ISBLANK(Deltagarlista!$C26),"",IF(ISBLANK(Arrangörslista!Q$8),"",IFERROR(VLOOKUP($F22,Arrangörslista!Q$8:$AG$45,16,FALSE),"DNS")))))</f>
        <v/>
      </c>
      <c r="Y22" s="5" t="str">
        <f>IF(Deltagarlista!$K$3=4,IF(ISBLANK(Deltagarlista!$C26),"",IF(ISBLANK(Arrangörslista!C$98),"",IFERROR(VLOOKUP($F22,Arrangörslista!C$98:$AG$135,16,FALSE),IF(ISBLANK(Deltagarlista!$C26),"",IF(ISBLANK(Arrangörslista!C$98),"",IFERROR(VLOOKUP($F22,Arrangörslista!D$98:$AG$135,16,FALSE),"DNS")))))),IF(Deltagarlista!$K$3=2,
IF(ISBLANK(Deltagarlista!$C26),"",IF(ISBLANK(Arrangörslista!C$53),"",IF($GV22=Y$64," DNS ",IFERROR(VLOOKUP($F22,Arrangörslista!C$53:$AG$90,16,FALSE),"DNS")))),IF(ISBLANK(Deltagarlista!$C26),"",IF(ISBLANK(Arrangörslista!C$53),"",IFERROR(VLOOKUP($F22,Arrangörslista!C$53:$AG$90,16,FALSE),"DNS")))))</f>
        <v/>
      </c>
      <c r="Z22" s="5" t="str">
        <f>IF(Deltagarlista!$K$3=4,IF(ISBLANK(Deltagarlista!$C26),"",IF(ISBLANK(Arrangörslista!E$98),"",IFERROR(VLOOKUP($F22,Arrangörslista!E$98:$AG$135,16,FALSE),IF(ISBLANK(Deltagarlista!$C26),"",IF(ISBLANK(Arrangörslista!E$98),"",IFERROR(VLOOKUP($F22,Arrangörslista!F$98:$AG$135,16,FALSE),"DNS")))))),IF(Deltagarlista!$K$3=2,
IF(ISBLANK(Deltagarlista!$C26),"",IF(ISBLANK(Arrangörslista!D$53),"",IF($GV22=Z$64," DNS ",IFERROR(VLOOKUP($F22,Arrangörslista!D$53:$AG$90,16,FALSE),"DNS")))),IF(ISBLANK(Deltagarlista!$C26),"",IF(ISBLANK(Arrangörslista!D$53),"",IFERROR(VLOOKUP($F22,Arrangörslista!D$53:$AG$90,16,FALSE),"DNS")))))</f>
        <v/>
      </c>
      <c r="AA22" s="5" t="str">
        <f>IF(Deltagarlista!$K$3=4,IF(ISBLANK(Deltagarlista!$C26),"",IF(ISBLANK(Arrangörslista!G$98),"",IFERROR(VLOOKUP($F22,Arrangörslista!G$98:$AG$135,16,FALSE),IF(ISBLANK(Deltagarlista!$C26),"",IF(ISBLANK(Arrangörslista!G$98),"",IFERROR(VLOOKUP($F22,Arrangörslista!H$98:$AG$135,16,FALSE),"DNS")))))),IF(Deltagarlista!$K$3=2,
IF(ISBLANK(Deltagarlista!$C26),"",IF(ISBLANK(Arrangörslista!E$53),"",IF($GV22=AA$64," DNS ",IFERROR(VLOOKUP($F22,Arrangörslista!E$53:$AG$90,16,FALSE),"DNS")))),IF(ISBLANK(Deltagarlista!$C26),"",IF(ISBLANK(Arrangörslista!E$53),"",IFERROR(VLOOKUP($F22,Arrangörslista!E$53:$AG$90,16,FALSE),"DNS")))))</f>
        <v/>
      </c>
      <c r="AB22" s="5" t="str">
        <f>IF(Deltagarlista!$K$3=4,IF(ISBLANK(Deltagarlista!$C26),"",IF(ISBLANK(Arrangörslista!I$98),"",IFERROR(VLOOKUP($F22,Arrangörslista!I$98:$AG$135,16,FALSE),IF(ISBLANK(Deltagarlista!$C26),"",IF(ISBLANK(Arrangörslista!I$98),"",IFERROR(VLOOKUP($F22,Arrangörslista!J$98:$AG$135,16,FALSE),"DNS")))))),IF(Deltagarlista!$K$3=2,
IF(ISBLANK(Deltagarlista!$C26),"",IF(ISBLANK(Arrangörslista!F$53),"",IF($GV22=AB$64," DNS ",IFERROR(VLOOKUP($F22,Arrangörslista!F$53:$AG$90,16,FALSE),"DNS")))),IF(ISBLANK(Deltagarlista!$C26),"",IF(ISBLANK(Arrangörslista!F$53),"",IFERROR(VLOOKUP($F22,Arrangörslista!F$53:$AG$90,16,FALSE),"DNS")))))</f>
        <v/>
      </c>
      <c r="AC22" s="5" t="str">
        <f>IF(Deltagarlista!$K$3=4,IF(ISBLANK(Deltagarlista!$C26),"",IF(ISBLANK(Arrangörslista!K$98),"",IFERROR(VLOOKUP($F22,Arrangörslista!K$98:$AG$135,16,FALSE),IF(ISBLANK(Deltagarlista!$C26),"",IF(ISBLANK(Arrangörslista!K$98),"",IFERROR(VLOOKUP($F22,Arrangörslista!L$98:$AG$135,16,FALSE),"DNS")))))),IF(Deltagarlista!$K$3=2,
IF(ISBLANK(Deltagarlista!$C26),"",IF(ISBLANK(Arrangörslista!G$53),"",IF($GV22=AC$64," DNS ",IFERROR(VLOOKUP($F22,Arrangörslista!G$53:$AG$90,16,FALSE),"DNS")))),IF(ISBLANK(Deltagarlista!$C26),"",IF(ISBLANK(Arrangörslista!G$53),"",IFERROR(VLOOKUP($F22,Arrangörslista!G$53:$AG$90,16,FALSE),"DNS")))))</f>
        <v/>
      </c>
      <c r="AD22" s="5" t="str">
        <f>IF(Deltagarlista!$K$3=4,IF(ISBLANK(Deltagarlista!$C26),"",IF(ISBLANK(Arrangörslista!M$98),"",IFERROR(VLOOKUP($F22,Arrangörslista!M$98:$AG$135,16,FALSE),IF(ISBLANK(Deltagarlista!$C26),"",IF(ISBLANK(Arrangörslista!M$98),"",IFERROR(VLOOKUP($F22,Arrangörslista!N$98:$AG$135,16,FALSE),"DNS")))))),IF(Deltagarlista!$K$3=2,
IF(ISBLANK(Deltagarlista!$C26),"",IF(ISBLANK(Arrangörslista!H$53),"",IF($GV22=AD$64," DNS ",IFERROR(VLOOKUP($F22,Arrangörslista!H$53:$AG$90,16,FALSE),"DNS")))),IF(ISBLANK(Deltagarlista!$C26),"",IF(ISBLANK(Arrangörslista!H$53),"",IFERROR(VLOOKUP($F22,Arrangörslista!H$53:$AG$90,16,FALSE),"DNS")))))</f>
        <v/>
      </c>
      <c r="AE22" s="5" t="str">
        <f>IF(Deltagarlista!$K$3=4,IF(ISBLANK(Deltagarlista!$C26),"",IF(ISBLANK(Arrangörslista!O$98),"",IFERROR(VLOOKUP($F22,Arrangörslista!O$98:$AG$135,16,FALSE),IF(ISBLANK(Deltagarlista!$C26),"",IF(ISBLANK(Arrangörslista!O$98),"",IFERROR(VLOOKUP($F22,Arrangörslista!P$98:$AG$135,16,FALSE),"DNS")))))),IF(Deltagarlista!$K$3=2,
IF(ISBLANK(Deltagarlista!$C26),"",IF(ISBLANK(Arrangörslista!I$53),"",IF($GV22=AE$64," DNS ",IFERROR(VLOOKUP($F22,Arrangörslista!I$53:$AG$90,16,FALSE),"DNS")))),IF(ISBLANK(Deltagarlista!$C26),"",IF(ISBLANK(Arrangörslista!I$53),"",IFERROR(VLOOKUP($F22,Arrangörslista!I$53:$AG$90,16,FALSE),"DNS")))))</f>
        <v/>
      </c>
      <c r="AF22" s="5" t="str">
        <f>IF(Deltagarlista!$K$3=4,IF(ISBLANK(Deltagarlista!$C26),"",IF(ISBLANK(Arrangörslista!Q$98),"",IFERROR(VLOOKUP($F22,Arrangörslista!Q$98:$AG$135,16,FALSE),IF(ISBLANK(Deltagarlista!$C26),"",IF(ISBLANK(Arrangörslista!Q$98),"",IFERROR(VLOOKUP($F22,Arrangörslista!C$143:$AG$180,16,FALSE),"DNS")))))),IF(Deltagarlista!$K$3=2,
IF(ISBLANK(Deltagarlista!$C26),"",IF(ISBLANK(Arrangörslista!J$53),"",IF($GV22=AF$64," DNS ",IFERROR(VLOOKUP($F22,Arrangörslista!J$53:$AG$90,16,FALSE),"DNS")))),IF(ISBLANK(Deltagarlista!$C26),"",IF(ISBLANK(Arrangörslista!J$53),"",IFERROR(VLOOKUP($F22,Arrangörslista!J$53:$AG$90,16,FALSE),"DNS")))))</f>
        <v/>
      </c>
      <c r="AG22" s="5" t="str">
        <f>IF(Deltagarlista!$K$3=4,IF(ISBLANK(Deltagarlista!$C26),"",IF(ISBLANK(Arrangörslista!D$143),"",IFERROR(VLOOKUP($F22,Arrangörslista!D$143:$AG$180,16,FALSE),IF(ISBLANK(Deltagarlista!$C26),"",IF(ISBLANK(Arrangörslista!D$143),"",IFERROR(VLOOKUP($F22,Arrangörslista!E$143:$AG$180,16,FALSE),"DNS")))))),IF(Deltagarlista!$K$3=2,
IF(ISBLANK(Deltagarlista!$C26),"",IF(ISBLANK(Arrangörslista!K$53),"",IF($GV22=AG$64," DNS ",IFERROR(VLOOKUP($F22,Arrangörslista!K$53:$AG$90,16,FALSE),"DNS")))),IF(ISBLANK(Deltagarlista!$C26),"",IF(ISBLANK(Arrangörslista!K$53),"",IFERROR(VLOOKUP($F22,Arrangörslista!K$53:$AG$90,16,FALSE),"DNS")))))</f>
        <v/>
      </c>
      <c r="AH22" s="5" t="str">
        <f>IF(Deltagarlista!$K$3=4,IF(ISBLANK(Deltagarlista!$C26),"",IF(ISBLANK(Arrangörslista!F$143),"",IFERROR(VLOOKUP($F22,Arrangörslista!F$143:$AG$180,16,FALSE),IF(ISBLANK(Deltagarlista!$C26),"",IF(ISBLANK(Arrangörslista!F$143),"",IFERROR(VLOOKUP($F22,Arrangörslista!G$143:$AG$180,16,FALSE),"DNS")))))),IF(Deltagarlista!$K$3=2,
IF(ISBLANK(Deltagarlista!$C26),"",IF(ISBLANK(Arrangörslista!L$53),"",IF($GV22=AH$64," DNS ",IFERROR(VLOOKUP($F22,Arrangörslista!L$53:$AG$90,16,FALSE),"DNS")))),IF(ISBLANK(Deltagarlista!$C26),"",IF(ISBLANK(Arrangörslista!L$53),"",IFERROR(VLOOKUP($F22,Arrangörslista!L$53:$AG$90,16,FALSE),"DNS")))))</f>
        <v/>
      </c>
      <c r="AI22" s="5" t="str">
        <f>IF(Deltagarlista!$K$3=4,IF(ISBLANK(Deltagarlista!$C26),"",IF(ISBLANK(Arrangörslista!H$143),"",IFERROR(VLOOKUP($F22,Arrangörslista!H$143:$AG$180,16,FALSE),IF(ISBLANK(Deltagarlista!$C26),"",IF(ISBLANK(Arrangörslista!H$143),"",IFERROR(VLOOKUP($F22,Arrangörslista!I$143:$AG$180,16,FALSE),"DNS")))))),IF(Deltagarlista!$K$3=2,
IF(ISBLANK(Deltagarlista!$C26),"",IF(ISBLANK(Arrangörslista!M$53),"",IF($GV22=AI$64," DNS ",IFERROR(VLOOKUP($F22,Arrangörslista!M$53:$AG$90,16,FALSE),"DNS")))),IF(ISBLANK(Deltagarlista!$C26),"",IF(ISBLANK(Arrangörslista!M$53),"",IFERROR(VLOOKUP($F22,Arrangörslista!M$53:$AG$90,16,FALSE),"DNS")))))</f>
        <v/>
      </c>
      <c r="AJ22" s="5" t="str">
        <f>IF(Deltagarlista!$K$3=4,IF(ISBLANK(Deltagarlista!$C26),"",IF(ISBLANK(Arrangörslista!J$143),"",IFERROR(VLOOKUP($F22,Arrangörslista!J$143:$AG$180,16,FALSE),IF(ISBLANK(Deltagarlista!$C26),"",IF(ISBLANK(Arrangörslista!J$143),"",IFERROR(VLOOKUP($F22,Arrangörslista!K$143:$AG$180,16,FALSE),"DNS")))))),IF(Deltagarlista!$K$3=2,
IF(ISBLANK(Deltagarlista!$C26),"",IF(ISBLANK(Arrangörslista!N$53),"",IF($GV22=AJ$64," DNS ",IFERROR(VLOOKUP($F22,Arrangörslista!N$53:$AG$90,16,FALSE),"DNS")))),IF(ISBLANK(Deltagarlista!$C26),"",IF(ISBLANK(Arrangörslista!N$53),"",IFERROR(VLOOKUP($F22,Arrangörslista!N$53:$AG$90,16,FALSE),"DNS")))))</f>
        <v/>
      </c>
      <c r="AK22" s="5" t="str">
        <f>IF(Deltagarlista!$K$3=4,IF(ISBLANK(Deltagarlista!$C26),"",IF(ISBLANK(Arrangörslista!L$143),"",IFERROR(VLOOKUP($F22,Arrangörslista!L$143:$AG$180,16,FALSE),IF(ISBLANK(Deltagarlista!$C26),"",IF(ISBLANK(Arrangörslista!L$143),"",IFERROR(VLOOKUP($F22,Arrangörslista!M$143:$AG$180,16,FALSE),"DNS")))))),IF(Deltagarlista!$K$3=2,
IF(ISBLANK(Deltagarlista!$C26),"",IF(ISBLANK(Arrangörslista!O$53),"",IF($GV22=AK$64," DNS ",IFERROR(VLOOKUP($F22,Arrangörslista!O$53:$AG$90,16,FALSE),"DNS")))),IF(ISBLANK(Deltagarlista!$C26),"",IF(ISBLANK(Arrangörslista!O$53),"",IFERROR(VLOOKUP($F22,Arrangörslista!O$53:$AG$90,16,FALSE),"DNS")))))</f>
        <v/>
      </c>
      <c r="AL22" s="5" t="str">
        <f>IF(Deltagarlista!$K$3=4,IF(ISBLANK(Deltagarlista!$C26),"",IF(ISBLANK(Arrangörslista!N$143),"",IFERROR(VLOOKUP($F22,Arrangörslista!N$143:$AG$180,16,FALSE),IF(ISBLANK(Deltagarlista!$C26),"",IF(ISBLANK(Arrangörslista!N$143),"",IFERROR(VLOOKUP($F22,Arrangörslista!O$143:$AG$180,16,FALSE),"DNS")))))),IF(Deltagarlista!$K$3=2,
IF(ISBLANK(Deltagarlista!$C26),"",IF(ISBLANK(Arrangörslista!P$53),"",IF($GV22=AL$64," DNS ",IFERROR(VLOOKUP($F22,Arrangörslista!P$53:$AG$90,16,FALSE),"DNS")))),IF(ISBLANK(Deltagarlista!$C26),"",IF(ISBLANK(Arrangörslista!P$53),"",IFERROR(VLOOKUP($F22,Arrangörslista!P$53:$AG$90,16,FALSE),"DNS")))))</f>
        <v/>
      </c>
      <c r="AM22" s="5" t="str">
        <f>IF(Deltagarlista!$K$3=4,IF(ISBLANK(Deltagarlista!$C26),"",IF(ISBLANK(Arrangörslista!P$143),"",IFERROR(VLOOKUP($F22,Arrangörslista!P$143:$AG$180,16,FALSE),IF(ISBLANK(Deltagarlista!$C26),"",IF(ISBLANK(Arrangörslista!P$143),"",IFERROR(VLOOKUP($F22,Arrangörslista!Q$143:$AG$180,16,FALSE),"DNS")))))),IF(Deltagarlista!$K$3=2,
IF(ISBLANK(Deltagarlista!$C26),"",IF(ISBLANK(Arrangörslista!Q$53),"",IF($GV22=AM$64," DNS ",IFERROR(VLOOKUP($F22,Arrangörslista!Q$53:$AG$90,16,FALSE),"DNS")))),IF(ISBLANK(Deltagarlista!$C26),"",IF(ISBLANK(Arrangörslista!Q$53),"",IFERROR(VLOOKUP($F22,Arrangörslista!Q$53:$AG$90,16,FALSE),"DNS")))))</f>
        <v/>
      </c>
      <c r="AN22" s="5" t="str">
        <f>IF(Deltagarlista!$K$3=2,
IF(ISBLANK(Deltagarlista!$C26),"",IF(ISBLANK(Arrangörslista!C$98),"",IF($GV22=AN$64," DNS ",IFERROR(VLOOKUP($F22,Arrangörslista!C$98:$AG$135,16,FALSE), "DNS")))), IF(Deltagarlista!$K$3=1,IF(ISBLANK(Deltagarlista!$C26),"",IF(ISBLANK(Arrangörslista!C$98),"",IFERROR(VLOOKUP($F22,Arrangörslista!C$98:$AG$135,16,FALSE), "DNS"))),""))</f>
        <v/>
      </c>
      <c r="AO22" s="5" t="str">
        <f>IF(Deltagarlista!$K$3=2,
IF(ISBLANK(Deltagarlista!$C26),"",IF(ISBLANK(Arrangörslista!D$98),"",IF($GV22=AO$64," DNS ",IFERROR(VLOOKUP($F22,Arrangörslista!D$98:$AG$135,16,FALSE), "DNS")))), IF(Deltagarlista!$K$3=1,IF(ISBLANK(Deltagarlista!$C26),"",IF(ISBLANK(Arrangörslista!D$98),"",IFERROR(VLOOKUP($F22,Arrangörslista!D$98:$AG$135,16,FALSE), "DNS"))),""))</f>
        <v/>
      </c>
      <c r="AP22" s="5" t="str">
        <f>IF(Deltagarlista!$K$3=2,
IF(ISBLANK(Deltagarlista!$C26),"",IF(ISBLANK(Arrangörslista!E$98),"",IF($GV22=AP$64," DNS ",IFERROR(VLOOKUP($F22,Arrangörslista!E$98:$AG$135,16,FALSE), "DNS")))), IF(Deltagarlista!$K$3=1,IF(ISBLANK(Deltagarlista!$C26),"",IF(ISBLANK(Arrangörslista!E$98),"",IFERROR(VLOOKUP($F22,Arrangörslista!E$98:$AG$135,16,FALSE), "DNS"))),""))</f>
        <v/>
      </c>
      <c r="AQ22" s="5" t="str">
        <f>IF(Deltagarlista!$K$3=2,
IF(ISBLANK(Deltagarlista!$C26),"",IF(ISBLANK(Arrangörslista!F$98),"",IF($GV22=AQ$64," DNS ",IFERROR(VLOOKUP($F22,Arrangörslista!F$98:$AG$135,16,FALSE), "DNS")))), IF(Deltagarlista!$K$3=1,IF(ISBLANK(Deltagarlista!$C26),"",IF(ISBLANK(Arrangörslista!F$98),"",IFERROR(VLOOKUP($F22,Arrangörslista!F$98:$AG$135,16,FALSE), "DNS"))),""))</f>
        <v/>
      </c>
      <c r="AR22" s="5" t="str">
        <f>IF(Deltagarlista!$K$3=2,
IF(ISBLANK(Deltagarlista!$C26),"",IF(ISBLANK(Arrangörslista!G$98),"",IF($GV22=AR$64," DNS ",IFERROR(VLOOKUP($F22,Arrangörslista!G$98:$AG$135,16,FALSE), "DNS")))), IF(Deltagarlista!$K$3=1,IF(ISBLANK(Deltagarlista!$C26),"",IF(ISBLANK(Arrangörslista!G$98),"",IFERROR(VLOOKUP($F22,Arrangörslista!G$98:$AG$135,16,FALSE), "DNS"))),""))</f>
        <v/>
      </c>
      <c r="AS22" s="5" t="str">
        <f>IF(Deltagarlista!$K$3=2,
IF(ISBLANK(Deltagarlista!$C26),"",IF(ISBLANK(Arrangörslista!H$98),"",IF($GV22=AS$64," DNS ",IFERROR(VLOOKUP($F22,Arrangörslista!H$98:$AG$135,16,FALSE), "DNS")))), IF(Deltagarlista!$K$3=1,IF(ISBLANK(Deltagarlista!$C26),"",IF(ISBLANK(Arrangörslista!H$98),"",IFERROR(VLOOKUP($F22,Arrangörslista!H$98:$AG$135,16,FALSE), "DNS"))),""))</f>
        <v/>
      </c>
      <c r="AT22" s="5" t="str">
        <f>IF(Deltagarlista!$K$3=2,
IF(ISBLANK(Deltagarlista!$C26),"",IF(ISBLANK(Arrangörslista!I$98),"",IF($GV22=AT$64," DNS ",IFERROR(VLOOKUP($F22,Arrangörslista!I$98:$AG$135,16,FALSE), "DNS")))), IF(Deltagarlista!$K$3=1,IF(ISBLANK(Deltagarlista!$C26),"",IF(ISBLANK(Arrangörslista!I$98),"",IFERROR(VLOOKUP($F22,Arrangörslista!I$98:$AG$135,16,FALSE), "DNS"))),""))</f>
        <v/>
      </c>
      <c r="AU22" s="5" t="str">
        <f>IF(Deltagarlista!$K$3=2,
IF(ISBLANK(Deltagarlista!$C26),"",IF(ISBLANK(Arrangörslista!J$98),"",IF($GV22=AU$64," DNS ",IFERROR(VLOOKUP($F22,Arrangörslista!J$98:$AG$135,16,FALSE), "DNS")))), IF(Deltagarlista!$K$3=1,IF(ISBLANK(Deltagarlista!$C26),"",IF(ISBLANK(Arrangörslista!J$98),"",IFERROR(VLOOKUP($F22,Arrangörslista!J$98:$AG$135,16,FALSE), "DNS"))),""))</f>
        <v/>
      </c>
      <c r="AV22" s="5" t="str">
        <f>IF(Deltagarlista!$K$3=2,
IF(ISBLANK(Deltagarlista!$C26),"",IF(ISBLANK(Arrangörslista!K$98),"",IF($GV22=AV$64," DNS ",IFERROR(VLOOKUP($F22,Arrangörslista!K$98:$AG$135,16,FALSE), "DNS")))), IF(Deltagarlista!$K$3=1,IF(ISBLANK(Deltagarlista!$C26),"",IF(ISBLANK(Arrangörslista!K$98),"",IFERROR(VLOOKUP($F22,Arrangörslista!K$98:$AG$135,16,FALSE), "DNS"))),""))</f>
        <v/>
      </c>
      <c r="AW22" s="5" t="str">
        <f>IF(Deltagarlista!$K$3=2,
IF(ISBLANK(Deltagarlista!$C26),"",IF(ISBLANK(Arrangörslista!L$98),"",IF($GV22=AW$64," DNS ",IFERROR(VLOOKUP($F22,Arrangörslista!L$98:$AG$135,16,FALSE), "DNS")))), IF(Deltagarlista!$K$3=1,IF(ISBLANK(Deltagarlista!$C26),"",IF(ISBLANK(Arrangörslista!L$98),"",IFERROR(VLOOKUP($F22,Arrangörslista!L$98:$AG$135,16,FALSE), "DNS"))),""))</f>
        <v/>
      </c>
      <c r="AX22" s="5" t="str">
        <f>IF(Deltagarlista!$K$3=2,
IF(ISBLANK(Deltagarlista!$C26),"",IF(ISBLANK(Arrangörslista!M$98),"",IF($GV22=AX$64," DNS ",IFERROR(VLOOKUP($F22,Arrangörslista!M$98:$AG$135,16,FALSE), "DNS")))), IF(Deltagarlista!$K$3=1,IF(ISBLANK(Deltagarlista!$C26),"",IF(ISBLANK(Arrangörslista!M$98),"",IFERROR(VLOOKUP($F22,Arrangörslista!M$98:$AG$135,16,FALSE), "DNS"))),""))</f>
        <v/>
      </c>
      <c r="AY22" s="5" t="str">
        <f>IF(Deltagarlista!$K$3=2,
IF(ISBLANK(Deltagarlista!$C26),"",IF(ISBLANK(Arrangörslista!N$98),"",IF($GV22=AY$64," DNS ",IFERROR(VLOOKUP($F22,Arrangörslista!N$98:$AG$135,16,FALSE), "DNS")))), IF(Deltagarlista!$K$3=1,IF(ISBLANK(Deltagarlista!$C26),"",IF(ISBLANK(Arrangörslista!N$98),"",IFERROR(VLOOKUP($F22,Arrangörslista!N$98:$AG$135,16,FALSE), "DNS"))),""))</f>
        <v/>
      </c>
      <c r="AZ22" s="5" t="str">
        <f>IF(Deltagarlista!$K$3=2,
IF(ISBLANK(Deltagarlista!$C26),"",IF(ISBLANK(Arrangörslista!O$98),"",IF($GV22=AZ$64," DNS ",IFERROR(VLOOKUP($F22,Arrangörslista!O$98:$AG$135,16,FALSE), "DNS")))), IF(Deltagarlista!$K$3=1,IF(ISBLANK(Deltagarlista!$C26),"",IF(ISBLANK(Arrangörslista!O$98),"",IFERROR(VLOOKUP($F22,Arrangörslista!O$98:$AG$135,16,FALSE), "DNS"))),""))</f>
        <v/>
      </c>
      <c r="BA22" s="5" t="str">
        <f>IF(Deltagarlista!$K$3=2,
IF(ISBLANK(Deltagarlista!$C26),"",IF(ISBLANK(Arrangörslista!P$98),"",IF($GV22=BA$64," DNS ",IFERROR(VLOOKUP($F22,Arrangörslista!P$98:$AG$135,16,FALSE), "DNS")))), IF(Deltagarlista!$K$3=1,IF(ISBLANK(Deltagarlista!$C26),"",IF(ISBLANK(Arrangörslista!P$98),"",IFERROR(VLOOKUP($F22,Arrangörslista!P$98:$AG$135,16,FALSE), "DNS"))),""))</f>
        <v/>
      </c>
      <c r="BB22" s="5" t="str">
        <f>IF(Deltagarlista!$K$3=2,
IF(ISBLANK(Deltagarlista!$C26),"",IF(ISBLANK(Arrangörslista!Q$98),"",IF($GV22=BB$64," DNS ",IFERROR(VLOOKUP($F22,Arrangörslista!Q$98:$AG$135,16,FALSE), "DNS")))), IF(Deltagarlista!$K$3=1,IF(ISBLANK(Deltagarlista!$C26),"",IF(ISBLANK(Arrangörslista!Q$98),"",IFERROR(VLOOKUP($F22,Arrangörslista!Q$98:$AG$135,16,FALSE), "DNS"))),""))</f>
        <v/>
      </c>
      <c r="BC22" s="5" t="str">
        <f>IF(Deltagarlista!$K$3=2,
IF(ISBLANK(Deltagarlista!$C26),"",IF(ISBLANK(Arrangörslista!C$143),"",IF($GV22=BC$64," DNS ",IFERROR(VLOOKUP($F22,Arrangörslista!C$143:$AG$180,16,FALSE), "DNS")))), IF(Deltagarlista!$K$3=1,IF(ISBLANK(Deltagarlista!$C26),"",IF(ISBLANK(Arrangörslista!C$143),"",IFERROR(VLOOKUP($F22,Arrangörslista!C$143:$AG$180,16,FALSE), "DNS"))),""))</f>
        <v/>
      </c>
      <c r="BD22" s="5" t="str">
        <f>IF(Deltagarlista!$K$3=2,
IF(ISBLANK(Deltagarlista!$C26),"",IF(ISBLANK(Arrangörslista!D$143),"",IF($GV22=BD$64," DNS ",IFERROR(VLOOKUP($F22,Arrangörslista!D$143:$AG$180,16,FALSE), "DNS")))), IF(Deltagarlista!$K$3=1,IF(ISBLANK(Deltagarlista!$C26),"",IF(ISBLANK(Arrangörslista!D$143),"",IFERROR(VLOOKUP($F22,Arrangörslista!D$143:$AG$180,16,FALSE), "DNS"))),""))</f>
        <v/>
      </c>
      <c r="BE22" s="5" t="str">
        <f>IF(Deltagarlista!$K$3=2,
IF(ISBLANK(Deltagarlista!$C26),"",IF(ISBLANK(Arrangörslista!E$143),"",IF($GV22=BE$64," DNS ",IFERROR(VLOOKUP($F22,Arrangörslista!E$143:$AG$180,16,FALSE), "DNS")))), IF(Deltagarlista!$K$3=1,IF(ISBLANK(Deltagarlista!$C26),"",IF(ISBLANK(Arrangörslista!E$143),"",IFERROR(VLOOKUP($F22,Arrangörslista!E$143:$AG$180,16,FALSE), "DNS"))),""))</f>
        <v/>
      </c>
      <c r="BF22" s="5" t="str">
        <f>IF(Deltagarlista!$K$3=2,
IF(ISBLANK(Deltagarlista!$C26),"",IF(ISBLANK(Arrangörslista!F$143),"",IF($GV22=BF$64," DNS ",IFERROR(VLOOKUP($F22,Arrangörslista!F$143:$AG$180,16,FALSE), "DNS")))), IF(Deltagarlista!$K$3=1,IF(ISBLANK(Deltagarlista!$C26),"",IF(ISBLANK(Arrangörslista!F$143),"",IFERROR(VLOOKUP($F22,Arrangörslista!F$143:$AG$180,16,FALSE), "DNS"))),""))</f>
        <v/>
      </c>
      <c r="BG22" s="5" t="str">
        <f>IF(Deltagarlista!$K$3=2,
IF(ISBLANK(Deltagarlista!$C26),"",IF(ISBLANK(Arrangörslista!G$143),"",IF($GV22=BG$64," DNS ",IFERROR(VLOOKUP($F22,Arrangörslista!G$143:$AG$180,16,FALSE), "DNS")))), IF(Deltagarlista!$K$3=1,IF(ISBLANK(Deltagarlista!$C26),"",IF(ISBLANK(Arrangörslista!G$143),"",IFERROR(VLOOKUP($F22,Arrangörslista!G$143:$AG$180,16,FALSE), "DNS"))),""))</f>
        <v/>
      </c>
      <c r="BH22" s="5" t="str">
        <f>IF(Deltagarlista!$K$3=2,
IF(ISBLANK(Deltagarlista!$C26),"",IF(ISBLANK(Arrangörslista!H$143),"",IF($GV22=BH$64," DNS ",IFERROR(VLOOKUP($F22,Arrangörslista!H$143:$AG$180,16,FALSE), "DNS")))), IF(Deltagarlista!$K$3=1,IF(ISBLANK(Deltagarlista!$C26),"",IF(ISBLANK(Arrangörslista!H$143),"",IFERROR(VLOOKUP($F22,Arrangörslista!H$143:$AG$180,16,FALSE), "DNS"))),""))</f>
        <v/>
      </c>
      <c r="BI22" s="5" t="str">
        <f>IF(Deltagarlista!$K$3=2,
IF(ISBLANK(Deltagarlista!$C26),"",IF(ISBLANK(Arrangörslista!I$143),"",IF($GV22=BI$64," DNS ",IFERROR(VLOOKUP($F22,Arrangörslista!I$143:$AG$180,16,FALSE), "DNS")))), IF(Deltagarlista!$K$3=1,IF(ISBLANK(Deltagarlista!$C26),"",IF(ISBLANK(Arrangörslista!I$143),"",IFERROR(VLOOKUP($F22,Arrangörslista!I$143:$AG$180,16,FALSE), "DNS"))),""))</f>
        <v/>
      </c>
      <c r="BJ22" s="5" t="str">
        <f>IF(Deltagarlista!$K$3=2,
IF(ISBLANK(Deltagarlista!$C26),"",IF(ISBLANK(Arrangörslista!J$143),"",IF($GV22=BJ$64," DNS ",IFERROR(VLOOKUP($F22,Arrangörslista!J$143:$AG$180,16,FALSE), "DNS")))), IF(Deltagarlista!$K$3=1,IF(ISBLANK(Deltagarlista!$C26),"",IF(ISBLANK(Arrangörslista!J$143),"",IFERROR(VLOOKUP($F22,Arrangörslista!J$143:$AG$180,16,FALSE), "DNS"))),""))</f>
        <v/>
      </c>
      <c r="BK22" s="5" t="str">
        <f>IF(Deltagarlista!$K$3=2,
IF(ISBLANK(Deltagarlista!$C26),"",IF(ISBLANK(Arrangörslista!K$143),"",IF($GV22=BK$64," DNS ",IFERROR(VLOOKUP($F22,Arrangörslista!K$143:$AG$180,16,FALSE), "DNS")))), IF(Deltagarlista!$K$3=1,IF(ISBLANK(Deltagarlista!$C26),"",IF(ISBLANK(Arrangörslista!K$143),"",IFERROR(VLOOKUP($F22,Arrangörslista!K$143:$AG$180,16,FALSE), "DNS"))),""))</f>
        <v/>
      </c>
      <c r="BL22" s="5" t="str">
        <f>IF(Deltagarlista!$K$3=2,
IF(ISBLANK(Deltagarlista!$C26),"",IF(ISBLANK(Arrangörslista!L$143),"",IF($GV22=BL$64," DNS ",IFERROR(VLOOKUP($F22,Arrangörslista!L$143:$AG$180,16,FALSE), "DNS")))), IF(Deltagarlista!$K$3=1,IF(ISBLANK(Deltagarlista!$C26),"",IF(ISBLANK(Arrangörslista!L$143),"",IFERROR(VLOOKUP($F22,Arrangörslista!L$143:$AG$180,16,FALSE), "DNS"))),""))</f>
        <v/>
      </c>
      <c r="BM22" s="5" t="str">
        <f>IF(Deltagarlista!$K$3=2,
IF(ISBLANK(Deltagarlista!$C26),"",IF(ISBLANK(Arrangörslista!M$143),"",IF($GV22=BM$64," DNS ",IFERROR(VLOOKUP($F22,Arrangörslista!M$143:$AG$180,16,FALSE), "DNS")))), IF(Deltagarlista!$K$3=1,IF(ISBLANK(Deltagarlista!$C26),"",IF(ISBLANK(Arrangörslista!M$143),"",IFERROR(VLOOKUP($F22,Arrangörslista!M$143:$AG$180,16,FALSE), "DNS"))),""))</f>
        <v/>
      </c>
      <c r="BN22" s="5" t="str">
        <f>IF(Deltagarlista!$K$3=2,
IF(ISBLANK(Deltagarlista!$C26),"",IF(ISBLANK(Arrangörslista!N$143),"",IF($GV22=BN$64," DNS ",IFERROR(VLOOKUP($F22,Arrangörslista!N$143:$AG$180,16,FALSE), "DNS")))), IF(Deltagarlista!$K$3=1,IF(ISBLANK(Deltagarlista!$C26),"",IF(ISBLANK(Arrangörslista!N$143),"",IFERROR(VLOOKUP($F22,Arrangörslista!N$143:$AG$180,16,FALSE), "DNS"))),""))</f>
        <v/>
      </c>
      <c r="BO22" s="5" t="str">
        <f>IF(Deltagarlista!$K$3=2,
IF(ISBLANK(Deltagarlista!$C26),"",IF(ISBLANK(Arrangörslista!O$143),"",IF($GV22=BO$64," DNS ",IFERROR(VLOOKUP($F22,Arrangörslista!O$143:$AG$180,16,FALSE), "DNS")))), IF(Deltagarlista!$K$3=1,IF(ISBLANK(Deltagarlista!$C26),"",IF(ISBLANK(Arrangörslista!O$143),"",IFERROR(VLOOKUP($F22,Arrangörslista!O$143:$AG$180,16,FALSE), "DNS"))),""))</f>
        <v/>
      </c>
      <c r="BP22" s="5" t="str">
        <f>IF(Deltagarlista!$K$3=2,
IF(ISBLANK(Deltagarlista!$C26),"",IF(ISBLANK(Arrangörslista!P$143),"",IF($GV22=BP$64," DNS ",IFERROR(VLOOKUP($F22,Arrangörslista!P$143:$AG$180,16,FALSE), "DNS")))), IF(Deltagarlista!$K$3=1,IF(ISBLANK(Deltagarlista!$C26),"",IF(ISBLANK(Arrangörslista!P$143),"",IFERROR(VLOOKUP($F22,Arrangörslista!P$143:$AG$180,16,FALSE), "DNS"))),""))</f>
        <v/>
      </c>
      <c r="BQ22" s="80" t="str">
        <f>IF(Deltagarlista!$K$3=2,
IF(ISBLANK(Deltagarlista!$C26),"",IF(ISBLANK(Arrangörslista!Q$143),"",IF($GV22=BQ$64," DNS ",IFERROR(VLOOKUP($F22,Arrangörslista!Q$143:$AG$180,16,FALSE), "DNS")))), IF(Deltagarlista!$K$3=1,IF(ISBLANK(Deltagarlista!$C26),"",IF(ISBLANK(Arrangörslista!Q$143),"",IFERROR(VLOOKUP($F22,Arrangörslista!Q$143:$AG$180,16,FALSE), "DNS"))),""))</f>
        <v/>
      </c>
      <c r="BR22" s="51"/>
      <c r="BS22" s="51"/>
      <c r="BT22" s="51"/>
      <c r="BU22" s="71">
        <f>SUM(BV22:EC22)</f>
        <v>0</v>
      </c>
      <c r="BV22" s="61">
        <f>IF(J22="",0,IF(OR(J22="DNF",J22="OCS",J22="DSQ",J22="DNS",J22=" DNS "),$BW$3+1,J22))</f>
        <v>0</v>
      </c>
      <c r="BW22" s="61">
        <f>IF(K22="",0,IF(OR(K22="DNF",K22="OCS",K22="DSQ",K22="DNS",K22=" DNS "),$BW$3+1,K22))</f>
        <v>0</v>
      </c>
      <c r="BX22" s="61">
        <f>IF(L22="",0,IF(OR(L22="DNF",L22="OCS",L22="DSQ",L22="DNS",L22=" DNS "),$BW$3+1,L22))</f>
        <v>0</v>
      </c>
      <c r="BY22" s="61">
        <f>IF(M22="",0,IF(OR(M22="DNF",M22="OCS",M22="DSQ",M22="DNS",M22=" DNS "),$BW$3+1,M22))</f>
        <v>0</v>
      </c>
      <c r="BZ22" s="61">
        <f>IF(N22="",0,IF(OR(N22="DNF",N22="OCS",N22="DSQ",N22="DNS",N22=" DNS "),$BW$3+1,N22))</f>
        <v>0</v>
      </c>
      <c r="CA22" s="61">
        <f>IF(O22="",0,IF(OR(O22="DNF",O22="OCS",O22="DSQ",O22="DNS",O22=" DNS "),$BW$3+1,O22))</f>
        <v>0</v>
      </c>
      <c r="CB22" s="61">
        <f>IF(P22="",0,IF(OR(P22="DNF",P22="OCS",P22="DSQ",P22="DNS",P22=" DNS "),$BW$3+1,P22))</f>
        <v>0</v>
      </c>
      <c r="CC22" s="61">
        <f>IF(Q22="",0,IF(OR(Q22="DNF",Q22="OCS",Q22="DSQ",Q22="DNS",Q22=" DNS "),$BW$3+1,Q22))</f>
        <v>0</v>
      </c>
      <c r="CD22" s="61">
        <f>IF(R22="",0,IF(OR(R22="DNF",R22="OCS",R22="DSQ",R22="DNS",R22=" DNS "),$BW$3+1,R22))</f>
        <v>0</v>
      </c>
      <c r="CE22" s="61">
        <f>IF(S22="",0,IF(OR(S22="DNF",S22="OCS",S22="DSQ",S22="DNS",S22=" DNS "),$BW$3+1,S22))</f>
        <v>0</v>
      </c>
      <c r="CF22" s="61">
        <f>IF(T22="",0,IF(OR(T22="DNF",T22="OCS",T22="DSQ",T22="DNS",T22=" DNS "),$BW$3+1,T22))</f>
        <v>0</v>
      </c>
      <c r="CG22" s="61">
        <f>IF(U22="",0,IF(OR(U22="DNF",U22="OCS",U22="DSQ",U22="DNS",U22=" DNS "),$BW$3+1,U22))</f>
        <v>0</v>
      </c>
      <c r="CH22" s="61">
        <f>IF(V22="",0,IF(OR(V22="DNF",V22="OCS",V22="DSQ",V22="DNS",V22=" DNS "),$BW$3+1,V22))</f>
        <v>0</v>
      </c>
      <c r="CI22" s="61">
        <f>IF(W22="",0,IF(OR(W22="DNF",W22="OCS",W22="DSQ",W22="DNS",W22=" DNS "),$BW$3+1,W22))</f>
        <v>0</v>
      </c>
      <c r="CJ22" s="61">
        <f>IF(X22="",0,IF(OR(X22="DNF",X22="OCS",X22="DSQ",X22="DNS",X22=" DNS "),$BW$3+1,X22))</f>
        <v>0</v>
      </c>
      <c r="CK22" s="61">
        <f>IF(Y22="",0,IF(OR(Y22="DNF",Y22="OCS",Y22="DSQ",Y22="DNS",Y22=" DNS "),$BW$3+1,Y22))</f>
        <v>0</v>
      </c>
      <c r="CL22" s="61">
        <f>IF(Z22="",0,IF(OR(Z22="DNF",Z22="OCS",Z22="DSQ",Z22="DNS",Z22=" DNS "),$BW$3+1,Z22))</f>
        <v>0</v>
      </c>
      <c r="CM22" s="61">
        <f>IF(AA22="",0,IF(OR(AA22="DNF",AA22="OCS",AA22="DSQ",AA22="DNS",AA22=" DNS "),$BW$3+1,AA22))</f>
        <v>0</v>
      </c>
      <c r="CN22" s="61">
        <f>IF(AB22="",0,IF(OR(AB22="DNF",AB22="OCS",AB22="DSQ",AB22="DNS",AB22=" DNS "),$BW$3+1,AB22))</f>
        <v>0</v>
      </c>
      <c r="CO22" s="61">
        <f>IF(AC22="",0,IF(OR(AC22="DNF",AC22="OCS",AC22="DSQ",AC22="DNS",AC22=" DNS "),$BW$3+1,AC22))</f>
        <v>0</v>
      </c>
      <c r="CP22" s="61">
        <f>IF(AD22="",0,IF(OR(AD22="DNF",AD22="OCS",AD22="DSQ",AD22="DNS",AD22=" DNS "),$BW$3+1,AD22))</f>
        <v>0</v>
      </c>
      <c r="CQ22" s="61">
        <f>IF(AE22="",0,IF(OR(AE22="DNF",AE22="OCS",AE22="DSQ",AE22="DNS",AE22=" DNS "),$BW$3+1,AE22))</f>
        <v>0</v>
      </c>
      <c r="CR22" s="61">
        <f>IF(AF22="",0,IF(OR(AF22="DNF",AF22="OCS",AF22="DSQ",AF22="DNS",AF22=" DNS "),$BW$3+1,AF22))</f>
        <v>0</v>
      </c>
      <c r="CS22" s="61">
        <f>IF(AG22="",0,IF(OR(AG22="DNF",AG22="OCS",AG22="DSQ",AG22="DNS",AG22=" DNS "),$BW$3+1,AG22))</f>
        <v>0</v>
      </c>
      <c r="CT22" s="61">
        <f>IF(AH22="",0,IF(OR(AH22="DNF",AH22="OCS",AH22="DSQ",AH22="DNS",AH22=" DNS "),$BW$3+1,AH22))</f>
        <v>0</v>
      </c>
      <c r="CU22" s="61">
        <f>IF(AI22="",0,IF(OR(AI22="DNF",AI22="OCS",AI22="DSQ",AI22="DNS",AI22=" DNS "),$BW$3+1,AI22))</f>
        <v>0</v>
      </c>
      <c r="CV22" s="61">
        <f>IF(AJ22="",0,IF(OR(AJ22="DNF",AJ22="OCS",AJ22="DSQ",AJ22="DNS",AJ22=" DNS "),$BW$3+1,AJ22))</f>
        <v>0</v>
      </c>
      <c r="CW22" s="61">
        <f>IF(AK22="",0,IF(OR(AK22="DNF",AK22="OCS",AK22="DSQ",AK22="DNS",AK22=" DNS "),$BW$3+1,AK22))</f>
        <v>0</v>
      </c>
      <c r="CX22" s="61">
        <f>IF(AL22="",0,IF(OR(AL22="DNF",AL22="OCS",AL22="DSQ",AL22="DNS",AL22=" DNS "),$BW$3+1,AL22))</f>
        <v>0</v>
      </c>
      <c r="CY22" s="61">
        <f>IF(AM22="",0,IF(OR(AM22="DNF",AM22="OCS",AM22="DSQ",AM22="DNS",AM22=" DNS "),$BW$3+1,AM22))</f>
        <v>0</v>
      </c>
      <c r="CZ22" s="61">
        <f>IF(AN22="",0,IF(OR(AN22="DNF",AN22="OCS",AN22="DSQ",AN22="DNS",AN22=" DNS "),$BW$3+1,AN22))</f>
        <v>0</v>
      </c>
      <c r="DA22" s="61">
        <f>IF(AO22="",0,IF(OR(AO22="DNF",AO22="OCS",AO22="DSQ",AO22="DNS",AO22=" DNS "),$BW$3+1,AO22))</f>
        <v>0</v>
      </c>
      <c r="DB22" s="61">
        <f>IF(AP22="",0,IF(OR(AP22="DNF",AP22="OCS",AP22="DSQ",AP22="DNS",AP22=" DNS "),$BW$3+1,AP22))</f>
        <v>0</v>
      </c>
      <c r="DC22" s="61">
        <f>IF(AQ22="",0,IF(OR(AQ22="DNF",AQ22="OCS",AQ22="DSQ",AQ22="DNS",AQ22=" DNS "),$BW$3+1,AQ22))</f>
        <v>0</v>
      </c>
      <c r="DD22" s="61">
        <f>IF(AR22="",0,IF(OR(AR22="DNF",AR22="OCS",AR22="DSQ",AR22="DNS",AR22=" DNS "),$BW$3+1,AR22))</f>
        <v>0</v>
      </c>
      <c r="DE22" s="61">
        <f>IF(AS22="",0,IF(OR(AS22="DNF",AS22="OCS",AS22="DSQ",AS22="DNS",AS22=" DNS "),$BW$3+1,AS22))</f>
        <v>0</v>
      </c>
      <c r="DF22" s="61">
        <f>IF(AT22="",0,IF(OR(AT22="DNF",AT22="OCS",AT22="DSQ",AT22="DNS",AT22=" DNS "),$BW$3+1,AT22))</f>
        <v>0</v>
      </c>
      <c r="DG22" s="61">
        <f>IF(AU22="",0,IF(OR(AU22="DNF",AU22="OCS",AU22="DSQ",AU22="DNS",AU22=" DNS "),$BW$3+1,AU22))</f>
        <v>0</v>
      </c>
      <c r="DH22" s="61">
        <f>IF(AV22="",0,IF(OR(AV22="DNF",AV22="OCS",AV22="DSQ",AV22="DNS",AV22=" DNS "),$BW$3+1,AV22))</f>
        <v>0</v>
      </c>
      <c r="DI22" s="61">
        <f>IF(AW22="",0,IF(OR(AW22="DNF",AW22="OCS",AW22="DSQ",AW22="DNS",AW22=" DNS "),$BW$3+1,AW22))</f>
        <v>0</v>
      </c>
      <c r="DJ22" s="61">
        <f>IF(AX22="",0,IF(OR(AX22="DNF",AX22="OCS",AX22="DSQ",AX22="DNS",AX22=" DNS "),$BW$3+1,AX22))</f>
        <v>0</v>
      </c>
      <c r="DK22" s="61">
        <f>IF(AY22="",0,IF(OR(AY22="DNF",AY22="OCS",AY22="DSQ",AY22="DNS",AY22=" DNS "),$BW$3+1,AY22))</f>
        <v>0</v>
      </c>
      <c r="DL22" s="61">
        <f>IF(AZ22="",0,IF(OR(AZ22="DNF",AZ22="OCS",AZ22="DSQ",AZ22="DNS",AZ22=" DNS "),$BW$3+1,AZ22))</f>
        <v>0</v>
      </c>
      <c r="DM22" s="61">
        <f>IF(BA22="",0,IF(OR(BA22="DNF",BA22="OCS",BA22="DSQ",BA22="DNS",BA22=" DNS "),$BW$3+1,BA22))</f>
        <v>0</v>
      </c>
      <c r="DN22" s="61">
        <f>IF(BB22="",0,IF(OR(BB22="DNF",BB22="OCS",BB22="DSQ",BB22="DNS",BB22=" DNS "),$BW$3+1,BB22))</f>
        <v>0</v>
      </c>
      <c r="DO22" s="61">
        <f>IF(BC22="",0,IF(OR(BC22="DNF",BC22="OCS",BC22="DSQ",BC22="DNS",BC22=" DNS "),$BW$3+1,BC22))</f>
        <v>0</v>
      </c>
      <c r="DP22" s="61">
        <f>IF(BD22="",0,IF(OR(BD22="DNF",BD22="OCS",BD22="DSQ",BD22="DNS",BD22=" DNS "),$BW$3+1,BD22))</f>
        <v>0</v>
      </c>
      <c r="DQ22" s="61">
        <f>IF(BE22="",0,IF(OR(BE22="DNF",BE22="OCS",BE22="DSQ",BE22="DNS",BE22=" DNS "),$BW$3+1,BE22))</f>
        <v>0</v>
      </c>
      <c r="DR22" s="61">
        <f>IF(BF22="",0,IF(OR(BF22="DNF",BF22="OCS",BF22="DSQ",BF22="DNS",BF22=" DNS "),$BW$3+1,BF22))</f>
        <v>0</v>
      </c>
      <c r="DS22" s="61">
        <f>IF(BG22="",0,IF(OR(BG22="DNF",BG22="OCS",BG22="DSQ",BG22="DNS",BG22=" DNS "),$BW$3+1,BG22))</f>
        <v>0</v>
      </c>
      <c r="DT22" s="61">
        <f>IF(BH22="",0,IF(OR(BH22="DNF",BH22="OCS",BH22="DSQ",BH22="DNS",BH22=" DNS "),$BW$3+1,BH22))</f>
        <v>0</v>
      </c>
      <c r="DU22" s="61">
        <f>IF(BI22="",0,IF(OR(BI22="DNF",BI22="OCS",BI22="DSQ",BI22="DNS",BI22=" DNS "),$BW$3+1,BI22))</f>
        <v>0</v>
      </c>
      <c r="DV22" s="61">
        <f>IF(BJ22="",0,IF(OR(BJ22="DNF",BJ22="OCS",BJ22="DSQ",BJ22="DNS",BJ22=" DNS "),$BW$3+1,BJ22))</f>
        <v>0</v>
      </c>
      <c r="DW22" s="61">
        <f>IF(BK22="",0,IF(OR(BK22="DNF",BK22="OCS",BK22="DSQ",BK22="DNS",BK22=" DNS "),$BW$3+1,BK22))</f>
        <v>0</v>
      </c>
      <c r="DX22" s="61">
        <f>IF(BL22="",0,IF(OR(BL22="DNF",BL22="OCS",BL22="DSQ",BL22="DNS",BL22=" DNS "),$BW$3+1,BL22))</f>
        <v>0</v>
      </c>
      <c r="DY22" s="61">
        <f>IF(BM22="",0,IF(OR(BM22="DNF",BM22="OCS",BM22="DSQ",BM22="DNS",BM22=" DNS "),$BW$3+1,BM22))</f>
        <v>0</v>
      </c>
      <c r="DZ22" s="61">
        <f>IF(BN22="",0,IF(OR(BN22="DNF",BN22="OCS",BN22="DSQ",BN22="DNS",BN22=" DNS "),$BW$3+1,BN22))</f>
        <v>0</v>
      </c>
      <c r="EA22" s="61">
        <f>IF(BO22="",0,IF(OR(BO22="DNF",BO22="OCS",BO22="DSQ",BO22="DNS",BO22=" DNS "),$BW$3+1,BO22))</f>
        <v>0</v>
      </c>
      <c r="EB22" s="61">
        <f>IF(BP22="",0,IF(OR(BP22="DNF",BP22="OCS",BP22="DSQ",BP22="DNS",BP22=" DNS "),$BW$3+1,BP22))</f>
        <v>0</v>
      </c>
      <c r="EC22" s="61">
        <f>IF(BQ22="",0,IF(OR(BQ22="DNF",BQ22="OCS",BQ22="DSQ",BQ22="DNS",BQ22=" DNS "),$BW$3+1,BQ22))</f>
        <v>0</v>
      </c>
      <c r="EE22" s="61">
        <f xml:space="preserve">
IF(OR(Deltagarlista!$K$3=3,Deltagarlista!$K$3=4),
IF(Arrangörslista!$U$5&lt;8,0,
IF(Arrangörslista!$U$5&lt;16,SUM(LARGE(BV22:CJ22,1)),
IF(Arrangörslista!$U$5&lt;24,SUM(LARGE(BV22:CR22,{1;2})),
IF(Arrangörslista!$U$5&lt;32,SUM(LARGE(BV22:CZ22,{1;2;3})),
IF(Arrangörslista!$U$5&lt;40,SUM(LARGE(BV22:DH22,{1;2;3;4})),
IF(Arrangörslista!$U$5&lt;48,SUM(LARGE(BV22:DP22,{1;2;3;4;5})),
IF(Arrangörslista!$U$5&lt;56,SUM(LARGE(BV22:DX22,{1;2;3;4;5;6})),
IF(Arrangörslista!$U$5&lt;64,SUM(LARGE(BV22:EC22,{1;2;3;4;5;6;7})),0)))))))),
IF(Deltagarlista!$K$3=2,
IF(Arrangörslista!$U$5&lt;4,LARGE(BV22:BX22,1),
IF(Arrangörslista!$U$5&lt;7,SUM(LARGE(BV22:CA22,{1;2;3})),
IF(Arrangörslista!$U$5&lt;10,SUM(LARGE(BV22:CD22,{1;2;3;4})),
IF(Arrangörslista!$U$5&lt;13,SUM(LARGE(BV22:CG22,{1;2;3;4;5;6})),
IF(Arrangörslista!$U$5&lt;16,SUM(LARGE(BV22:CJ22,{1;2;3;4;5;6;7})),
IF(Arrangörslista!$U$5&lt;19,SUM(LARGE(BV22:CM22,{1;2;3;4;5;6;7;8;9})),
IF(Arrangörslista!$U$5&lt;22,SUM(LARGE(BV22:CP22,{1;2;3;4;5;6;7;8;9;10})),
IF(Arrangörslista!$U$5&lt;25,SUM(LARGE(BV22:CS22,{1;2;3;4;5;6;7;8;9;10;11;12})),
IF(Arrangörslista!$U$5&lt;28,SUM(LARGE(BV22:CV22,{1;2;3;4;5;6;7;8;9;10;11;12;13})),
IF(Arrangörslista!$U$5&lt;31,SUM(LARGE(BV22:CY22,{1;2;3;4;5;6;7;8;9;10;11;12;13;14;15})),
IF(Arrangörslista!$U$5&lt;34,SUM(LARGE(BV22:DB22,{1;2;3;4;5;6;7;8;9;10;11;12;13;14;15;16})),
IF(Arrangörslista!$U$5&lt;37,SUM(LARGE(BV22:DE22,{1;2;3;4;5;6;7;8;9;10;11;12;13;14;15;16;17;18})),
IF(Arrangörslista!$U$5&lt;40,SUM(LARGE(BV22:DH22,{1;2;3;4;5;6;7;8;9;10;11;12;13;14;15;16;17;18;19})),
IF(Arrangörslista!$U$5&lt;43,SUM(LARGE(BV22:DK22,{1;2;3;4;5;6;7;8;9;10;11;12;13;14;15;16;17;18;19;20;21})),
IF(Arrangörslista!$U$5&lt;46,SUM(LARGE(BV22:DN22,{1;2;3;4;5;6;7;8;9;10;11;12;13;14;15;16;17;18;19;20;21;22})),
IF(Arrangörslista!$U$5&lt;49,SUM(LARGE(BV22:DQ22,{1;2;3;4;5;6;7;8;9;10;11;12;13;14;15;16;17;18;19;20;21;22;23;24})),
IF(Arrangörslista!$U$5&lt;52,SUM(LARGE(BV22:DT22,{1;2;3;4;5;6;7;8;9;10;11;12;13;14;15;16;17;18;19;20;21;22;23;24;25})),
IF(Arrangörslista!$U$5&lt;55,SUM(LARGE(BV22:DW22,{1;2;3;4;5;6;7;8;9;10;11;12;13;14;15;16;17;18;19;20;21;22;23;24;25;26;27})),
IF(Arrangörslista!$U$5&lt;58,SUM(LARGE(BV22:DZ22,{1;2;3;4;5;6;7;8;9;10;11;12;13;14;15;16;17;18;19;20;21;22;23;24;25;26;27;28})),
IF(Arrangörslista!$U$5&lt;61,SUM(LARGE(BV22:EC22,{1;2;3;4;5;6;7;8;9;10;11;12;13;14;15;16;17;18;19;20;21;22;23;24;25;26;27;28;29;30})),0)))))))))))))))))))),
IF(Arrangörslista!$U$5&lt;4,0,
IF(Arrangörslista!$U$5&lt;8,SUM(LARGE(BV22:CB22,1)),
IF(Arrangörslista!$U$5&lt;12,SUM(LARGE(BV22:CF22,{1;2})),
IF(Arrangörslista!$U$5&lt;16,SUM(LARGE(BV22:CJ22,{1;2;3})),
IF(Arrangörslista!$U$5&lt;20,SUM(LARGE(BV22:CN22,{1;2;3;4})),
IF(Arrangörslista!$U$5&lt;24,SUM(LARGE(BV22:CR22,{1;2;3;4;5})),
IF(Arrangörslista!$U$5&lt;28,SUM(LARGE(BV22:CV22,{1;2;3;4;5;6})),
IF(Arrangörslista!$U$5&lt;32,SUM(LARGE(BV22:CZ22,{1;2;3;4;5;6;7})),
IF(Arrangörslista!$U$5&lt;36,SUM(LARGE(BV22:DD22,{1;2;3;4;5;6;7;8})),
IF(Arrangörslista!$U$5&lt;40,SUM(LARGE(BV22:DH22,{1;2;3;4;5;6;7;8;9})),
IF(Arrangörslista!$U$5&lt;44,SUM(LARGE(BV22:DL22,{1;2;3;4;5;6;7;8;9;10})),
IF(Arrangörslista!$U$5&lt;48,SUM(LARGE(BV22:DP22,{1;2;3;4;5;6;7;8;9;10;11})),
IF(Arrangörslista!$U$5&lt;52,SUM(LARGE(BV22:DT22,{1;2;3;4;5;6;7;8;9;10;11;12})),
IF(Arrangörslista!$U$5&lt;56,SUM(LARGE(BV22:DX22,{1;2;3;4;5;6;7;8;9;10;11;12;13})),
IF(Arrangörslista!$U$5&lt;60,SUM(LARGE(BV22:EB22,{1;2;3;4;5;6;7;8;9;10;11;12;13;14})),
IF(Arrangörslista!$U$5=60,SUM(LARGE(BV22:EC22,{1;2;3;4;5;6;7;8;9;10;11;12;13;14;15})),0))))))))))))))))))</f>
        <v>0</v>
      </c>
      <c r="EG22" s="67">
        <f>IF(F22="",,1)</f>
        <v>0</v>
      </c>
      <c r="EH22" s="61"/>
      <c r="EI22" s="61"/>
      <c r="EK22" s="62">
        <f>SMALL($J85:$BQ85,1)</f>
        <v>61</v>
      </c>
      <c r="EL22" s="62">
        <f>SMALL($J85:$BQ85,2)</f>
        <v>61</v>
      </c>
      <c r="EM22" s="62">
        <f>SMALL($J85:$BQ85,3)</f>
        <v>61</v>
      </c>
      <c r="EN22" s="62">
        <f>SMALL($J85:$BQ85,4)</f>
        <v>61</v>
      </c>
      <c r="EO22" s="62">
        <f>SMALL($J85:$BQ85,5)</f>
        <v>61</v>
      </c>
      <c r="EP22" s="62">
        <f>SMALL($J85:$BQ85,6)</f>
        <v>61</v>
      </c>
      <c r="EQ22" s="62">
        <f>SMALL($J85:$BQ85,7)</f>
        <v>61</v>
      </c>
      <c r="ER22" s="62">
        <f>SMALL($J85:$BQ85,8)</f>
        <v>61</v>
      </c>
      <c r="ES22" s="62">
        <f>SMALL($J85:$BQ85,9)</f>
        <v>61</v>
      </c>
      <c r="ET22" s="62">
        <f>SMALL($J85:$BQ85,10)</f>
        <v>61</v>
      </c>
      <c r="EU22" s="62">
        <f>SMALL($J85:$BQ85,11)</f>
        <v>61</v>
      </c>
      <c r="EV22" s="62">
        <f>SMALL($J85:$BQ85,12)</f>
        <v>61</v>
      </c>
      <c r="EW22" s="62">
        <f>SMALL($J85:$BQ85,13)</f>
        <v>61</v>
      </c>
      <c r="EX22" s="62">
        <f>SMALL($J85:$BQ85,14)</f>
        <v>61</v>
      </c>
      <c r="EY22" s="62">
        <f>SMALL($J85:$BQ85,15)</f>
        <v>61</v>
      </c>
      <c r="EZ22" s="62">
        <f>SMALL($J85:$BQ85,16)</f>
        <v>61</v>
      </c>
      <c r="FA22" s="62">
        <f>SMALL($J85:$BQ85,17)</f>
        <v>61</v>
      </c>
      <c r="FB22" s="62">
        <f>SMALL($J85:$BQ85,18)</f>
        <v>61</v>
      </c>
      <c r="FC22" s="62">
        <f>SMALL($J85:$BQ85,19)</f>
        <v>61</v>
      </c>
      <c r="FD22" s="62">
        <f>SMALL($J85:$BQ85,20)</f>
        <v>61</v>
      </c>
      <c r="FE22" s="62">
        <f>SMALL($J85:$BQ85,21)</f>
        <v>61</v>
      </c>
      <c r="FF22" s="62">
        <f>SMALL($J85:$BQ85,22)</f>
        <v>61</v>
      </c>
      <c r="FG22" s="62">
        <f>SMALL($J85:$BQ85,23)</f>
        <v>61</v>
      </c>
      <c r="FH22" s="62">
        <f>SMALL($J85:$BQ85,24)</f>
        <v>61</v>
      </c>
      <c r="FI22" s="62">
        <f>SMALL($J85:$BQ85,25)</f>
        <v>61</v>
      </c>
      <c r="FJ22" s="62">
        <f>SMALL($J85:$BQ85,26)</f>
        <v>61</v>
      </c>
      <c r="FK22" s="62">
        <f>SMALL($J85:$BQ85,27)</f>
        <v>61</v>
      </c>
      <c r="FL22" s="62">
        <f>SMALL($J85:$BQ85,28)</f>
        <v>61</v>
      </c>
      <c r="FM22" s="62">
        <f>SMALL($J85:$BQ85,29)</f>
        <v>61</v>
      </c>
      <c r="FN22" s="62">
        <f>SMALL($J85:$BQ85,30)</f>
        <v>61</v>
      </c>
      <c r="FO22" s="62">
        <f>SMALL($J85:$BQ85,31)</f>
        <v>61</v>
      </c>
      <c r="FP22" s="62">
        <f>SMALL($J85:$BQ85,32)</f>
        <v>61</v>
      </c>
      <c r="FQ22" s="62">
        <f>SMALL($J85:$BQ85,33)</f>
        <v>61</v>
      </c>
      <c r="FR22" s="62">
        <f>SMALL($J85:$BQ85,34)</f>
        <v>61</v>
      </c>
      <c r="FS22" s="62">
        <f>SMALL($J85:$BQ85,35)</f>
        <v>61</v>
      </c>
      <c r="FT22" s="62">
        <f>SMALL($J85:$BQ85,36)</f>
        <v>61</v>
      </c>
      <c r="FU22" s="62">
        <f>SMALL($J85:$BQ85,37)</f>
        <v>61</v>
      </c>
      <c r="FV22" s="62">
        <f>SMALL($J85:$BQ85,38)</f>
        <v>61</v>
      </c>
      <c r="FW22" s="62">
        <f>SMALL($J85:$BQ85,39)</f>
        <v>61</v>
      </c>
      <c r="FX22" s="62">
        <f>SMALL($J85:$BQ85,40)</f>
        <v>61</v>
      </c>
      <c r="FY22" s="62">
        <f>SMALL($J85:$BQ85,41)</f>
        <v>61</v>
      </c>
      <c r="FZ22" s="62">
        <f>SMALL($J85:$BQ85,42)</f>
        <v>61</v>
      </c>
      <c r="GA22" s="62">
        <f>SMALL($J85:$BQ85,43)</f>
        <v>61</v>
      </c>
      <c r="GB22" s="62">
        <f>SMALL($J85:$BQ85,44)</f>
        <v>61</v>
      </c>
      <c r="GC22" s="62">
        <f>SMALL($J85:$BQ85,45)</f>
        <v>61</v>
      </c>
      <c r="GD22" s="62">
        <f>SMALL($J85:$BQ85,46)</f>
        <v>61</v>
      </c>
      <c r="GE22" s="62">
        <f>SMALL($J85:$BQ85,47)</f>
        <v>61</v>
      </c>
      <c r="GF22" s="62">
        <f>SMALL($J85:$BQ85,48)</f>
        <v>61</v>
      </c>
      <c r="GG22" s="62">
        <f>SMALL($J85:$BQ85,49)</f>
        <v>61</v>
      </c>
      <c r="GH22" s="62">
        <f>SMALL($J85:$BQ85,50)</f>
        <v>61</v>
      </c>
      <c r="GI22" s="62">
        <f>SMALL($J85:$BQ85,51)</f>
        <v>61</v>
      </c>
      <c r="GJ22" s="62">
        <f>SMALL($J85:$BQ85,52)</f>
        <v>61</v>
      </c>
      <c r="GK22" s="62">
        <f>SMALL($J85:$BQ85,53)</f>
        <v>61</v>
      </c>
      <c r="GL22" s="62">
        <f>SMALL($J85:$BQ85,54)</f>
        <v>61</v>
      </c>
      <c r="GM22" s="62">
        <f>SMALL($J85:$BQ85,55)</f>
        <v>61</v>
      </c>
      <c r="GN22" s="62">
        <f>SMALL($J85:$BQ85,56)</f>
        <v>61</v>
      </c>
      <c r="GO22" s="62">
        <f>SMALL($J85:$BQ85,57)</f>
        <v>61</v>
      </c>
      <c r="GP22" s="62">
        <f>SMALL($J85:$BQ85,58)</f>
        <v>61</v>
      </c>
      <c r="GQ22" s="62">
        <f>SMALL($J85:$BQ85,59)</f>
        <v>61</v>
      </c>
      <c r="GR22" s="62">
        <f>SMALL($J85:$BQ85,60)</f>
        <v>61</v>
      </c>
      <c r="GT22" s="62">
        <f>IF(Deltagarlista!$K$3=2,
IF(GW22="1",
      IF(Arrangörslista!$U$5=1,J85,
IF(Arrangörslista!$U$5=2,K85,
IF(Arrangörslista!$U$5=3,L85,
IF(Arrangörslista!$U$5=4,M85,
IF(Arrangörslista!$U$5=5,N85,
IF(Arrangörslista!$U$5=6,O85,
IF(Arrangörslista!$U$5=7,P85,
IF(Arrangörslista!$U$5=8,Q85,
IF(Arrangörslista!$U$5=9,R85,
IF(Arrangörslista!$U$5=10,S85,
IF(Arrangörslista!$U$5=11,T85,
IF(Arrangörslista!$U$5=12,U85,
IF(Arrangörslista!$U$5=13,V85,
IF(Arrangörslista!$U$5=14,W85,
IF(Arrangörslista!$U$5=15,X85,
IF(Arrangörslista!$U$5=16,Y85,IF(Arrangörslista!$U$5=17,Z85,IF(Arrangörslista!$U$5=18,AA85,IF(Arrangörslista!$U$5=19,AB85,IF(Arrangörslista!$U$5=20,AC85,IF(Arrangörslista!$U$5=21,AD85,IF(Arrangörslista!$U$5=22,AE85,IF(Arrangörslista!$U$5=23,AF85, IF(Arrangörslista!$U$5=24,AG85, IF(Arrangörslista!$U$5=25,AH85, IF(Arrangörslista!$U$5=26,AI85, IF(Arrangörslista!$U$5=27,AJ85, IF(Arrangörslista!$U$5=28,AK85, IF(Arrangörslista!$U$5=29,AL85, IF(Arrangörslista!$U$5=30,AM85, IF(Arrangörslista!$U$5=31,AN85, IF(Arrangörslista!$U$5=32,AO85, IF(Arrangörslista!$U$5=33,AP85, IF(Arrangörslista!$U$5=34,AQ85, IF(Arrangörslista!$U$5=35,AR85, IF(Arrangörslista!$U$5=36,AS85, IF(Arrangörslista!$U$5=37,AT85, IF(Arrangörslista!$U$5=38,AU85, IF(Arrangörslista!$U$5=39,AV85, IF(Arrangörslista!$U$5=40,AW85, IF(Arrangörslista!$U$5=41,AX85, IF(Arrangörslista!$U$5=42,AY85, IF(Arrangörslista!$U$5=43,AZ85, IF(Arrangörslista!$U$5=44,BA85, IF(Arrangörslista!$U$5=45,BB85, IF(Arrangörslista!$U$5=46,BC85, IF(Arrangörslista!$U$5=47,BD85, IF(Arrangörslista!$U$5=48,BE85, IF(Arrangörslista!$U$5=49,BF85, IF(Arrangörslista!$U$5=50,BG85, IF(Arrangörslista!$U$5=51,BH85, IF(Arrangörslista!$U$5=52,BI85, IF(Arrangörslista!$U$5=53,BJ85, IF(Arrangörslista!$U$5=54,BK85, IF(Arrangörslista!$U$5=55,BL85, IF(Arrangörslista!$U$5=56,BM85, IF(Arrangörslista!$U$5=57,BN85, IF(Arrangörslista!$U$5=58,BO85, IF(Arrangörslista!$U$5=59,BP85, IF(Arrangörslista!$U$5=60,BQ85,0))))))))))))))))))))))))))))))))))))))))))))))))))))))))))))),IF(Deltagarlista!$K$3=4, IF(Arrangörslista!$U$5=1,J85,
IF(Arrangörslista!$U$5=2,J85,
IF(Arrangörslista!$U$5=3,K85,
IF(Arrangörslista!$U$5=4,K85,
IF(Arrangörslista!$U$5=5,L85,
IF(Arrangörslista!$U$5=6,L85,
IF(Arrangörslista!$U$5=7,M85,
IF(Arrangörslista!$U$5=8,M85,
IF(Arrangörslista!$U$5=9,N85,
IF(Arrangörslista!$U$5=10,N85,
IF(Arrangörslista!$U$5=11,O85,
IF(Arrangörslista!$U$5=12,O85,
IF(Arrangörslista!$U$5=13,P85,
IF(Arrangörslista!$U$5=14,P85,
IF(Arrangörslista!$U$5=15,Q85,
IF(Arrangörslista!$U$5=16,Q85,
IF(Arrangörslista!$U$5=17,R85,
IF(Arrangörslista!$U$5=18,R85,
IF(Arrangörslista!$U$5=19,S85,
IF(Arrangörslista!$U$5=20,S85,
IF(Arrangörslista!$U$5=21,T85,
IF(Arrangörslista!$U$5=22,T85,IF(Arrangörslista!$U$5=23,U85, IF(Arrangörslista!$U$5=24,U85, IF(Arrangörslista!$U$5=25,V85, IF(Arrangörslista!$U$5=26,V85, IF(Arrangörslista!$U$5=27,W85, IF(Arrangörslista!$U$5=28,W85, IF(Arrangörslista!$U$5=29,X85, IF(Arrangörslista!$U$5=30,X85, IF(Arrangörslista!$U$5=31,X85, IF(Arrangörslista!$U$5=32,Y85, IF(Arrangörslista!$U$5=33,AO85, IF(Arrangörslista!$U$5=34,Y85, IF(Arrangörslista!$U$5=35,Z85, IF(Arrangörslista!$U$5=36,AR85, IF(Arrangörslista!$U$5=37,Z85, IF(Arrangörslista!$U$5=38,AA85, IF(Arrangörslista!$U$5=39,AU85, IF(Arrangörslista!$U$5=40,AA85, IF(Arrangörslista!$U$5=41,AB85, IF(Arrangörslista!$U$5=42,AX85, IF(Arrangörslista!$U$5=43,AB85, IF(Arrangörslista!$U$5=44,AC85, IF(Arrangörslista!$U$5=45,BA85, IF(Arrangörslista!$U$5=46,AC85, IF(Arrangörslista!$U$5=47,AD85, IF(Arrangörslista!$U$5=48,BD85, IF(Arrangörslista!$U$5=49,AD85, IF(Arrangörslista!$U$5=50,AE85, IF(Arrangörslista!$U$5=51,BG85, IF(Arrangörslista!$U$5=52,AE85, IF(Arrangörslista!$U$5=53,AF85, IF(Arrangörslista!$U$5=54,BJ85, IF(Arrangörslista!$U$5=55,AF85, IF(Arrangörslista!$U$5=56,AG85, IF(Arrangörslista!$U$5=57,BM85, IF(Arrangörslista!$U$5=58,AG85, IF(Arrangörslista!$U$5=59,AH85, IF(Arrangörslista!$U$5=60,AH85,0)))))))))))))))))))))))))))))))))))))))))))))))))))))))))))),IF(Arrangörslista!$U$5=1,J85,
IF(Arrangörslista!$U$5=2,K85,
IF(Arrangörslista!$U$5=3,L85,
IF(Arrangörslista!$U$5=4,M85,
IF(Arrangörslista!$U$5=5,N85,
IF(Arrangörslista!$U$5=6,O85,
IF(Arrangörslista!$U$5=7,P85,
IF(Arrangörslista!$U$5=8,Q85,
IF(Arrangörslista!$U$5=9,R85,
IF(Arrangörslista!$U$5=10,S85,
IF(Arrangörslista!$U$5=11,T85,
IF(Arrangörslista!$U$5=12,U85,
IF(Arrangörslista!$U$5=13,V85,
IF(Arrangörslista!$U$5=14,W85,
IF(Arrangörslista!$U$5=15,X85,
IF(Arrangörslista!$U$5=16,Y85,IF(Arrangörslista!$U$5=17,Z85,IF(Arrangörslista!$U$5=18,AA85,IF(Arrangörslista!$U$5=19,AB85,IF(Arrangörslista!$U$5=20,AC85,IF(Arrangörslista!$U$5=21,AD85,IF(Arrangörslista!$U$5=22,AE85,IF(Arrangörslista!$U$5=23,AF85, IF(Arrangörslista!$U$5=24,AG85, IF(Arrangörslista!$U$5=25,AH85, IF(Arrangörslista!$U$5=26,AI85, IF(Arrangörslista!$U$5=27,AJ85, IF(Arrangörslista!$U$5=28,AK85, IF(Arrangörslista!$U$5=29,AL85, IF(Arrangörslista!$U$5=30,AM85, IF(Arrangörslista!$U$5=31,AN85, IF(Arrangörslista!$U$5=32,AO85, IF(Arrangörslista!$U$5=33,AP85, IF(Arrangörslista!$U$5=34,AQ85, IF(Arrangörslista!$U$5=35,AR85, IF(Arrangörslista!$U$5=36,AS85, IF(Arrangörslista!$U$5=37,AT85, IF(Arrangörslista!$U$5=38,AU85, IF(Arrangörslista!$U$5=39,AV85, IF(Arrangörslista!$U$5=40,AW85, IF(Arrangörslista!$U$5=41,AX85, IF(Arrangörslista!$U$5=42,AY85, IF(Arrangörslista!$U$5=43,AZ85, IF(Arrangörslista!$U$5=44,BA85, IF(Arrangörslista!$U$5=45,BB85, IF(Arrangörslista!$U$5=46,BC85, IF(Arrangörslista!$U$5=47,BD85, IF(Arrangörslista!$U$5=48,BE85, IF(Arrangörslista!$U$5=49,BF85, IF(Arrangörslista!$U$5=50,BG85, IF(Arrangörslista!$U$5=51,BH85, IF(Arrangörslista!$U$5=52,BI85, IF(Arrangörslista!$U$5=53,BJ85, IF(Arrangörslista!$U$5=54,BK85, IF(Arrangörslista!$U$5=55,BL85, IF(Arrangörslista!$U$5=56,BM85, IF(Arrangörslista!$U$5=57,BN85, IF(Arrangörslista!$U$5=58,BO85, IF(Arrangörslista!$U$5=59,BP85, IF(Arrangörslista!$U$5=60,BQ85,0))))))))))))))))))))))))))))))))))))))))))))))))))))))))))))
))</f>
        <v>0</v>
      </c>
      <c r="GV22" s="65" t="str">
        <f>IFERROR(IF(VLOOKUP(F22,Deltagarlista!$E$5:$I$64,5,FALSE)="Grön","Gr",IF(VLOOKUP(F22,Deltagarlista!$E$5:$I$64,5,FALSE)="Röd","R",IF(VLOOKUP(F22,Deltagarlista!$E$5:$I$64,5,FALSE)="Blå","B","Gu"))),"")</f>
        <v/>
      </c>
      <c r="GW22" s="62" t="str">
        <f t="shared" si="1"/>
        <v/>
      </c>
    </row>
    <row r="23" spans="2:205" x14ac:dyDescent="0.3">
      <c r="B23" s="23" t="str">
        <f>IF($BW$3&gt;19,20,"")</f>
        <v/>
      </c>
      <c r="C23" s="92" t="str">
        <f>IF(ISBLANK(Deltagarlista!C21),"",Deltagarlista!C21)</f>
        <v/>
      </c>
      <c r="D23" s="109" t="str">
        <f>CONCATENATE(IF(AND(Deltagarlista!H21="GM",Deltagarlista!$S$14=TRUE),"GM   ",""), IF(OR(Deltagarlista!$K$3=4,Deltagarlista!$K$3=2),Deltagarlista!I21,""))</f>
        <v/>
      </c>
      <c r="E23" s="8" t="str">
        <f>IF(ISBLANK(Deltagarlista!D21),"",Deltagarlista!D21)</f>
        <v/>
      </c>
      <c r="F23" s="8" t="str">
        <f>IF(ISBLANK(Deltagarlista!E21),"",Deltagarlista!E21)</f>
        <v/>
      </c>
      <c r="G23" s="95" t="str">
        <f>IF(ISBLANK(Deltagarlista!F21),"",Deltagarlista!F21)</f>
        <v/>
      </c>
      <c r="H23" s="72" t="str">
        <f>IF(ISBLANK(Deltagarlista!C21),"",BU23-EE23)</f>
        <v/>
      </c>
      <c r="I23" s="13" t="str">
        <f>IF(ISBLANK(Deltagarlista!C21),"",IF(AND(Deltagarlista!$K$3=2,Deltagarlista!$L$3&lt;37),SUM(SUM(BV23:EC23)-(ROUNDDOWN(Arrangörslista!$U$5/3,1))*($BW$3+1)),SUM(BV23:EC23)))</f>
        <v/>
      </c>
      <c r="J23" s="79" t="str">
        <f>IF(Deltagarlista!$K$3=4,IF(ISBLANK(Deltagarlista!$C21),"",IF(ISBLANK(Arrangörslista!C$8),"",IFERROR(VLOOKUP($F23,Arrangörslista!C$8:$AG$45,16,FALSE),IF(ISBLANK(Deltagarlista!$C21),"",IF(ISBLANK(Arrangörslista!C$8),"",IFERROR(VLOOKUP($F23,Arrangörslista!D$8:$AG$45,16,FALSE),"DNS")))))),IF(Deltagarlista!$K$3=2,
IF(ISBLANK(Deltagarlista!$C21),"",IF(ISBLANK(Arrangörslista!C$8),"",IF($GV23=J$64," DNS ",IFERROR(VLOOKUP($F23,Arrangörslista!C$8:$AG$45,16,FALSE),"DNS")))),IF(ISBLANK(Deltagarlista!$C21),"",IF(ISBLANK(Arrangörslista!C$8),"",IFERROR(VLOOKUP($F23,Arrangörslista!C$8:$AG$45,16,FALSE),"DNS")))))</f>
        <v/>
      </c>
      <c r="K23" s="5" t="str">
        <f>IF(Deltagarlista!$K$3=4,IF(ISBLANK(Deltagarlista!$C21),"",IF(ISBLANK(Arrangörslista!E$8),"",IFERROR(VLOOKUP($F23,Arrangörslista!E$8:$AG$45,16,FALSE),IF(ISBLANK(Deltagarlista!$C21),"",IF(ISBLANK(Arrangörslista!E$8),"",IFERROR(VLOOKUP($F23,Arrangörslista!F$8:$AG$45,16,FALSE),"DNS")))))),IF(Deltagarlista!$K$3=2,
IF(ISBLANK(Deltagarlista!$C21),"",IF(ISBLANK(Arrangörslista!D$8),"",IF($GV23=K$64," DNS ",IFERROR(VLOOKUP($F23,Arrangörslista!D$8:$AG$45,16,FALSE),"DNS")))),IF(ISBLANK(Deltagarlista!$C21),"",IF(ISBLANK(Arrangörslista!D$8),"",IFERROR(VLOOKUP($F23,Arrangörslista!D$8:$AG$45,16,FALSE),"DNS")))))</f>
        <v/>
      </c>
      <c r="L23" s="5" t="str">
        <f>IF(Deltagarlista!$K$3=4,IF(ISBLANK(Deltagarlista!$C21),"",IF(ISBLANK(Arrangörslista!G$8),"",IFERROR(VLOOKUP($F23,Arrangörslista!G$8:$AG$45,16,FALSE),IF(ISBLANK(Deltagarlista!$C21),"",IF(ISBLANK(Arrangörslista!G$8),"",IFERROR(VLOOKUP($F23,Arrangörslista!H$8:$AG$45,16,FALSE),"DNS")))))),IF(Deltagarlista!$K$3=2,
IF(ISBLANK(Deltagarlista!$C21),"",IF(ISBLANK(Arrangörslista!E$8),"",IF($GV23=L$64," DNS ",IFERROR(VLOOKUP($F23,Arrangörslista!E$8:$AG$45,16,FALSE),"DNS")))),IF(ISBLANK(Deltagarlista!$C21),"",IF(ISBLANK(Arrangörslista!E$8),"",IFERROR(VLOOKUP($F23,Arrangörslista!E$8:$AG$45,16,FALSE),"DNS")))))</f>
        <v/>
      </c>
      <c r="M23" s="5" t="str">
        <f>IF(Deltagarlista!$K$3=4,IF(ISBLANK(Deltagarlista!$C21),"",IF(ISBLANK(Arrangörslista!I$8),"",IFERROR(VLOOKUP($F23,Arrangörslista!I$8:$AG$45,16,FALSE),IF(ISBLANK(Deltagarlista!$C21),"",IF(ISBLANK(Arrangörslista!I$8),"",IFERROR(VLOOKUP($F23,Arrangörslista!J$8:$AG$45,16,FALSE),"DNS")))))),IF(Deltagarlista!$K$3=2,
IF(ISBLANK(Deltagarlista!$C21),"",IF(ISBLANK(Arrangörslista!F$8),"",IF($GV23=M$64," DNS ",IFERROR(VLOOKUP($F23,Arrangörslista!F$8:$AG$45,16,FALSE),"DNS")))),IF(ISBLANK(Deltagarlista!$C21),"",IF(ISBLANK(Arrangörslista!F$8),"",IFERROR(VLOOKUP($F23,Arrangörslista!F$8:$AG$45,16,FALSE),"DNS")))))</f>
        <v/>
      </c>
      <c r="N23" s="5" t="str">
        <f>IF(Deltagarlista!$K$3=4,IF(ISBLANK(Deltagarlista!$C21),"",IF(ISBLANK(Arrangörslista!K$8),"",IFERROR(VLOOKUP($F23,Arrangörslista!K$8:$AG$45,16,FALSE),IF(ISBLANK(Deltagarlista!$C21),"",IF(ISBLANK(Arrangörslista!K$8),"",IFERROR(VLOOKUP($F23,Arrangörslista!L$8:$AG$45,16,FALSE),"DNS")))))),IF(Deltagarlista!$K$3=2,
IF(ISBLANK(Deltagarlista!$C21),"",IF(ISBLANK(Arrangörslista!G$8),"",IF($GV23=N$64," DNS ",IFERROR(VLOOKUP($F23,Arrangörslista!G$8:$AG$45,16,FALSE),"DNS")))),IF(ISBLANK(Deltagarlista!$C21),"",IF(ISBLANK(Arrangörslista!G$8),"",IFERROR(VLOOKUP($F23,Arrangörslista!G$8:$AG$45,16,FALSE),"DNS")))))</f>
        <v/>
      </c>
      <c r="O23" s="5" t="str">
        <f>IF(Deltagarlista!$K$3=4,IF(ISBLANK(Deltagarlista!$C21),"",IF(ISBLANK(Arrangörslista!M$8),"",IFERROR(VLOOKUP($F23,Arrangörslista!M$8:$AG$45,16,FALSE),IF(ISBLANK(Deltagarlista!$C21),"",IF(ISBLANK(Arrangörslista!M$8),"",IFERROR(VLOOKUP($F23,Arrangörslista!N$8:$AG$45,16,FALSE),"DNS")))))),IF(Deltagarlista!$K$3=2,
IF(ISBLANK(Deltagarlista!$C21),"",IF(ISBLANK(Arrangörslista!H$8),"",IF($GV23=O$64," DNS ",IFERROR(VLOOKUP($F23,Arrangörslista!H$8:$AG$45,16,FALSE),"DNS")))),IF(ISBLANK(Deltagarlista!$C21),"",IF(ISBLANK(Arrangörslista!H$8),"",IFERROR(VLOOKUP($F23,Arrangörslista!H$8:$AG$45,16,FALSE),"DNS")))))</f>
        <v/>
      </c>
      <c r="P23" s="5" t="str">
        <f>IF(Deltagarlista!$K$3=4,IF(ISBLANK(Deltagarlista!$C21),"",IF(ISBLANK(Arrangörslista!O$8),"",IFERROR(VLOOKUP($F23,Arrangörslista!O$8:$AG$45,16,FALSE),IF(ISBLANK(Deltagarlista!$C21),"",IF(ISBLANK(Arrangörslista!O$8),"",IFERROR(VLOOKUP($F23,Arrangörslista!P$8:$AG$45,16,FALSE),"DNS")))))),IF(Deltagarlista!$K$3=2,
IF(ISBLANK(Deltagarlista!$C21),"",IF(ISBLANK(Arrangörslista!I$8),"",IF($GV23=P$64," DNS ",IFERROR(VLOOKUP($F23,Arrangörslista!I$8:$AG$45,16,FALSE),"DNS")))),IF(ISBLANK(Deltagarlista!$C21),"",IF(ISBLANK(Arrangörslista!I$8),"",IFERROR(VLOOKUP($F23,Arrangörslista!I$8:$AG$45,16,FALSE),"DNS")))))</f>
        <v/>
      </c>
      <c r="Q23" s="5" t="str">
        <f>IF(Deltagarlista!$K$3=4,IF(ISBLANK(Deltagarlista!$C21),"",IF(ISBLANK(Arrangörslista!Q$8),"",IFERROR(VLOOKUP($F23,Arrangörslista!Q$8:$AG$45,16,FALSE),IF(ISBLANK(Deltagarlista!$C21),"",IF(ISBLANK(Arrangörslista!Q$8),"",IFERROR(VLOOKUP($F23,Arrangörslista!C$53:$AG$90,16,FALSE),"DNS")))))),IF(Deltagarlista!$K$3=2,
IF(ISBLANK(Deltagarlista!$C21),"",IF(ISBLANK(Arrangörslista!J$8),"",IF($GV23=Q$64," DNS ",IFERROR(VLOOKUP($F23,Arrangörslista!J$8:$AG$45,16,FALSE),"DNS")))),IF(ISBLANK(Deltagarlista!$C21),"",IF(ISBLANK(Arrangörslista!J$8),"",IFERROR(VLOOKUP($F23,Arrangörslista!J$8:$AG$45,16,FALSE),"DNS")))))</f>
        <v/>
      </c>
      <c r="R23" s="5" t="str">
        <f>IF(Deltagarlista!$K$3=4,IF(ISBLANK(Deltagarlista!$C21),"",IF(ISBLANK(Arrangörslista!D$53),"",IFERROR(VLOOKUP($F23,Arrangörslista!D$53:$AG$90,16,FALSE),IF(ISBLANK(Deltagarlista!$C21),"",IF(ISBLANK(Arrangörslista!D$53),"",IFERROR(VLOOKUP($F23,Arrangörslista!E$53:$AG$90,16,FALSE),"DNS")))))),IF(Deltagarlista!$K$3=2,
IF(ISBLANK(Deltagarlista!$C21),"",IF(ISBLANK(Arrangörslista!K$8),"",IF($GV23=R$64," DNS ",IFERROR(VLOOKUP($F23,Arrangörslista!K$8:$AG$45,16,FALSE),"DNS")))),IF(ISBLANK(Deltagarlista!$C21),"",IF(ISBLANK(Arrangörslista!K$8),"",IFERROR(VLOOKUP($F23,Arrangörslista!K$8:$AG$45,16,FALSE),"DNS")))))</f>
        <v/>
      </c>
      <c r="S23" s="5" t="str">
        <f>IF(Deltagarlista!$K$3=4,IF(ISBLANK(Deltagarlista!$C21),"",IF(ISBLANK(Arrangörslista!F$53),"",IFERROR(VLOOKUP($F23,Arrangörslista!F$53:$AG$90,16,FALSE),IF(ISBLANK(Deltagarlista!$C21),"",IF(ISBLANK(Arrangörslista!F$53),"",IFERROR(VLOOKUP($F23,Arrangörslista!G$53:$AG$90,16,FALSE),"DNS")))))),IF(Deltagarlista!$K$3=2,
IF(ISBLANK(Deltagarlista!$C21),"",IF(ISBLANK(Arrangörslista!L$8),"",IF($GV23=S$64," DNS ",IFERROR(VLOOKUP($F23,Arrangörslista!L$8:$AG$45,16,FALSE),"DNS")))),IF(ISBLANK(Deltagarlista!$C21),"",IF(ISBLANK(Arrangörslista!L$8),"",IFERROR(VLOOKUP($F23,Arrangörslista!L$8:$AG$45,16,FALSE),"DNS")))))</f>
        <v/>
      </c>
      <c r="T23" s="5" t="str">
        <f>IF(Deltagarlista!$K$3=4,IF(ISBLANK(Deltagarlista!$C21),"",IF(ISBLANK(Arrangörslista!H$53),"",IFERROR(VLOOKUP($F23,Arrangörslista!H$53:$AG$90,16,FALSE),IF(ISBLANK(Deltagarlista!$C21),"",IF(ISBLANK(Arrangörslista!H$53),"",IFERROR(VLOOKUP($F23,Arrangörslista!I$53:$AG$90,16,FALSE),"DNS")))))),IF(Deltagarlista!$K$3=2,
IF(ISBLANK(Deltagarlista!$C21),"",IF(ISBLANK(Arrangörslista!M$8),"",IF($GV23=T$64," DNS ",IFERROR(VLOOKUP($F23,Arrangörslista!M$8:$AG$45,16,FALSE),"DNS")))),IF(ISBLANK(Deltagarlista!$C21),"",IF(ISBLANK(Arrangörslista!M$8),"",IFERROR(VLOOKUP($F23,Arrangörslista!M$8:$AG$45,16,FALSE),"DNS")))))</f>
        <v/>
      </c>
      <c r="U23" s="5" t="str">
        <f>IF(Deltagarlista!$K$3=4,IF(ISBLANK(Deltagarlista!$C21),"",IF(ISBLANK(Arrangörslista!J$53),"",IFERROR(VLOOKUP($F23,Arrangörslista!J$53:$AG$90,16,FALSE),IF(ISBLANK(Deltagarlista!$C21),"",IF(ISBLANK(Arrangörslista!J$53),"",IFERROR(VLOOKUP($F23,Arrangörslista!K$53:$AG$90,16,FALSE),"DNS")))))),IF(Deltagarlista!$K$3=2,
IF(ISBLANK(Deltagarlista!$C21),"",IF(ISBLANK(Arrangörslista!N$8),"",IF($GV23=U$64," DNS ",IFERROR(VLOOKUP($F23,Arrangörslista!N$8:$AG$45,16,FALSE),"DNS")))),IF(ISBLANK(Deltagarlista!$C21),"",IF(ISBLANK(Arrangörslista!N$8),"",IFERROR(VLOOKUP($F23,Arrangörslista!N$8:$AG$45,16,FALSE),"DNS")))))</f>
        <v/>
      </c>
      <c r="V23" s="5" t="str">
        <f>IF(Deltagarlista!$K$3=4,IF(ISBLANK(Deltagarlista!$C21),"",IF(ISBLANK(Arrangörslista!L$53),"",IFERROR(VLOOKUP($F23,Arrangörslista!L$53:$AG$90,16,FALSE),IF(ISBLANK(Deltagarlista!$C21),"",IF(ISBLANK(Arrangörslista!L$53),"",IFERROR(VLOOKUP($F23,Arrangörslista!M$53:$AG$90,16,FALSE),"DNS")))))),IF(Deltagarlista!$K$3=2,
IF(ISBLANK(Deltagarlista!$C21),"",IF(ISBLANK(Arrangörslista!O$8),"",IF($GV23=V$64," DNS ",IFERROR(VLOOKUP($F23,Arrangörslista!O$8:$AG$45,16,FALSE),"DNS")))),IF(ISBLANK(Deltagarlista!$C21),"",IF(ISBLANK(Arrangörslista!O$8),"",IFERROR(VLOOKUP($F23,Arrangörslista!O$8:$AG$45,16,FALSE),"DNS")))))</f>
        <v/>
      </c>
      <c r="W23" s="5" t="str">
        <f>IF(Deltagarlista!$K$3=4,IF(ISBLANK(Deltagarlista!$C21),"",IF(ISBLANK(Arrangörslista!N$53),"",IFERROR(VLOOKUP($F23,Arrangörslista!N$53:$AG$90,16,FALSE),IF(ISBLANK(Deltagarlista!$C21),"",IF(ISBLANK(Arrangörslista!N$53),"",IFERROR(VLOOKUP($F23,Arrangörslista!O$53:$AG$90,16,FALSE),"DNS")))))),IF(Deltagarlista!$K$3=2,
IF(ISBLANK(Deltagarlista!$C21),"",IF(ISBLANK(Arrangörslista!P$8),"",IF($GV23=W$64," DNS ",IFERROR(VLOOKUP($F23,Arrangörslista!P$8:$AG$45,16,FALSE),"DNS")))),IF(ISBLANK(Deltagarlista!$C21),"",IF(ISBLANK(Arrangörslista!P$8),"",IFERROR(VLOOKUP($F23,Arrangörslista!P$8:$AG$45,16,FALSE),"DNS")))))</f>
        <v/>
      </c>
      <c r="X23" s="5" t="str">
        <f>IF(Deltagarlista!$K$3=4,IF(ISBLANK(Deltagarlista!$C21),"",IF(ISBLANK(Arrangörslista!P$53),"",IFERROR(VLOOKUP($F23,Arrangörslista!P$53:$AG$90,16,FALSE),IF(ISBLANK(Deltagarlista!$C21),"",IF(ISBLANK(Arrangörslista!P$53),"",IFERROR(VLOOKUP($F23,Arrangörslista!Q$53:$AG$90,16,FALSE),"DNS")))))),IF(Deltagarlista!$K$3=2,
IF(ISBLANK(Deltagarlista!$C21),"",IF(ISBLANK(Arrangörslista!Q$8),"",IF($GV23=X$64," DNS ",IFERROR(VLOOKUP($F23,Arrangörslista!Q$8:$AG$45,16,FALSE),"DNS")))),IF(ISBLANK(Deltagarlista!$C21),"",IF(ISBLANK(Arrangörslista!Q$8),"",IFERROR(VLOOKUP($F23,Arrangörslista!Q$8:$AG$45,16,FALSE),"DNS")))))</f>
        <v/>
      </c>
      <c r="Y23" s="5" t="str">
        <f>IF(Deltagarlista!$K$3=4,IF(ISBLANK(Deltagarlista!$C21),"",IF(ISBLANK(Arrangörslista!C$98),"",IFERROR(VLOOKUP($F23,Arrangörslista!C$98:$AG$135,16,FALSE),IF(ISBLANK(Deltagarlista!$C21),"",IF(ISBLANK(Arrangörslista!C$98),"",IFERROR(VLOOKUP($F23,Arrangörslista!D$98:$AG$135,16,FALSE),"DNS")))))),IF(Deltagarlista!$K$3=2,
IF(ISBLANK(Deltagarlista!$C21),"",IF(ISBLANK(Arrangörslista!C$53),"",IF($GV23=Y$64," DNS ",IFERROR(VLOOKUP($F23,Arrangörslista!C$53:$AG$90,16,FALSE),"DNS")))),IF(ISBLANK(Deltagarlista!$C21),"",IF(ISBLANK(Arrangörslista!C$53),"",IFERROR(VLOOKUP($F23,Arrangörslista!C$53:$AG$90,16,FALSE),"DNS")))))</f>
        <v/>
      </c>
      <c r="Z23" s="5" t="str">
        <f>IF(Deltagarlista!$K$3=4,IF(ISBLANK(Deltagarlista!$C21),"",IF(ISBLANK(Arrangörslista!E$98),"",IFERROR(VLOOKUP($F23,Arrangörslista!E$98:$AG$135,16,FALSE),IF(ISBLANK(Deltagarlista!$C21),"",IF(ISBLANK(Arrangörslista!E$98),"",IFERROR(VLOOKUP($F23,Arrangörslista!F$98:$AG$135,16,FALSE),"DNS")))))),IF(Deltagarlista!$K$3=2,
IF(ISBLANK(Deltagarlista!$C21),"",IF(ISBLANK(Arrangörslista!D$53),"",IF($GV23=Z$64," DNS ",IFERROR(VLOOKUP($F23,Arrangörslista!D$53:$AG$90,16,FALSE),"DNS")))),IF(ISBLANK(Deltagarlista!$C21),"",IF(ISBLANK(Arrangörslista!D$53),"",IFERROR(VLOOKUP($F23,Arrangörslista!D$53:$AG$90,16,FALSE),"DNS")))))</f>
        <v/>
      </c>
      <c r="AA23" s="5" t="str">
        <f>IF(Deltagarlista!$K$3=4,IF(ISBLANK(Deltagarlista!$C21),"",IF(ISBLANK(Arrangörslista!G$98),"",IFERROR(VLOOKUP($F23,Arrangörslista!G$98:$AG$135,16,FALSE),IF(ISBLANK(Deltagarlista!$C21),"",IF(ISBLANK(Arrangörslista!G$98),"",IFERROR(VLOOKUP($F23,Arrangörslista!H$98:$AG$135,16,FALSE),"DNS")))))),IF(Deltagarlista!$K$3=2,
IF(ISBLANK(Deltagarlista!$C21),"",IF(ISBLANK(Arrangörslista!E$53),"",IF($GV23=AA$64," DNS ",IFERROR(VLOOKUP($F23,Arrangörslista!E$53:$AG$90,16,FALSE),"DNS")))),IF(ISBLANK(Deltagarlista!$C21),"",IF(ISBLANK(Arrangörslista!E$53),"",IFERROR(VLOOKUP($F23,Arrangörslista!E$53:$AG$90,16,FALSE),"DNS")))))</f>
        <v/>
      </c>
      <c r="AB23" s="5" t="str">
        <f>IF(Deltagarlista!$K$3=4,IF(ISBLANK(Deltagarlista!$C21),"",IF(ISBLANK(Arrangörslista!I$98),"",IFERROR(VLOOKUP($F23,Arrangörslista!I$98:$AG$135,16,FALSE),IF(ISBLANK(Deltagarlista!$C21),"",IF(ISBLANK(Arrangörslista!I$98),"",IFERROR(VLOOKUP($F23,Arrangörslista!J$98:$AG$135,16,FALSE),"DNS")))))),IF(Deltagarlista!$K$3=2,
IF(ISBLANK(Deltagarlista!$C21),"",IF(ISBLANK(Arrangörslista!F$53),"",IF($GV23=AB$64," DNS ",IFERROR(VLOOKUP($F23,Arrangörslista!F$53:$AG$90,16,FALSE),"DNS")))),IF(ISBLANK(Deltagarlista!$C21),"",IF(ISBLANK(Arrangörslista!F$53),"",IFERROR(VLOOKUP($F23,Arrangörslista!F$53:$AG$90,16,FALSE),"DNS")))))</f>
        <v/>
      </c>
      <c r="AC23" s="5" t="str">
        <f>IF(Deltagarlista!$K$3=4,IF(ISBLANK(Deltagarlista!$C21),"",IF(ISBLANK(Arrangörslista!K$98),"",IFERROR(VLOOKUP($F23,Arrangörslista!K$98:$AG$135,16,FALSE),IF(ISBLANK(Deltagarlista!$C21),"",IF(ISBLANK(Arrangörslista!K$98),"",IFERROR(VLOOKUP($F23,Arrangörslista!L$98:$AG$135,16,FALSE),"DNS")))))),IF(Deltagarlista!$K$3=2,
IF(ISBLANK(Deltagarlista!$C21),"",IF(ISBLANK(Arrangörslista!G$53),"",IF($GV23=AC$64," DNS ",IFERROR(VLOOKUP($F23,Arrangörslista!G$53:$AG$90,16,FALSE),"DNS")))),IF(ISBLANK(Deltagarlista!$C21),"",IF(ISBLANK(Arrangörslista!G$53),"",IFERROR(VLOOKUP($F23,Arrangörslista!G$53:$AG$90,16,FALSE),"DNS")))))</f>
        <v/>
      </c>
      <c r="AD23" s="5" t="str">
        <f>IF(Deltagarlista!$K$3=4,IF(ISBLANK(Deltagarlista!$C21),"",IF(ISBLANK(Arrangörslista!M$98),"",IFERROR(VLOOKUP($F23,Arrangörslista!M$98:$AG$135,16,FALSE),IF(ISBLANK(Deltagarlista!$C21),"",IF(ISBLANK(Arrangörslista!M$98),"",IFERROR(VLOOKUP($F23,Arrangörslista!N$98:$AG$135,16,FALSE),"DNS")))))),IF(Deltagarlista!$K$3=2,
IF(ISBLANK(Deltagarlista!$C21),"",IF(ISBLANK(Arrangörslista!H$53),"",IF($GV23=AD$64," DNS ",IFERROR(VLOOKUP($F23,Arrangörslista!H$53:$AG$90,16,FALSE),"DNS")))),IF(ISBLANK(Deltagarlista!$C21),"",IF(ISBLANK(Arrangörslista!H$53),"",IFERROR(VLOOKUP($F23,Arrangörslista!H$53:$AG$90,16,FALSE),"DNS")))))</f>
        <v/>
      </c>
      <c r="AE23" s="5" t="str">
        <f>IF(Deltagarlista!$K$3=4,IF(ISBLANK(Deltagarlista!$C21),"",IF(ISBLANK(Arrangörslista!O$98),"",IFERROR(VLOOKUP($F23,Arrangörslista!O$98:$AG$135,16,FALSE),IF(ISBLANK(Deltagarlista!$C21),"",IF(ISBLANK(Arrangörslista!O$98),"",IFERROR(VLOOKUP($F23,Arrangörslista!P$98:$AG$135,16,FALSE),"DNS")))))),IF(Deltagarlista!$K$3=2,
IF(ISBLANK(Deltagarlista!$C21),"",IF(ISBLANK(Arrangörslista!I$53),"",IF($GV23=AE$64," DNS ",IFERROR(VLOOKUP($F23,Arrangörslista!I$53:$AG$90,16,FALSE),"DNS")))),IF(ISBLANK(Deltagarlista!$C21),"",IF(ISBLANK(Arrangörslista!I$53),"",IFERROR(VLOOKUP($F23,Arrangörslista!I$53:$AG$90,16,FALSE),"DNS")))))</f>
        <v/>
      </c>
      <c r="AF23" s="5" t="str">
        <f>IF(Deltagarlista!$K$3=4,IF(ISBLANK(Deltagarlista!$C21),"",IF(ISBLANK(Arrangörslista!Q$98),"",IFERROR(VLOOKUP($F23,Arrangörslista!Q$98:$AG$135,16,FALSE),IF(ISBLANK(Deltagarlista!$C21),"",IF(ISBLANK(Arrangörslista!Q$98),"",IFERROR(VLOOKUP($F23,Arrangörslista!C$143:$AG$180,16,FALSE),"DNS")))))),IF(Deltagarlista!$K$3=2,
IF(ISBLANK(Deltagarlista!$C21),"",IF(ISBLANK(Arrangörslista!J$53),"",IF($GV23=AF$64," DNS ",IFERROR(VLOOKUP($F23,Arrangörslista!J$53:$AG$90,16,FALSE),"DNS")))),IF(ISBLANK(Deltagarlista!$C21),"",IF(ISBLANK(Arrangörslista!J$53),"",IFERROR(VLOOKUP($F23,Arrangörslista!J$53:$AG$90,16,FALSE),"DNS")))))</f>
        <v/>
      </c>
      <c r="AG23" s="5" t="str">
        <f>IF(Deltagarlista!$K$3=4,IF(ISBLANK(Deltagarlista!$C21),"",IF(ISBLANK(Arrangörslista!D$143),"",IFERROR(VLOOKUP($F23,Arrangörslista!D$143:$AG$180,16,FALSE),IF(ISBLANK(Deltagarlista!$C21),"",IF(ISBLANK(Arrangörslista!D$143),"",IFERROR(VLOOKUP($F23,Arrangörslista!E$143:$AG$180,16,FALSE),"DNS")))))),IF(Deltagarlista!$K$3=2,
IF(ISBLANK(Deltagarlista!$C21),"",IF(ISBLANK(Arrangörslista!K$53),"",IF($GV23=AG$64," DNS ",IFERROR(VLOOKUP($F23,Arrangörslista!K$53:$AG$90,16,FALSE),"DNS")))),IF(ISBLANK(Deltagarlista!$C21),"",IF(ISBLANK(Arrangörslista!K$53),"",IFERROR(VLOOKUP($F23,Arrangörslista!K$53:$AG$90,16,FALSE),"DNS")))))</f>
        <v/>
      </c>
      <c r="AH23" s="5" t="str">
        <f>IF(Deltagarlista!$K$3=4,IF(ISBLANK(Deltagarlista!$C21),"",IF(ISBLANK(Arrangörslista!F$143),"",IFERROR(VLOOKUP($F23,Arrangörslista!F$143:$AG$180,16,FALSE),IF(ISBLANK(Deltagarlista!$C21),"",IF(ISBLANK(Arrangörslista!F$143),"",IFERROR(VLOOKUP($F23,Arrangörslista!G$143:$AG$180,16,FALSE),"DNS")))))),IF(Deltagarlista!$K$3=2,
IF(ISBLANK(Deltagarlista!$C21),"",IF(ISBLANK(Arrangörslista!L$53),"",IF($GV23=AH$64," DNS ",IFERROR(VLOOKUP($F23,Arrangörslista!L$53:$AG$90,16,FALSE),"DNS")))),IF(ISBLANK(Deltagarlista!$C21),"",IF(ISBLANK(Arrangörslista!L$53),"",IFERROR(VLOOKUP($F23,Arrangörslista!L$53:$AG$90,16,FALSE),"DNS")))))</f>
        <v/>
      </c>
      <c r="AI23" s="5" t="str">
        <f>IF(Deltagarlista!$K$3=4,IF(ISBLANK(Deltagarlista!$C21),"",IF(ISBLANK(Arrangörslista!H$143),"",IFERROR(VLOOKUP($F23,Arrangörslista!H$143:$AG$180,16,FALSE),IF(ISBLANK(Deltagarlista!$C21),"",IF(ISBLANK(Arrangörslista!H$143),"",IFERROR(VLOOKUP($F23,Arrangörslista!I$143:$AG$180,16,FALSE),"DNS")))))),IF(Deltagarlista!$K$3=2,
IF(ISBLANK(Deltagarlista!$C21),"",IF(ISBLANK(Arrangörslista!M$53),"",IF($GV23=AI$64," DNS ",IFERROR(VLOOKUP($F23,Arrangörslista!M$53:$AG$90,16,FALSE),"DNS")))),IF(ISBLANK(Deltagarlista!$C21),"",IF(ISBLANK(Arrangörslista!M$53),"",IFERROR(VLOOKUP($F23,Arrangörslista!M$53:$AG$90,16,FALSE),"DNS")))))</f>
        <v/>
      </c>
      <c r="AJ23" s="5" t="str">
        <f>IF(Deltagarlista!$K$3=4,IF(ISBLANK(Deltagarlista!$C21),"",IF(ISBLANK(Arrangörslista!J$143),"",IFERROR(VLOOKUP($F23,Arrangörslista!J$143:$AG$180,16,FALSE),IF(ISBLANK(Deltagarlista!$C21),"",IF(ISBLANK(Arrangörslista!J$143),"",IFERROR(VLOOKUP($F23,Arrangörslista!K$143:$AG$180,16,FALSE),"DNS")))))),IF(Deltagarlista!$K$3=2,
IF(ISBLANK(Deltagarlista!$C21),"",IF(ISBLANK(Arrangörslista!N$53),"",IF($GV23=AJ$64," DNS ",IFERROR(VLOOKUP($F23,Arrangörslista!N$53:$AG$90,16,FALSE),"DNS")))),IF(ISBLANK(Deltagarlista!$C21),"",IF(ISBLANK(Arrangörslista!N$53),"",IFERROR(VLOOKUP($F23,Arrangörslista!N$53:$AG$90,16,FALSE),"DNS")))))</f>
        <v/>
      </c>
      <c r="AK23" s="5" t="str">
        <f>IF(Deltagarlista!$K$3=4,IF(ISBLANK(Deltagarlista!$C21),"",IF(ISBLANK(Arrangörslista!L$143),"",IFERROR(VLOOKUP($F23,Arrangörslista!L$143:$AG$180,16,FALSE),IF(ISBLANK(Deltagarlista!$C21),"",IF(ISBLANK(Arrangörslista!L$143),"",IFERROR(VLOOKUP($F23,Arrangörslista!M$143:$AG$180,16,FALSE),"DNS")))))),IF(Deltagarlista!$K$3=2,
IF(ISBLANK(Deltagarlista!$C21),"",IF(ISBLANK(Arrangörslista!O$53),"",IF($GV23=AK$64," DNS ",IFERROR(VLOOKUP($F23,Arrangörslista!O$53:$AG$90,16,FALSE),"DNS")))),IF(ISBLANK(Deltagarlista!$C21),"",IF(ISBLANK(Arrangörslista!O$53),"",IFERROR(VLOOKUP($F23,Arrangörslista!O$53:$AG$90,16,FALSE),"DNS")))))</f>
        <v/>
      </c>
      <c r="AL23" s="5" t="str">
        <f>IF(Deltagarlista!$K$3=4,IF(ISBLANK(Deltagarlista!$C21),"",IF(ISBLANK(Arrangörslista!N$143),"",IFERROR(VLOOKUP($F23,Arrangörslista!N$143:$AG$180,16,FALSE),IF(ISBLANK(Deltagarlista!$C21),"",IF(ISBLANK(Arrangörslista!N$143),"",IFERROR(VLOOKUP($F23,Arrangörslista!O$143:$AG$180,16,FALSE),"DNS")))))),IF(Deltagarlista!$K$3=2,
IF(ISBLANK(Deltagarlista!$C21),"",IF(ISBLANK(Arrangörslista!P$53),"",IF($GV23=AL$64," DNS ",IFERROR(VLOOKUP($F23,Arrangörslista!P$53:$AG$90,16,FALSE),"DNS")))),IF(ISBLANK(Deltagarlista!$C21),"",IF(ISBLANK(Arrangörslista!P$53),"",IFERROR(VLOOKUP($F23,Arrangörslista!P$53:$AG$90,16,FALSE),"DNS")))))</f>
        <v/>
      </c>
      <c r="AM23" s="5" t="str">
        <f>IF(Deltagarlista!$K$3=4,IF(ISBLANK(Deltagarlista!$C21),"",IF(ISBLANK(Arrangörslista!P$143),"",IFERROR(VLOOKUP($F23,Arrangörslista!P$143:$AG$180,16,FALSE),IF(ISBLANK(Deltagarlista!$C21),"",IF(ISBLANK(Arrangörslista!P$143),"",IFERROR(VLOOKUP($F23,Arrangörslista!Q$143:$AG$180,16,FALSE),"DNS")))))),IF(Deltagarlista!$K$3=2,
IF(ISBLANK(Deltagarlista!$C21),"",IF(ISBLANK(Arrangörslista!Q$53),"",IF($GV23=AM$64," DNS ",IFERROR(VLOOKUP($F23,Arrangörslista!Q$53:$AG$90,16,FALSE),"DNS")))),IF(ISBLANK(Deltagarlista!$C21),"",IF(ISBLANK(Arrangörslista!Q$53),"",IFERROR(VLOOKUP($F23,Arrangörslista!Q$53:$AG$90,16,FALSE),"DNS")))))</f>
        <v/>
      </c>
      <c r="AN23" s="5" t="str">
        <f>IF(Deltagarlista!$K$3=2,
IF(ISBLANK(Deltagarlista!$C21),"",IF(ISBLANK(Arrangörslista!C$98),"",IF($GV23=AN$64," DNS ",IFERROR(VLOOKUP($F23,Arrangörslista!C$98:$AG$135,16,FALSE), "DNS")))), IF(Deltagarlista!$K$3=1,IF(ISBLANK(Deltagarlista!$C21),"",IF(ISBLANK(Arrangörslista!C$98),"",IFERROR(VLOOKUP($F23,Arrangörslista!C$98:$AG$135,16,FALSE), "DNS"))),""))</f>
        <v/>
      </c>
      <c r="AO23" s="5" t="str">
        <f>IF(Deltagarlista!$K$3=2,
IF(ISBLANK(Deltagarlista!$C21),"",IF(ISBLANK(Arrangörslista!D$98),"",IF($GV23=AO$64," DNS ",IFERROR(VLOOKUP($F23,Arrangörslista!D$98:$AG$135,16,FALSE), "DNS")))), IF(Deltagarlista!$K$3=1,IF(ISBLANK(Deltagarlista!$C21),"",IF(ISBLANK(Arrangörslista!D$98),"",IFERROR(VLOOKUP($F23,Arrangörslista!D$98:$AG$135,16,FALSE), "DNS"))),""))</f>
        <v/>
      </c>
      <c r="AP23" s="5" t="str">
        <f>IF(Deltagarlista!$K$3=2,
IF(ISBLANK(Deltagarlista!$C21),"",IF(ISBLANK(Arrangörslista!E$98),"",IF($GV23=AP$64," DNS ",IFERROR(VLOOKUP($F23,Arrangörslista!E$98:$AG$135,16,FALSE), "DNS")))), IF(Deltagarlista!$K$3=1,IF(ISBLANK(Deltagarlista!$C21),"",IF(ISBLANK(Arrangörslista!E$98),"",IFERROR(VLOOKUP($F23,Arrangörslista!E$98:$AG$135,16,FALSE), "DNS"))),""))</f>
        <v/>
      </c>
      <c r="AQ23" s="5" t="str">
        <f>IF(Deltagarlista!$K$3=2,
IF(ISBLANK(Deltagarlista!$C21),"",IF(ISBLANK(Arrangörslista!F$98),"",IF($GV23=AQ$64," DNS ",IFERROR(VLOOKUP($F23,Arrangörslista!F$98:$AG$135,16,FALSE), "DNS")))), IF(Deltagarlista!$K$3=1,IF(ISBLANK(Deltagarlista!$C21),"",IF(ISBLANK(Arrangörslista!F$98),"",IFERROR(VLOOKUP($F23,Arrangörslista!F$98:$AG$135,16,FALSE), "DNS"))),""))</f>
        <v/>
      </c>
      <c r="AR23" s="5" t="str">
        <f>IF(Deltagarlista!$K$3=2,
IF(ISBLANK(Deltagarlista!$C21),"",IF(ISBLANK(Arrangörslista!G$98),"",IF($GV23=AR$64," DNS ",IFERROR(VLOOKUP($F23,Arrangörslista!G$98:$AG$135,16,FALSE), "DNS")))), IF(Deltagarlista!$K$3=1,IF(ISBLANK(Deltagarlista!$C21),"",IF(ISBLANK(Arrangörslista!G$98),"",IFERROR(VLOOKUP($F23,Arrangörslista!G$98:$AG$135,16,FALSE), "DNS"))),""))</f>
        <v/>
      </c>
      <c r="AS23" s="5" t="str">
        <f>IF(Deltagarlista!$K$3=2,
IF(ISBLANK(Deltagarlista!$C21),"",IF(ISBLANK(Arrangörslista!H$98),"",IF($GV23=AS$64," DNS ",IFERROR(VLOOKUP($F23,Arrangörslista!H$98:$AG$135,16,FALSE), "DNS")))), IF(Deltagarlista!$K$3=1,IF(ISBLANK(Deltagarlista!$C21),"",IF(ISBLANK(Arrangörslista!H$98),"",IFERROR(VLOOKUP($F23,Arrangörslista!H$98:$AG$135,16,FALSE), "DNS"))),""))</f>
        <v/>
      </c>
      <c r="AT23" s="5" t="str">
        <f>IF(Deltagarlista!$K$3=2,
IF(ISBLANK(Deltagarlista!$C21),"",IF(ISBLANK(Arrangörslista!I$98),"",IF($GV23=AT$64," DNS ",IFERROR(VLOOKUP($F23,Arrangörslista!I$98:$AG$135,16,FALSE), "DNS")))), IF(Deltagarlista!$K$3=1,IF(ISBLANK(Deltagarlista!$C21),"",IF(ISBLANK(Arrangörslista!I$98),"",IFERROR(VLOOKUP($F23,Arrangörslista!I$98:$AG$135,16,FALSE), "DNS"))),""))</f>
        <v/>
      </c>
      <c r="AU23" s="5" t="str">
        <f>IF(Deltagarlista!$K$3=2,
IF(ISBLANK(Deltagarlista!$C21),"",IF(ISBLANK(Arrangörslista!J$98),"",IF($GV23=AU$64," DNS ",IFERROR(VLOOKUP($F23,Arrangörslista!J$98:$AG$135,16,FALSE), "DNS")))), IF(Deltagarlista!$K$3=1,IF(ISBLANK(Deltagarlista!$C21),"",IF(ISBLANK(Arrangörslista!J$98),"",IFERROR(VLOOKUP($F23,Arrangörslista!J$98:$AG$135,16,FALSE), "DNS"))),""))</f>
        <v/>
      </c>
      <c r="AV23" s="5" t="str">
        <f>IF(Deltagarlista!$K$3=2,
IF(ISBLANK(Deltagarlista!$C21),"",IF(ISBLANK(Arrangörslista!K$98),"",IF($GV23=AV$64," DNS ",IFERROR(VLOOKUP($F23,Arrangörslista!K$98:$AG$135,16,FALSE), "DNS")))), IF(Deltagarlista!$K$3=1,IF(ISBLANK(Deltagarlista!$C21),"",IF(ISBLANK(Arrangörslista!K$98),"",IFERROR(VLOOKUP($F23,Arrangörslista!K$98:$AG$135,16,FALSE), "DNS"))),""))</f>
        <v/>
      </c>
      <c r="AW23" s="5" t="str">
        <f>IF(Deltagarlista!$K$3=2,
IF(ISBLANK(Deltagarlista!$C21),"",IF(ISBLANK(Arrangörslista!L$98),"",IF($GV23=AW$64," DNS ",IFERROR(VLOOKUP($F23,Arrangörslista!L$98:$AG$135,16,FALSE), "DNS")))), IF(Deltagarlista!$K$3=1,IF(ISBLANK(Deltagarlista!$C21),"",IF(ISBLANK(Arrangörslista!L$98),"",IFERROR(VLOOKUP($F23,Arrangörslista!L$98:$AG$135,16,FALSE), "DNS"))),""))</f>
        <v/>
      </c>
      <c r="AX23" s="5" t="str">
        <f>IF(Deltagarlista!$K$3=2,
IF(ISBLANK(Deltagarlista!$C21),"",IF(ISBLANK(Arrangörslista!M$98),"",IF($GV23=AX$64," DNS ",IFERROR(VLOOKUP($F23,Arrangörslista!M$98:$AG$135,16,FALSE), "DNS")))), IF(Deltagarlista!$K$3=1,IF(ISBLANK(Deltagarlista!$C21),"",IF(ISBLANK(Arrangörslista!M$98),"",IFERROR(VLOOKUP($F23,Arrangörslista!M$98:$AG$135,16,FALSE), "DNS"))),""))</f>
        <v/>
      </c>
      <c r="AY23" s="5" t="str">
        <f>IF(Deltagarlista!$K$3=2,
IF(ISBLANK(Deltagarlista!$C21),"",IF(ISBLANK(Arrangörslista!N$98),"",IF($GV23=AY$64," DNS ",IFERROR(VLOOKUP($F23,Arrangörslista!N$98:$AG$135,16,FALSE), "DNS")))), IF(Deltagarlista!$K$3=1,IF(ISBLANK(Deltagarlista!$C21),"",IF(ISBLANK(Arrangörslista!N$98),"",IFERROR(VLOOKUP($F23,Arrangörslista!N$98:$AG$135,16,FALSE), "DNS"))),""))</f>
        <v/>
      </c>
      <c r="AZ23" s="5" t="str">
        <f>IF(Deltagarlista!$K$3=2,
IF(ISBLANK(Deltagarlista!$C21),"",IF(ISBLANK(Arrangörslista!O$98),"",IF($GV23=AZ$64," DNS ",IFERROR(VLOOKUP($F23,Arrangörslista!O$98:$AG$135,16,FALSE), "DNS")))), IF(Deltagarlista!$K$3=1,IF(ISBLANK(Deltagarlista!$C21),"",IF(ISBLANK(Arrangörslista!O$98),"",IFERROR(VLOOKUP($F23,Arrangörslista!O$98:$AG$135,16,FALSE), "DNS"))),""))</f>
        <v/>
      </c>
      <c r="BA23" s="5" t="str">
        <f>IF(Deltagarlista!$K$3=2,
IF(ISBLANK(Deltagarlista!$C21),"",IF(ISBLANK(Arrangörslista!P$98),"",IF($GV23=BA$64," DNS ",IFERROR(VLOOKUP($F23,Arrangörslista!P$98:$AG$135,16,FALSE), "DNS")))), IF(Deltagarlista!$K$3=1,IF(ISBLANK(Deltagarlista!$C21),"",IF(ISBLANK(Arrangörslista!P$98),"",IFERROR(VLOOKUP($F23,Arrangörslista!P$98:$AG$135,16,FALSE), "DNS"))),""))</f>
        <v/>
      </c>
      <c r="BB23" s="5" t="str">
        <f>IF(Deltagarlista!$K$3=2,
IF(ISBLANK(Deltagarlista!$C21),"",IF(ISBLANK(Arrangörslista!Q$98),"",IF($GV23=BB$64," DNS ",IFERROR(VLOOKUP($F23,Arrangörslista!Q$98:$AG$135,16,FALSE), "DNS")))), IF(Deltagarlista!$K$3=1,IF(ISBLANK(Deltagarlista!$C21),"",IF(ISBLANK(Arrangörslista!Q$98),"",IFERROR(VLOOKUP($F23,Arrangörslista!Q$98:$AG$135,16,FALSE), "DNS"))),""))</f>
        <v/>
      </c>
      <c r="BC23" s="5" t="str">
        <f>IF(Deltagarlista!$K$3=2,
IF(ISBLANK(Deltagarlista!$C21),"",IF(ISBLANK(Arrangörslista!C$143),"",IF($GV23=BC$64," DNS ",IFERROR(VLOOKUP($F23,Arrangörslista!C$143:$AG$180,16,FALSE), "DNS")))), IF(Deltagarlista!$K$3=1,IF(ISBLANK(Deltagarlista!$C21),"",IF(ISBLANK(Arrangörslista!C$143),"",IFERROR(VLOOKUP($F23,Arrangörslista!C$143:$AG$180,16,FALSE), "DNS"))),""))</f>
        <v/>
      </c>
      <c r="BD23" s="5" t="str">
        <f>IF(Deltagarlista!$K$3=2,
IF(ISBLANK(Deltagarlista!$C21),"",IF(ISBLANK(Arrangörslista!D$143),"",IF($GV23=BD$64," DNS ",IFERROR(VLOOKUP($F23,Arrangörslista!D$143:$AG$180,16,FALSE), "DNS")))), IF(Deltagarlista!$K$3=1,IF(ISBLANK(Deltagarlista!$C21),"",IF(ISBLANK(Arrangörslista!D$143),"",IFERROR(VLOOKUP($F23,Arrangörslista!D$143:$AG$180,16,FALSE), "DNS"))),""))</f>
        <v/>
      </c>
      <c r="BE23" s="5" t="str">
        <f>IF(Deltagarlista!$K$3=2,
IF(ISBLANK(Deltagarlista!$C21),"",IF(ISBLANK(Arrangörslista!E$143),"",IF($GV23=BE$64," DNS ",IFERROR(VLOOKUP($F23,Arrangörslista!E$143:$AG$180,16,FALSE), "DNS")))), IF(Deltagarlista!$K$3=1,IF(ISBLANK(Deltagarlista!$C21),"",IF(ISBLANK(Arrangörslista!E$143),"",IFERROR(VLOOKUP($F23,Arrangörslista!E$143:$AG$180,16,FALSE), "DNS"))),""))</f>
        <v/>
      </c>
      <c r="BF23" s="5" t="str">
        <f>IF(Deltagarlista!$K$3=2,
IF(ISBLANK(Deltagarlista!$C21),"",IF(ISBLANK(Arrangörslista!F$143),"",IF($GV23=BF$64," DNS ",IFERROR(VLOOKUP($F23,Arrangörslista!F$143:$AG$180,16,FALSE), "DNS")))), IF(Deltagarlista!$K$3=1,IF(ISBLANK(Deltagarlista!$C21),"",IF(ISBLANK(Arrangörslista!F$143),"",IFERROR(VLOOKUP($F23,Arrangörslista!F$143:$AG$180,16,FALSE), "DNS"))),""))</f>
        <v/>
      </c>
      <c r="BG23" s="5" t="str">
        <f>IF(Deltagarlista!$K$3=2,
IF(ISBLANK(Deltagarlista!$C21),"",IF(ISBLANK(Arrangörslista!G$143),"",IF($GV23=BG$64," DNS ",IFERROR(VLOOKUP($F23,Arrangörslista!G$143:$AG$180,16,FALSE), "DNS")))), IF(Deltagarlista!$K$3=1,IF(ISBLANK(Deltagarlista!$C21),"",IF(ISBLANK(Arrangörslista!G$143),"",IFERROR(VLOOKUP($F23,Arrangörslista!G$143:$AG$180,16,FALSE), "DNS"))),""))</f>
        <v/>
      </c>
      <c r="BH23" s="5" t="str">
        <f>IF(Deltagarlista!$K$3=2,
IF(ISBLANK(Deltagarlista!$C21),"",IF(ISBLANK(Arrangörslista!H$143),"",IF($GV23=BH$64," DNS ",IFERROR(VLOOKUP($F23,Arrangörslista!H$143:$AG$180,16,FALSE), "DNS")))), IF(Deltagarlista!$K$3=1,IF(ISBLANK(Deltagarlista!$C21),"",IF(ISBLANK(Arrangörslista!H$143),"",IFERROR(VLOOKUP($F23,Arrangörslista!H$143:$AG$180,16,FALSE), "DNS"))),""))</f>
        <v/>
      </c>
      <c r="BI23" s="5" t="str">
        <f>IF(Deltagarlista!$K$3=2,
IF(ISBLANK(Deltagarlista!$C21),"",IF(ISBLANK(Arrangörslista!I$143),"",IF($GV23=BI$64," DNS ",IFERROR(VLOOKUP($F23,Arrangörslista!I$143:$AG$180,16,FALSE), "DNS")))), IF(Deltagarlista!$K$3=1,IF(ISBLANK(Deltagarlista!$C21),"",IF(ISBLANK(Arrangörslista!I$143),"",IFERROR(VLOOKUP($F23,Arrangörslista!I$143:$AG$180,16,FALSE), "DNS"))),""))</f>
        <v/>
      </c>
      <c r="BJ23" s="5" t="str">
        <f>IF(Deltagarlista!$K$3=2,
IF(ISBLANK(Deltagarlista!$C21),"",IF(ISBLANK(Arrangörslista!J$143),"",IF($GV23=BJ$64," DNS ",IFERROR(VLOOKUP($F23,Arrangörslista!J$143:$AG$180,16,FALSE), "DNS")))), IF(Deltagarlista!$K$3=1,IF(ISBLANK(Deltagarlista!$C21),"",IF(ISBLANK(Arrangörslista!J$143),"",IFERROR(VLOOKUP($F23,Arrangörslista!J$143:$AG$180,16,FALSE), "DNS"))),""))</f>
        <v/>
      </c>
      <c r="BK23" s="5" t="str">
        <f>IF(Deltagarlista!$K$3=2,
IF(ISBLANK(Deltagarlista!$C21),"",IF(ISBLANK(Arrangörslista!K$143),"",IF($GV23=BK$64," DNS ",IFERROR(VLOOKUP($F23,Arrangörslista!K$143:$AG$180,16,FALSE), "DNS")))), IF(Deltagarlista!$K$3=1,IF(ISBLANK(Deltagarlista!$C21),"",IF(ISBLANK(Arrangörslista!K$143),"",IFERROR(VLOOKUP($F23,Arrangörslista!K$143:$AG$180,16,FALSE), "DNS"))),""))</f>
        <v/>
      </c>
      <c r="BL23" s="5" t="str">
        <f>IF(Deltagarlista!$K$3=2,
IF(ISBLANK(Deltagarlista!$C21),"",IF(ISBLANK(Arrangörslista!L$143),"",IF($GV23=BL$64," DNS ",IFERROR(VLOOKUP($F23,Arrangörslista!L$143:$AG$180,16,FALSE), "DNS")))), IF(Deltagarlista!$K$3=1,IF(ISBLANK(Deltagarlista!$C21),"",IF(ISBLANK(Arrangörslista!L$143),"",IFERROR(VLOOKUP($F23,Arrangörslista!L$143:$AG$180,16,FALSE), "DNS"))),""))</f>
        <v/>
      </c>
      <c r="BM23" s="5" t="str">
        <f>IF(Deltagarlista!$K$3=2,
IF(ISBLANK(Deltagarlista!$C21),"",IF(ISBLANK(Arrangörslista!M$143),"",IF($GV23=BM$64," DNS ",IFERROR(VLOOKUP($F23,Arrangörslista!M$143:$AG$180,16,FALSE), "DNS")))), IF(Deltagarlista!$K$3=1,IF(ISBLANK(Deltagarlista!$C21),"",IF(ISBLANK(Arrangörslista!M$143),"",IFERROR(VLOOKUP($F23,Arrangörslista!M$143:$AG$180,16,FALSE), "DNS"))),""))</f>
        <v/>
      </c>
      <c r="BN23" s="5" t="str">
        <f>IF(Deltagarlista!$K$3=2,
IF(ISBLANK(Deltagarlista!$C21),"",IF(ISBLANK(Arrangörslista!N$143),"",IF($GV23=BN$64," DNS ",IFERROR(VLOOKUP($F23,Arrangörslista!N$143:$AG$180,16,FALSE), "DNS")))), IF(Deltagarlista!$K$3=1,IF(ISBLANK(Deltagarlista!$C21),"",IF(ISBLANK(Arrangörslista!N$143),"",IFERROR(VLOOKUP($F23,Arrangörslista!N$143:$AG$180,16,FALSE), "DNS"))),""))</f>
        <v/>
      </c>
      <c r="BO23" s="5" t="str">
        <f>IF(Deltagarlista!$K$3=2,
IF(ISBLANK(Deltagarlista!$C21),"",IF(ISBLANK(Arrangörslista!O$143),"",IF($GV23=BO$64," DNS ",IFERROR(VLOOKUP($F23,Arrangörslista!O$143:$AG$180,16,FALSE), "DNS")))), IF(Deltagarlista!$K$3=1,IF(ISBLANK(Deltagarlista!$C21),"",IF(ISBLANK(Arrangörslista!O$143),"",IFERROR(VLOOKUP($F23,Arrangörslista!O$143:$AG$180,16,FALSE), "DNS"))),""))</f>
        <v/>
      </c>
      <c r="BP23" s="5" t="str">
        <f>IF(Deltagarlista!$K$3=2,
IF(ISBLANK(Deltagarlista!$C21),"",IF(ISBLANK(Arrangörslista!P$143),"",IF($GV23=BP$64," DNS ",IFERROR(VLOOKUP($F23,Arrangörslista!P$143:$AG$180,16,FALSE), "DNS")))), IF(Deltagarlista!$K$3=1,IF(ISBLANK(Deltagarlista!$C21),"",IF(ISBLANK(Arrangörslista!P$143),"",IFERROR(VLOOKUP($F23,Arrangörslista!P$143:$AG$180,16,FALSE), "DNS"))),""))</f>
        <v/>
      </c>
      <c r="BQ23" s="80" t="str">
        <f>IF(Deltagarlista!$K$3=2,
IF(ISBLANK(Deltagarlista!$C21),"",IF(ISBLANK(Arrangörslista!Q$143),"",IF($GV23=BQ$64," DNS ",IFERROR(VLOOKUP($F23,Arrangörslista!Q$143:$AG$180,16,FALSE), "DNS")))), IF(Deltagarlista!$K$3=1,IF(ISBLANK(Deltagarlista!$C21),"",IF(ISBLANK(Arrangörslista!Q$143),"",IFERROR(VLOOKUP($F23,Arrangörslista!Q$143:$AG$180,16,FALSE), "DNS"))),""))</f>
        <v/>
      </c>
      <c r="BR23" s="51"/>
      <c r="BS23" s="51"/>
      <c r="BT23" s="51"/>
      <c r="BU23" s="71">
        <f>SUM(BV23:EC23)</f>
        <v>0</v>
      </c>
      <c r="BV23" s="61">
        <f>IF(J23="",0,IF(OR(J23="DNF",J23="OCS",J23="DSQ",J23="DNS",J23=" DNS "),$BW$3+1,J23))</f>
        <v>0</v>
      </c>
      <c r="BW23" s="61">
        <f>IF(K23="",0,IF(OR(K23="DNF",K23="OCS",K23="DSQ",K23="DNS",K23=" DNS "),$BW$3+1,K23))</f>
        <v>0</v>
      </c>
      <c r="BX23" s="61">
        <f>IF(L23="",0,IF(OR(L23="DNF",L23="OCS",L23="DSQ",L23="DNS",L23=" DNS "),$BW$3+1,L23))</f>
        <v>0</v>
      </c>
      <c r="BY23" s="61">
        <f>IF(M23="",0,IF(OR(M23="DNF",M23="OCS",M23="DSQ",M23="DNS",M23=" DNS "),$BW$3+1,M23))</f>
        <v>0</v>
      </c>
      <c r="BZ23" s="61">
        <f>IF(N23="",0,IF(OR(N23="DNF",N23="OCS",N23="DSQ",N23="DNS",N23=" DNS "),$BW$3+1,N23))</f>
        <v>0</v>
      </c>
      <c r="CA23" s="61">
        <f>IF(O23="",0,IF(OR(O23="DNF",O23="OCS",O23="DSQ",O23="DNS",O23=" DNS "),$BW$3+1,O23))</f>
        <v>0</v>
      </c>
      <c r="CB23" s="61">
        <f>IF(P23="",0,IF(OR(P23="DNF",P23="OCS",P23="DSQ",P23="DNS",P23=" DNS "),$BW$3+1,P23))</f>
        <v>0</v>
      </c>
      <c r="CC23" s="61">
        <f>IF(Q23="",0,IF(OR(Q23="DNF",Q23="OCS",Q23="DSQ",Q23="DNS",Q23=" DNS "),$BW$3+1,Q23))</f>
        <v>0</v>
      </c>
      <c r="CD23" s="61">
        <f>IF(R23="",0,IF(OR(R23="DNF",R23="OCS",R23="DSQ",R23="DNS",R23=" DNS "),$BW$3+1,R23))</f>
        <v>0</v>
      </c>
      <c r="CE23" s="61">
        <f>IF(S23="",0,IF(OR(S23="DNF",S23="OCS",S23="DSQ",S23="DNS",S23=" DNS "),$BW$3+1,S23))</f>
        <v>0</v>
      </c>
      <c r="CF23" s="61">
        <f>IF(T23="",0,IF(OR(T23="DNF",T23="OCS",T23="DSQ",T23="DNS",T23=" DNS "),$BW$3+1,T23))</f>
        <v>0</v>
      </c>
      <c r="CG23" s="61">
        <f>IF(U23="",0,IF(OR(U23="DNF",U23="OCS",U23="DSQ",U23="DNS",U23=" DNS "),$BW$3+1,U23))</f>
        <v>0</v>
      </c>
      <c r="CH23" s="61">
        <f>IF(V23="",0,IF(OR(V23="DNF",V23="OCS",V23="DSQ",V23="DNS",V23=" DNS "),$BW$3+1,V23))</f>
        <v>0</v>
      </c>
      <c r="CI23" s="61">
        <f>IF(W23="",0,IF(OR(W23="DNF",W23="OCS",W23="DSQ",W23="DNS",W23=" DNS "),$BW$3+1,W23))</f>
        <v>0</v>
      </c>
      <c r="CJ23" s="61">
        <f>IF(X23="",0,IF(OR(X23="DNF",X23="OCS",X23="DSQ",X23="DNS",X23=" DNS "),$BW$3+1,X23))</f>
        <v>0</v>
      </c>
      <c r="CK23" s="61">
        <f>IF(Y23="",0,IF(OR(Y23="DNF",Y23="OCS",Y23="DSQ",Y23="DNS",Y23=" DNS "),$BW$3+1,Y23))</f>
        <v>0</v>
      </c>
      <c r="CL23" s="61">
        <f>IF(Z23="",0,IF(OR(Z23="DNF",Z23="OCS",Z23="DSQ",Z23="DNS",Z23=" DNS "),$BW$3+1,Z23))</f>
        <v>0</v>
      </c>
      <c r="CM23" s="61">
        <f>IF(AA23="",0,IF(OR(AA23="DNF",AA23="OCS",AA23="DSQ",AA23="DNS",AA23=" DNS "),$BW$3+1,AA23))</f>
        <v>0</v>
      </c>
      <c r="CN23" s="61">
        <f>IF(AB23="",0,IF(OR(AB23="DNF",AB23="OCS",AB23="DSQ",AB23="DNS",AB23=" DNS "),$BW$3+1,AB23))</f>
        <v>0</v>
      </c>
      <c r="CO23" s="61">
        <f>IF(AC23="",0,IF(OR(AC23="DNF",AC23="OCS",AC23="DSQ",AC23="DNS",AC23=" DNS "),$BW$3+1,AC23))</f>
        <v>0</v>
      </c>
      <c r="CP23" s="61">
        <f>IF(AD23="",0,IF(OR(AD23="DNF",AD23="OCS",AD23="DSQ",AD23="DNS",AD23=" DNS "),$BW$3+1,AD23))</f>
        <v>0</v>
      </c>
      <c r="CQ23" s="61">
        <f>IF(AE23="",0,IF(OR(AE23="DNF",AE23="OCS",AE23="DSQ",AE23="DNS",AE23=" DNS "),$BW$3+1,AE23))</f>
        <v>0</v>
      </c>
      <c r="CR23" s="61">
        <f>IF(AF23="",0,IF(OR(AF23="DNF",AF23="OCS",AF23="DSQ",AF23="DNS",AF23=" DNS "),$BW$3+1,AF23))</f>
        <v>0</v>
      </c>
      <c r="CS23" s="61">
        <f>IF(AG23="",0,IF(OR(AG23="DNF",AG23="OCS",AG23="DSQ",AG23="DNS",AG23=" DNS "),$BW$3+1,AG23))</f>
        <v>0</v>
      </c>
      <c r="CT23" s="61">
        <f>IF(AH23="",0,IF(OR(AH23="DNF",AH23="OCS",AH23="DSQ",AH23="DNS",AH23=" DNS "),$BW$3+1,AH23))</f>
        <v>0</v>
      </c>
      <c r="CU23" s="61">
        <f>IF(AI23="",0,IF(OR(AI23="DNF",AI23="OCS",AI23="DSQ",AI23="DNS",AI23=" DNS "),$BW$3+1,AI23))</f>
        <v>0</v>
      </c>
      <c r="CV23" s="61">
        <f>IF(AJ23="",0,IF(OR(AJ23="DNF",AJ23="OCS",AJ23="DSQ",AJ23="DNS",AJ23=" DNS "),$BW$3+1,AJ23))</f>
        <v>0</v>
      </c>
      <c r="CW23" s="61">
        <f>IF(AK23="",0,IF(OR(AK23="DNF",AK23="OCS",AK23="DSQ",AK23="DNS",AK23=" DNS "),$BW$3+1,AK23))</f>
        <v>0</v>
      </c>
      <c r="CX23" s="61">
        <f>IF(AL23="",0,IF(OR(AL23="DNF",AL23="OCS",AL23="DSQ",AL23="DNS",AL23=" DNS "),$BW$3+1,AL23))</f>
        <v>0</v>
      </c>
      <c r="CY23" s="61">
        <f>IF(AM23="",0,IF(OR(AM23="DNF",AM23="OCS",AM23="DSQ",AM23="DNS",AM23=" DNS "),$BW$3+1,AM23))</f>
        <v>0</v>
      </c>
      <c r="CZ23" s="61">
        <f>IF(AN23="",0,IF(OR(AN23="DNF",AN23="OCS",AN23="DSQ",AN23="DNS",AN23=" DNS "),$BW$3+1,AN23))</f>
        <v>0</v>
      </c>
      <c r="DA23" s="61">
        <f>IF(AO23="",0,IF(OR(AO23="DNF",AO23="OCS",AO23="DSQ",AO23="DNS",AO23=" DNS "),$BW$3+1,AO23))</f>
        <v>0</v>
      </c>
      <c r="DB23" s="61">
        <f>IF(AP23="",0,IF(OR(AP23="DNF",AP23="OCS",AP23="DSQ",AP23="DNS",AP23=" DNS "),$BW$3+1,AP23))</f>
        <v>0</v>
      </c>
      <c r="DC23" s="61">
        <f>IF(AQ23="",0,IF(OR(AQ23="DNF",AQ23="OCS",AQ23="DSQ",AQ23="DNS",AQ23=" DNS "),$BW$3+1,AQ23))</f>
        <v>0</v>
      </c>
      <c r="DD23" s="61">
        <f>IF(AR23="",0,IF(OR(AR23="DNF",AR23="OCS",AR23="DSQ",AR23="DNS",AR23=" DNS "),$BW$3+1,AR23))</f>
        <v>0</v>
      </c>
      <c r="DE23" s="61">
        <f>IF(AS23="",0,IF(OR(AS23="DNF",AS23="OCS",AS23="DSQ",AS23="DNS",AS23=" DNS "),$BW$3+1,AS23))</f>
        <v>0</v>
      </c>
      <c r="DF23" s="61">
        <f>IF(AT23="",0,IF(OR(AT23="DNF",AT23="OCS",AT23="DSQ",AT23="DNS",AT23=" DNS "),$BW$3+1,AT23))</f>
        <v>0</v>
      </c>
      <c r="DG23" s="61">
        <f>IF(AU23="",0,IF(OR(AU23="DNF",AU23="OCS",AU23="DSQ",AU23="DNS",AU23=" DNS "),$BW$3+1,AU23))</f>
        <v>0</v>
      </c>
      <c r="DH23" s="61">
        <f>IF(AV23="",0,IF(OR(AV23="DNF",AV23="OCS",AV23="DSQ",AV23="DNS",AV23=" DNS "),$BW$3+1,AV23))</f>
        <v>0</v>
      </c>
      <c r="DI23" s="61">
        <f>IF(AW23="",0,IF(OR(AW23="DNF",AW23="OCS",AW23="DSQ",AW23="DNS",AW23=" DNS "),$BW$3+1,AW23))</f>
        <v>0</v>
      </c>
      <c r="DJ23" s="61">
        <f>IF(AX23="",0,IF(OR(AX23="DNF",AX23="OCS",AX23="DSQ",AX23="DNS",AX23=" DNS "),$BW$3+1,AX23))</f>
        <v>0</v>
      </c>
      <c r="DK23" s="61">
        <f>IF(AY23="",0,IF(OR(AY23="DNF",AY23="OCS",AY23="DSQ",AY23="DNS",AY23=" DNS "),$BW$3+1,AY23))</f>
        <v>0</v>
      </c>
      <c r="DL23" s="61">
        <f>IF(AZ23="",0,IF(OR(AZ23="DNF",AZ23="OCS",AZ23="DSQ",AZ23="DNS",AZ23=" DNS "),$BW$3+1,AZ23))</f>
        <v>0</v>
      </c>
      <c r="DM23" s="61">
        <f>IF(BA23="",0,IF(OR(BA23="DNF",BA23="OCS",BA23="DSQ",BA23="DNS",BA23=" DNS "),$BW$3+1,BA23))</f>
        <v>0</v>
      </c>
      <c r="DN23" s="61">
        <f>IF(BB23="",0,IF(OR(BB23="DNF",BB23="OCS",BB23="DSQ",BB23="DNS",BB23=" DNS "),$BW$3+1,BB23))</f>
        <v>0</v>
      </c>
      <c r="DO23" s="61">
        <f>IF(BC23="",0,IF(OR(BC23="DNF",BC23="OCS",BC23="DSQ",BC23="DNS",BC23=" DNS "),$BW$3+1,BC23))</f>
        <v>0</v>
      </c>
      <c r="DP23" s="61">
        <f>IF(BD23="",0,IF(OR(BD23="DNF",BD23="OCS",BD23="DSQ",BD23="DNS",BD23=" DNS "),$BW$3+1,BD23))</f>
        <v>0</v>
      </c>
      <c r="DQ23" s="61">
        <f>IF(BE23="",0,IF(OR(BE23="DNF",BE23="OCS",BE23="DSQ",BE23="DNS",BE23=" DNS "),$BW$3+1,BE23))</f>
        <v>0</v>
      </c>
      <c r="DR23" s="61">
        <f>IF(BF23="",0,IF(OR(BF23="DNF",BF23="OCS",BF23="DSQ",BF23="DNS",BF23=" DNS "),$BW$3+1,BF23))</f>
        <v>0</v>
      </c>
      <c r="DS23" s="61">
        <f>IF(BG23="",0,IF(OR(BG23="DNF",BG23="OCS",BG23="DSQ",BG23="DNS",BG23=" DNS "),$BW$3+1,BG23))</f>
        <v>0</v>
      </c>
      <c r="DT23" s="61">
        <f>IF(BH23="",0,IF(OR(BH23="DNF",BH23="OCS",BH23="DSQ",BH23="DNS",BH23=" DNS "),$BW$3+1,BH23))</f>
        <v>0</v>
      </c>
      <c r="DU23" s="61">
        <f>IF(BI23="",0,IF(OR(BI23="DNF",BI23="OCS",BI23="DSQ",BI23="DNS",BI23=" DNS "),$BW$3+1,BI23))</f>
        <v>0</v>
      </c>
      <c r="DV23" s="61">
        <f>IF(BJ23="",0,IF(OR(BJ23="DNF",BJ23="OCS",BJ23="DSQ",BJ23="DNS",BJ23=" DNS "),$BW$3+1,BJ23))</f>
        <v>0</v>
      </c>
      <c r="DW23" s="61">
        <f>IF(BK23="",0,IF(OR(BK23="DNF",BK23="OCS",BK23="DSQ",BK23="DNS",BK23=" DNS "),$BW$3+1,BK23))</f>
        <v>0</v>
      </c>
      <c r="DX23" s="61">
        <f>IF(BL23="",0,IF(OR(BL23="DNF",BL23="OCS",BL23="DSQ",BL23="DNS",BL23=" DNS "),$BW$3+1,BL23))</f>
        <v>0</v>
      </c>
      <c r="DY23" s="61">
        <f>IF(BM23="",0,IF(OR(BM23="DNF",BM23="OCS",BM23="DSQ",BM23="DNS",BM23=" DNS "),$BW$3+1,BM23))</f>
        <v>0</v>
      </c>
      <c r="DZ23" s="61">
        <f>IF(BN23="",0,IF(OR(BN23="DNF",BN23="OCS",BN23="DSQ",BN23="DNS",BN23=" DNS "),$BW$3+1,BN23))</f>
        <v>0</v>
      </c>
      <c r="EA23" s="61">
        <f>IF(BO23="",0,IF(OR(BO23="DNF",BO23="OCS",BO23="DSQ",BO23="DNS",BO23=" DNS "),$BW$3+1,BO23))</f>
        <v>0</v>
      </c>
      <c r="EB23" s="61">
        <f>IF(BP23="",0,IF(OR(BP23="DNF",BP23="OCS",BP23="DSQ",BP23="DNS",BP23=" DNS "),$BW$3+1,BP23))</f>
        <v>0</v>
      </c>
      <c r="EC23" s="61">
        <f>IF(BQ23="",0,IF(OR(BQ23="DNF",BQ23="OCS",BQ23="DSQ",BQ23="DNS",BQ23=" DNS "),$BW$3+1,BQ23))</f>
        <v>0</v>
      </c>
      <c r="EE23" s="61">
        <f xml:space="preserve">
IF(OR(Deltagarlista!$K$3=3,Deltagarlista!$K$3=4),
IF(Arrangörslista!$U$5&lt;8,0,
IF(Arrangörslista!$U$5&lt;16,SUM(LARGE(BV23:CJ23,1)),
IF(Arrangörslista!$U$5&lt;24,SUM(LARGE(BV23:CR23,{1;2})),
IF(Arrangörslista!$U$5&lt;32,SUM(LARGE(BV23:CZ23,{1;2;3})),
IF(Arrangörslista!$U$5&lt;40,SUM(LARGE(BV23:DH23,{1;2;3;4})),
IF(Arrangörslista!$U$5&lt;48,SUM(LARGE(BV23:DP23,{1;2;3;4;5})),
IF(Arrangörslista!$U$5&lt;56,SUM(LARGE(BV23:DX23,{1;2;3;4;5;6})),
IF(Arrangörslista!$U$5&lt;64,SUM(LARGE(BV23:EC23,{1;2;3;4;5;6;7})),0)))))))),
IF(Deltagarlista!$K$3=2,
IF(Arrangörslista!$U$5&lt;4,LARGE(BV23:BX23,1),
IF(Arrangörslista!$U$5&lt;7,SUM(LARGE(BV23:CA23,{1;2;3})),
IF(Arrangörslista!$U$5&lt;10,SUM(LARGE(BV23:CD23,{1;2;3;4})),
IF(Arrangörslista!$U$5&lt;13,SUM(LARGE(BV23:CG23,{1;2;3;4;5;6})),
IF(Arrangörslista!$U$5&lt;16,SUM(LARGE(BV23:CJ23,{1;2;3;4;5;6;7})),
IF(Arrangörslista!$U$5&lt;19,SUM(LARGE(BV23:CM23,{1;2;3;4;5;6;7;8;9})),
IF(Arrangörslista!$U$5&lt;22,SUM(LARGE(BV23:CP23,{1;2;3;4;5;6;7;8;9;10})),
IF(Arrangörslista!$U$5&lt;25,SUM(LARGE(BV23:CS23,{1;2;3;4;5;6;7;8;9;10;11;12})),
IF(Arrangörslista!$U$5&lt;28,SUM(LARGE(BV23:CV23,{1;2;3;4;5;6;7;8;9;10;11;12;13})),
IF(Arrangörslista!$U$5&lt;31,SUM(LARGE(BV23:CY23,{1;2;3;4;5;6;7;8;9;10;11;12;13;14;15})),
IF(Arrangörslista!$U$5&lt;34,SUM(LARGE(BV23:DB23,{1;2;3;4;5;6;7;8;9;10;11;12;13;14;15;16})),
IF(Arrangörslista!$U$5&lt;37,SUM(LARGE(BV23:DE23,{1;2;3;4;5;6;7;8;9;10;11;12;13;14;15;16;17;18})),
IF(Arrangörslista!$U$5&lt;40,SUM(LARGE(BV23:DH23,{1;2;3;4;5;6;7;8;9;10;11;12;13;14;15;16;17;18;19})),
IF(Arrangörslista!$U$5&lt;43,SUM(LARGE(BV23:DK23,{1;2;3;4;5;6;7;8;9;10;11;12;13;14;15;16;17;18;19;20;21})),
IF(Arrangörslista!$U$5&lt;46,SUM(LARGE(BV23:DN23,{1;2;3;4;5;6;7;8;9;10;11;12;13;14;15;16;17;18;19;20;21;22})),
IF(Arrangörslista!$U$5&lt;49,SUM(LARGE(BV23:DQ23,{1;2;3;4;5;6;7;8;9;10;11;12;13;14;15;16;17;18;19;20;21;22;23;24})),
IF(Arrangörslista!$U$5&lt;52,SUM(LARGE(BV23:DT23,{1;2;3;4;5;6;7;8;9;10;11;12;13;14;15;16;17;18;19;20;21;22;23;24;25})),
IF(Arrangörslista!$U$5&lt;55,SUM(LARGE(BV23:DW23,{1;2;3;4;5;6;7;8;9;10;11;12;13;14;15;16;17;18;19;20;21;22;23;24;25;26;27})),
IF(Arrangörslista!$U$5&lt;58,SUM(LARGE(BV23:DZ23,{1;2;3;4;5;6;7;8;9;10;11;12;13;14;15;16;17;18;19;20;21;22;23;24;25;26;27;28})),
IF(Arrangörslista!$U$5&lt;61,SUM(LARGE(BV23:EC23,{1;2;3;4;5;6;7;8;9;10;11;12;13;14;15;16;17;18;19;20;21;22;23;24;25;26;27;28;29;30})),0)))))))))))))))))))),
IF(Arrangörslista!$U$5&lt;4,0,
IF(Arrangörslista!$U$5&lt;8,SUM(LARGE(BV23:CB23,1)),
IF(Arrangörslista!$U$5&lt;12,SUM(LARGE(BV23:CF23,{1;2})),
IF(Arrangörslista!$U$5&lt;16,SUM(LARGE(BV23:CJ23,{1;2;3})),
IF(Arrangörslista!$U$5&lt;20,SUM(LARGE(BV23:CN23,{1;2;3;4})),
IF(Arrangörslista!$U$5&lt;24,SUM(LARGE(BV23:CR23,{1;2;3;4;5})),
IF(Arrangörslista!$U$5&lt;28,SUM(LARGE(BV23:CV23,{1;2;3;4;5;6})),
IF(Arrangörslista!$U$5&lt;32,SUM(LARGE(BV23:CZ23,{1;2;3;4;5;6;7})),
IF(Arrangörslista!$U$5&lt;36,SUM(LARGE(BV23:DD23,{1;2;3;4;5;6;7;8})),
IF(Arrangörslista!$U$5&lt;40,SUM(LARGE(BV23:DH23,{1;2;3;4;5;6;7;8;9})),
IF(Arrangörslista!$U$5&lt;44,SUM(LARGE(BV23:DL23,{1;2;3;4;5;6;7;8;9;10})),
IF(Arrangörslista!$U$5&lt;48,SUM(LARGE(BV23:DP23,{1;2;3;4;5;6;7;8;9;10;11})),
IF(Arrangörslista!$U$5&lt;52,SUM(LARGE(BV23:DT23,{1;2;3;4;5;6;7;8;9;10;11;12})),
IF(Arrangörslista!$U$5&lt;56,SUM(LARGE(BV23:DX23,{1;2;3;4;5;6;7;8;9;10;11;12;13})),
IF(Arrangörslista!$U$5&lt;60,SUM(LARGE(BV23:EB23,{1;2;3;4;5;6;7;8;9;10;11;12;13;14})),
IF(Arrangörslista!$U$5=60,SUM(LARGE(BV23:EC23,{1;2;3;4;5;6;7;8;9;10;11;12;13;14;15})),0))))))))))))))))))</f>
        <v>0</v>
      </c>
      <c r="EG23" s="67">
        <f>IF(F23="",,1)</f>
        <v>0</v>
      </c>
      <c r="EH23" s="61"/>
      <c r="EI23" s="61"/>
      <c r="EK23" s="62">
        <f>SMALL($J86:$BQ86,1)</f>
        <v>61</v>
      </c>
      <c r="EL23" s="62">
        <f>SMALL($J86:$BQ86,2)</f>
        <v>61</v>
      </c>
      <c r="EM23" s="62">
        <f>SMALL($J86:$BQ86,3)</f>
        <v>61</v>
      </c>
      <c r="EN23" s="62">
        <f>SMALL($J86:$BQ86,4)</f>
        <v>61</v>
      </c>
      <c r="EO23" s="62">
        <f>SMALL($J86:$BQ86,5)</f>
        <v>61</v>
      </c>
      <c r="EP23" s="62">
        <f>SMALL($J86:$BQ86,6)</f>
        <v>61</v>
      </c>
      <c r="EQ23" s="62">
        <f>SMALL($J86:$BQ86,7)</f>
        <v>61</v>
      </c>
      <c r="ER23" s="62">
        <f>SMALL($J86:$BQ86,8)</f>
        <v>61</v>
      </c>
      <c r="ES23" s="62">
        <f>SMALL($J86:$BQ86,9)</f>
        <v>61</v>
      </c>
      <c r="ET23" s="62">
        <f>SMALL($J86:$BQ86,10)</f>
        <v>61</v>
      </c>
      <c r="EU23" s="62">
        <f>SMALL($J86:$BQ86,11)</f>
        <v>61</v>
      </c>
      <c r="EV23" s="62">
        <f>SMALL($J86:$BQ86,12)</f>
        <v>61</v>
      </c>
      <c r="EW23" s="62">
        <f>SMALL($J86:$BQ86,13)</f>
        <v>61</v>
      </c>
      <c r="EX23" s="62">
        <f>SMALL($J86:$BQ86,14)</f>
        <v>61</v>
      </c>
      <c r="EY23" s="62">
        <f>SMALL($J86:$BQ86,15)</f>
        <v>61</v>
      </c>
      <c r="EZ23" s="62">
        <f>SMALL($J86:$BQ86,16)</f>
        <v>61</v>
      </c>
      <c r="FA23" s="62">
        <f>SMALL($J86:$BQ86,17)</f>
        <v>61</v>
      </c>
      <c r="FB23" s="62">
        <f>SMALL($J86:$BQ86,18)</f>
        <v>61</v>
      </c>
      <c r="FC23" s="62">
        <f>SMALL($J86:$BQ86,19)</f>
        <v>61</v>
      </c>
      <c r="FD23" s="62">
        <f>SMALL($J86:$BQ86,20)</f>
        <v>61</v>
      </c>
      <c r="FE23" s="62">
        <f>SMALL($J86:$BQ86,21)</f>
        <v>61</v>
      </c>
      <c r="FF23" s="62">
        <f>SMALL($J86:$BQ86,22)</f>
        <v>61</v>
      </c>
      <c r="FG23" s="62">
        <f>SMALL($J86:$BQ86,23)</f>
        <v>61</v>
      </c>
      <c r="FH23" s="62">
        <f>SMALL($J86:$BQ86,24)</f>
        <v>61</v>
      </c>
      <c r="FI23" s="62">
        <f>SMALL($J86:$BQ86,25)</f>
        <v>61</v>
      </c>
      <c r="FJ23" s="62">
        <f>SMALL($J86:$BQ86,26)</f>
        <v>61</v>
      </c>
      <c r="FK23" s="62">
        <f>SMALL($J86:$BQ86,27)</f>
        <v>61</v>
      </c>
      <c r="FL23" s="62">
        <f>SMALL($J86:$BQ86,28)</f>
        <v>61</v>
      </c>
      <c r="FM23" s="62">
        <f>SMALL($J86:$BQ86,29)</f>
        <v>61</v>
      </c>
      <c r="FN23" s="62">
        <f>SMALL($J86:$BQ86,30)</f>
        <v>61</v>
      </c>
      <c r="FO23" s="62">
        <f>SMALL($J86:$BQ86,31)</f>
        <v>61</v>
      </c>
      <c r="FP23" s="62">
        <f>SMALL($J86:$BQ86,32)</f>
        <v>61</v>
      </c>
      <c r="FQ23" s="62">
        <f>SMALL($J86:$BQ86,33)</f>
        <v>61</v>
      </c>
      <c r="FR23" s="62">
        <f>SMALL($J86:$BQ86,34)</f>
        <v>61</v>
      </c>
      <c r="FS23" s="62">
        <f>SMALL($J86:$BQ86,35)</f>
        <v>61</v>
      </c>
      <c r="FT23" s="62">
        <f>SMALL($J86:$BQ86,36)</f>
        <v>61</v>
      </c>
      <c r="FU23" s="62">
        <f>SMALL($J86:$BQ86,37)</f>
        <v>61</v>
      </c>
      <c r="FV23" s="62">
        <f>SMALL($J86:$BQ86,38)</f>
        <v>61</v>
      </c>
      <c r="FW23" s="62">
        <f>SMALL($J86:$BQ86,39)</f>
        <v>61</v>
      </c>
      <c r="FX23" s="62">
        <f>SMALL($J86:$BQ86,40)</f>
        <v>61</v>
      </c>
      <c r="FY23" s="62">
        <f>SMALL($J86:$BQ86,41)</f>
        <v>61</v>
      </c>
      <c r="FZ23" s="62">
        <f>SMALL($J86:$BQ86,42)</f>
        <v>61</v>
      </c>
      <c r="GA23" s="62">
        <f>SMALL($J86:$BQ86,43)</f>
        <v>61</v>
      </c>
      <c r="GB23" s="62">
        <f>SMALL($J86:$BQ86,44)</f>
        <v>61</v>
      </c>
      <c r="GC23" s="62">
        <f>SMALL($J86:$BQ86,45)</f>
        <v>61</v>
      </c>
      <c r="GD23" s="62">
        <f>SMALL($J86:$BQ86,46)</f>
        <v>61</v>
      </c>
      <c r="GE23" s="62">
        <f>SMALL($J86:$BQ86,47)</f>
        <v>61</v>
      </c>
      <c r="GF23" s="62">
        <f>SMALL($J86:$BQ86,48)</f>
        <v>61</v>
      </c>
      <c r="GG23" s="62">
        <f>SMALL($J86:$BQ86,49)</f>
        <v>61</v>
      </c>
      <c r="GH23" s="62">
        <f>SMALL($J86:$BQ86,50)</f>
        <v>61</v>
      </c>
      <c r="GI23" s="62">
        <f>SMALL($J86:$BQ86,51)</f>
        <v>61</v>
      </c>
      <c r="GJ23" s="62">
        <f>SMALL($J86:$BQ86,52)</f>
        <v>61</v>
      </c>
      <c r="GK23" s="62">
        <f>SMALL($J86:$BQ86,53)</f>
        <v>61</v>
      </c>
      <c r="GL23" s="62">
        <f>SMALL($J86:$BQ86,54)</f>
        <v>61</v>
      </c>
      <c r="GM23" s="62">
        <f>SMALL($J86:$BQ86,55)</f>
        <v>61</v>
      </c>
      <c r="GN23" s="62">
        <f>SMALL($J86:$BQ86,56)</f>
        <v>61</v>
      </c>
      <c r="GO23" s="62">
        <f>SMALL($J86:$BQ86,57)</f>
        <v>61</v>
      </c>
      <c r="GP23" s="62">
        <f>SMALL($J86:$BQ86,58)</f>
        <v>61</v>
      </c>
      <c r="GQ23" s="62">
        <f>SMALL($J86:$BQ86,59)</f>
        <v>61</v>
      </c>
      <c r="GR23" s="62">
        <f>SMALL($J86:$BQ86,60)</f>
        <v>61</v>
      </c>
      <c r="GT23" s="62">
        <f>IF(Deltagarlista!$K$3=2,
IF(GW23="1",
      IF(Arrangörslista!$U$5=1,J86,
IF(Arrangörslista!$U$5=2,K86,
IF(Arrangörslista!$U$5=3,L86,
IF(Arrangörslista!$U$5=4,M86,
IF(Arrangörslista!$U$5=5,N86,
IF(Arrangörslista!$U$5=6,O86,
IF(Arrangörslista!$U$5=7,P86,
IF(Arrangörslista!$U$5=8,Q86,
IF(Arrangörslista!$U$5=9,R86,
IF(Arrangörslista!$U$5=10,S86,
IF(Arrangörslista!$U$5=11,T86,
IF(Arrangörslista!$U$5=12,U86,
IF(Arrangörslista!$U$5=13,V86,
IF(Arrangörslista!$U$5=14,W86,
IF(Arrangörslista!$U$5=15,X86,
IF(Arrangörslista!$U$5=16,Y86,IF(Arrangörslista!$U$5=17,Z86,IF(Arrangörslista!$U$5=18,AA86,IF(Arrangörslista!$U$5=19,AB86,IF(Arrangörslista!$U$5=20,AC86,IF(Arrangörslista!$U$5=21,AD86,IF(Arrangörslista!$U$5=22,AE86,IF(Arrangörslista!$U$5=23,AF86, IF(Arrangörslista!$U$5=24,AG86, IF(Arrangörslista!$U$5=25,AH86, IF(Arrangörslista!$U$5=26,AI86, IF(Arrangörslista!$U$5=27,AJ86, IF(Arrangörslista!$U$5=28,AK86, IF(Arrangörslista!$U$5=29,AL86, IF(Arrangörslista!$U$5=30,AM86, IF(Arrangörslista!$U$5=31,AN86, IF(Arrangörslista!$U$5=32,AO86, IF(Arrangörslista!$U$5=33,AP86, IF(Arrangörslista!$U$5=34,AQ86, IF(Arrangörslista!$U$5=35,AR86, IF(Arrangörslista!$U$5=36,AS86, IF(Arrangörslista!$U$5=37,AT86, IF(Arrangörslista!$U$5=38,AU86, IF(Arrangörslista!$U$5=39,AV86, IF(Arrangörslista!$U$5=40,AW86, IF(Arrangörslista!$U$5=41,AX86, IF(Arrangörslista!$U$5=42,AY86, IF(Arrangörslista!$U$5=43,AZ86, IF(Arrangörslista!$U$5=44,BA86, IF(Arrangörslista!$U$5=45,BB86, IF(Arrangörslista!$U$5=46,BC86, IF(Arrangörslista!$U$5=47,BD86, IF(Arrangörslista!$U$5=48,BE86, IF(Arrangörslista!$U$5=49,BF86, IF(Arrangörslista!$U$5=50,BG86, IF(Arrangörslista!$U$5=51,BH86, IF(Arrangörslista!$U$5=52,BI86, IF(Arrangörslista!$U$5=53,BJ86, IF(Arrangörslista!$U$5=54,BK86, IF(Arrangörslista!$U$5=55,BL86, IF(Arrangörslista!$U$5=56,BM86, IF(Arrangörslista!$U$5=57,BN86, IF(Arrangörslista!$U$5=58,BO86, IF(Arrangörslista!$U$5=59,BP86, IF(Arrangörslista!$U$5=60,BQ86,0))))))))))))))))))))))))))))))))))))))))))))))))))))))))))))),IF(Deltagarlista!$K$3=4, IF(Arrangörslista!$U$5=1,J86,
IF(Arrangörslista!$U$5=2,J86,
IF(Arrangörslista!$U$5=3,K86,
IF(Arrangörslista!$U$5=4,K86,
IF(Arrangörslista!$U$5=5,L86,
IF(Arrangörslista!$U$5=6,L86,
IF(Arrangörslista!$U$5=7,M86,
IF(Arrangörslista!$U$5=8,M86,
IF(Arrangörslista!$U$5=9,N86,
IF(Arrangörslista!$U$5=10,N86,
IF(Arrangörslista!$U$5=11,O86,
IF(Arrangörslista!$U$5=12,O86,
IF(Arrangörslista!$U$5=13,P86,
IF(Arrangörslista!$U$5=14,P86,
IF(Arrangörslista!$U$5=15,Q86,
IF(Arrangörslista!$U$5=16,Q86,
IF(Arrangörslista!$U$5=17,R86,
IF(Arrangörslista!$U$5=18,R86,
IF(Arrangörslista!$U$5=19,S86,
IF(Arrangörslista!$U$5=20,S86,
IF(Arrangörslista!$U$5=21,T86,
IF(Arrangörslista!$U$5=22,T86,IF(Arrangörslista!$U$5=23,U86, IF(Arrangörslista!$U$5=24,U86, IF(Arrangörslista!$U$5=25,V86, IF(Arrangörslista!$U$5=26,V86, IF(Arrangörslista!$U$5=27,W86, IF(Arrangörslista!$U$5=28,W86, IF(Arrangörslista!$U$5=29,X86, IF(Arrangörslista!$U$5=30,X86, IF(Arrangörslista!$U$5=31,X86, IF(Arrangörslista!$U$5=32,Y86, IF(Arrangörslista!$U$5=33,AO86, IF(Arrangörslista!$U$5=34,Y86, IF(Arrangörslista!$U$5=35,Z86, IF(Arrangörslista!$U$5=36,AR86, IF(Arrangörslista!$U$5=37,Z86, IF(Arrangörslista!$U$5=38,AA86, IF(Arrangörslista!$U$5=39,AU86, IF(Arrangörslista!$U$5=40,AA86, IF(Arrangörslista!$U$5=41,AB86, IF(Arrangörslista!$U$5=42,AX86, IF(Arrangörslista!$U$5=43,AB86, IF(Arrangörslista!$U$5=44,AC86, IF(Arrangörslista!$U$5=45,BA86, IF(Arrangörslista!$U$5=46,AC86, IF(Arrangörslista!$U$5=47,AD86, IF(Arrangörslista!$U$5=48,BD86, IF(Arrangörslista!$U$5=49,AD86, IF(Arrangörslista!$U$5=50,AE86, IF(Arrangörslista!$U$5=51,BG86, IF(Arrangörslista!$U$5=52,AE86, IF(Arrangörslista!$U$5=53,AF86, IF(Arrangörslista!$U$5=54,BJ86, IF(Arrangörslista!$U$5=55,AF86, IF(Arrangörslista!$U$5=56,AG86, IF(Arrangörslista!$U$5=57,BM86, IF(Arrangörslista!$U$5=58,AG86, IF(Arrangörslista!$U$5=59,AH86, IF(Arrangörslista!$U$5=60,AH86,0)))))))))))))))))))))))))))))))))))))))))))))))))))))))))))),IF(Arrangörslista!$U$5=1,J86,
IF(Arrangörslista!$U$5=2,K86,
IF(Arrangörslista!$U$5=3,L86,
IF(Arrangörslista!$U$5=4,M86,
IF(Arrangörslista!$U$5=5,N86,
IF(Arrangörslista!$U$5=6,O86,
IF(Arrangörslista!$U$5=7,P86,
IF(Arrangörslista!$U$5=8,Q86,
IF(Arrangörslista!$U$5=9,R86,
IF(Arrangörslista!$U$5=10,S86,
IF(Arrangörslista!$U$5=11,T86,
IF(Arrangörslista!$U$5=12,U86,
IF(Arrangörslista!$U$5=13,V86,
IF(Arrangörslista!$U$5=14,W86,
IF(Arrangörslista!$U$5=15,X86,
IF(Arrangörslista!$U$5=16,Y86,IF(Arrangörslista!$U$5=17,Z86,IF(Arrangörslista!$U$5=18,AA86,IF(Arrangörslista!$U$5=19,AB86,IF(Arrangörslista!$U$5=20,AC86,IF(Arrangörslista!$U$5=21,AD86,IF(Arrangörslista!$U$5=22,AE86,IF(Arrangörslista!$U$5=23,AF86, IF(Arrangörslista!$U$5=24,AG86, IF(Arrangörslista!$U$5=25,AH86, IF(Arrangörslista!$U$5=26,AI86, IF(Arrangörslista!$U$5=27,AJ86, IF(Arrangörslista!$U$5=28,AK86, IF(Arrangörslista!$U$5=29,AL86, IF(Arrangörslista!$U$5=30,AM86, IF(Arrangörslista!$U$5=31,AN86, IF(Arrangörslista!$U$5=32,AO86, IF(Arrangörslista!$U$5=33,AP86, IF(Arrangörslista!$U$5=34,AQ86, IF(Arrangörslista!$U$5=35,AR86, IF(Arrangörslista!$U$5=36,AS86, IF(Arrangörslista!$U$5=37,AT86, IF(Arrangörslista!$U$5=38,AU86, IF(Arrangörslista!$U$5=39,AV86, IF(Arrangörslista!$U$5=40,AW86, IF(Arrangörslista!$U$5=41,AX86, IF(Arrangörslista!$U$5=42,AY86, IF(Arrangörslista!$U$5=43,AZ86, IF(Arrangörslista!$U$5=44,BA86, IF(Arrangörslista!$U$5=45,BB86, IF(Arrangörslista!$U$5=46,BC86, IF(Arrangörslista!$U$5=47,BD86, IF(Arrangörslista!$U$5=48,BE86, IF(Arrangörslista!$U$5=49,BF86, IF(Arrangörslista!$U$5=50,BG86, IF(Arrangörslista!$U$5=51,BH86, IF(Arrangörslista!$U$5=52,BI86, IF(Arrangörslista!$U$5=53,BJ86, IF(Arrangörslista!$U$5=54,BK86, IF(Arrangörslista!$U$5=55,BL86, IF(Arrangörslista!$U$5=56,BM86, IF(Arrangörslista!$U$5=57,BN86, IF(Arrangörslista!$U$5=58,BO86, IF(Arrangörslista!$U$5=59,BP86, IF(Arrangörslista!$U$5=60,BQ86,0))))))))))))))))))))))))))))))))))))))))))))))))))))))))))))
))</f>
        <v>0</v>
      </c>
      <c r="GV23" s="65" t="str">
        <f>IFERROR(IF(VLOOKUP(F23,Deltagarlista!$E$5:$I$64,5,FALSE)="Grön","Gr",IF(VLOOKUP(F23,Deltagarlista!$E$5:$I$64,5,FALSE)="Röd","R",IF(VLOOKUP(F23,Deltagarlista!$E$5:$I$64,5,FALSE)="Blå","B","Gu"))),"")</f>
        <v/>
      </c>
      <c r="GW23" s="62" t="str">
        <f t="shared" si="1"/>
        <v/>
      </c>
    </row>
    <row r="24" spans="2:205" x14ac:dyDescent="0.3">
      <c r="B24" s="23" t="str">
        <f>IF($BW$3&gt;20,21,"")</f>
        <v/>
      </c>
      <c r="C24" s="92" t="str">
        <f>IF(ISBLANK(Deltagarlista!C18),"",Deltagarlista!C18)</f>
        <v/>
      </c>
      <c r="D24" s="109" t="str">
        <f>CONCATENATE(IF(AND(Deltagarlista!H18="GM",Deltagarlista!$S$14=TRUE),"GM   ",""),  IF(OR(Deltagarlista!$K$3=4,Deltagarlista!$K$3=2),Deltagarlista!I18,""))</f>
        <v/>
      </c>
      <c r="E24" s="8" t="str">
        <f>IF(ISBLANK(Deltagarlista!D18),"",Deltagarlista!D18)</f>
        <v/>
      </c>
      <c r="F24" s="8" t="str">
        <f>IF(ISBLANK(Deltagarlista!E18),"",Deltagarlista!E18)</f>
        <v/>
      </c>
      <c r="G24" s="95" t="str">
        <f>IF(ISBLANK(Deltagarlista!F18),"",Deltagarlista!F18)</f>
        <v/>
      </c>
      <c r="H24" s="72" t="str">
        <f>IF(ISBLANK(Deltagarlista!C18),"",BU24-EE24)</f>
        <v/>
      </c>
      <c r="I24" s="13" t="str">
        <f>IF(ISBLANK(Deltagarlista!C18),"",IF(AND(Deltagarlista!$K$3=2,Deltagarlista!$L$3&lt;37),SUM(SUM(BV24:EC24)-(ROUNDDOWN(Arrangörslista!$U$5/3,1))*($BW$3+1)),SUM(BV24:EC24)))</f>
        <v/>
      </c>
      <c r="J24" s="79" t="str">
        <f>IF(Deltagarlista!$K$3=4,IF(ISBLANK(Deltagarlista!$C18),"",IF(ISBLANK(Arrangörslista!C$8),"",IFERROR(VLOOKUP($F24,Arrangörslista!C$8:$AG$45,16,FALSE),IF(ISBLANK(Deltagarlista!$C18),"",IF(ISBLANK(Arrangörslista!C$8),"",IFERROR(VLOOKUP($F24,Arrangörslista!D$8:$AG$45,16,FALSE),"DNS")))))),IF(Deltagarlista!$K$3=2,
IF(ISBLANK(Deltagarlista!$C18),"",IF(ISBLANK(Arrangörslista!C$8),"",IF($GV24=J$64," DNS ",IFERROR(VLOOKUP($F24,Arrangörslista!C$8:$AG$45,16,FALSE),"DNS")))),IF(ISBLANK(Deltagarlista!$C18),"",IF(ISBLANK(Arrangörslista!C$8),"",IFERROR(VLOOKUP($F24,Arrangörslista!C$8:$AG$45,16,FALSE),"DNS")))))</f>
        <v/>
      </c>
      <c r="K24" s="5" t="str">
        <f>IF(Deltagarlista!$K$3=4,IF(ISBLANK(Deltagarlista!$C18),"",IF(ISBLANK(Arrangörslista!E$8),"",IFERROR(VLOOKUP($F24,Arrangörslista!E$8:$AG$45,16,FALSE),IF(ISBLANK(Deltagarlista!$C18),"",IF(ISBLANK(Arrangörslista!E$8),"",IFERROR(VLOOKUP($F24,Arrangörslista!F$8:$AG$45,16,FALSE),"DNS")))))),IF(Deltagarlista!$K$3=2,
IF(ISBLANK(Deltagarlista!$C18),"",IF(ISBLANK(Arrangörslista!D$8),"",IF($GV24=K$64," DNS ",IFERROR(VLOOKUP($F24,Arrangörslista!D$8:$AG$45,16,FALSE),"DNS")))),IF(ISBLANK(Deltagarlista!$C18),"",IF(ISBLANK(Arrangörslista!D$8),"",IFERROR(VLOOKUP($F24,Arrangörslista!D$8:$AG$45,16,FALSE),"DNS")))))</f>
        <v/>
      </c>
      <c r="L24" s="5" t="str">
        <f>IF(Deltagarlista!$K$3=4,IF(ISBLANK(Deltagarlista!$C18),"",IF(ISBLANK(Arrangörslista!G$8),"",IFERROR(VLOOKUP($F24,Arrangörslista!G$8:$AG$45,16,FALSE),IF(ISBLANK(Deltagarlista!$C18),"",IF(ISBLANK(Arrangörslista!G$8),"",IFERROR(VLOOKUP($F24,Arrangörslista!H$8:$AG$45,16,FALSE),"DNS")))))),IF(Deltagarlista!$K$3=2,
IF(ISBLANK(Deltagarlista!$C18),"",IF(ISBLANK(Arrangörslista!E$8),"",IF($GV24=L$64," DNS ",IFERROR(VLOOKUP($F24,Arrangörslista!E$8:$AG$45,16,FALSE),"DNS")))),IF(ISBLANK(Deltagarlista!$C18),"",IF(ISBLANK(Arrangörslista!E$8),"",IFERROR(VLOOKUP($F24,Arrangörslista!E$8:$AG$45,16,FALSE),"DNS")))))</f>
        <v/>
      </c>
      <c r="M24" s="5" t="str">
        <f>IF(Deltagarlista!$K$3=4,IF(ISBLANK(Deltagarlista!$C18),"",IF(ISBLANK(Arrangörslista!I$8),"",IFERROR(VLOOKUP($F24,Arrangörslista!I$8:$AG$45,16,FALSE),IF(ISBLANK(Deltagarlista!$C18),"",IF(ISBLANK(Arrangörslista!I$8),"",IFERROR(VLOOKUP($F24,Arrangörslista!J$8:$AG$45,16,FALSE),"DNS")))))),IF(Deltagarlista!$K$3=2,
IF(ISBLANK(Deltagarlista!$C18),"",IF(ISBLANK(Arrangörslista!F$8),"",IF($GV24=M$64," DNS ",IFERROR(VLOOKUP($F24,Arrangörslista!F$8:$AG$45,16,FALSE),"DNS")))),IF(ISBLANK(Deltagarlista!$C18),"",IF(ISBLANK(Arrangörslista!F$8),"",IFERROR(VLOOKUP($F24,Arrangörslista!F$8:$AG$45,16,FALSE),"DNS")))))</f>
        <v/>
      </c>
      <c r="N24" s="5" t="str">
        <f>IF(Deltagarlista!$K$3=4,IF(ISBLANK(Deltagarlista!$C18),"",IF(ISBLANK(Arrangörslista!K$8),"",IFERROR(VLOOKUP($F24,Arrangörslista!K$8:$AG$45,16,FALSE),IF(ISBLANK(Deltagarlista!$C18),"",IF(ISBLANK(Arrangörslista!K$8),"",IFERROR(VLOOKUP($F24,Arrangörslista!L$8:$AG$45,16,FALSE),"DNS")))))),IF(Deltagarlista!$K$3=2,
IF(ISBLANK(Deltagarlista!$C18),"",IF(ISBLANK(Arrangörslista!G$8),"",IF($GV24=N$64," DNS ",IFERROR(VLOOKUP($F24,Arrangörslista!G$8:$AG$45,16,FALSE),"DNS")))),IF(ISBLANK(Deltagarlista!$C18),"",IF(ISBLANK(Arrangörslista!G$8),"",IFERROR(VLOOKUP($F24,Arrangörslista!G$8:$AG$45,16,FALSE),"DNS")))))</f>
        <v/>
      </c>
      <c r="O24" s="5" t="str">
        <f>IF(Deltagarlista!$K$3=4,IF(ISBLANK(Deltagarlista!$C18),"",IF(ISBLANK(Arrangörslista!M$8),"",IFERROR(VLOOKUP($F24,Arrangörslista!M$8:$AG$45,16,FALSE),IF(ISBLANK(Deltagarlista!$C18),"",IF(ISBLANK(Arrangörslista!M$8),"",IFERROR(VLOOKUP($F24,Arrangörslista!N$8:$AG$45,16,FALSE),"DNS")))))),IF(Deltagarlista!$K$3=2,
IF(ISBLANK(Deltagarlista!$C18),"",IF(ISBLANK(Arrangörslista!H$8),"",IF($GV24=O$64," DNS ",IFERROR(VLOOKUP($F24,Arrangörslista!H$8:$AG$45,16,FALSE),"DNS")))),IF(ISBLANK(Deltagarlista!$C18),"",IF(ISBLANK(Arrangörslista!H$8),"",IFERROR(VLOOKUP($F24,Arrangörslista!H$8:$AG$45,16,FALSE),"DNS")))))</f>
        <v/>
      </c>
      <c r="P24" s="5" t="str">
        <f>IF(Deltagarlista!$K$3=4,IF(ISBLANK(Deltagarlista!$C18),"",IF(ISBLANK(Arrangörslista!O$8),"",IFERROR(VLOOKUP($F24,Arrangörslista!O$8:$AG$45,16,FALSE),IF(ISBLANK(Deltagarlista!$C18),"",IF(ISBLANK(Arrangörslista!O$8),"",IFERROR(VLOOKUP($F24,Arrangörslista!P$8:$AG$45,16,FALSE),"DNS")))))),IF(Deltagarlista!$K$3=2,
IF(ISBLANK(Deltagarlista!$C18),"",IF(ISBLANK(Arrangörslista!I$8),"",IF($GV24=P$64," DNS ",IFERROR(VLOOKUP($F24,Arrangörslista!I$8:$AG$45,16,FALSE),"DNS")))),IF(ISBLANK(Deltagarlista!$C18),"",IF(ISBLANK(Arrangörslista!I$8),"",IFERROR(VLOOKUP($F24,Arrangörslista!I$8:$AG$45,16,FALSE),"DNS")))))</f>
        <v/>
      </c>
      <c r="Q24" s="5" t="str">
        <f>IF(Deltagarlista!$K$3=4,IF(ISBLANK(Deltagarlista!$C18),"",IF(ISBLANK(Arrangörslista!Q$8),"",IFERROR(VLOOKUP($F24,Arrangörslista!Q$8:$AG$45,16,FALSE),IF(ISBLANK(Deltagarlista!$C18),"",IF(ISBLANK(Arrangörslista!Q$8),"",IFERROR(VLOOKUP($F24,Arrangörslista!C$53:$AG$90,16,FALSE),"DNS")))))),IF(Deltagarlista!$K$3=2,
IF(ISBLANK(Deltagarlista!$C18),"",IF(ISBLANK(Arrangörslista!J$8),"",IF($GV24=Q$64," DNS ",IFERROR(VLOOKUP($F24,Arrangörslista!J$8:$AG$45,16,FALSE),"DNS")))),IF(ISBLANK(Deltagarlista!$C18),"",IF(ISBLANK(Arrangörslista!J$8),"",IFERROR(VLOOKUP($F24,Arrangörslista!J$8:$AG$45,16,FALSE),"DNS")))))</f>
        <v/>
      </c>
      <c r="R24" s="5" t="str">
        <f>IF(Deltagarlista!$K$3=4,IF(ISBLANK(Deltagarlista!$C18),"",IF(ISBLANK(Arrangörslista!D$53),"",IFERROR(VLOOKUP($F24,Arrangörslista!D$53:$AG$90,16,FALSE),IF(ISBLANK(Deltagarlista!$C18),"",IF(ISBLANK(Arrangörslista!D$53),"",IFERROR(VLOOKUP($F24,Arrangörslista!E$53:$AG$90,16,FALSE),"DNS")))))),IF(Deltagarlista!$K$3=2,
IF(ISBLANK(Deltagarlista!$C18),"",IF(ISBLANK(Arrangörslista!K$8),"",IF($GV24=R$64," DNS ",IFERROR(VLOOKUP($F24,Arrangörslista!K$8:$AG$45,16,FALSE),"DNS")))),IF(ISBLANK(Deltagarlista!$C18),"",IF(ISBLANK(Arrangörslista!K$8),"",IFERROR(VLOOKUP($F24,Arrangörslista!K$8:$AG$45,16,FALSE),"DNS")))))</f>
        <v/>
      </c>
      <c r="S24" s="5" t="str">
        <f>IF(Deltagarlista!$K$3=4,IF(ISBLANK(Deltagarlista!$C18),"",IF(ISBLANK(Arrangörslista!F$53),"",IFERROR(VLOOKUP($F24,Arrangörslista!F$53:$AG$90,16,FALSE),IF(ISBLANK(Deltagarlista!$C18),"",IF(ISBLANK(Arrangörslista!F$53),"",IFERROR(VLOOKUP($F24,Arrangörslista!G$53:$AG$90,16,FALSE),"DNS")))))),IF(Deltagarlista!$K$3=2,
IF(ISBLANK(Deltagarlista!$C18),"",IF(ISBLANK(Arrangörslista!L$8),"",IF($GV24=S$64," DNS ",IFERROR(VLOOKUP($F24,Arrangörslista!L$8:$AG$45,16,FALSE),"DNS")))),IF(ISBLANK(Deltagarlista!$C18),"",IF(ISBLANK(Arrangörslista!L$8),"",IFERROR(VLOOKUP($F24,Arrangörslista!L$8:$AG$45,16,FALSE),"DNS")))))</f>
        <v/>
      </c>
      <c r="T24" s="5" t="str">
        <f>IF(Deltagarlista!$K$3=4,IF(ISBLANK(Deltagarlista!$C18),"",IF(ISBLANK(Arrangörslista!H$53),"",IFERROR(VLOOKUP($F24,Arrangörslista!H$53:$AG$90,16,FALSE),IF(ISBLANK(Deltagarlista!$C18),"",IF(ISBLANK(Arrangörslista!H$53),"",IFERROR(VLOOKUP($F24,Arrangörslista!I$53:$AG$90,16,FALSE),"DNS")))))),IF(Deltagarlista!$K$3=2,
IF(ISBLANK(Deltagarlista!$C18),"",IF(ISBLANK(Arrangörslista!M$8),"",IF($GV24=T$64," DNS ",IFERROR(VLOOKUP($F24,Arrangörslista!M$8:$AG$45,16,FALSE),"DNS")))),IF(ISBLANK(Deltagarlista!$C18),"",IF(ISBLANK(Arrangörslista!M$8),"",IFERROR(VLOOKUP($F24,Arrangörslista!M$8:$AG$45,16,FALSE),"DNS")))))</f>
        <v/>
      </c>
      <c r="U24" s="5" t="str">
        <f>IF(Deltagarlista!$K$3=4,IF(ISBLANK(Deltagarlista!$C18),"",IF(ISBLANK(Arrangörslista!J$53),"",IFERROR(VLOOKUP($F24,Arrangörslista!J$53:$AG$90,16,FALSE),IF(ISBLANK(Deltagarlista!$C18),"",IF(ISBLANK(Arrangörslista!J$53),"",IFERROR(VLOOKUP($F24,Arrangörslista!K$53:$AG$90,16,FALSE),"DNS")))))),IF(Deltagarlista!$K$3=2,
IF(ISBLANK(Deltagarlista!$C18),"",IF(ISBLANK(Arrangörslista!N$8),"",IF($GV24=U$64," DNS ",IFERROR(VLOOKUP($F24,Arrangörslista!N$8:$AG$45,16,FALSE),"DNS")))),IF(ISBLANK(Deltagarlista!$C18),"",IF(ISBLANK(Arrangörslista!N$8),"",IFERROR(VLOOKUP($F24,Arrangörslista!N$8:$AG$45,16,FALSE),"DNS")))))</f>
        <v/>
      </c>
      <c r="V24" s="5" t="str">
        <f>IF(Deltagarlista!$K$3=4,IF(ISBLANK(Deltagarlista!$C18),"",IF(ISBLANK(Arrangörslista!L$53),"",IFERROR(VLOOKUP($F24,Arrangörslista!L$53:$AG$90,16,FALSE),IF(ISBLANK(Deltagarlista!$C18),"",IF(ISBLANK(Arrangörslista!L$53),"",IFERROR(VLOOKUP($F24,Arrangörslista!M$53:$AG$90,16,FALSE),"DNS")))))),IF(Deltagarlista!$K$3=2,
IF(ISBLANK(Deltagarlista!$C18),"",IF(ISBLANK(Arrangörslista!O$8),"",IF($GV24=V$64," DNS ",IFERROR(VLOOKUP($F24,Arrangörslista!O$8:$AG$45,16,FALSE),"DNS")))),IF(ISBLANK(Deltagarlista!$C18),"",IF(ISBLANK(Arrangörslista!O$8),"",IFERROR(VLOOKUP($F24,Arrangörslista!O$8:$AG$45,16,FALSE),"DNS")))))</f>
        <v/>
      </c>
      <c r="W24" s="5" t="str">
        <f>IF(Deltagarlista!$K$3=4,IF(ISBLANK(Deltagarlista!$C18),"",IF(ISBLANK(Arrangörslista!N$53),"",IFERROR(VLOOKUP($F24,Arrangörslista!N$53:$AG$90,16,FALSE),IF(ISBLANK(Deltagarlista!$C18),"",IF(ISBLANK(Arrangörslista!N$53),"",IFERROR(VLOOKUP($F24,Arrangörslista!O$53:$AG$90,16,FALSE),"DNS")))))),IF(Deltagarlista!$K$3=2,
IF(ISBLANK(Deltagarlista!$C18),"",IF(ISBLANK(Arrangörslista!P$8),"",IF($GV24=W$64," DNS ",IFERROR(VLOOKUP($F24,Arrangörslista!P$8:$AG$45,16,FALSE),"DNS")))),IF(ISBLANK(Deltagarlista!$C18),"",IF(ISBLANK(Arrangörslista!P$8),"",IFERROR(VLOOKUP($F24,Arrangörslista!P$8:$AG$45,16,FALSE),"DNS")))))</f>
        <v/>
      </c>
      <c r="X24" s="5" t="str">
        <f>IF(Deltagarlista!$K$3=4,IF(ISBLANK(Deltagarlista!$C18),"",IF(ISBLANK(Arrangörslista!P$53),"",IFERROR(VLOOKUP($F24,Arrangörslista!P$53:$AG$90,16,FALSE),IF(ISBLANK(Deltagarlista!$C18),"",IF(ISBLANK(Arrangörslista!P$53),"",IFERROR(VLOOKUP($F24,Arrangörslista!Q$53:$AG$90,16,FALSE),"DNS")))))),IF(Deltagarlista!$K$3=2,
IF(ISBLANK(Deltagarlista!$C18),"",IF(ISBLANK(Arrangörslista!Q$8),"",IF($GV24=X$64," DNS ",IFERROR(VLOOKUP($F24,Arrangörslista!Q$8:$AG$45,16,FALSE),"DNS")))),IF(ISBLANK(Deltagarlista!$C18),"",IF(ISBLANK(Arrangörslista!Q$8),"",IFERROR(VLOOKUP($F24,Arrangörslista!Q$8:$AG$45,16,FALSE),"DNS")))))</f>
        <v/>
      </c>
      <c r="Y24" s="5" t="str">
        <f>IF(Deltagarlista!$K$3=4,IF(ISBLANK(Deltagarlista!$C18),"",IF(ISBLANK(Arrangörslista!C$98),"",IFERROR(VLOOKUP($F24,Arrangörslista!C$98:$AG$135,16,FALSE),IF(ISBLANK(Deltagarlista!$C18),"",IF(ISBLANK(Arrangörslista!C$98),"",IFERROR(VLOOKUP($F24,Arrangörslista!D$98:$AG$135,16,FALSE),"DNS")))))),IF(Deltagarlista!$K$3=2,
IF(ISBLANK(Deltagarlista!$C18),"",IF(ISBLANK(Arrangörslista!C$53),"",IF($GV24=Y$64," DNS ",IFERROR(VLOOKUP($F24,Arrangörslista!C$53:$AG$90,16,FALSE),"DNS")))),IF(ISBLANK(Deltagarlista!$C18),"",IF(ISBLANK(Arrangörslista!C$53),"",IFERROR(VLOOKUP($F24,Arrangörslista!C$53:$AG$90,16,FALSE),"DNS")))))</f>
        <v/>
      </c>
      <c r="Z24" s="5" t="str">
        <f>IF(Deltagarlista!$K$3=4,IF(ISBLANK(Deltagarlista!$C18),"",IF(ISBLANK(Arrangörslista!E$98),"",IFERROR(VLOOKUP($F24,Arrangörslista!E$98:$AG$135,16,FALSE),IF(ISBLANK(Deltagarlista!$C18),"",IF(ISBLANK(Arrangörslista!E$98),"",IFERROR(VLOOKUP($F24,Arrangörslista!F$98:$AG$135,16,FALSE),"DNS")))))),IF(Deltagarlista!$K$3=2,
IF(ISBLANK(Deltagarlista!$C18),"",IF(ISBLANK(Arrangörslista!D$53),"",IF($GV24=Z$64," DNS ",IFERROR(VLOOKUP($F24,Arrangörslista!D$53:$AG$90,16,FALSE),"DNS")))),IF(ISBLANK(Deltagarlista!$C18),"",IF(ISBLANK(Arrangörslista!D$53),"",IFERROR(VLOOKUP($F24,Arrangörslista!D$53:$AG$90,16,FALSE),"DNS")))))</f>
        <v/>
      </c>
      <c r="AA24" s="5" t="str">
        <f>IF(Deltagarlista!$K$3=4,IF(ISBLANK(Deltagarlista!$C18),"",IF(ISBLANK(Arrangörslista!G$98),"",IFERROR(VLOOKUP($F24,Arrangörslista!G$98:$AG$135,16,FALSE),IF(ISBLANK(Deltagarlista!$C18),"",IF(ISBLANK(Arrangörslista!G$98),"",IFERROR(VLOOKUP($F24,Arrangörslista!H$98:$AG$135,16,FALSE),"DNS")))))),IF(Deltagarlista!$K$3=2,
IF(ISBLANK(Deltagarlista!$C18),"",IF(ISBLANK(Arrangörslista!E$53),"",IF($GV24=AA$64," DNS ",IFERROR(VLOOKUP($F24,Arrangörslista!E$53:$AG$90,16,FALSE),"DNS")))),IF(ISBLANK(Deltagarlista!$C18),"",IF(ISBLANK(Arrangörslista!E$53),"",IFERROR(VLOOKUP($F24,Arrangörslista!E$53:$AG$90,16,FALSE),"DNS")))))</f>
        <v/>
      </c>
      <c r="AB24" s="5" t="str">
        <f>IF(Deltagarlista!$K$3=4,IF(ISBLANK(Deltagarlista!$C18),"",IF(ISBLANK(Arrangörslista!I$98),"",IFERROR(VLOOKUP($F24,Arrangörslista!I$98:$AG$135,16,FALSE),IF(ISBLANK(Deltagarlista!$C18),"",IF(ISBLANK(Arrangörslista!I$98),"",IFERROR(VLOOKUP($F24,Arrangörslista!J$98:$AG$135,16,FALSE),"DNS")))))),IF(Deltagarlista!$K$3=2,
IF(ISBLANK(Deltagarlista!$C18),"",IF(ISBLANK(Arrangörslista!F$53),"",IF($GV24=AB$64," DNS ",IFERROR(VLOOKUP($F24,Arrangörslista!F$53:$AG$90,16,FALSE),"DNS")))),IF(ISBLANK(Deltagarlista!$C18),"",IF(ISBLANK(Arrangörslista!F$53),"",IFERROR(VLOOKUP($F24,Arrangörslista!F$53:$AG$90,16,FALSE),"DNS")))))</f>
        <v/>
      </c>
      <c r="AC24" s="5" t="str">
        <f>IF(Deltagarlista!$K$3=4,IF(ISBLANK(Deltagarlista!$C18),"",IF(ISBLANK(Arrangörslista!K$98),"",IFERROR(VLOOKUP($F24,Arrangörslista!K$98:$AG$135,16,FALSE),IF(ISBLANK(Deltagarlista!$C18),"",IF(ISBLANK(Arrangörslista!K$98),"",IFERROR(VLOOKUP($F24,Arrangörslista!L$98:$AG$135,16,FALSE),"DNS")))))),IF(Deltagarlista!$K$3=2,
IF(ISBLANK(Deltagarlista!$C18),"",IF(ISBLANK(Arrangörslista!G$53),"",IF($GV24=AC$64," DNS ",IFERROR(VLOOKUP($F24,Arrangörslista!G$53:$AG$90,16,FALSE),"DNS")))),IF(ISBLANK(Deltagarlista!$C18),"",IF(ISBLANK(Arrangörslista!G$53),"",IFERROR(VLOOKUP($F24,Arrangörslista!G$53:$AG$90,16,FALSE),"DNS")))))</f>
        <v/>
      </c>
      <c r="AD24" s="5" t="str">
        <f>IF(Deltagarlista!$K$3=4,IF(ISBLANK(Deltagarlista!$C18),"",IF(ISBLANK(Arrangörslista!M$98),"",IFERROR(VLOOKUP($F24,Arrangörslista!M$98:$AG$135,16,FALSE),IF(ISBLANK(Deltagarlista!$C18),"",IF(ISBLANK(Arrangörslista!M$98),"",IFERROR(VLOOKUP($F24,Arrangörslista!N$98:$AG$135,16,FALSE),"DNS")))))),IF(Deltagarlista!$K$3=2,
IF(ISBLANK(Deltagarlista!$C18),"",IF(ISBLANK(Arrangörslista!H$53),"",IF($GV24=AD$64," DNS ",IFERROR(VLOOKUP($F24,Arrangörslista!H$53:$AG$90,16,FALSE),"DNS")))),IF(ISBLANK(Deltagarlista!$C18),"",IF(ISBLANK(Arrangörslista!H$53),"",IFERROR(VLOOKUP($F24,Arrangörslista!H$53:$AG$90,16,FALSE),"DNS")))))</f>
        <v/>
      </c>
      <c r="AE24" s="5" t="str">
        <f>IF(Deltagarlista!$K$3=4,IF(ISBLANK(Deltagarlista!$C18),"",IF(ISBLANK(Arrangörslista!O$98),"",IFERROR(VLOOKUP($F24,Arrangörslista!O$98:$AG$135,16,FALSE),IF(ISBLANK(Deltagarlista!$C18),"",IF(ISBLANK(Arrangörslista!O$98),"",IFERROR(VLOOKUP($F24,Arrangörslista!P$98:$AG$135,16,FALSE),"DNS")))))),IF(Deltagarlista!$K$3=2,
IF(ISBLANK(Deltagarlista!$C18),"",IF(ISBLANK(Arrangörslista!I$53),"",IF($GV24=AE$64," DNS ",IFERROR(VLOOKUP($F24,Arrangörslista!I$53:$AG$90,16,FALSE),"DNS")))),IF(ISBLANK(Deltagarlista!$C18),"",IF(ISBLANK(Arrangörslista!I$53),"",IFERROR(VLOOKUP($F24,Arrangörslista!I$53:$AG$90,16,FALSE),"DNS")))))</f>
        <v/>
      </c>
      <c r="AF24" s="5" t="str">
        <f>IF(Deltagarlista!$K$3=4,IF(ISBLANK(Deltagarlista!$C18),"",IF(ISBLANK(Arrangörslista!Q$98),"",IFERROR(VLOOKUP($F24,Arrangörslista!Q$98:$AG$135,16,FALSE),IF(ISBLANK(Deltagarlista!$C18),"",IF(ISBLANK(Arrangörslista!Q$98),"",IFERROR(VLOOKUP($F24,Arrangörslista!C$143:$AG$180,16,FALSE),"DNS")))))),IF(Deltagarlista!$K$3=2,
IF(ISBLANK(Deltagarlista!$C18),"",IF(ISBLANK(Arrangörslista!J$53),"",IF($GV24=AF$64," DNS ",IFERROR(VLOOKUP($F24,Arrangörslista!J$53:$AG$90,16,FALSE),"DNS")))),IF(ISBLANK(Deltagarlista!$C18),"",IF(ISBLANK(Arrangörslista!J$53),"",IFERROR(VLOOKUP($F24,Arrangörslista!J$53:$AG$90,16,FALSE),"DNS")))))</f>
        <v/>
      </c>
      <c r="AG24" s="5" t="str">
        <f>IF(Deltagarlista!$K$3=4,IF(ISBLANK(Deltagarlista!$C18),"",IF(ISBLANK(Arrangörslista!D$143),"",IFERROR(VLOOKUP($F24,Arrangörslista!D$143:$AG$180,16,FALSE),IF(ISBLANK(Deltagarlista!$C18),"",IF(ISBLANK(Arrangörslista!D$143),"",IFERROR(VLOOKUP($F24,Arrangörslista!E$143:$AG$180,16,FALSE),"DNS")))))),IF(Deltagarlista!$K$3=2,
IF(ISBLANK(Deltagarlista!$C18),"",IF(ISBLANK(Arrangörslista!K$53),"",IF($GV24=AG$64," DNS ",IFERROR(VLOOKUP($F24,Arrangörslista!K$53:$AG$90,16,FALSE),"DNS")))),IF(ISBLANK(Deltagarlista!$C18),"",IF(ISBLANK(Arrangörslista!K$53),"",IFERROR(VLOOKUP($F24,Arrangörslista!K$53:$AG$90,16,FALSE),"DNS")))))</f>
        <v/>
      </c>
      <c r="AH24" s="5" t="str">
        <f>IF(Deltagarlista!$K$3=4,IF(ISBLANK(Deltagarlista!$C18),"",IF(ISBLANK(Arrangörslista!F$143),"",IFERROR(VLOOKUP($F24,Arrangörslista!F$143:$AG$180,16,FALSE),IF(ISBLANK(Deltagarlista!$C18),"",IF(ISBLANK(Arrangörslista!F$143),"",IFERROR(VLOOKUP($F24,Arrangörslista!G$143:$AG$180,16,FALSE),"DNS")))))),IF(Deltagarlista!$K$3=2,
IF(ISBLANK(Deltagarlista!$C18),"",IF(ISBLANK(Arrangörslista!L$53),"",IF($GV24=AH$64," DNS ",IFERROR(VLOOKUP($F24,Arrangörslista!L$53:$AG$90,16,FALSE),"DNS")))),IF(ISBLANK(Deltagarlista!$C18),"",IF(ISBLANK(Arrangörslista!L$53),"",IFERROR(VLOOKUP($F24,Arrangörslista!L$53:$AG$90,16,FALSE),"DNS")))))</f>
        <v/>
      </c>
      <c r="AI24" s="5" t="str">
        <f>IF(Deltagarlista!$K$3=4,IF(ISBLANK(Deltagarlista!$C18),"",IF(ISBLANK(Arrangörslista!H$143),"",IFERROR(VLOOKUP($F24,Arrangörslista!H$143:$AG$180,16,FALSE),IF(ISBLANK(Deltagarlista!$C18),"",IF(ISBLANK(Arrangörslista!H$143),"",IFERROR(VLOOKUP($F24,Arrangörslista!I$143:$AG$180,16,FALSE),"DNS")))))),IF(Deltagarlista!$K$3=2,
IF(ISBLANK(Deltagarlista!$C18),"",IF(ISBLANK(Arrangörslista!M$53),"",IF($GV24=AI$64," DNS ",IFERROR(VLOOKUP($F24,Arrangörslista!M$53:$AG$90,16,FALSE),"DNS")))),IF(ISBLANK(Deltagarlista!$C18),"",IF(ISBLANK(Arrangörslista!M$53),"",IFERROR(VLOOKUP($F24,Arrangörslista!M$53:$AG$90,16,FALSE),"DNS")))))</f>
        <v/>
      </c>
      <c r="AJ24" s="5" t="str">
        <f>IF(Deltagarlista!$K$3=4,IF(ISBLANK(Deltagarlista!$C18),"",IF(ISBLANK(Arrangörslista!J$143),"",IFERROR(VLOOKUP($F24,Arrangörslista!J$143:$AG$180,16,FALSE),IF(ISBLANK(Deltagarlista!$C18),"",IF(ISBLANK(Arrangörslista!J$143),"",IFERROR(VLOOKUP($F24,Arrangörslista!K$143:$AG$180,16,FALSE),"DNS")))))),IF(Deltagarlista!$K$3=2,
IF(ISBLANK(Deltagarlista!$C18),"",IF(ISBLANK(Arrangörslista!N$53),"",IF($GV24=AJ$64," DNS ",IFERROR(VLOOKUP($F24,Arrangörslista!N$53:$AG$90,16,FALSE),"DNS")))),IF(ISBLANK(Deltagarlista!$C18),"",IF(ISBLANK(Arrangörslista!N$53),"",IFERROR(VLOOKUP($F24,Arrangörslista!N$53:$AG$90,16,FALSE),"DNS")))))</f>
        <v/>
      </c>
      <c r="AK24" s="5" t="str">
        <f>IF(Deltagarlista!$K$3=4,IF(ISBLANK(Deltagarlista!$C18),"",IF(ISBLANK(Arrangörslista!L$143),"",IFERROR(VLOOKUP($F24,Arrangörslista!L$143:$AG$180,16,FALSE),IF(ISBLANK(Deltagarlista!$C18),"",IF(ISBLANK(Arrangörslista!L$143),"",IFERROR(VLOOKUP($F24,Arrangörslista!M$143:$AG$180,16,FALSE),"DNS")))))),IF(Deltagarlista!$K$3=2,
IF(ISBLANK(Deltagarlista!$C18),"",IF(ISBLANK(Arrangörslista!O$53),"",IF($GV24=AK$64," DNS ",IFERROR(VLOOKUP($F24,Arrangörslista!O$53:$AG$90,16,FALSE),"DNS")))),IF(ISBLANK(Deltagarlista!$C18),"",IF(ISBLANK(Arrangörslista!O$53),"",IFERROR(VLOOKUP($F24,Arrangörslista!O$53:$AG$90,16,FALSE),"DNS")))))</f>
        <v/>
      </c>
      <c r="AL24" s="5" t="str">
        <f>IF(Deltagarlista!$K$3=4,IF(ISBLANK(Deltagarlista!$C18),"",IF(ISBLANK(Arrangörslista!N$143),"",IFERROR(VLOOKUP($F24,Arrangörslista!N$143:$AG$180,16,FALSE),IF(ISBLANK(Deltagarlista!$C18),"",IF(ISBLANK(Arrangörslista!N$143),"",IFERROR(VLOOKUP($F24,Arrangörslista!O$143:$AG$180,16,FALSE),"DNS")))))),IF(Deltagarlista!$K$3=2,
IF(ISBLANK(Deltagarlista!$C18),"",IF(ISBLANK(Arrangörslista!P$53),"",IF($GV24=AL$64," DNS ",IFERROR(VLOOKUP($F24,Arrangörslista!P$53:$AG$90,16,FALSE),"DNS")))),IF(ISBLANK(Deltagarlista!$C18),"",IF(ISBLANK(Arrangörslista!P$53),"",IFERROR(VLOOKUP($F24,Arrangörslista!P$53:$AG$90,16,FALSE),"DNS")))))</f>
        <v/>
      </c>
      <c r="AM24" s="5" t="str">
        <f>IF(Deltagarlista!$K$3=4,IF(ISBLANK(Deltagarlista!$C18),"",IF(ISBLANK(Arrangörslista!P$143),"",IFERROR(VLOOKUP($F24,Arrangörslista!P$143:$AG$180,16,FALSE),IF(ISBLANK(Deltagarlista!$C18),"",IF(ISBLANK(Arrangörslista!P$143),"",IFERROR(VLOOKUP($F24,Arrangörslista!Q$143:$AG$180,16,FALSE),"DNS")))))),IF(Deltagarlista!$K$3=2,
IF(ISBLANK(Deltagarlista!$C18),"",IF(ISBLANK(Arrangörslista!Q$53),"",IF($GV24=AM$64," DNS ",IFERROR(VLOOKUP($F24,Arrangörslista!Q$53:$AG$90,16,FALSE),"DNS")))),IF(ISBLANK(Deltagarlista!$C18),"",IF(ISBLANK(Arrangörslista!Q$53),"",IFERROR(VLOOKUP($F24,Arrangörslista!Q$53:$AG$90,16,FALSE),"DNS")))))</f>
        <v/>
      </c>
      <c r="AN24" s="5" t="str">
        <f>IF(Deltagarlista!$K$3=2,
IF(ISBLANK(Deltagarlista!$C18),"",IF(ISBLANK(Arrangörslista!C$98),"",IF($GV24=AN$64," DNS ",IFERROR(VLOOKUP($F24,Arrangörslista!C$98:$AG$135,16,FALSE), "DNS")))), IF(Deltagarlista!$K$3=1,IF(ISBLANK(Deltagarlista!$C18),"",IF(ISBLANK(Arrangörslista!C$98),"",IFERROR(VLOOKUP($F24,Arrangörslista!C$98:$AG$135,16,FALSE), "DNS"))),""))</f>
        <v/>
      </c>
      <c r="AO24" s="5" t="str">
        <f>IF(Deltagarlista!$K$3=2,
IF(ISBLANK(Deltagarlista!$C18),"",IF(ISBLANK(Arrangörslista!D$98),"",IF($GV24=AO$64," DNS ",IFERROR(VLOOKUP($F24,Arrangörslista!D$98:$AG$135,16,FALSE), "DNS")))), IF(Deltagarlista!$K$3=1,IF(ISBLANK(Deltagarlista!$C18),"",IF(ISBLANK(Arrangörslista!D$98),"",IFERROR(VLOOKUP($F24,Arrangörslista!D$98:$AG$135,16,FALSE), "DNS"))),""))</f>
        <v/>
      </c>
      <c r="AP24" s="5" t="str">
        <f>IF(Deltagarlista!$K$3=2,
IF(ISBLANK(Deltagarlista!$C18),"",IF(ISBLANK(Arrangörslista!E$98),"",IF($GV24=AP$64," DNS ",IFERROR(VLOOKUP($F24,Arrangörslista!E$98:$AG$135,16,FALSE), "DNS")))), IF(Deltagarlista!$K$3=1,IF(ISBLANK(Deltagarlista!$C18),"",IF(ISBLANK(Arrangörslista!E$98),"",IFERROR(VLOOKUP($F24,Arrangörslista!E$98:$AG$135,16,FALSE), "DNS"))),""))</f>
        <v/>
      </c>
      <c r="AQ24" s="5" t="str">
        <f>IF(Deltagarlista!$K$3=2,
IF(ISBLANK(Deltagarlista!$C18),"",IF(ISBLANK(Arrangörslista!F$98),"",IF($GV24=AQ$64," DNS ",IFERROR(VLOOKUP($F24,Arrangörslista!F$98:$AG$135,16,FALSE), "DNS")))), IF(Deltagarlista!$K$3=1,IF(ISBLANK(Deltagarlista!$C18),"",IF(ISBLANK(Arrangörslista!F$98),"",IFERROR(VLOOKUP($F24,Arrangörslista!F$98:$AG$135,16,FALSE), "DNS"))),""))</f>
        <v/>
      </c>
      <c r="AR24" s="5" t="str">
        <f>IF(Deltagarlista!$K$3=2,
IF(ISBLANK(Deltagarlista!$C18),"",IF(ISBLANK(Arrangörslista!G$98),"",IF($GV24=AR$64," DNS ",IFERROR(VLOOKUP($F24,Arrangörslista!G$98:$AG$135,16,FALSE), "DNS")))), IF(Deltagarlista!$K$3=1,IF(ISBLANK(Deltagarlista!$C18),"",IF(ISBLANK(Arrangörslista!G$98),"",IFERROR(VLOOKUP($F24,Arrangörslista!G$98:$AG$135,16,FALSE), "DNS"))),""))</f>
        <v/>
      </c>
      <c r="AS24" s="5" t="str">
        <f>IF(Deltagarlista!$K$3=2,
IF(ISBLANK(Deltagarlista!$C18),"",IF(ISBLANK(Arrangörslista!H$98),"",IF($GV24=AS$64," DNS ",IFERROR(VLOOKUP($F24,Arrangörslista!H$98:$AG$135,16,FALSE), "DNS")))), IF(Deltagarlista!$K$3=1,IF(ISBLANK(Deltagarlista!$C18),"",IF(ISBLANK(Arrangörslista!H$98),"",IFERROR(VLOOKUP($F24,Arrangörslista!H$98:$AG$135,16,FALSE), "DNS"))),""))</f>
        <v/>
      </c>
      <c r="AT24" s="5" t="str">
        <f>IF(Deltagarlista!$K$3=2,
IF(ISBLANK(Deltagarlista!$C18),"",IF(ISBLANK(Arrangörslista!I$98),"",IF($GV24=AT$64," DNS ",IFERROR(VLOOKUP($F24,Arrangörslista!I$98:$AG$135,16,FALSE), "DNS")))), IF(Deltagarlista!$K$3=1,IF(ISBLANK(Deltagarlista!$C18),"",IF(ISBLANK(Arrangörslista!I$98),"",IFERROR(VLOOKUP($F24,Arrangörslista!I$98:$AG$135,16,FALSE), "DNS"))),""))</f>
        <v/>
      </c>
      <c r="AU24" s="5" t="str">
        <f>IF(Deltagarlista!$K$3=2,
IF(ISBLANK(Deltagarlista!$C18),"",IF(ISBLANK(Arrangörslista!J$98),"",IF($GV24=AU$64," DNS ",IFERROR(VLOOKUP($F24,Arrangörslista!J$98:$AG$135,16,FALSE), "DNS")))), IF(Deltagarlista!$K$3=1,IF(ISBLANK(Deltagarlista!$C18),"",IF(ISBLANK(Arrangörslista!J$98),"",IFERROR(VLOOKUP($F24,Arrangörslista!J$98:$AG$135,16,FALSE), "DNS"))),""))</f>
        <v/>
      </c>
      <c r="AV24" s="5" t="str">
        <f>IF(Deltagarlista!$K$3=2,
IF(ISBLANK(Deltagarlista!$C18),"",IF(ISBLANK(Arrangörslista!K$98),"",IF($GV24=AV$64," DNS ",IFERROR(VLOOKUP($F24,Arrangörslista!K$98:$AG$135,16,FALSE), "DNS")))), IF(Deltagarlista!$K$3=1,IF(ISBLANK(Deltagarlista!$C18),"",IF(ISBLANK(Arrangörslista!K$98),"",IFERROR(VLOOKUP($F24,Arrangörslista!K$98:$AG$135,16,FALSE), "DNS"))),""))</f>
        <v/>
      </c>
      <c r="AW24" s="5" t="str">
        <f>IF(Deltagarlista!$K$3=2,
IF(ISBLANK(Deltagarlista!$C18),"",IF(ISBLANK(Arrangörslista!L$98),"",IF($GV24=AW$64," DNS ",IFERROR(VLOOKUP($F24,Arrangörslista!L$98:$AG$135,16,FALSE), "DNS")))), IF(Deltagarlista!$K$3=1,IF(ISBLANK(Deltagarlista!$C18),"",IF(ISBLANK(Arrangörslista!L$98),"",IFERROR(VLOOKUP($F24,Arrangörslista!L$98:$AG$135,16,FALSE), "DNS"))),""))</f>
        <v/>
      </c>
      <c r="AX24" s="5" t="str">
        <f>IF(Deltagarlista!$K$3=2,
IF(ISBLANK(Deltagarlista!$C18),"",IF(ISBLANK(Arrangörslista!M$98),"",IF($GV24=AX$64," DNS ",IFERROR(VLOOKUP($F24,Arrangörslista!M$98:$AG$135,16,FALSE), "DNS")))), IF(Deltagarlista!$K$3=1,IF(ISBLANK(Deltagarlista!$C18),"",IF(ISBLANK(Arrangörslista!M$98),"",IFERROR(VLOOKUP($F24,Arrangörslista!M$98:$AG$135,16,FALSE), "DNS"))),""))</f>
        <v/>
      </c>
      <c r="AY24" s="5" t="str">
        <f>IF(Deltagarlista!$K$3=2,
IF(ISBLANK(Deltagarlista!$C18),"",IF(ISBLANK(Arrangörslista!N$98),"",IF($GV24=AY$64," DNS ",IFERROR(VLOOKUP($F24,Arrangörslista!N$98:$AG$135,16,FALSE), "DNS")))), IF(Deltagarlista!$K$3=1,IF(ISBLANK(Deltagarlista!$C18),"",IF(ISBLANK(Arrangörslista!N$98),"",IFERROR(VLOOKUP($F24,Arrangörslista!N$98:$AG$135,16,FALSE), "DNS"))),""))</f>
        <v/>
      </c>
      <c r="AZ24" s="5" t="str">
        <f>IF(Deltagarlista!$K$3=2,
IF(ISBLANK(Deltagarlista!$C18),"",IF(ISBLANK(Arrangörslista!O$98),"",IF($GV24=AZ$64," DNS ",IFERROR(VLOOKUP($F24,Arrangörslista!O$98:$AG$135,16,FALSE), "DNS")))), IF(Deltagarlista!$K$3=1,IF(ISBLANK(Deltagarlista!$C18),"",IF(ISBLANK(Arrangörslista!O$98),"",IFERROR(VLOOKUP($F24,Arrangörslista!O$98:$AG$135,16,FALSE), "DNS"))),""))</f>
        <v/>
      </c>
      <c r="BA24" s="5" t="str">
        <f>IF(Deltagarlista!$K$3=2,
IF(ISBLANK(Deltagarlista!$C18),"",IF(ISBLANK(Arrangörslista!P$98),"",IF($GV24=BA$64," DNS ",IFERROR(VLOOKUP($F24,Arrangörslista!P$98:$AG$135,16,FALSE), "DNS")))), IF(Deltagarlista!$K$3=1,IF(ISBLANK(Deltagarlista!$C18),"",IF(ISBLANK(Arrangörslista!P$98),"",IFERROR(VLOOKUP($F24,Arrangörslista!P$98:$AG$135,16,FALSE), "DNS"))),""))</f>
        <v/>
      </c>
      <c r="BB24" s="5" t="str">
        <f>IF(Deltagarlista!$K$3=2,
IF(ISBLANK(Deltagarlista!$C18),"",IF(ISBLANK(Arrangörslista!Q$98),"",IF($GV24=BB$64," DNS ",IFERROR(VLOOKUP($F24,Arrangörslista!Q$98:$AG$135,16,FALSE), "DNS")))), IF(Deltagarlista!$K$3=1,IF(ISBLANK(Deltagarlista!$C18),"",IF(ISBLANK(Arrangörslista!Q$98),"",IFERROR(VLOOKUP($F24,Arrangörslista!Q$98:$AG$135,16,FALSE), "DNS"))),""))</f>
        <v/>
      </c>
      <c r="BC24" s="5" t="str">
        <f>IF(Deltagarlista!$K$3=2,
IF(ISBLANK(Deltagarlista!$C18),"",IF(ISBLANK(Arrangörslista!C$143),"",IF($GV24=BC$64," DNS ",IFERROR(VLOOKUP($F24,Arrangörslista!C$143:$AG$180,16,FALSE), "DNS")))), IF(Deltagarlista!$K$3=1,IF(ISBLANK(Deltagarlista!$C18),"",IF(ISBLANK(Arrangörslista!C$143),"",IFERROR(VLOOKUP($F24,Arrangörslista!C$143:$AG$180,16,FALSE), "DNS"))),""))</f>
        <v/>
      </c>
      <c r="BD24" s="5" t="str">
        <f>IF(Deltagarlista!$K$3=2,
IF(ISBLANK(Deltagarlista!$C18),"",IF(ISBLANK(Arrangörslista!D$143),"",IF($GV24=BD$64," DNS ",IFERROR(VLOOKUP($F24,Arrangörslista!D$143:$AG$180,16,FALSE), "DNS")))), IF(Deltagarlista!$K$3=1,IF(ISBLANK(Deltagarlista!$C18),"",IF(ISBLANK(Arrangörslista!D$143),"",IFERROR(VLOOKUP($F24,Arrangörslista!D$143:$AG$180,16,FALSE), "DNS"))),""))</f>
        <v/>
      </c>
      <c r="BE24" s="5" t="str">
        <f>IF(Deltagarlista!$K$3=2,
IF(ISBLANK(Deltagarlista!$C18),"",IF(ISBLANK(Arrangörslista!E$143),"",IF($GV24=BE$64," DNS ",IFERROR(VLOOKUP($F24,Arrangörslista!E$143:$AG$180,16,FALSE), "DNS")))), IF(Deltagarlista!$K$3=1,IF(ISBLANK(Deltagarlista!$C18),"",IF(ISBLANK(Arrangörslista!E$143),"",IFERROR(VLOOKUP($F24,Arrangörslista!E$143:$AG$180,16,FALSE), "DNS"))),""))</f>
        <v/>
      </c>
      <c r="BF24" s="5" t="str">
        <f>IF(Deltagarlista!$K$3=2,
IF(ISBLANK(Deltagarlista!$C18),"",IF(ISBLANK(Arrangörslista!F$143),"",IF($GV24=BF$64," DNS ",IFERROR(VLOOKUP($F24,Arrangörslista!F$143:$AG$180,16,FALSE), "DNS")))), IF(Deltagarlista!$K$3=1,IF(ISBLANK(Deltagarlista!$C18),"",IF(ISBLANK(Arrangörslista!F$143),"",IFERROR(VLOOKUP($F24,Arrangörslista!F$143:$AG$180,16,FALSE), "DNS"))),""))</f>
        <v/>
      </c>
      <c r="BG24" s="5" t="str">
        <f>IF(Deltagarlista!$K$3=2,
IF(ISBLANK(Deltagarlista!$C18),"",IF(ISBLANK(Arrangörslista!G$143),"",IF($GV24=BG$64," DNS ",IFERROR(VLOOKUP($F24,Arrangörslista!G$143:$AG$180,16,FALSE), "DNS")))), IF(Deltagarlista!$K$3=1,IF(ISBLANK(Deltagarlista!$C18),"",IF(ISBLANK(Arrangörslista!G$143),"",IFERROR(VLOOKUP($F24,Arrangörslista!G$143:$AG$180,16,FALSE), "DNS"))),""))</f>
        <v/>
      </c>
      <c r="BH24" s="5" t="str">
        <f>IF(Deltagarlista!$K$3=2,
IF(ISBLANK(Deltagarlista!$C18),"",IF(ISBLANK(Arrangörslista!H$143),"",IF($GV24=BH$64," DNS ",IFERROR(VLOOKUP($F24,Arrangörslista!H$143:$AG$180,16,FALSE), "DNS")))), IF(Deltagarlista!$K$3=1,IF(ISBLANK(Deltagarlista!$C18),"",IF(ISBLANK(Arrangörslista!H$143),"",IFERROR(VLOOKUP($F24,Arrangörslista!H$143:$AG$180,16,FALSE), "DNS"))),""))</f>
        <v/>
      </c>
      <c r="BI24" s="5" t="str">
        <f>IF(Deltagarlista!$K$3=2,
IF(ISBLANK(Deltagarlista!$C18),"",IF(ISBLANK(Arrangörslista!I$143),"",IF($GV24=BI$64," DNS ",IFERROR(VLOOKUP($F24,Arrangörslista!I$143:$AG$180,16,FALSE), "DNS")))), IF(Deltagarlista!$K$3=1,IF(ISBLANK(Deltagarlista!$C18),"",IF(ISBLANK(Arrangörslista!I$143),"",IFERROR(VLOOKUP($F24,Arrangörslista!I$143:$AG$180,16,FALSE), "DNS"))),""))</f>
        <v/>
      </c>
      <c r="BJ24" s="5" t="str">
        <f>IF(Deltagarlista!$K$3=2,
IF(ISBLANK(Deltagarlista!$C18),"",IF(ISBLANK(Arrangörslista!J$143),"",IF($GV24=BJ$64," DNS ",IFERROR(VLOOKUP($F24,Arrangörslista!J$143:$AG$180,16,FALSE), "DNS")))), IF(Deltagarlista!$K$3=1,IF(ISBLANK(Deltagarlista!$C18),"",IF(ISBLANK(Arrangörslista!J$143),"",IFERROR(VLOOKUP($F24,Arrangörslista!J$143:$AG$180,16,FALSE), "DNS"))),""))</f>
        <v/>
      </c>
      <c r="BK24" s="5" t="str">
        <f>IF(Deltagarlista!$K$3=2,
IF(ISBLANK(Deltagarlista!$C18),"",IF(ISBLANK(Arrangörslista!K$143),"",IF($GV24=BK$64," DNS ",IFERROR(VLOOKUP($F24,Arrangörslista!K$143:$AG$180,16,FALSE), "DNS")))), IF(Deltagarlista!$K$3=1,IF(ISBLANK(Deltagarlista!$C18),"",IF(ISBLANK(Arrangörslista!K$143),"",IFERROR(VLOOKUP($F24,Arrangörslista!K$143:$AG$180,16,FALSE), "DNS"))),""))</f>
        <v/>
      </c>
      <c r="BL24" s="5" t="str">
        <f>IF(Deltagarlista!$K$3=2,
IF(ISBLANK(Deltagarlista!$C18),"",IF(ISBLANK(Arrangörslista!L$143),"",IF($GV24=BL$64," DNS ",IFERROR(VLOOKUP($F24,Arrangörslista!L$143:$AG$180,16,FALSE), "DNS")))), IF(Deltagarlista!$K$3=1,IF(ISBLANK(Deltagarlista!$C18),"",IF(ISBLANK(Arrangörslista!L$143),"",IFERROR(VLOOKUP($F24,Arrangörslista!L$143:$AG$180,16,FALSE), "DNS"))),""))</f>
        <v/>
      </c>
      <c r="BM24" s="5" t="str">
        <f>IF(Deltagarlista!$K$3=2,
IF(ISBLANK(Deltagarlista!$C18),"",IF(ISBLANK(Arrangörslista!M$143),"",IF($GV24=BM$64," DNS ",IFERROR(VLOOKUP($F24,Arrangörslista!M$143:$AG$180,16,FALSE), "DNS")))), IF(Deltagarlista!$K$3=1,IF(ISBLANK(Deltagarlista!$C18),"",IF(ISBLANK(Arrangörslista!M$143),"",IFERROR(VLOOKUP($F24,Arrangörslista!M$143:$AG$180,16,FALSE), "DNS"))),""))</f>
        <v/>
      </c>
      <c r="BN24" s="5" t="str">
        <f>IF(Deltagarlista!$K$3=2,
IF(ISBLANK(Deltagarlista!$C18),"",IF(ISBLANK(Arrangörslista!N$143),"",IF($GV24=BN$64," DNS ",IFERROR(VLOOKUP($F24,Arrangörslista!N$143:$AG$180,16,FALSE), "DNS")))), IF(Deltagarlista!$K$3=1,IF(ISBLANK(Deltagarlista!$C18),"",IF(ISBLANK(Arrangörslista!N$143),"",IFERROR(VLOOKUP($F24,Arrangörslista!N$143:$AG$180,16,FALSE), "DNS"))),""))</f>
        <v/>
      </c>
      <c r="BO24" s="5" t="str">
        <f>IF(Deltagarlista!$K$3=2,
IF(ISBLANK(Deltagarlista!$C18),"",IF(ISBLANK(Arrangörslista!O$143),"",IF($GV24=BO$64," DNS ",IFERROR(VLOOKUP($F24,Arrangörslista!O$143:$AG$180,16,FALSE), "DNS")))), IF(Deltagarlista!$K$3=1,IF(ISBLANK(Deltagarlista!$C18),"",IF(ISBLANK(Arrangörslista!O$143),"",IFERROR(VLOOKUP($F24,Arrangörslista!O$143:$AG$180,16,FALSE), "DNS"))),""))</f>
        <v/>
      </c>
      <c r="BP24" s="5" t="str">
        <f>IF(Deltagarlista!$K$3=2,
IF(ISBLANK(Deltagarlista!$C18),"",IF(ISBLANK(Arrangörslista!P$143),"",IF($GV24=BP$64," DNS ",IFERROR(VLOOKUP($F24,Arrangörslista!P$143:$AG$180,16,FALSE), "DNS")))), IF(Deltagarlista!$K$3=1,IF(ISBLANK(Deltagarlista!$C18),"",IF(ISBLANK(Arrangörslista!P$143),"",IFERROR(VLOOKUP($F24,Arrangörslista!P$143:$AG$180,16,FALSE), "DNS"))),""))</f>
        <v/>
      </c>
      <c r="BQ24" s="80" t="str">
        <f>IF(Deltagarlista!$K$3=2,
IF(ISBLANK(Deltagarlista!$C18),"",IF(ISBLANK(Arrangörslista!Q$143),"",IF($GV24=BQ$64," DNS ",IFERROR(VLOOKUP($F24,Arrangörslista!Q$143:$AG$180,16,FALSE), "DNS")))), IF(Deltagarlista!$K$3=1,IF(ISBLANK(Deltagarlista!$C18),"",IF(ISBLANK(Arrangörslista!Q$143),"",IFERROR(VLOOKUP($F24,Arrangörslista!Q$143:$AG$180,16,FALSE), "DNS"))),""))</f>
        <v/>
      </c>
      <c r="BR24" s="51"/>
      <c r="BS24" s="51"/>
      <c r="BT24" s="51"/>
      <c r="BU24" s="71">
        <f>SUM(BV24:EC24)</f>
        <v>0</v>
      </c>
      <c r="BV24" s="61">
        <f>IF(J24="",0,IF(OR(J24="DNF",J24="OCS",J24="DSQ",J24="DNS",J24=" DNS "),$BW$3+1,J24))</f>
        <v>0</v>
      </c>
      <c r="BW24" s="61">
        <f>IF(K24="",0,IF(OR(K24="DNF",K24="OCS",K24="DSQ",K24="DNS",K24=" DNS "),$BW$3+1,K24))</f>
        <v>0</v>
      </c>
      <c r="BX24" s="61">
        <f>IF(L24="",0,IF(OR(L24="DNF",L24="OCS",L24="DSQ",L24="DNS",L24=" DNS "),$BW$3+1,L24))</f>
        <v>0</v>
      </c>
      <c r="BY24" s="61">
        <f>IF(M24="",0,IF(OR(M24="DNF",M24="OCS",M24="DSQ",M24="DNS",M24=" DNS "),$BW$3+1,M24))</f>
        <v>0</v>
      </c>
      <c r="BZ24" s="61">
        <f>IF(N24="",0,IF(OR(N24="DNF",N24="OCS",N24="DSQ",N24="DNS",N24=" DNS "),$BW$3+1,N24))</f>
        <v>0</v>
      </c>
      <c r="CA24" s="61">
        <f>IF(O24="",0,IF(OR(O24="DNF",O24="OCS",O24="DSQ",O24="DNS",O24=" DNS "),$BW$3+1,O24))</f>
        <v>0</v>
      </c>
      <c r="CB24" s="61">
        <f>IF(P24="",0,IF(OR(P24="DNF",P24="OCS",P24="DSQ",P24="DNS",P24=" DNS "),$BW$3+1,P24))</f>
        <v>0</v>
      </c>
      <c r="CC24" s="61">
        <f>IF(Q24="",0,IF(OR(Q24="DNF",Q24="OCS",Q24="DSQ",Q24="DNS",Q24=" DNS "),$BW$3+1,Q24))</f>
        <v>0</v>
      </c>
      <c r="CD24" s="61">
        <f>IF(R24="",0,IF(OR(R24="DNF",R24="OCS",R24="DSQ",R24="DNS",R24=" DNS "),$BW$3+1,R24))</f>
        <v>0</v>
      </c>
      <c r="CE24" s="61">
        <f>IF(S24="",0,IF(OR(S24="DNF",S24="OCS",S24="DSQ",S24="DNS",S24=" DNS "),$BW$3+1,S24))</f>
        <v>0</v>
      </c>
      <c r="CF24" s="61">
        <f>IF(T24="",0,IF(OR(T24="DNF",T24="OCS",T24="DSQ",T24="DNS",T24=" DNS "),$BW$3+1,T24))</f>
        <v>0</v>
      </c>
      <c r="CG24" s="61">
        <f>IF(U24="",0,IF(OR(U24="DNF",U24="OCS",U24="DSQ",U24="DNS",U24=" DNS "),$BW$3+1,U24))</f>
        <v>0</v>
      </c>
      <c r="CH24" s="61">
        <f>IF(V24="",0,IF(OR(V24="DNF",V24="OCS",V24="DSQ",V24="DNS",V24=" DNS "),$BW$3+1,V24))</f>
        <v>0</v>
      </c>
      <c r="CI24" s="61">
        <f>IF(W24="",0,IF(OR(W24="DNF",W24="OCS",W24="DSQ",W24="DNS",W24=" DNS "),$BW$3+1,W24))</f>
        <v>0</v>
      </c>
      <c r="CJ24" s="61">
        <f>IF(X24="",0,IF(OR(X24="DNF",X24="OCS",X24="DSQ",X24="DNS",X24=" DNS "),$BW$3+1,X24))</f>
        <v>0</v>
      </c>
      <c r="CK24" s="61">
        <f>IF(Y24="",0,IF(OR(Y24="DNF",Y24="OCS",Y24="DSQ",Y24="DNS",Y24=" DNS "),$BW$3+1,Y24))</f>
        <v>0</v>
      </c>
      <c r="CL24" s="61">
        <f>IF(Z24="",0,IF(OR(Z24="DNF",Z24="OCS",Z24="DSQ",Z24="DNS",Z24=" DNS "),$BW$3+1,Z24))</f>
        <v>0</v>
      </c>
      <c r="CM24" s="61">
        <f>IF(AA24="",0,IF(OR(AA24="DNF",AA24="OCS",AA24="DSQ",AA24="DNS",AA24=" DNS "),$BW$3+1,AA24))</f>
        <v>0</v>
      </c>
      <c r="CN24" s="61">
        <f>IF(AB24="",0,IF(OR(AB24="DNF",AB24="OCS",AB24="DSQ",AB24="DNS",AB24=" DNS "),$BW$3+1,AB24))</f>
        <v>0</v>
      </c>
      <c r="CO24" s="61">
        <f>IF(AC24="",0,IF(OR(AC24="DNF",AC24="OCS",AC24="DSQ",AC24="DNS",AC24=" DNS "),$BW$3+1,AC24))</f>
        <v>0</v>
      </c>
      <c r="CP24" s="61">
        <f>IF(AD24="",0,IF(OR(AD24="DNF",AD24="OCS",AD24="DSQ",AD24="DNS",AD24=" DNS "),$BW$3+1,AD24))</f>
        <v>0</v>
      </c>
      <c r="CQ24" s="61">
        <f>IF(AE24="",0,IF(OR(AE24="DNF",AE24="OCS",AE24="DSQ",AE24="DNS",AE24=" DNS "),$BW$3+1,AE24))</f>
        <v>0</v>
      </c>
      <c r="CR24" s="61">
        <f>IF(AF24="",0,IF(OR(AF24="DNF",AF24="OCS",AF24="DSQ",AF24="DNS",AF24=" DNS "),$BW$3+1,AF24))</f>
        <v>0</v>
      </c>
      <c r="CS24" s="61">
        <f>IF(AG24="",0,IF(OR(AG24="DNF",AG24="OCS",AG24="DSQ",AG24="DNS",AG24=" DNS "),$BW$3+1,AG24))</f>
        <v>0</v>
      </c>
      <c r="CT24" s="61">
        <f>IF(AH24="",0,IF(OR(AH24="DNF",AH24="OCS",AH24="DSQ",AH24="DNS",AH24=" DNS "),$BW$3+1,AH24))</f>
        <v>0</v>
      </c>
      <c r="CU24" s="61">
        <f>IF(AI24="",0,IF(OR(AI24="DNF",AI24="OCS",AI24="DSQ",AI24="DNS",AI24=" DNS "),$BW$3+1,AI24))</f>
        <v>0</v>
      </c>
      <c r="CV24" s="61">
        <f>IF(AJ24="",0,IF(OR(AJ24="DNF",AJ24="OCS",AJ24="DSQ",AJ24="DNS",AJ24=" DNS "),$BW$3+1,AJ24))</f>
        <v>0</v>
      </c>
      <c r="CW24" s="61">
        <f>IF(AK24="",0,IF(OR(AK24="DNF",AK24="OCS",AK24="DSQ",AK24="DNS",AK24=" DNS "),$BW$3+1,AK24))</f>
        <v>0</v>
      </c>
      <c r="CX24" s="61">
        <f>IF(AL24="",0,IF(OR(AL24="DNF",AL24="OCS",AL24="DSQ",AL24="DNS",AL24=" DNS "),$BW$3+1,AL24))</f>
        <v>0</v>
      </c>
      <c r="CY24" s="61">
        <f>IF(AM24="",0,IF(OR(AM24="DNF",AM24="OCS",AM24="DSQ",AM24="DNS",AM24=" DNS "),$BW$3+1,AM24))</f>
        <v>0</v>
      </c>
      <c r="CZ24" s="61">
        <f>IF(AN24="",0,IF(OR(AN24="DNF",AN24="OCS",AN24="DSQ",AN24="DNS",AN24=" DNS "),$BW$3+1,AN24))</f>
        <v>0</v>
      </c>
      <c r="DA24" s="61">
        <f>IF(AO24="",0,IF(OR(AO24="DNF",AO24="OCS",AO24="DSQ",AO24="DNS",AO24=" DNS "),$BW$3+1,AO24))</f>
        <v>0</v>
      </c>
      <c r="DB24" s="61">
        <f>IF(AP24="",0,IF(OR(AP24="DNF",AP24="OCS",AP24="DSQ",AP24="DNS",AP24=" DNS "),$BW$3+1,AP24))</f>
        <v>0</v>
      </c>
      <c r="DC24" s="61">
        <f>IF(AQ24="",0,IF(OR(AQ24="DNF",AQ24="OCS",AQ24="DSQ",AQ24="DNS",AQ24=" DNS "),$BW$3+1,AQ24))</f>
        <v>0</v>
      </c>
      <c r="DD24" s="61">
        <f>IF(AR24="",0,IF(OR(AR24="DNF",AR24="OCS",AR24="DSQ",AR24="DNS",AR24=" DNS "),$BW$3+1,AR24))</f>
        <v>0</v>
      </c>
      <c r="DE24" s="61">
        <f>IF(AS24="",0,IF(OR(AS24="DNF",AS24="OCS",AS24="DSQ",AS24="DNS",AS24=" DNS "),$BW$3+1,AS24))</f>
        <v>0</v>
      </c>
      <c r="DF24" s="61">
        <f>IF(AT24="",0,IF(OR(AT24="DNF",AT24="OCS",AT24="DSQ",AT24="DNS",AT24=" DNS "),$BW$3+1,AT24))</f>
        <v>0</v>
      </c>
      <c r="DG24" s="61">
        <f>IF(AU24="",0,IF(OR(AU24="DNF",AU24="OCS",AU24="DSQ",AU24="DNS",AU24=" DNS "),$BW$3+1,AU24))</f>
        <v>0</v>
      </c>
      <c r="DH24" s="61">
        <f>IF(AV24="",0,IF(OR(AV24="DNF",AV24="OCS",AV24="DSQ",AV24="DNS",AV24=" DNS "),$BW$3+1,AV24))</f>
        <v>0</v>
      </c>
      <c r="DI24" s="61">
        <f>IF(AW24="",0,IF(OR(AW24="DNF",AW24="OCS",AW24="DSQ",AW24="DNS",AW24=" DNS "),$BW$3+1,AW24))</f>
        <v>0</v>
      </c>
      <c r="DJ24" s="61">
        <f>IF(AX24="",0,IF(OR(AX24="DNF",AX24="OCS",AX24="DSQ",AX24="DNS",AX24=" DNS "),$BW$3+1,AX24))</f>
        <v>0</v>
      </c>
      <c r="DK24" s="61">
        <f>IF(AY24="",0,IF(OR(AY24="DNF",AY24="OCS",AY24="DSQ",AY24="DNS",AY24=" DNS "),$BW$3+1,AY24))</f>
        <v>0</v>
      </c>
      <c r="DL24" s="61">
        <f>IF(AZ24="",0,IF(OR(AZ24="DNF",AZ24="OCS",AZ24="DSQ",AZ24="DNS",AZ24=" DNS "),$BW$3+1,AZ24))</f>
        <v>0</v>
      </c>
      <c r="DM24" s="61">
        <f>IF(BA24="",0,IF(OR(BA24="DNF",BA24="OCS",BA24="DSQ",BA24="DNS",BA24=" DNS "),$BW$3+1,BA24))</f>
        <v>0</v>
      </c>
      <c r="DN24" s="61">
        <f>IF(BB24="",0,IF(OR(BB24="DNF",BB24="OCS",BB24="DSQ",BB24="DNS",BB24=" DNS "),$BW$3+1,BB24))</f>
        <v>0</v>
      </c>
      <c r="DO24" s="61">
        <f>IF(BC24="",0,IF(OR(BC24="DNF",BC24="OCS",BC24="DSQ",BC24="DNS",BC24=" DNS "),$BW$3+1,BC24))</f>
        <v>0</v>
      </c>
      <c r="DP24" s="61">
        <f>IF(BD24="",0,IF(OR(BD24="DNF",BD24="OCS",BD24="DSQ",BD24="DNS",BD24=" DNS "),$BW$3+1,BD24))</f>
        <v>0</v>
      </c>
      <c r="DQ24" s="61">
        <f>IF(BE24="",0,IF(OR(BE24="DNF",BE24="OCS",BE24="DSQ",BE24="DNS",BE24=" DNS "),$BW$3+1,BE24))</f>
        <v>0</v>
      </c>
      <c r="DR24" s="61">
        <f>IF(BF24="",0,IF(OR(BF24="DNF",BF24="OCS",BF24="DSQ",BF24="DNS",BF24=" DNS "),$BW$3+1,BF24))</f>
        <v>0</v>
      </c>
      <c r="DS24" s="61">
        <f>IF(BG24="",0,IF(OR(BG24="DNF",BG24="OCS",BG24="DSQ",BG24="DNS",BG24=" DNS "),$BW$3+1,BG24))</f>
        <v>0</v>
      </c>
      <c r="DT24" s="61">
        <f>IF(BH24="",0,IF(OR(BH24="DNF",BH24="OCS",BH24="DSQ",BH24="DNS",BH24=" DNS "),$BW$3+1,BH24))</f>
        <v>0</v>
      </c>
      <c r="DU24" s="61">
        <f>IF(BI24="",0,IF(OR(BI24="DNF",BI24="OCS",BI24="DSQ",BI24="DNS",BI24=" DNS "),$BW$3+1,BI24))</f>
        <v>0</v>
      </c>
      <c r="DV24" s="61">
        <f>IF(BJ24="",0,IF(OR(BJ24="DNF",BJ24="OCS",BJ24="DSQ",BJ24="DNS",BJ24=" DNS "),$BW$3+1,BJ24))</f>
        <v>0</v>
      </c>
      <c r="DW24" s="61">
        <f>IF(BK24="",0,IF(OR(BK24="DNF",BK24="OCS",BK24="DSQ",BK24="DNS",BK24=" DNS "),$BW$3+1,BK24))</f>
        <v>0</v>
      </c>
      <c r="DX24" s="61">
        <f>IF(BL24="",0,IF(OR(BL24="DNF",BL24="OCS",BL24="DSQ",BL24="DNS",BL24=" DNS "),$BW$3+1,BL24))</f>
        <v>0</v>
      </c>
      <c r="DY24" s="61">
        <f>IF(BM24="",0,IF(OR(BM24="DNF",BM24="OCS",BM24="DSQ",BM24="DNS",BM24=" DNS "),$BW$3+1,BM24))</f>
        <v>0</v>
      </c>
      <c r="DZ24" s="61">
        <f>IF(BN24="",0,IF(OR(BN24="DNF",BN24="OCS",BN24="DSQ",BN24="DNS",BN24=" DNS "),$BW$3+1,BN24))</f>
        <v>0</v>
      </c>
      <c r="EA24" s="61">
        <f>IF(BO24="",0,IF(OR(BO24="DNF",BO24="OCS",BO24="DSQ",BO24="DNS",BO24=" DNS "),$BW$3+1,BO24))</f>
        <v>0</v>
      </c>
      <c r="EB24" s="61">
        <f>IF(BP24="",0,IF(OR(BP24="DNF",BP24="OCS",BP24="DSQ",BP24="DNS",BP24=" DNS "),$BW$3+1,BP24))</f>
        <v>0</v>
      </c>
      <c r="EC24" s="61">
        <f>IF(BQ24="",0,IF(OR(BQ24="DNF",BQ24="OCS",BQ24="DSQ",BQ24="DNS",BQ24=" DNS "),$BW$3+1,BQ24))</f>
        <v>0</v>
      </c>
      <c r="EE24" s="61">
        <f xml:space="preserve">
IF(OR(Deltagarlista!$K$3=3,Deltagarlista!$K$3=4),
IF(Arrangörslista!$U$5&lt;8,0,
IF(Arrangörslista!$U$5&lt;16,SUM(LARGE(BV24:CJ24,1)),
IF(Arrangörslista!$U$5&lt;24,SUM(LARGE(BV24:CR24,{1;2})),
IF(Arrangörslista!$U$5&lt;32,SUM(LARGE(BV24:CZ24,{1;2;3})),
IF(Arrangörslista!$U$5&lt;40,SUM(LARGE(BV24:DH24,{1;2;3;4})),
IF(Arrangörslista!$U$5&lt;48,SUM(LARGE(BV24:DP24,{1;2;3;4;5})),
IF(Arrangörslista!$U$5&lt;56,SUM(LARGE(BV24:DX24,{1;2;3;4;5;6})),
IF(Arrangörslista!$U$5&lt;64,SUM(LARGE(BV24:EC24,{1;2;3;4;5;6;7})),0)))))))),
IF(Deltagarlista!$K$3=2,
IF(Arrangörslista!$U$5&lt;4,LARGE(BV24:BX24,1),
IF(Arrangörslista!$U$5&lt;7,SUM(LARGE(BV24:CA24,{1;2;3})),
IF(Arrangörslista!$U$5&lt;10,SUM(LARGE(BV24:CD24,{1;2;3;4})),
IF(Arrangörslista!$U$5&lt;13,SUM(LARGE(BV24:CG24,{1;2;3;4;5;6})),
IF(Arrangörslista!$U$5&lt;16,SUM(LARGE(BV24:CJ24,{1;2;3;4;5;6;7})),
IF(Arrangörslista!$U$5&lt;19,SUM(LARGE(BV24:CM24,{1;2;3;4;5;6;7;8;9})),
IF(Arrangörslista!$U$5&lt;22,SUM(LARGE(BV24:CP24,{1;2;3;4;5;6;7;8;9;10})),
IF(Arrangörslista!$U$5&lt;25,SUM(LARGE(BV24:CS24,{1;2;3;4;5;6;7;8;9;10;11;12})),
IF(Arrangörslista!$U$5&lt;28,SUM(LARGE(BV24:CV24,{1;2;3;4;5;6;7;8;9;10;11;12;13})),
IF(Arrangörslista!$U$5&lt;31,SUM(LARGE(BV24:CY24,{1;2;3;4;5;6;7;8;9;10;11;12;13;14;15})),
IF(Arrangörslista!$U$5&lt;34,SUM(LARGE(BV24:DB24,{1;2;3;4;5;6;7;8;9;10;11;12;13;14;15;16})),
IF(Arrangörslista!$U$5&lt;37,SUM(LARGE(BV24:DE24,{1;2;3;4;5;6;7;8;9;10;11;12;13;14;15;16;17;18})),
IF(Arrangörslista!$U$5&lt;40,SUM(LARGE(BV24:DH24,{1;2;3;4;5;6;7;8;9;10;11;12;13;14;15;16;17;18;19})),
IF(Arrangörslista!$U$5&lt;43,SUM(LARGE(BV24:DK24,{1;2;3;4;5;6;7;8;9;10;11;12;13;14;15;16;17;18;19;20;21})),
IF(Arrangörslista!$U$5&lt;46,SUM(LARGE(BV24:DN24,{1;2;3;4;5;6;7;8;9;10;11;12;13;14;15;16;17;18;19;20;21;22})),
IF(Arrangörslista!$U$5&lt;49,SUM(LARGE(BV24:DQ24,{1;2;3;4;5;6;7;8;9;10;11;12;13;14;15;16;17;18;19;20;21;22;23;24})),
IF(Arrangörslista!$U$5&lt;52,SUM(LARGE(BV24:DT24,{1;2;3;4;5;6;7;8;9;10;11;12;13;14;15;16;17;18;19;20;21;22;23;24;25})),
IF(Arrangörslista!$U$5&lt;55,SUM(LARGE(BV24:DW24,{1;2;3;4;5;6;7;8;9;10;11;12;13;14;15;16;17;18;19;20;21;22;23;24;25;26;27})),
IF(Arrangörslista!$U$5&lt;58,SUM(LARGE(BV24:DZ24,{1;2;3;4;5;6;7;8;9;10;11;12;13;14;15;16;17;18;19;20;21;22;23;24;25;26;27;28})),
IF(Arrangörslista!$U$5&lt;61,SUM(LARGE(BV24:EC24,{1;2;3;4;5;6;7;8;9;10;11;12;13;14;15;16;17;18;19;20;21;22;23;24;25;26;27;28;29;30})),0)))))))))))))))))))),
IF(Arrangörslista!$U$5&lt;4,0,
IF(Arrangörslista!$U$5&lt;8,SUM(LARGE(BV24:CB24,1)),
IF(Arrangörslista!$U$5&lt;12,SUM(LARGE(BV24:CF24,{1;2})),
IF(Arrangörslista!$U$5&lt;16,SUM(LARGE(BV24:CJ24,{1;2;3})),
IF(Arrangörslista!$U$5&lt;20,SUM(LARGE(BV24:CN24,{1;2;3;4})),
IF(Arrangörslista!$U$5&lt;24,SUM(LARGE(BV24:CR24,{1;2;3;4;5})),
IF(Arrangörslista!$U$5&lt;28,SUM(LARGE(BV24:CV24,{1;2;3;4;5;6})),
IF(Arrangörslista!$U$5&lt;32,SUM(LARGE(BV24:CZ24,{1;2;3;4;5;6;7})),
IF(Arrangörslista!$U$5&lt;36,SUM(LARGE(BV24:DD24,{1;2;3;4;5;6;7;8})),
IF(Arrangörslista!$U$5&lt;40,SUM(LARGE(BV24:DH24,{1;2;3;4;5;6;7;8;9})),
IF(Arrangörslista!$U$5&lt;44,SUM(LARGE(BV24:DL24,{1;2;3;4;5;6;7;8;9;10})),
IF(Arrangörslista!$U$5&lt;48,SUM(LARGE(BV24:DP24,{1;2;3;4;5;6;7;8;9;10;11})),
IF(Arrangörslista!$U$5&lt;52,SUM(LARGE(BV24:DT24,{1;2;3;4;5;6;7;8;9;10;11;12})),
IF(Arrangörslista!$U$5&lt;56,SUM(LARGE(BV24:DX24,{1;2;3;4;5;6;7;8;9;10;11;12;13})),
IF(Arrangörslista!$U$5&lt;60,SUM(LARGE(BV24:EB24,{1;2;3;4;5;6;7;8;9;10;11;12;13;14})),
IF(Arrangörslista!$U$5=60,SUM(LARGE(BV24:EC24,{1;2;3;4;5;6;7;8;9;10;11;12;13;14;15})),0))))))))))))))))))</f>
        <v>0</v>
      </c>
      <c r="EG24" s="67">
        <f>IF(F24="",,1)</f>
        <v>0</v>
      </c>
      <c r="EH24" s="61"/>
      <c r="EI24" s="61"/>
      <c r="EK24" s="62">
        <f>SMALL($J87:$BQ87,1)</f>
        <v>61</v>
      </c>
      <c r="EL24" s="62">
        <f>SMALL($J87:$BQ87,2)</f>
        <v>61</v>
      </c>
      <c r="EM24" s="62">
        <f>SMALL($J87:$BQ87,3)</f>
        <v>61</v>
      </c>
      <c r="EN24" s="62">
        <f>SMALL($J87:$BQ87,4)</f>
        <v>61</v>
      </c>
      <c r="EO24" s="62">
        <f>SMALL($J87:$BQ87,5)</f>
        <v>61</v>
      </c>
      <c r="EP24" s="62">
        <f>SMALL($J87:$BQ87,6)</f>
        <v>61</v>
      </c>
      <c r="EQ24" s="62">
        <f>SMALL($J87:$BQ87,7)</f>
        <v>61</v>
      </c>
      <c r="ER24" s="62">
        <f>SMALL($J87:$BQ87,8)</f>
        <v>61</v>
      </c>
      <c r="ES24" s="62">
        <f>SMALL($J87:$BQ87,9)</f>
        <v>61</v>
      </c>
      <c r="ET24" s="62">
        <f>SMALL($J87:$BQ87,10)</f>
        <v>61</v>
      </c>
      <c r="EU24" s="62">
        <f>SMALL($J87:$BQ87,11)</f>
        <v>61</v>
      </c>
      <c r="EV24" s="62">
        <f>SMALL($J87:$BQ87,12)</f>
        <v>61</v>
      </c>
      <c r="EW24" s="62">
        <f>SMALL($J87:$BQ87,13)</f>
        <v>61</v>
      </c>
      <c r="EX24" s="62">
        <f>SMALL($J87:$BQ87,14)</f>
        <v>61</v>
      </c>
      <c r="EY24" s="62">
        <f>SMALL($J87:$BQ87,15)</f>
        <v>61</v>
      </c>
      <c r="EZ24" s="62">
        <f>SMALL($J87:$BQ87,16)</f>
        <v>61</v>
      </c>
      <c r="FA24" s="62">
        <f>SMALL($J87:$BQ87,17)</f>
        <v>61</v>
      </c>
      <c r="FB24" s="62">
        <f>SMALL($J87:$BQ87,18)</f>
        <v>61</v>
      </c>
      <c r="FC24" s="62">
        <f>SMALL($J87:$BQ87,19)</f>
        <v>61</v>
      </c>
      <c r="FD24" s="62">
        <f>SMALL($J87:$BQ87,20)</f>
        <v>61</v>
      </c>
      <c r="FE24" s="62">
        <f>SMALL($J87:$BQ87,21)</f>
        <v>61</v>
      </c>
      <c r="FF24" s="62">
        <f>SMALL($J87:$BQ87,22)</f>
        <v>61</v>
      </c>
      <c r="FG24" s="62">
        <f>SMALL($J87:$BQ87,23)</f>
        <v>61</v>
      </c>
      <c r="FH24" s="62">
        <f>SMALL($J87:$BQ87,24)</f>
        <v>61</v>
      </c>
      <c r="FI24" s="62">
        <f>SMALL($J87:$BQ87,25)</f>
        <v>61</v>
      </c>
      <c r="FJ24" s="62">
        <f>SMALL($J87:$BQ87,26)</f>
        <v>61</v>
      </c>
      <c r="FK24" s="62">
        <f>SMALL($J87:$BQ87,27)</f>
        <v>61</v>
      </c>
      <c r="FL24" s="62">
        <f>SMALL($J87:$BQ87,28)</f>
        <v>61</v>
      </c>
      <c r="FM24" s="62">
        <f>SMALL($J87:$BQ87,29)</f>
        <v>61</v>
      </c>
      <c r="FN24" s="62">
        <f>SMALL($J87:$BQ87,30)</f>
        <v>61</v>
      </c>
      <c r="FO24" s="62">
        <f>SMALL($J87:$BQ87,31)</f>
        <v>61</v>
      </c>
      <c r="FP24" s="62">
        <f>SMALL($J87:$BQ87,32)</f>
        <v>61</v>
      </c>
      <c r="FQ24" s="62">
        <f>SMALL($J87:$BQ87,33)</f>
        <v>61</v>
      </c>
      <c r="FR24" s="62">
        <f>SMALL($J87:$BQ87,34)</f>
        <v>61</v>
      </c>
      <c r="FS24" s="62">
        <f>SMALL($J87:$BQ87,35)</f>
        <v>61</v>
      </c>
      <c r="FT24" s="62">
        <f>SMALL($J87:$BQ87,36)</f>
        <v>61</v>
      </c>
      <c r="FU24" s="62">
        <f>SMALL($J87:$BQ87,37)</f>
        <v>61</v>
      </c>
      <c r="FV24" s="62">
        <f>SMALL($J87:$BQ87,38)</f>
        <v>61</v>
      </c>
      <c r="FW24" s="62">
        <f>SMALL($J87:$BQ87,39)</f>
        <v>61</v>
      </c>
      <c r="FX24" s="62">
        <f>SMALL($J87:$BQ87,40)</f>
        <v>61</v>
      </c>
      <c r="FY24" s="62">
        <f>SMALL($J87:$BQ87,41)</f>
        <v>61</v>
      </c>
      <c r="FZ24" s="62">
        <f>SMALL($J87:$BQ87,42)</f>
        <v>61</v>
      </c>
      <c r="GA24" s="62">
        <f>SMALL($J87:$BQ87,43)</f>
        <v>61</v>
      </c>
      <c r="GB24" s="62">
        <f>SMALL($J87:$BQ87,44)</f>
        <v>61</v>
      </c>
      <c r="GC24" s="62">
        <f>SMALL($J87:$BQ87,45)</f>
        <v>61</v>
      </c>
      <c r="GD24" s="62">
        <f>SMALL($J87:$BQ87,46)</f>
        <v>61</v>
      </c>
      <c r="GE24" s="62">
        <f>SMALL($J87:$BQ87,47)</f>
        <v>61</v>
      </c>
      <c r="GF24" s="62">
        <f>SMALL($J87:$BQ87,48)</f>
        <v>61</v>
      </c>
      <c r="GG24" s="62">
        <f>SMALL($J87:$BQ87,49)</f>
        <v>61</v>
      </c>
      <c r="GH24" s="62">
        <f>SMALL($J87:$BQ87,50)</f>
        <v>61</v>
      </c>
      <c r="GI24" s="62">
        <f>SMALL($J87:$BQ87,51)</f>
        <v>61</v>
      </c>
      <c r="GJ24" s="62">
        <f>SMALL($J87:$BQ87,52)</f>
        <v>61</v>
      </c>
      <c r="GK24" s="62">
        <f>SMALL($J87:$BQ87,53)</f>
        <v>61</v>
      </c>
      <c r="GL24" s="62">
        <f>SMALL($J87:$BQ87,54)</f>
        <v>61</v>
      </c>
      <c r="GM24" s="62">
        <f>SMALL($J87:$BQ87,55)</f>
        <v>61</v>
      </c>
      <c r="GN24" s="62">
        <f>SMALL($J87:$BQ87,56)</f>
        <v>61</v>
      </c>
      <c r="GO24" s="62">
        <f>SMALL($J87:$BQ87,57)</f>
        <v>61</v>
      </c>
      <c r="GP24" s="62">
        <f>SMALL($J87:$BQ87,58)</f>
        <v>61</v>
      </c>
      <c r="GQ24" s="62">
        <f>SMALL($J87:$BQ87,59)</f>
        <v>61</v>
      </c>
      <c r="GR24" s="62">
        <f>SMALL($J87:$BQ87,60)</f>
        <v>61</v>
      </c>
      <c r="GT24" s="62">
        <f>IF(Deltagarlista!$K$3=2,
IF(GW24="1",
      IF(Arrangörslista!$U$5=1,J87,
IF(Arrangörslista!$U$5=2,K87,
IF(Arrangörslista!$U$5=3,L87,
IF(Arrangörslista!$U$5=4,M87,
IF(Arrangörslista!$U$5=5,N87,
IF(Arrangörslista!$U$5=6,O87,
IF(Arrangörslista!$U$5=7,P87,
IF(Arrangörslista!$U$5=8,Q87,
IF(Arrangörslista!$U$5=9,R87,
IF(Arrangörslista!$U$5=10,S87,
IF(Arrangörslista!$U$5=11,T87,
IF(Arrangörslista!$U$5=12,U87,
IF(Arrangörslista!$U$5=13,V87,
IF(Arrangörslista!$U$5=14,W87,
IF(Arrangörslista!$U$5=15,X87,
IF(Arrangörslista!$U$5=16,Y87,IF(Arrangörslista!$U$5=17,Z87,IF(Arrangörslista!$U$5=18,AA87,IF(Arrangörslista!$U$5=19,AB87,IF(Arrangörslista!$U$5=20,AC87,IF(Arrangörslista!$U$5=21,AD87,IF(Arrangörslista!$U$5=22,AE87,IF(Arrangörslista!$U$5=23,AF87, IF(Arrangörslista!$U$5=24,AG87, IF(Arrangörslista!$U$5=25,AH87, IF(Arrangörslista!$U$5=26,AI87, IF(Arrangörslista!$U$5=27,AJ87, IF(Arrangörslista!$U$5=28,AK87, IF(Arrangörslista!$U$5=29,AL87, IF(Arrangörslista!$U$5=30,AM87, IF(Arrangörslista!$U$5=31,AN87, IF(Arrangörslista!$U$5=32,AO87, IF(Arrangörslista!$U$5=33,AP87, IF(Arrangörslista!$U$5=34,AQ87, IF(Arrangörslista!$U$5=35,AR87, IF(Arrangörslista!$U$5=36,AS87, IF(Arrangörslista!$U$5=37,AT87, IF(Arrangörslista!$U$5=38,AU87, IF(Arrangörslista!$U$5=39,AV87, IF(Arrangörslista!$U$5=40,AW87, IF(Arrangörslista!$U$5=41,AX87, IF(Arrangörslista!$U$5=42,AY87, IF(Arrangörslista!$U$5=43,AZ87, IF(Arrangörslista!$U$5=44,BA87, IF(Arrangörslista!$U$5=45,BB87, IF(Arrangörslista!$U$5=46,BC87, IF(Arrangörslista!$U$5=47,BD87, IF(Arrangörslista!$U$5=48,BE87, IF(Arrangörslista!$U$5=49,BF87, IF(Arrangörslista!$U$5=50,BG87, IF(Arrangörslista!$U$5=51,BH87, IF(Arrangörslista!$U$5=52,BI87, IF(Arrangörslista!$U$5=53,BJ87, IF(Arrangörslista!$U$5=54,BK87, IF(Arrangörslista!$U$5=55,BL87, IF(Arrangörslista!$U$5=56,BM87, IF(Arrangörslista!$U$5=57,BN87, IF(Arrangörslista!$U$5=58,BO87, IF(Arrangörslista!$U$5=59,BP87, IF(Arrangörslista!$U$5=60,BQ87,0))))))))))))))))))))))))))))))))))))))))))))))))))))))))))))),IF(Deltagarlista!$K$3=4, IF(Arrangörslista!$U$5=1,J87,
IF(Arrangörslista!$U$5=2,J87,
IF(Arrangörslista!$U$5=3,K87,
IF(Arrangörslista!$U$5=4,K87,
IF(Arrangörslista!$U$5=5,L87,
IF(Arrangörslista!$U$5=6,L87,
IF(Arrangörslista!$U$5=7,M87,
IF(Arrangörslista!$U$5=8,M87,
IF(Arrangörslista!$U$5=9,N87,
IF(Arrangörslista!$U$5=10,N87,
IF(Arrangörslista!$U$5=11,O87,
IF(Arrangörslista!$U$5=12,O87,
IF(Arrangörslista!$U$5=13,P87,
IF(Arrangörslista!$U$5=14,P87,
IF(Arrangörslista!$U$5=15,Q87,
IF(Arrangörslista!$U$5=16,Q87,
IF(Arrangörslista!$U$5=17,R87,
IF(Arrangörslista!$U$5=18,R87,
IF(Arrangörslista!$U$5=19,S87,
IF(Arrangörslista!$U$5=20,S87,
IF(Arrangörslista!$U$5=21,T87,
IF(Arrangörslista!$U$5=22,T87,IF(Arrangörslista!$U$5=23,U87, IF(Arrangörslista!$U$5=24,U87, IF(Arrangörslista!$U$5=25,V87, IF(Arrangörslista!$U$5=26,V87, IF(Arrangörslista!$U$5=27,W87, IF(Arrangörslista!$U$5=28,W87, IF(Arrangörslista!$U$5=29,X87, IF(Arrangörslista!$U$5=30,X87, IF(Arrangörslista!$U$5=31,X87, IF(Arrangörslista!$U$5=32,Y87, IF(Arrangörslista!$U$5=33,AO87, IF(Arrangörslista!$U$5=34,Y87, IF(Arrangörslista!$U$5=35,Z87, IF(Arrangörslista!$U$5=36,AR87, IF(Arrangörslista!$U$5=37,Z87, IF(Arrangörslista!$U$5=38,AA87, IF(Arrangörslista!$U$5=39,AU87, IF(Arrangörslista!$U$5=40,AA87, IF(Arrangörslista!$U$5=41,AB87, IF(Arrangörslista!$U$5=42,AX87, IF(Arrangörslista!$U$5=43,AB87, IF(Arrangörslista!$U$5=44,AC87, IF(Arrangörslista!$U$5=45,BA87, IF(Arrangörslista!$U$5=46,AC87, IF(Arrangörslista!$U$5=47,AD87, IF(Arrangörslista!$U$5=48,BD87, IF(Arrangörslista!$U$5=49,AD87, IF(Arrangörslista!$U$5=50,AE87, IF(Arrangörslista!$U$5=51,BG87, IF(Arrangörslista!$U$5=52,AE87, IF(Arrangörslista!$U$5=53,AF87, IF(Arrangörslista!$U$5=54,BJ87, IF(Arrangörslista!$U$5=55,AF87, IF(Arrangörslista!$U$5=56,AG87, IF(Arrangörslista!$U$5=57,BM87, IF(Arrangörslista!$U$5=58,AG87, IF(Arrangörslista!$U$5=59,AH87, IF(Arrangörslista!$U$5=60,AH87,0)))))))))))))))))))))))))))))))))))))))))))))))))))))))))))),IF(Arrangörslista!$U$5=1,J87,
IF(Arrangörslista!$U$5=2,K87,
IF(Arrangörslista!$U$5=3,L87,
IF(Arrangörslista!$U$5=4,M87,
IF(Arrangörslista!$U$5=5,N87,
IF(Arrangörslista!$U$5=6,O87,
IF(Arrangörslista!$U$5=7,P87,
IF(Arrangörslista!$U$5=8,Q87,
IF(Arrangörslista!$U$5=9,R87,
IF(Arrangörslista!$U$5=10,S87,
IF(Arrangörslista!$U$5=11,T87,
IF(Arrangörslista!$U$5=12,U87,
IF(Arrangörslista!$U$5=13,V87,
IF(Arrangörslista!$U$5=14,W87,
IF(Arrangörslista!$U$5=15,X87,
IF(Arrangörslista!$U$5=16,Y87,IF(Arrangörslista!$U$5=17,Z87,IF(Arrangörslista!$U$5=18,AA87,IF(Arrangörslista!$U$5=19,AB87,IF(Arrangörslista!$U$5=20,AC87,IF(Arrangörslista!$U$5=21,AD87,IF(Arrangörslista!$U$5=22,AE87,IF(Arrangörslista!$U$5=23,AF87, IF(Arrangörslista!$U$5=24,AG87, IF(Arrangörslista!$U$5=25,AH87, IF(Arrangörslista!$U$5=26,AI87, IF(Arrangörslista!$U$5=27,AJ87, IF(Arrangörslista!$U$5=28,AK87, IF(Arrangörslista!$U$5=29,AL87, IF(Arrangörslista!$U$5=30,AM87, IF(Arrangörslista!$U$5=31,AN87, IF(Arrangörslista!$U$5=32,AO87, IF(Arrangörslista!$U$5=33,AP87, IF(Arrangörslista!$U$5=34,AQ87, IF(Arrangörslista!$U$5=35,AR87, IF(Arrangörslista!$U$5=36,AS87, IF(Arrangörslista!$U$5=37,AT87, IF(Arrangörslista!$U$5=38,AU87, IF(Arrangörslista!$U$5=39,AV87, IF(Arrangörslista!$U$5=40,AW87, IF(Arrangörslista!$U$5=41,AX87, IF(Arrangörslista!$U$5=42,AY87, IF(Arrangörslista!$U$5=43,AZ87, IF(Arrangörslista!$U$5=44,BA87, IF(Arrangörslista!$U$5=45,BB87, IF(Arrangörslista!$U$5=46,BC87, IF(Arrangörslista!$U$5=47,BD87, IF(Arrangörslista!$U$5=48,BE87, IF(Arrangörslista!$U$5=49,BF87, IF(Arrangörslista!$U$5=50,BG87, IF(Arrangörslista!$U$5=51,BH87, IF(Arrangörslista!$U$5=52,BI87, IF(Arrangörslista!$U$5=53,BJ87, IF(Arrangörslista!$U$5=54,BK87, IF(Arrangörslista!$U$5=55,BL87, IF(Arrangörslista!$U$5=56,BM87, IF(Arrangörslista!$U$5=57,BN87, IF(Arrangörslista!$U$5=58,BO87, IF(Arrangörslista!$U$5=59,BP87, IF(Arrangörslista!$U$5=60,BQ87,0))))))))))))))))))))))))))))))))))))))))))))))))))))))))))))
))</f>
        <v>0</v>
      </c>
      <c r="GV24" s="65" t="str">
        <f>IFERROR(IF(VLOOKUP(F24,Deltagarlista!$E$5:$I$64,5,FALSE)="Grön","Gr",IF(VLOOKUP(F24,Deltagarlista!$E$5:$I$64,5,FALSE)="Röd","R",IF(VLOOKUP(F24,Deltagarlista!$E$5:$I$64,5,FALSE)="Blå","B","Gu"))),"")</f>
        <v/>
      </c>
      <c r="GW24" s="62" t="str">
        <f t="shared" si="1"/>
        <v/>
      </c>
    </row>
    <row r="25" spans="2:205" x14ac:dyDescent="0.3">
      <c r="B25" s="23" t="str">
        <f>IF($BW$3&gt;21,22,"")</f>
        <v/>
      </c>
      <c r="C25" s="92" t="str">
        <f>IF(ISBLANK(Deltagarlista!C24),"",Deltagarlista!C24)</f>
        <v/>
      </c>
      <c r="D25" s="109" t="str">
        <f>CONCATENATE(IF(AND(Deltagarlista!H24="GM",Deltagarlista!$S$14=TRUE),"GM   ",""),  IF(OR(Deltagarlista!$K$3=4,Deltagarlista!$K$3=2),Deltagarlista!I24,""))</f>
        <v/>
      </c>
      <c r="E25" s="8" t="str">
        <f>IF(ISBLANK(Deltagarlista!D24),"",Deltagarlista!D24)</f>
        <v/>
      </c>
      <c r="F25" s="8" t="str">
        <f>IF(ISBLANK(Deltagarlista!E24),"",Deltagarlista!E24)</f>
        <v/>
      </c>
      <c r="G25" s="95" t="str">
        <f>IF(ISBLANK(Deltagarlista!F24),"",Deltagarlista!F24)</f>
        <v/>
      </c>
      <c r="H25" s="72" t="str">
        <f>IF(ISBLANK(Deltagarlista!C24),"",BU25-EE25)</f>
        <v/>
      </c>
      <c r="I25" s="13" t="str">
        <f>IF(ISBLANK(Deltagarlista!C24),"",IF(AND(Deltagarlista!$K$3=2,Deltagarlista!$L$3&lt;37),SUM(SUM(BV25:EC25)-(ROUNDDOWN(Arrangörslista!$U$5/3,1))*($BW$3+1)),SUM(BV25:EC25)))</f>
        <v/>
      </c>
      <c r="J25" s="79" t="str">
        <f>IF(Deltagarlista!$K$3=4,IF(ISBLANK(Deltagarlista!$C24),"",IF(ISBLANK(Arrangörslista!C$8),"",IFERROR(VLOOKUP($F25,Arrangörslista!C$8:$AG$45,16,FALSE),IF(ISBLANK(Deltagarlista!$C24),"",IF(ISBLANK(Arrangörslista!C$8),"",IFERROR(VLOOKUP($F25,Arrangörslista!D$8:$AG$45,16,FALSE),"DNS")))))),IF(Deltagarlista!$K$3=2,
IF(ISBLANK(Deltagarlista!$C24),"",IF(ISBLANK(Arrangörslista!C$8),"",IF($GV25=J$64," DNS ",IFERROR(VLOOKUP($F25,Arrangörslista!C$8:$AG$45,16,FALSE),"DNS")))),IF(ISBLANK(Deltagarlista!$C24),"",IF(ISBLANK(Arrangörslista!C$8),"",IFERROR(VLOOKUP($F25,Arrangörslista!C$8:$AG$45,16,FALSE),"DNS")))))</f>
        <v/>
      </c>
      <c r="K25" s="5" t="str">
        <f>IF(Deltagarlista!$K$3=4,IF(ISBLANK(Deltagarlista!$C24),"",IF(ISBLANK(Arrangörslista!E$8),"",IFERROR(VLOOKUP($F25,Arrangörslista!E$8:$AG$45,16,FALSE),IF(ISBLANK(Deltagarlista!$C24),"",IF(ISBLANK(Arrangörslista!E$8),"",IFERROR(VLOOKUP($F25,Arrangörslista!F$8:$AG$45,16,FALSE),"DNS")))))),IF(Deltagarlista!$K$3=2,
IF(ISBLANK(Deltagarlista!$C24),"",IF(ISBLANK(Arrangörslista!D$8),"",IF($GV25=K$64," DNS ",IFERROR(VLOOKUP($F25,Arrangörslista!D$8:$AG$45,16,FALSE),"DNS")))),IF(ISBLANK(Deltagarlista!$C24),"",IF(ISBLANK(Arrangörslista!D$8),"",IFERROR(VLOOKUP($F25,Arrangörslista!D$8:$AG$45,16,FALSE),"DNS")))))</f>
        <v/>
      </c>
      <c r="L25" s="5" t="str">
        <f>IF(Deltagarlista!$K$3=4,IF(ISBLANK(Deltagarlista!$C24),"",IF(ISBLANK(Arrangörslista!G$8),"",IFERROR(VLOOKUP($F25,Arrangörslista!G$8:$AG$45,16,FALSE),IF(ISBLANK(Deltagarlista!$C24),"",IF(ISBLANK(Arrangörslista!G$8),"",IFERROR(VLOOKUP($F25,Arrangörslista!H$8:$AG$45,16,FALSE),"DNS")))))),IF(Deltagarlista!$K$3=2,
IF(ISBLANK(Deltagarlista!$C24),"",IF(ISBLANK(Arrangörslista!E$8),"",IF($GV25=L$64," DNS ",IFERROR(VLOOKUP($F25,Arrangörslista!E$8:$AG$45,16,FALSE),"DNS")))),IF(ISBLANK(Deltagarlista!$C24),"",IF(ISBLANK(Arrangörslista!E$8),"",IFERROR(VLOOKUP($F25,Arrangörslista!E$8:$AG$45,16,FALSE),"DNS")))))</f>
        <v/>
      </c>
      <c r="M25" s="5" t="str">
        <f>IF(Deltagarlista!$K$3=4,IF(ISBLANK(Deltagarlista!$C24),"",IF(ISBLANK(Arrangörslista!I$8),"",IFERROR(VLOOKUP($F25,Arrangörslista!I$8:$AG$45,16,FALSE),IF(ISBLANK(Deltagarlista!$C24),"",IF(ISBLANK(Arrangörslista!I$8),"",IFERROR(VLOOKUP($F25,Arrangörslista!J$8:$AG$45,16,FALSE),"DNS")))))),IF(Deltagarlista!$K$3=2,
IF(ISBLANK(Deltagarlista!$C24),"",IF(ISBLANK(Arrangörslista!F$8),"",IF($GV25=M$64," DNS ",IFERROR(VLOOKUP($F25,Arrangörslista!F$8:$AG$45,16,FALSE),"DNS")))),IF(ISBLANK(Deltagarlista!$C24),"",IF(ISBLANK(Arrangörslista!F$8),"",IFERROR(VLOOKUP($F25,Arrangörslista!F$8:$AG$45,16,FALSE),"DNS")))))</f>
        <v/>
      </c>
      <c r="N25" s="5" t="str">
        <f>IF(Deltagarlista!$K$3=4,IF(ISBLANK(Deltagarlista!$C24),"",IF(ISBLANK(Arrangörslista!K$8),"",IFERROR(VLOOKUP($F25,Arrangörslista!K$8:$AG$45,16,FALSE),IF(ISBLANK(Deltagarlista!$C24),"",IF(ISBLANK(Arrangörslista!K$8),"",IFERROR(VLOOKUP($F25,Arrangörslista!L$8:$AG$45,16,FALSE),"DNS")))))),IF(Deltagarlista!$K$3=2,
IF(ISBLANK(Deltagarlista!$C24),"",IF(ISBLANK(Arrangörslista!G$8),"",IF($GV25=N$64," DNS ",IFERROR(VLOOKUP($F25,Arrangörslista!G$8:$AG$45,16,FALSE),"DNS")))),IF(ISBLANK(Deltagarlista!$C24),"",IF(ISBLANK(Arrangörslista!G$8),"",IFERROR(VLOOKUP($F25,Arrangörslista!G$8:$AG$45,16,FALSE),"DNS")))))</f>
        <v/>
      </c>
      <c r="O25" s="5" t="str">
        <f>IF(Deltagarlista!$K$3=4,IF(ISBLANK(Deltagarlista!$C24),"",IF(ISBLANK(Arrangörslista!M$8),"",IFERROR(VLOOKUP($F25,Arrangörslista!M$8:$AG$45,16,FALSE),IF(ISBLANK(Deltagarlista!$C24),"",IF(ISBLANK(Arrangörslista!M$8),"",IFERROR(VLOOKUP($F25,Arrangörslista!N$8:$AG$45,16,FALSE),"DNS")))))),IF(Deltagarlista!$K$3=2,
IF(ISBLANK(Deltagarlista!$C24),"",IF(ISBLANK(Arrangörslista!H$8),"",IF($GV25=O$64," DNS ",IFERROR(VLOOKUP($F25,Arrangörslista!H$8:$AG$45,16,FALSE),"DNS")))),IF(ISBLANK(Deltagarlista!$C24),"",IF(ISBLANK(Arrangörslista!H$8),"",IFERROR(VLOOKUP($F25,Arrangörslista!H$8:$AG$45,16,FALSE),"DNS")))))</f>
        <v/>
      </c>
      <c r="P25" s="5" t="str">
        <f>IF(Deltagarlista!$K$3=4,IF(ISBLANK(Deltagarlista!$C24),"",IF(ISBLANK(Arrangörslista!O$8),"",IFERROR(VLOOKUP($F25,Arrangörslista!O$8:$AG$45,16,FALSE),IF(ISBLANK(Deltagarlista!$C24),"",IF(ISBLANK(Arrangörslista!O$8),"",IFERROR(VLOOKUP($F25,Arrangörslista!P$8:$AG$45,16,FALSE),"DNS")))))),IF(Deltagarlista!$K$3=2,
IF(ISBLANK(Deltagarlista!$C24),"",IF(ISBLANK(Arrangörslista!I$8),"",IF($GV25=P$64," DNS ",IFERROR(VLOOKUP($F25,Arrangörslista!I$8:$AG$45,16,FALSE),"DNS")))),IF(ISBLANK(Deltagarlista!$C24),"",IF(ISBLANK(Arrangörslista!I$8),"",IFERROR(VLOOKUP($F25,Arrangörslista!I$8:$AG$45,16,FALSE),"DNS")))))</f>
        <v/>
      </c>
      <c r="Q25" s="5" t="str">
        <f>IF(Deltagarlista!$K$3=4,IF(ISBLANK(Deltagarlista!$C24),"",IF(ISBLANK(Arrangörslista!Q$8),"",IFERROR(VLOOKUP($F25,Arrangörslista!Q$8:$AG$45,16,FALSE),IF(ISBLANK(Deltagarlista!$C24),"",IF(ISBLANK(Arrangörslista!Q$8),"",IFERROR(VLOOKUP($F25,Arrangörslista!C$53:$AG$90,16,FALSE),"DNS")))))),IF(Deltagarlista!$K$3=2,
IF(ISBLANK(Deltagarlista!$C24),"",IF(ISBLANK(Arrangörslista!J$8),"",IF($GV25=Q$64," DNS ",IFERROR(VLOOKUP($F25,Arrangörslista!J$8:$AG$45,16,FALSE),"DNS")))),IF(ISBLANK(Deltagarlista!$C24),"",IF(ISBLANK(Arrangörslista!J$8),"",IFERROR(VLOOKUP($F25,Arrangörslista!J$8:$AG$45,16,FALSE),"DNS")))))</f>
        <v/>
      </c>
      <c r="R25" s="5" t="str">
        <f>IF(Deltagarlista!$K$3=4,IF(ISBLANK(Deltagarlista!$C24),"",IF(ISBLANK(Arrangörslista!D$53),"",IFERROR(VLOOKUP($F25,Arrangörslista!D$53:$AG$90,16,FALSE),IF(ISBLANK(Deltagarlista!$C24),"",IF(ISBLANK(Arrangörslista!D$53),"",IFERROR(VLOOKUP($F25,Arrangörslista!E$53:$AG$90,16,FALSE),"DNS")))))),IF(Deltagarlista!$K$3=2,
IF(ISBLANK(Deltagarlista!$C24),"",IF(ISBLANK(Arrangörslista!K$8),"",IF($GV25=R$64," DNS ",IFERROR(VLOOKUP($F25,Arrangörslista!K$8:$AG$45,16,FALSE),"DNS")))),IF(ISBLANK(Deltagarlista!$C24),"",IF(ISBLANK(Arrangörslista!K$8),"",IFERROR(VLOOKUP($F25,Arrangörslista!K$8:$AG$45,16,FALSE),"DNS")))))</f>
        <v/>
      </c>
      <c r="S25" s="5" t="str">
        <f>IF(Deltagarlista!$K$3=4,IF(ISBLANK(Deltagarlista!$C24),"",IF(ISBLANK(Arrangörslista!F$53),"",IFERROR(VLOOKUP($F25,Arrangörslista!F$53:$AG$90,16,FALSE),IF(ISBLANK(Deltagarlista!$C24),"",IF(ISBLANK(Arrangörslista!F$53),"",IFERROR(VLOOKUP($F25,Arrangörslista!G$53:$AG$90,16,FALSE),"DNS")))))),IF(Deltagarlista!$K$3=2,
IF(ISBLANK(Deltagarlista!$C24),"",IF(ISBLANK(Arrangörslista!L$8),"",IF($GV25=S$64," DNS ",IFERROR(VLOOKUP($F25,Arrangörslista!L$8:$AG$45,16,FALSE),"DNS")))),IF(ISBLANK(Deltagarlista!$C24),"",IF(ISBLANK(Arrangörslista!L$8),"",IFERROR(VLOOKUP($F25,Arrangörslista!L$8:$AG$45,16,FALSE),"DNS")))))</f>
        <v/>
      </c>
      <c r="T25" s="5" t="str">
        <f>IF(Deltagarlista!$K$3=4,IF(ISBLANK(Deltagarlista!$C24),"",IF(ISBLANK(Arrangörslista!H$53),"",IFERROR(VLOOKUP($F25,Arrangörslista!H$53:$AG$90,16,FALSE),IF(ISBLANK(Deltagarlista!$C24),"",IF(ISBLANK(Arrangörslista!H$53),"",IFERROR(VLOOKUP($F25,Arrangörslista!I$53:$AG$90,16,FALSE),"DNS")))))),IF(Deltagarlista!$K$3=2,
IF(ISBLANK(Deltagarlista!$C24),"",IF(ISBLANK(Arrangörslista!M$8),"",IF($GV25=T$64," DNS ",IFERROR(VLOOKUP($F25,Arrangörslista!M$8:$AG$45,16,FALSE),"DNS")))),IF(ISBLANK(Deltagarlista!$C24),"",IF(ISBLANK(Arrangörslista!M$8),"",IFERROR(VLOOKUP($F25,Arrangörslista!M$8:$AG$45,16,FALSE),"DNS")))))</f>
        <v/>
      </c>
      <c r="U25" s="5" t="str">
        <f>IF(Deltagarlista!$K$3=4,IF(ISBLANK(Deltagarlista!$C24),"",IF(ISBLANK(Arrangörslista!J$53),"",IFERROR(VLOOKUP($F25,Arrangörslista!J$53:$AG$90,16,FALSE),IF(ISBLANK(Deltagarlista!$C24),"",IF(ISBLANK(Arrangörslista!J$53),"",IFERROR(VLOOKUP($F25,Arrangörslista!K$53:$AG$90,16,FALSE),"DNS")))))),IF(Deltagarlista!$K$3=2,
IF(ISBLANK(Deltagarlista!$C24),"",IF(ISBLANK(Arrangörslista!N$8),"",IF($GV25=U$64," DNS ",IFERROR(VLOOKUP($F25,Arrangörslista!N$8:$AG$45,16,FALSE),"DNS")))),IF(ISBLANK(Deltagarlista!$C24),"",IF(ISBLANK(Arrangörslista!N$8),"",IFERROR(VLOOKUP($F25,Arrangörslista!N$8:$AG$45,16,FALSE),"DNS")))))</f>
        <v/>
      </c>
      <c r="V25" s="5" t="str">
        <f>IF(Deltagarlista!$K$3=4,IF(ISBLANK(Deltagarlista!$C24),"",IF(ISBLANK(Arrangörslista!L$53),"",IFERROR(VLOOKUP($F25,Arrangörslista!L$53:$AG$90,16,FALSE),IF(ISBLANK(Deltagarlista!$C24),"",IF(ISBLANK(Arrangörslista!L$53),"",IFERROR(VLOOKUP($F25,Arrangörslista!M$53:$AG$90,16,FALSE),"DNS")))))),IF(Deltagarlista!$K$3=2,
IF(ISBLANK(Deltagarlista!$C24),"",IF(ISBLANK(Arrangörslista!O$8),"",IF($GV25=V$64," DNS ",IFERROR(VLOOKUP($F25,Arrangörslista!O$8:$AG$45,16,FALSE),"DNS")))),IF(ISBLANK(Deltagarlista!$C24),"",IF(ISBLANK(Arrangörslista!O$8),"",IFERROR(VLOOKUP($F25,Arrangörslista!O$8:$AG$45,16,FALSE),"DNS")))))</f>
        <v/>
      </c>
      <c r="W25" s="5" t="str">
        <f>IF(Deltagarlista!$K$3=4,IF(ISBLANK(Deltagarlista!$C24),"",IF(ISBLANK(Arrangörslista!N$53),"",IFERROR(VLOOKUP($F25,Arrangörslista!N$53:$AG$90,16,FALSE),IF(ISBLANK(Deltagarlista!$C24),"",IF(ISBLANK(Arrangörslista!N$53),"",IFERROR(VLOOKUP($F25,Arrangörslista!O$53:$AG$90,16,FALSE),"DNS")))))),IF(Deltagarlista!$K$3=2,
IF(ISBLANK(Deltagarlista!$C24),"",IF(ISBLANK(Arrangörslista!P$8),"",IF($GV25=W$64," DNS ",IFERROR(VLOOKUP($F25,Arrangörslista!P$8:$AG$45,16,FALSE),"DNS")))),IF(ISBLANK(Deltagarlista!$C24),"",IF(ISBLANK(Arrangörslista!P$8),"",IFERROR(VLOOKUP($F25,Arrangörslista!P$8:$AG$45,16,FALSE),"DNS")))))</f>
        <v/>
      </c>
      <c r="X25" s="5" t="str">
        <f>IF(Deltagarlista!$K$3=4,IF(ISBLANK(Deltagarlista!$C24),"",IF(ISBLANK(Arrangörslista!P$53),"",IFERROR(VLOOKUP($F25,Arrangörslista!P$53:$AG$90,16,FALSE),IF(ISBLANK(Deltagarlista!$C24),"",IF(ISBLANK(Arrangörslista!P$53),"",IFERROR(VLOOKUP($F25,Arrangörslista!Q$53:$AG$90,16,FALSE),"DNS")))))),IF(Deltagarlista!$K$3=2,
IF(ISBLANK(Deltagarlista!$C24),"",IF(ISBLANK(Arrangörslista!Q$8),"",IF($GV25=X$64," DNS ",IFERROR(VLOOKUP($F25,Arrangörslista!Q$8:$AG$45,16,FALSE),"DNS")))),IF(ISBLANK(Deltagarlista!$C24),"",IF(ISBLANK(Arrangörslista!Q$8),"",IFERROR(VLOOKUP($F25,Arrangörslista!Q$8:$AG$45,16,FALSE),"DNS")))))</f>
        <v/>
      </c>
      <c r="Y25" s="5" t="str">
        <f>IF(Deltagarlista!$K$3=4,IF(ISBLANK(Deltagarlista!$C24),"",IF(ISBLANK(Arrangörslista!C$98),"",IFERROR(VLOOKUP($F25,Arrangörslista!C$98:$AG$135,16,FALSE),IF(ISBLANK(Deltagarlista!$C24),"",IF(ISBLANK(Arrangörslista!C$98),"",IFERROR(VLOOKUP($F25,Arrangörslista!D$98:$AG$135,16,FALSE),"DNS")))))),IF(Deltagarlista!$K$3=2,
IF(ISBLANK(Deltagarlista!$C24),"",IF(ISBLANK(Arrangörslista!C$53),"",IF($GV25=Y$64," DNS ",IFERROR(VLOOKUP($F25,Arrangörslista!C$53:$AG$90,16,FALSE),"DNS")))),IF(ISBLANK(Deltagarlista!$C24),"",IF(ISBLANK(Arrangörslista!C$53),"",IFERROR(VLOOKUP($F25,Arrangörslista!C$53:$AG$90,16,FALSE),"DNS")))))</f>
        <v/>
      </c>
      <c r="Z25" s="5" t="str">
        <f>IF(Deltagarlista!$K$3=4,IF(ISBLANK(Deltagarlista!$C24),"",IF(ISBLANK(Arrangörslista!E$98),"",IFERROR(VLOOKUP($F25,Arrangörslista!E$98:$AG$135,16,FALSE),IF(ISBLANK(Deltagarlista!$C24),"",IF(ISBLANK(Arrangörslista!E$98),"",IFERROR(VLOOKUP($F25,Arrangörslista!F$98:$AG$135,16,FALSE),"DNS")))))),IF(Deltagarlista!$K$3=2,
IF(ISBLANK(Deltagarlista!$C24),"",IF(ISBLANK(Arrangörslista!D$53),"",IF($GV25=Z$64," DNS ",IFERROR(VLOOKUP($F25,Arrangörslista!D$53:$AG$90,16,FALSE),"DNS")))),IF(ISBLANK(Deltagarlista!$C24),"",IF(ISBLANK(Arrangörslista!D$53),"",IFERROR(VLOOKUP($F25,Arrangörslista!D$53:$AG$90,16,FALSE),"DNS")))))</f>
        <v/>
      </c>
      <c r="AA25" s="5" t="str">
        <f>IF(Deltagarlista!$K$3=4,IF(ISBLANK(Deltagarlista!$C24),"",IF(ISBLANK(Arrangörslista!G$98),"",IFERROR(VLOOKUP($F25,Arrangörslista!G$98:$AG$135,16,FALSE),IF(ISBLANK(Deltagarlista!$C24),"",IF(ISBLANK(Arrangörslista!G$98),"",IFERROR(VLOOKUP($F25,Arrangörslista!H$98:$AG$135,16,FALSE),"DNS")))))),IF(Deltagarlista!$K$3=2,
IF(ISBLANK(Deltagarlista!$C24),"",IF(ISBLANK(Arrangörslista!E$53),"",IF($GV25=AA$64," DNS ",IFERROR(VLOOKUP($F25,Arrangörslista!E$53:$AG$90,16,FALSE),"DNS")))),IF(ISBLANK(Deltagarlista!$C24),"",IF(ISBLANK(Arrangörslista!E$53),"",IFERROR(VLOOKUP($F25,Arrangörslista!E$53:$AG$90,16,FALSE),"DNS")))))</f>
        <v/>
      </c>
      <c r="AB25" s="5" t="str">
        <f>IF(Deltagarlista!$K$3=4,IF(ISBLANK(Deltagarlista!$C24),"",IF(ISBLANK(Arrangörslista!I$98),"",IFERROR(VLOOKUP($F25,Arrangörslista!I$98:$AG$135,16,FALSE),IF(ISBLANK(Deltagarlista!$C24),"",IF(ISBLANK(Arrangörslista!I$98),"",IFERROR(VLOOKUP($F25,Arrangörslista!J$98:$AG$135,16,FALSE),"DNS")))))),IF(Deltagarlista!$K$3=2,
IF(ISBLANK(Deltagarlista!$C24),"",IF(ISBLANK(Arrangörslista!F$53),"",IF($GV25=AB$64," DNS ",IFERROR(VLOOKUP($F25,Arrangörslista!F$53:$AG$90,16,FALSE),"DNS")))),IF(ISBLANK(Deltagarlista!$C24),"",IF(ISBLANK(Arrangörslista!F$53),"",IFERROR(VLOOKUP($F25,Arrangörslista!F$53:$AG$90,16,FALSE),"DNS")))))</f>
        <v/>
      </c>
      <c r="AC25" s="5" t="str">
        <f>IF(Deltagarlista!$K$3=4,IF(ISBLANK(Deltagarlista!$C24),"",IF(ISBLANK(Arrangörslista!K$98),"",IFERROR(VLOOKUP($F25,Arrangörslista!K$98:$AG$135,16,FALSE),IF(ISBLANK(Deltagarlista!$C24),"",IF(ISBLANK(Arrangörslista!K$98),"",IFERROR(VLOOKUP($F25,Arrangörslista!L$98:$AG$135,16,FALSE),"DNS")))))),IF(Deltagarlista!$K$3=2,
IF(ISBLANK(Deltagarlista!$C24),"",IF(ISBLANK(Arrangörslista!G$53),"",IF($GV25=AC$64," DNS ",IFERROR(VLOOKUP($F25,Arrangörslista!G$53:$AG$90,16,FALSE),"DNS")))),IF(ISBLANK(Deltagarlista!$C24),"",IF(ISBLANK(Arrangörslista!G$53),"",IFERROR(VLOOKUP($F25,Arrangörslista!G$53:$AG$90,16,FALSE),"DNS")))))</f>
        <v/>
      </c>
      <c r="AD25" s="5" t="str">
        <f>IF(Deltagarlista!$K$3=4,IF(ISBLANK(Deltagarlista!$C24),"",IF(ISBLANK(Arrangörslista!M$98),"",IFERROR(VLOOKUP($F25,Arrangörslista!M$98:$AG$135,16,FALSE),IF(ISBLANK(Deltagarlista!$C24),"",IF(ISBLANK(Arrangörslista!M$98),"",IFERROR(VLOOKUP($F25,Arrangörslista!N$98:$AG$135,16,FALSE),"DNS")))))),IF(Deltagarlista!$K$3=2,
IF(ISBLANK(Deltagarlista!$C24),"",IF(ISBLANK(Arrangörslista!H$53),"",IF($GV25=AD$64," DNS ",IFERROR(VLOOKUP($F25,Arrangörslista!H$53:$AG$90,16,FALSE),"DNS")))),IF(ISBLANK(Deltagarlista!$C24),"",IF(ISBLANK(Arrangörslista!H$53),"",IFERROR(VLOOKUP($F25,Arrangörslista!H$53:$AG$90,16,FALSE),"DNS")))))</f>
        <v/>
      </c>
      <c r="AE25" s="5" t="str">
        <f>IF(Deltagarlista!$K$3=4,IF(ISBLANK(Deltagarlista!$C24),"",IF(ISBLANK(Arrangörslista!O$98),"",IFERROR(VLOOKUP($F25,Arrangörslista!O$98:$AG$135,16,FALSE),IF(ISBLANK(Deltagarlista!$C24),"",IF(ISBLANK(Arrangörslista!O$98),"",IFERROR(VLOOKUP($F25,Arrangörslista!P$98:$AG$135,16,FALSE),"DNS")))))),IF(Deltagarlista!$K$3=2,
IF(ISBLANK(Deltagarlista!$C24),"",IF(ISBLANK(Arrangörslista!I$53),"",IF($GV25=AE$64," DNS ",IFERROR(VLOOKUP($F25,Arrangörslista!I$53:$AG$90,16,FALSE),"DNS")))),IF(ISBLANK(Deltagarlista!$C24),"",IF(ISBLANK(Arrangörslista!I$53),"",IFERROR(VLOOKUP($F25,Arrangörslista!I$53:$AG$90,16,FALSE),"DNS")))))</f>
        <v/>
      </c>
      <c r="AF25" s="5" t="str">
        <f>IF(Deltagarlista!$K$3=4,IF(ISBLANK(Deltagarlista!$C24),"",IF(ISBLANK(Arrangörslista!Q$98),"",IFERROR(VLOOKUP($F25,Arrangörslista!Q$98:$AG$135,16,FALSE),IF(ISBLANK(Deltagarlista!$C24),"",IF(ISBLANK(Arrangörslista!Q$98),"",IFERROR(VLOOKUP($F25,Arrangörslista!C$143:$AG$180,16,FALSE),"DNS")))))),IF(Deltagarlista!$K$3=2,
IF(ISBLANK(Deltagarlista!$C24),"",IF(ISBLANK(Arrangörslista!J$53),"",IF($GV25=AF$64," DNS ",IFERROR(VLOOKUP($F25,Arrangörslista!J$53:$AG$90,16,FALSE),"DNS")))),IF(ISBLANK(Deltagarlista!$C24),"",IF(ISBLANK(Arrangörslista!J$53),"",IFERROR(VLOOKUP($F25,Arrangörslista!J$53:$AG$90,16,FALSE),"DNS")))))</f>
        <v/>
      </c>
      <c r="AG25" s="5" t="str">
        <f>IF(Deltagarlista!$K$3=4,IF(ISBLANK(Deltagarlista!$C24),"",IF(ISBLANK(Arrangörslista!D$143),"",IFERROR(VLOOKUP($F25,Arrangörslista!D$143:$AG$180,16,FALSE),IF(ISBLANK(Deltagarlista!$C24),"",IF(ISBLANK(Arrangörslista!D$143),"",IFERROR(VLOOKUP($F25,Arrangörslista!E$143:$AG$180,16,FALSE),"DNS")))))),IF(Deltagarlista!$K$3=2,
IF(ISBLANK(Deltagarlista!$C24),"",IF(ISBLANK(Arrangörslista!K$53),"",IF($GV25=AG$64," DNS ",IFERROR(VLOOKUP($F25,Arrangörslista!K$53:$AG$90,16,FALSE),"DNS")))),IF(ISBLANK(Deltagarlista!$C24),"",IF(ISBLANK(Arrangörslista!K$53),"",IFERROR(VLOOKUP($F25,Arrangörslista!K$53:$AG$90,16,FALSE),"DNS")))))</f>
        <v/>
      </c>
      <c r="AH25" s="5" t="str">
        <f>IF(Deltagarlista!$K$3=4,IF(ISBLANK(Deltagarlista!$C24),"",IF(ISBLANK(Arrangörslista!F$143),"",IFERROR(VLOOKUP($F25,Arrangörslista!F$143:$AG$180,16,FALSE),IF(ISBLANK(Deltagarlista!$C24),"",IF(ISBLANK(Arrangörslista!F$143),"",IFERROR(VLOOKUP($F25,Arrangörslista!G$143:$AG$180,16,FALSE),"DNS")))))),IF(Deltagarlista!$K$3=2,
IF(ISBLANK(Deltagarlista!$C24),"",IF(ISBLANK(Arrangörslista!L$53),"",IF($GV25=AH$64," DNS ",IFERROR(VLOOKUP($F25,Arrangörslista!L$53:$AG$90,16,FALSE),"DNS")))),IF(ISBLANK(Deltagarlista!$C24),"",IF(ISBLANK(Arrangörslista!L$53),"",IFERROR(VLOOKUP($F25,Arrangörslista!L$53:$AG$90,16,FALSE),"DNS")))))</f>
        <v/>
      </c>
      <c r="AI25" s="5" t="str">
        <f>IF(Deltagarlista!$K$3=4,IF(ISBLANK(Deltagarlista!$C24),"",IF(ISBLANK(Arrangörslista!H$143),"",IFERROR(VLOOKUP($F25,Arrangörslista!H$143:$AG$180,16,FALSE),IF(ISBLANK(Deltagarlista!$C24),"",IF(ISBLANK(Arrangörslista!H$143),"",IFERROR(VLOOKUP($F25,Arrangörslista!I$143:$AG$180,16,FALSE),"DNS")))))),IF(Deltagarlista!$K$3=2,
IF(ISBLANK(Deltagarlista!$C24),"",IF(ISBLANK(Arrangörslista!M$53),"",IF($GV25=AI$64," DNS ",IFERROR(VLOOKUP($F25,Arrangörslista!M$53:$AG$90,16,FALSE),"DNS")))),IF(ISBLANK(Deltagarlista!$C24),"",IF(ISBLANK(Arrangörslista!M$53),"",IFERROR(VLOOKUP($F25,Arrangörslista!M$53:$AG$90,16,FALSE),"DNS")))))</f>
        <v/>
      </c>
      <c r="AJ25" s="5" t="str">
        <f>IF(Deltagarlista!$K$3=4,IF(ISBLANK(Deltagarlista!$C24),"",IF(ISBLANK(Arrangörslista!J$143),"",IFERROR(VLOOKUP($F25,Arrangörslista!J$143:$AG$180,16,FALSE),IF(ISBLANK(Deltagarlista!$C24),"",IF(ISBLANK(Arrangörslista!J$143),"",IFERROR(VLOOKUP($F25,Arrangörslista!K$143:$AG$180,16,FALSE),"DNS")))))),IF(Deltagarlista!$K$3=2,
IF(ISBLANK(Deltagarlista!$C24),"",IF(ISBLANK(Arrangörslista!N$53),"",IF($GV25=AJ$64," DNS ",IFERROR(VLOOKUP($F25,Arrangörslista!N$53:$AG$90,16,FALSE),"DNS")))),IF(ISBLANK(Deltagarlista!$C24),"",IF(ISBLANK(Arrangörslista!N$53),"",IFERROR(VLOOKUP($F25,Arrangörslista!N$53:$AG$90,16,FALSE),"DNS")))))</f>
        <v/>
      </c>
      <c r="AK25" s="5" t="str">
        <f>IF(Deltagarlista!$K$3=4,IF(ISBLANK(Deltagarlista!$C24),"",IF(ISBLANK(Arrangörslista!L$143),"",IFERROR(VLOOKUP($F25,Arrangörslista!L$143:$AG$180,16,FALSE),IF(ISBLANK(Deltagarlista!$C24),"",IF(ISBLANK(Arrangörslista!L$143),"",IFERROR(VLOOKUP($F25,Arrangörslista!M$143:$AG$180,16,FALSE),"DNS")))))),IF(Deltagarlista!$K$3=2,
IF(ISBLANK(Deltagarlista!$C24),"",IF(ISBLANK(Arrangörslista!O$53),"",IF($GV25=AK$64," DNS ",IFERROR(VLOOKUP($F25,Arrangörslista!O$53:$AG$90,16,FALSE),"DNS")))),IF(ISBLANK(Deltagarlista!$C24),"",IF(ISBLANK(Arrangörslista!O$53),"",IFERROR(VLOOKUP($F25,Arrangörslista!O$53:$AG$90,16,FALSE),"DNS")))))</f>
        <v/>
      </c>
      <c r="AL25" s="5" t="str">
        <f>IF(Deltagarlista!$K$3=4,IF(ISBLANK(Deltagarlista!$C24),"",IF(ISBLANK(Arrangörslista!N$143),"",IFERROR(VLOOKUP($F25,Arrangörslista!N$143:$AG$180,16,FALSE),IF(ISBLANK(Deltagarlista!$C24),"",IF(ISBLANK(Arrangörslista!N$143),"",IFERROR(VLOOKUP($F25,Arrangörslista!O$143:$AG$180,16,FALSE),"DNS")))))),IF(Deltagarlista!$K$3=2,
IF(ISBLANK(Deltagarlista!$C24),"",IF(ISBLANK(Arrangörslista!P$53),"",IF($GV25=AL$64," DNS ",IFERROR(VLOOKUP($F25,Arrangörslista!P$53:$AG$90,16,FALSE),"DNS")))),IF(ISBLANK(Deltagarlista!$C24),"",IF(ISBLANK(Arrangörslista!P$53),"",IFERROR(VLOOKUP($F25,Arrangörslista!P$53:$AG$90,16,FALSE),"DNS")))))</f>
        <v/>
      </c>
      <c r="AM25" s="5" t="str">
        <f>IF(Deltagarlista!$K$3=4,IF(ISBLANK(Deltagarlista!$C24),"",IF(ISBLANK(Arrangörslista!P$143),"",IFERROR(VLOOKUP($F25,Arrangörslista!P$143:$AG$180,16,FALSE),IF(ISBLANK(Deltagarlista!$C24),"",IF(ISBLANK(Arrangörslista!P$143),"",IFERROR(VLOOKUP($F25,Arrangörslista!Q$143:$AG$180,16,FALSE),"DNS")))))),IF(Deltagarlista!$K$3=2,
IF(ISBLANK(Deltagarlista!$C24),"",IF(ISBLANK(Arrangörslista!Q$53),"",IF($GV25=AM$64," DNS ",IFERROR(VLOOKUP($F25,Arrangörslista!Q$53:$AG$90,16,FALSE),"DNS")))),IF(ISBLANK(Deltagarlista!$C24),"",IF(ISBLANK(Arrangörslista!Q$53),"",IFERROR(VLOOKUP($F25,Arrangörslista!Q$53:$AG$90,16,FALSE),"DNS")))))</f>
        <v/>
      </c>
      <c r="AN25" s="5" t="str">
        <f>IF(Deltagarlista!$K$3=2,
IF(ISBLANK(Deltagarlista!$C24),"",IF(ISBLANK(Arrangörslista!C$98),"",IF($GV25=AN$64," DNS ",IFERROR(VLOOKUP($F25,Arrangörslista!C$98:$AG$135,16,FALSE), "DNS")))), IF(Deltagarlista!$K$3=1,IF(ISBLANK(Deltagarlista!$C24),"",IF(ISBLANK(Arrangörslista!C$98),"",IFERROR(VLOOKUP($F25,Arrangörslista!C$98:$AG$135,16,FALSE), "DNS"))),""))</f>
        <v/>
      </c>
      <c r="AO25" s="5" t="str">
        <f>IF(Deltagarlista!$K$3=2,
IF(ISBLANK(Deltagarlista!$C24),"",IF(ISBLANK(Arrangörslista!D$98),"",IF($GV25=AO$64," DNS ",IFERROR(VLOOKUP($F25,Arrangörslista!D$98:$AG$135,16,FALSE), "DNS")))), IF(Deltagarlista!$K$3=1,IF(ISBLANK(Deltagarlista!$C24),"",IF(ISBLANK(Arrangörslista!D$98),"",IFERROR(VLOOKUP($F25,Arrangörslista!D$98:$AG$135,16,FALSE), "DNS"))),""))</f>
        <v/>
      </c>
      <c r="AP25" s="5" t="str">
        <f>IF(Deltagarlista!$K$3=2,
IF(ISBLANK(Deltagarlista!$C24),"",IF(ISBLANK(Arrangörslista!E$98),"",IF($GV25=AP$64," DNS ",IFERROR(VLOOKUP($F25,Arrangörslista!E$98:$AG$135,16,FALSE), "DNS")))), IF(Deltagarlista!$K$3=1,IF(ISBLANK(Deltagarlista!$C24),"",IF(ISBLANK(Arrangörslista!E$98),"",IFERROR(VLOOKUP($F25,Arrangörslista!E$98:$AG$135,16,FALSE), "DNS"))),""))</f>
        <v/>
      </c>
      <c r="AQ25" s="5" t="str">
        <f>IF(Deltagarlista!$K$3=2,
IF(ISBLANK(Deltagarlista!$C24),"",IF(ISBLANK(Arrangörslista!F$98),"",IF($GV25=AQ$64," DNS ",IFERROR(VLOOKUP($F25,Arrangörslista!F$98:$AG$135,16,FALSE), "DNS")))), IF(Deltagarlista!$K$3=1,IF(ISBLANK(Deltagarlista!$C24),"",IF(ISBLANK(Arrangörslista!F$98),"",IFERROR(VLOOKUP($F25,Arrangörslista!F$98:$AG$135,16,FALSE), "DNS"))),""))</f>
        <v/>
      </c>
      <c r="AR25" s="5" t="str">
        <f>IF(Deltagarlista!$K$3=2,
IF(ISBLANK(Deltagarlista!$C24),"",IF(ISBLANK(Arrangörslista!G$98),"",IF($GV25=AR$64," DNS ",IFERROR(VLOOKUP($F25,Arrangörslista!G$98:$AG$135,16,FALSE), "DNS")))), IF(Deltagarlista!$K$3=1,IF(ISBLANK(Deltagarlista!$C24),"",IF(ISBLANK(Arrangörslista!G$98),"",IFERROR(VLOOKUP($F25,Arrangörslista!G$98:$AG$135,16,FALSE), "DNS"))),""))</f>
        <v/>
      </c>
      <c r="AS25" s="5" t="str">
        <f>IF(Deltagarlista!$K$3=2,
IF(ISBLANK(Deltagarlista!$C24),"",IF(ISBLANK(Arrangörslista!H$98),"",IF($GV25=AS$64," DNS ",IFERROR(VLOOKUP($F25,Arrangörslista!H$98:$AG$135,16,FALSE), "DNS")))), IF(Deltagarlista!$K$3=1,IF(ISBLANK(Deltagarlista!$C24),"",IF(ISBLANK(Arrangörslista!H$98),"",IFERROR(VLOOKUP($F25,Arrangörslista!H$98:$AG$135,16,FALSE), "DNS"))),""))</f>
        <v/>
      </c>
      <c r="AT25" s="5" t="str">
        <f>IF(Deltagarlista!$K$3=2,
IF(ISBLANK(Deltagarlista!$C24),"",IF(ISBLANK(Arrangörslista!I$98),"",IF($GV25=AT$64," DNS ",IFERROR(VLOOKUP($F25,Arrangörslista!I$98:$AG$135,16,FALSE), "DNS")))), IF(Deltagarlista!$K$3=1,IF(ISBLANK(Deltagarlista!$C24),"",IF(ISBLANK(Arrangörslista!I$98),"",IFERROR(VLOOKUP($F25,Arrangörslista!I$98:$AG$135,16,FALSE), "DNS"))),""))</f>
        <v/>
      </c>
      <c r="AU25" s="5" t="str">
        <f>IF(Deltagarlista!$K$3=2,
IF(ISBLANK(Deltagarlista!$C24),"",IF(ISBLANK(Arrangörslista!J$98),"",IF($GV25=AU$64," DNS ",IFERROR(VLOOKUP($F25,Arrangörslista!J$98:$AG$135,16,FALSE), "DNS")))), IF(Deltagarlista!$K$3=1,IF(ISBLANK(Deltagarlista!$C24),"",IF(ISBLANK(Arrangörslista!J$98),"",IFERROR(VLOOKUP($F25,Arrangörslista!J$98:$AG$135,16,FALSE), "DNS"))),""))</f>
        <v/>
      </c>
      <c r="AV25" s="5" t="str">
        <f>IF(Deltagarlista!$K$3=2,
IF(ISBLANK(Deltagarlista!$C24),"",IF(ISBLANK(Arrangörslista!K$98),"",IF($GV25=AV$64," DNS ",IFERROR(VLOOKUP($F25,Arrangörslista!K$98:$AG$135,16,FALSE), "DNS")))), IF(Deltagarlista!$K$3=1,IF(ISBLANK(Deltagarlista!$C24),"",IF(ISBLANK(Arrangörslista!K$98),"",IFERROR(VLOOKUP($F25,Arrangörslista!K$98:$AG$135,16,FALSE), "DNS"))),""))</f>
        <v/>
      </c>
      <c r="AW25" s="5" t="str">
        <f>IF(Deltagarlista!$K$3=2,
IF(ISBLANK(Deltagarlista!$C24),"",IF(ISBLANK(Arrangörslista!L$98),"",IF($GV25=AW$64," DNS ",IFERROR(VLOOKUP($F25,Arrangörslista!L$98:$AG$135,16,FALSE), "DNS")))), IF(Deltagarlista!$K$3=1,IF(ISBLANK(Deltagarlista!$C24),"",IF(ISBLANK(Arrangörslista!L$98),"",IFERROR(VLOOKUP($F25,Arrangörslista!L$98:$AG$135,16,FALSE), "DNS"))),""))</f>
        <v/>
      </c>
      <c r="AX25" s="5" t="str">
        <f>IF(Deltagarlista!$K$3=2,
IF(ISBLANK(Deltagarlista!$C24),"",IF(ISBLANK(Arrangörslista!M$98),"",IF($GV25=AX$64," DNS ",IFERROR(VLOOKUP($F25,Arrangörslista!M$98:$AG$135,16,FALSE), "DNS")))), IF(Deltagarlista!$K$3=1,IF(ISBLANK(Deltagarlista!$C24),"",IF(ISBLANK(Arrangörslista!M$98),"",IFERROR(VLOOKUP($F25,Arrangörslista!M$98:$AG$135,16,FALSE), "DNS"))),""))</f>
        <v/>
      </c>
      <c r="AY25" s="5" t="str">
        <f>IF(Deltagarlista!$K$3=2,
IF(ISBLANK(Deltagarlista!$C24),"",IF(ISBLANK(Arrangörslista!N$98),"",IF($GV25=AY$64," DNS ",IFERROR(VLOOKUP($F25,Arrangörslista!N$98:$AG$135,16,FALSE), "DNS")))), IF(Deltagarlista!$K$3=1,IF(ISBLANK(Deltagarlista!$C24),"",IF(ISBLANK(Arrangörslista!N$98),"",IFERROR(VLOOKUP($F25,Arrangörslista!N$98:$AG$135,16,FALSE), "DNS"))),""))</f>
        <v/>
      </c>
      <c r="AZ25" s="5" t="str">
        <f>IF(Deltagarlista!$K$3=2,
IF(ISBLANK(Deltagarlista!$C24),"",IF(ISBLANK(Arrangörslista!O$98),"",IF($GV25=AZ$64," DNS ",IFERROR(VLOOKUP($F25,Arrangörslista!O$98:$AG$135,16,FALSE), "DNS")))), IF(Deltagarlista!$K$3=1,IF(ISBLANK(Deltagarlista!$C24),"",IF(ISBLANK(Arrangörslista!O$98),"",IFERROR(VLOOKUP($F25,Arrangörslista!O$98:$AG$135,16,FALSE), "DNS"))),""))</f>
        <v/>
      </c>
      <c r="BA25" s="5" t="str">
        <f>IF(Deltagarlista!$K$3=2,
IF(ISBLANK(Deltagarlista!$C24),"",IF(ISBLANK(Arrangörslista!P$98),"",IF($GV25=BA$64," DNS ",IFERROR(VLOOKUP($F25,Arrangörslista!P$98:$AG$135,16,FALSE), "DNS")))), IF(Deltagarlista!$K$3=1,IF(ISBLANK(Deltagarlista!$C24),"",IF(ISBLANK(Arrangörslista!P$98),"",IFERROR(VLOOKUP($F25,Arrangörslista!P$98:$AG$135,16,FALSE), "DNS"))),""))</f>
        <v/>
      </c>
      <c r="BB25" s="5" t="str">
        <f>IF(Deltagarlista!$K$3=2,
IF(ISBLANK(Deltagarlista!$C24),"",IF(ISBLANK(Arrangörslista!Q$98),"",IF($GV25=BB$64," DNS ",IFERROR(VLOOKUP($F25,Arrangörslista!Q$98:$AG$135,16,FALSE), "DNS")))), IF(Deltagarlista!$K$3=1,IF(ISBLANK(Deltagarlista!$C24),"",IF(ISBLANK(Arrangörslista!Q$98),"",IFERROR(VLOOKUP($F25,Arrangörslista!Q$98:$AG$135,16,FALSE), "DNS"))),""))</f>
        <v/>
      </c>
      <c r="BC25" s="5" t="str">
        <f>IF(Deltagarlista!$K$3=2,
IF(ISBLANK(Deltagarlista!$C24),"",IF(ISBLANK(Arrangörslista!C$143),"",IF($GV25=BC$64," DNS ",IFERROR(VLOOKUP($F25,Arrangörslista!C$143:$AG$180,16,FALSE), "DNS")))), IF(Deltagarlista!$K$3=1,IF(ISBLANK(Deltagarlista!$C24),"",IF(ISBLANK(Arrangörslista!C$143),"",IFERROR(VLOOKUP($F25,Arrangörslista!C$143:$AG$180,16,FALSE), "DNS"))),""))</f>
        <v/>
      </c>
      <c r="BD25" s="5" t="str">
        <f>IF(Deltagarlista!$K$3=2,
IF(ISBLANK(Deltagarlista!$C24),"",IF(ISBLANK(Arrangörslista!D$143),"",IF($GV25=BD$64," DNS ",IFERROR(VLOOKUP($F25,Arrangörslista!D$143:$AG$180,16,FALSE), "DNS")))), IF(Deltagarlista!$K$3=1,IF(ISBLANK(Deltagarlista!$C24),"",IF(ISBLANK(Arrangörslista!D$143),"",IFERROR(VLOOKUP($F25,Arrangörslista!D$143:$AG$180,16,FALSE), "DNS"))),""))</f>
        <v/>
      </c>
      <c r="BE25" s="5" t="str">
        <f>IF(Deltagarlista!$K$3=2,
IF(ISBLANK(Deltagarlista!$C24),"",IF(ISBLANK(Arrangörslista!E$143),"",IF($GV25=BE$64," DNS ",IFERROR(VLOOKUP($F25,Arrangörslista!E$143:$AG$180,16,FALSE), "DNS")))), IF(Deltagarlista!$K$3=1,IF(ISBLANK(Deltagarlista!$C24),"",IF(ISBLANK(Arrangörslista!E$143),"",IFERROR(VLOOKUP($F25,Arrangörslista!E$143:$AG$180,16,FALSE), "DNS"))),""))</f>
        <v/>
      </c>
      <c r="BF25" s="5" t="str">
        <f>IF(Deltagarlista!$K$3=2,
IF(ISBLANK(Deltagarlista!$C24),"",IF(ISBLANK(Arrangörslista!F$143),"",IF($GV25=BF$64," DNS ",IFERROR(VLOOKUP($F25,Arrangörslista!F$143:$AG$180,16,FALSE), "DNS")))), IF(Deltagarlista!$K$3=1,IF(ISBLANK(Deltagarlista!$C24),"",IF(ISBLANK(Arrangörslista!F$143),"",IFERROR(VLOOKUP($F25,Arrangörslista!F$143:$AG$180,16,FALSE), "DNS"))),""))</f>
        <v/>
      </c>
      <c r="BG25" s="5" t="str">
        <f>IF(Deltagarlista!$K$3=2,
IF(ISBLANK(Deltagarlista!$C24),"",IF(ISBLANK(Arrangörslista!G$143),"",IF($GV25=BG$64," DNS ",IFERROR(VLOOKUP($F25,Arrangörslista!G$143:$AG$180,16,FALSE), "DNS")))), IF(Deltagarlista!$K$3=1,IF(ISBLANK(Deltagarlista!$C24),"",IF(ISBLANK(Arrangörslista!G$143),"",IFERROR(VLOOKUP($F25,Arrangörslista!G$143:$AG$180,16,FALSE), "DNS"))),""))</f>
        <v/>
      </c>
      <c r="BH25" s="5" t="str">
        <f>IF(Deltagarlista!$K$3=2,
IF(ISBLANK(Deltagarlista!$C24),"",IF(ISBLANK(Arrangörslista!H$143),"",IF($GV25=BH$64," DNS ",IFERROR(VLOOKUP($F25,Arrangörslista!H$143:$AG$180,16,FALSE), "DNS")))), IF(Deltagarlista!$K$3=1,IF(ISBLANK(Deltagarlista!$C24),"",IF(ISBLANK(Arrangörslista!H$143),"",IFERROR(VLOOKUP($F25,Arrangörslista!H$143:$AG$180,16,FALSE), "DNS"))),""))</f>
        <v/>
      </c>
      <c r="BI25" s="5" t="str">
        <f>IF(Deltagarlista!$K$3=2,
IF(ISBLANK(Deltagarlista!$C24),"",IF(ISBLANK(Arrangörslista!I$143),"",IF($GV25=BI$64," DNS ",IFERROR(VLOOKUP($F25,Arrangörslista!I$143:$AG$180,16,FALSE), "DNS")))), IF(Deltagarlista!$K$3=1,IF(ISBLANK(Deltagarlista!$C24),"",IF(ISBLANK(Arrangörslista!I$143),"",IFERROR(VLOOKUP($F25,Arrangörslista!I$143:$AG$180,16,FALSE), "DNS"))),""))</f>
        <v/>
      </c>
      <c r="BJ25" s="5" t="str">
        <f>IF(Deltagarlista!$K$3=2,
IF(ISBLANK(Deltagarlista!$C24),"",IF(ISBLANK(Arrangörslista!J$143),"",IF($GV25=BJ$64," DNS ",IFERROR(VLOOKUP($F25,Arrangörslista!J$143:$AG$180,16,FALSE), "DNS")))), IF(Deltagarlista!$K$3=1,IF(ISBLANK(Deltagarlista!$C24),"",IF(ISBLANK(Arrangörslista!J$143),"",IFERROR(VLOOKUP($F25,Arrangörslista!J$143:$AG$180,16,FALSE), "DNS"))),""))</f>
        <v/>
      </c>
      <c r="BK25" s="5" t="str">
        <f>IF(Deltagarlista!$K$3=2,
IF(ISBLANK(Deltagarlista!$C24),"",IF(ISBLANK(Arrangörslista!K$143),"",IF($GV25=BK$64," DNS ",IFERROR(VLOOKUP($F25,Arrangörslista!K$143:$AG$180,16,FALSE), "DNS")))), IF(Deltagarlista!$K$3=1,IF(ISBLANK(Deltagarlista!$C24),"",IF(ISBLANK(Arrangörslista!K$143),"",IFERROR(VLOOKUP($F25,Arrangörslista!K$143:$AG$180,16,FALSE), "DNS"))),""))</f>
        <v/>
      </c>
      <c r="BL25" s="5" t="str">
        <f>IF(Deltagarlista!$K$3=2,
IF(ISBLANK(Deltagarlista!$C24),"",IF(ISBLANK(Arrangörslista!L$143),"",IF($GV25=BL$64," DNS ",IFERROR(VLOOKUP($F25,Arrangörslista!L$143:$AG$180,16,FALSE), "DNS")))), IF(Deltagarlista!$K$3=1,IF(ISBLANK(Deltagarlista!$C24),"",IF(ISBLANK(Arrangörslista!L$143),"",IFERROR(VLOOKUP($F25,Arrangörslista!L$143:$AG$180,16,FALSE), "DNS"))),""))</f>
        <v/>
      </c>
      <c r="BM25" s="5" t="str">
        <f>IF(Deltagarlista!$K$3=2,
IF(ISBLANK(Deltagarlista!$C24),"",IF(ISBLANK(Arrangörslista!M$143),"",IF($GV25=BM$64," DNS ",IFERROR(VLOOKUP($F25,Arrangörslista!M$143:$AG$180,16,FALSE), "DNS")))), IF(Deltagarlista!$K$3=1,IF(ISBLANK(Deltagarlista!$C24),"",IF(ISBLANK(Arrangörslista!M$143),"",IFERROR(VLOOKUP($F25,Arrangörslista!M$143:$AG$180,16,FALSE), "DNS"))),""))</f>
        <v/>
      </c>
      <c r="BN25" s="5" t="str">
        <f>IF(Deltagarlista!$K$3=2,
IF(ISBLANK(Deltagarlista!$C24),"",IF(ISBLANK(Arrangörslista!N$143),"",IF($GV25=BN$64," DNS ",IFERROR(VLOOKUP($F25,Arrangörslista!N$143:$AG$180,16,FALSE), "DNS")))), IF(Deltagarlista!$K$3=1,IF(ISBLANK(Deltagarlista!$C24),"",IF(ISBLANK(Arrangörslista!N$143),"",IFERROR(VLOOKUP($F25,Arrangörslista!N$143:$AG$180,16,FALSE), "DNS"))),""))</f>
        <v/>
      </c>
      <c r="BO25" s="5" t="str">
        <f>IF(Deltagarlista!$K$3=2,
IF(ISBLANK(Deltagarlista!$C24),"",IF(ISBLANK(Arrangörslista!O$143),"",IF($GV25=BO$64," DNS ",IFERROR(VLOOKUP($F25,Arrangörslista!O$143:$AG$180,16,FALSE), "DNS")))), IF(Deltagarlista!$K$3=1,IF(ISBLANK(Deltagarlista!$C24),"",IF(ISBLANK(Arrangörslista!O$143),"",IFERROR(VLOOKUP($F25,Arrangörslista!O$143:$AG$180,16,FALSE), "DNS"))),""))</f>
        <v/>
      </c>
      <c r="BP25" s="5" t="str">
        <f>IF(Deltagarlista!$K$3=2,
IF(ISBLANK(Deltagarlista!$C24),"",IF(ISBLANK(Arrangörslista!P$143),"",IF($GV25=BP$64," DNS ",IFERROR(VLOOKUP($F25,Arrangörslista!P$143:$AG$180,16,FALSE), "DNS")))), IF(Deltagarlista!$K$3=1,IF(ISBLANK(Deltagarlista!$C24),"",IF(ISBLANK(Arrangörslista!P$143),"",IFERROR(VLOOKUP($F25,Arrangörslista!P$143:$AG$180,16,FALSE), "DNS"))),""))</f>
        <v/>
      </c>
      <c r="BQ25" s="80" t="str">
        <f>IF(Deltagarlista!$K$3=2,
IF(ISBLANK(Deltagarlista!$C24),"",IF(ISBLANK(Arrangörslista!Q$143),"",IF($GV25=BQ$64," DNS ",IFERROR(VLOOKUP($F25,Arrangörslista!Q$143:$AG$180,16,FALSE), "DNS")))), IF(Deltagarlista!$K$3=1,IF(ISBLANK(Deltagarlista!$C24),"",IF(ISBLANK(Arrangörslista!Q$143),"",IFERROR(VLOOKUP($F25,Arrangörslista!Q$143:$AG$180,16,FALSE), "DNS"))),""))</f>
        <v/>
      </c>
      <c r="BR25" s="51"/>
      <c r="BS25" s="51"/>
      <c r="BT25" s="51"/>
      <c r="BU25" s="71">
        <f>SUM(BV25:EC25)</f>
        <v>0</v>
      </c>
      <c r="BV25" s="61">
        <f>IF(J25="",0,IF(OR(J25="DNF",J25="OCS",J25="DSQ",J25="DNS",J25=" DNS "),$BW$3+1,J25))</f>
        <v>0</v>
      </c>
      <c r="BW25" s="61">
        <f>IF(K25="",0,IF(OR(K25="DNF",K25="OCS",K25="DSQ",K25="DNS",K25=" DNS "),$BW$3+1,K25))</f>
        <v>0</v>
      </c>
      <c r="BX25" s="61">
        <f>IF(L25="",0,IF(OR(L25="DNF",L25="OCS",L25="DSQ",L25="DNS",L25=" DNS "),$BW$3+1,L25))</f>
        <v>0</v>
      </c>
      <c r="BY25" s="61">
        <f>IF(M25="",0,IF(OR(M25="DNF",M25="OCS",M25="DSQ",M25="DNS",M25=" DNS "),$BW$3+1,M25))</f>
        <v>0</v>
      </c>
      <c r="BZ25" s="61">
        <f>IF(N25="",0,IF(OR(N25="DNF",N25="OCS",N25="DSQ",N25="DNS",N25=" DNS "),$BW$3+1,N25))</f>
        <v>0</v>
      </c>
      <c r="CA25" s="61">
        <f>IF(O25="",0,IF(OR(O25="DNF",O25="OCS",O25="DSQ",O25="DNS",O25=" DNS "),$BW$3+1,O25))</f>
        <v>0</v>
      </c>
      <c r="CB25" s="61">
        <f>IF(P25="",0,IF(OR(P25="DNF",P25="OCS",P25="DSQ",P25="DNS",P25=" DNS "),$BW$3+1,P25))</f>
        <v>0</v>
      </c>
      <c r="CC25" s="61">
        <f>IF(Q25="",0,IF(OR(Q25="DNF",Q25="OCS",Q25="DSQ",Q25="DNS",Q25=" DNS "),$BW$3+1,Q25))</f>
        <v>0</v>
      </c>
      <c r="CD25" s="61">
        <f>IF(R25="",0,IF(OR(R25="DNF",R25="OCS",R25="DSQ",R25="DNS",R25=" DNS "),$BW$3+1,R25))</f>
        <v>0</v>
      </c>
      <c r="CE25" s="61">
        <f>IF(S25="",0,IF(OR(S25="DNF",S25="OCS",S25="DSQ",S25="DNS",S25=" DNS "),$BW$3+1,S25))</f>
        <v>0</v>
      </c>
      <c r="CF25" s="61">
        <f>IF(T25="",0,IF(OR(T25="DNF",T25="OCS",T25="DSQ",T25="DNS",T25=" DNS "),$BW$3+1,T25))</f>
        <v>0</v>
      </c>
      <c r="CG25" s="61">
        <f>IF(U25="",0,IF(OR(U25="DNF",U25="OCS",U25="DSQ",U25="DNS",U25=" DNS "),$BW$3+1,U25))</f>
        <v>0</v>
      </c>
      <c r="CH25" s="61">
        <f>IF(V25="",0,IF(OR(V25="DNF",V25="OCS",V25="DSQ",V25="DNS",V25=" DNS "),$BW$3+1,V25))</f>
        <v>0</v>
      </c>
      <c r="CI25" s="61">
        <f>IF(W25="",0,IF(OR(W25="DNF",W25="OCS",W25="DSQ",W25="DNS",W25=" DNS "),$BW$3+1,W25))</f>
        <v>0</v>
      </c>
      <c r="CJ25" s="61">
        <f>IF(X25="",0,IF(OR(X25="DNF",X25="OCS",X25="DSQ",X25="DNS",X25=" DNS "),$BW$3+1,X25))</f>
        <v>0</v>
      </c>
      <c r="CK25" s="61">
        <f>IF(Y25="",0,IF(OR(Y25="DNF",Y25="OCS",Y25="DSQ",Y25="DNS",Y25=" DNS "),$BW$3+1,Y25))</f>
        <v>0</v>
      </c>
      <c r="CL25" s="61">
        <f>IF(Z25="",0,IF(OR(Z25="DNF",Z25="OCS",Z25="DSQ",Z25="DNS",Z25=" DNS "),$BW$3+1,Z25))</f>
        <v>0</v>
      </c>
      <c r="CM25" s="61">
        <f>IF(AA25="",0,IF(OR(AA25="DNF",AA25="OCS",AA25="DSQ",AA25="DNS",AA25=" DNS "),$BW$3+1,AA25))</f>
        <v>0</v>
      </c>
      <c r="CN25" s="61">
        <f>IF(AB25="",0,IF(OR(AB25="DNF",AB25="OCS",AB25="DSQ",AB25="DNS",AB25=" DNS "),$BW$3+1,AB25))</f>
        <v>0</v>
      </c>
      <c r="CO25" s="61">
        <f>IF(AC25="",0,IF(OR(AC25="DNF",AC25="OCS",AC25="DSQ",AC25="DNS",AC25=" DNS "),$BW$3+1,AC25))</f>
        <v>0</v>
      </c>
      <c r="CP25" s="61">
        <f>IF(AD25="",0,IF(OR(AD25="DNF",AD25="OCS",AD25="DSQ",AD25="DNS",AD25=" DNS "),$BW$3+1,AD25))</f>
        <v>0</v>
      </c>
      <c r="CQ25" s="61">
        <f>IF(AE25="",0,IF(OR(AE25="DNF",AE25="OCS",AE25="DSQ",AE25="DNS",AE25=" DNS "),$BW$3+1,AE25))</f>
        <v>0</v>
      </c>
      <c r="CR25" s="61">
        <f>IF(AF25="",0,IF(OR(AF25="DNF",AF25="OCS",AF25="DSQ",AF25="DNS",AF25=" DNS "),$BW$3+1,AF25))</f>
        <v>0</v>
      </c>
      <c r="CS25" s="61">
        <f>IF(AG25="",0,IF(OR(AG25="DNF",AG25="OCS",AG25="DSQ",AG25="DNS",AG25=" DNS "),$BW$3+1,AG25))</f>
        <v>0</v>
      </c>
      <c r="CT25" s="61">
        <f>IF(AH25="",0,IF(OR(AH25="DNF",AH25="OCS",AH25="DSQ",AH25="DNS",AH25=" DNS "),$BW$3+1,AH25))</f>
        <v>0</v>
      </c>
      <c r="CU25" s="61">
        <f>IF(AI25="",0,IF(OR(AI25="DNF",AI25="OCS",AI25="DSQ",AI25="DNS",AI25=" DNS "),$BW$3+1,AI25))</f>
        <v>0</v>
      </c>
      <c r="CV25" s="61">
        <f>IF(AJ25="",0,IF(OR(AJ25="DNF",AJ25="OCS",AJ25="DSQ",AJ25="DNS",AJ25=" DNS "),$BW$3+1,AJ25))</f>
        <v>0</v>
      </c>
      <c r="CW25" s="61">
        <f>IF(AK25="",0,IF(OR(AK25="DNF",AK25="OCS",AK25="DSQ",AK25="DNS",AK25=" DNS "),$BW$3+1,AK25))</f>
        <v>0</v>
      </c>
      <c r="CX25" s="61">
        <f>IF(AL25="",0,IF(OR(AL25="DNF",AL25="OCS",AL25="DSQ",AL25="DNS",AL25=" DNS "),$BW$3+1,AL25))</f>
        <v>0</v>
      </c>
      <c r="CY25" s="61">
        <f>IF(AM25="",0,IF(OR(AM25="DNF",AM25="OCS",AM25="DSQ",AM25="DNS",AM25=" DNS "),$BW$3+1,AM25))</f>
        <v>0</v>
      </c>
      <c r="CZ25" s="61">
        <f>IF(AN25="",0,IF(OR(AN25="DNF",AN25="OCS",AN25="DSQ",AN25="DNS",AN25=" DNS "),$BW$3+1,AN25))</f>
        <v>0</v>
      </c>
      <c r="DA25" s="61">
        <f>IF(AO25="",0,IF(OR(AO25="DNF",AO25="OCS",AO25="DSQ",AO25="DNS",AO25=" DNS "),$BW$3+1,AO25))</f>
        <v>0</v>
      </c>
      <c r="DB25" s="61">
        <f>IF(AP25="",0,IF(OR(AP25="DNF",AP25="OCS",AP25="DSQ",AP25="DNS",AP25=" DNS "),$BW$3+1,AP25))</f>
        <v>0</v>
      </c>
      <c r="DC25" s="61">
        <f>IF(AQ25="",0,IF(OR(AQ25="DNF",AQ25="OCS",AQ25="DSQ",AQ25="DNS",AQ25=" DNS "),$BW$3+1,AQ25))</f>
        <v>0</v>
      </c>
      <c r="DD25" s="61">
        <f>IF(AR25="",0,IF(OR(AR25="DNF",AR25="OCS",AR25="DSQ",AR25="DNS",AR25=" DNS "),$BW$3+1,AR25))</f>
        <v>0</v>
      </c>
      <c r="DE25" s="61">
        <f>IF(AS25="",0,IF(OR(AS25="DNF",AS25="OCS",AS25="DSQ",AS25="DNS",AS25=" DNS "),$BW$3+1,AS25))</f>
        <v>0</v>
      </c>
      <c r="DF25" s="61">
        <f>IF(AT25="",0,IF(OR(AT25="DNF",AT25="OCS",AT25="DSQ",AT25="DNS",AT25=" DNS "),$BW$3+1,AT25))</f>
        <v>0</v>
      </c>
      <c r="DG25" s="61">
        <f>IF(AU25="",0,IF(OR(AU25="DNF",AU25="OCS",AU25="DSQ",AU25="DNS",AU25=" DNS "),$BW$3+1,AU25))</f>
        <v>0</v>
      </c>
      <c r="DH25" s="61">
        <f>IF(AV25="",0,IF(OR(AV25="DNF",AV25="OCS",AV25="DSQ",AV25="DNS",AV25=" DNS "),$BW$3+1,AV25))</f>
        <v>0</v>
      </c>
      <c r="DI25" s="61">
        <f>IF(AW25="",0,IF(OR(AW25="DNF",AW25="OCS",AW25="DSQ",AW25="DNS",AW25=" DNS "),$BW$3+1,AW25))</f>
        <v>0</v>
      </c>
      <c r="DJ25" s="61">
        <f>IF(AX25="",0,IF(OR(AX25="DNF",AX25="OCS",AX25="DSQ",AX25="DNS",AX25=" DNS "),$BW$3+1,AX25))</f>
        <v>0</v>
      </c>
      <c r="DK25" s="61">
        <f>IF(AY25="",0,IF(OR(AY25="DNF",AY25="OCS",AY25="DSQ",AY25="DNS",AY25=" DNS "),$BW$3+1,AY25))</f>
        <v>0</v>
      </c>
      <c r="DL25" s="61">
        <f>IF(AZ25="",0,IF(OR(AZ25="DNF",AZ25="OCS",AZ25="DSQ",AZ25="DNS",AZ25=" DNS "),$BW$3+1,AZ25))</f>
        <v>0</v>
      </c>
      <c r="DM25" s="61">
        <f>IF(BA25="",0,IF(OR(BA25="DNF",BA25="OCS",BA25="DSQ",BA25="DNS",BA25=" DNS "),$BW$3+1,BA25))</f>
        <v>0</v>
      </c>
      <c r="DN25" s="61">
        <f>IF(BB25="",0,IF(OR(BB25="DNF",BB25="OCS",BB25="DSQ",BB25="DNS",BB25=" DNS "),$BW$3+1,BB25))</f>
        <v>0</v>
      </c>
      <c r="DO25" s="61">
        <f>IF(BC25="",0,IF(OR(BC25="DNF",BC25="OCS",BC25="DSQ",BC25="DNS",BC25=" DNS "),$BW$3+1,BC25))</f>
        <v>0</v>
      </c>
      <c r="DP25" s="61">
        <f>IF(BD25="",0,IF(OR(BD25="DNF",BD25="OCS",BD25="DSQ",BD25="DNS",BD25=" DNS "),$BW$3+1,BD25))</f>
        <v>0</v>
      </c>
      <c r="DQ25" s="61">
        <f>IF(BE25="",0,IF(OR(BE25="DNF",BE25="OCS",BE25="DSQ",BE25="DNS",BE25=" DNS "),$BW$3+1,BE25))</f>
        <v>0</v>
      </c>
      <c r="DR25" s="61">
        <f>IF(BF25="",0,IF(OR(BF25="DNF",BF25="OCS",BF25="DSQ",BF25="DNS",BF25=" DNS "),$BW$3+1,BF25))</f>
        <v>0</v>
      </c>
      <c r="DS25" s="61">
        <f>IF(BG25="",0,IF(OR(BG25="DNF",BG25="OCS",BG25="DSQ",BG25="DNS",BG25=" DNS "),$BW$3+1,BG25))</f>
        <v>0</v>
      </c>
      <c r="DT25" s="61">
        <f>IF(BH25="",0,IF(OR(BH25="DNF",BH25="OCS",BH25="DSQ",BH25="DNS",BH25=" DNS "),$BW$3+1,BH25))</f>
        <v>0</v>
      </c>
      <c r="DU25" s="61">
        <f>IF(BI25="",0,IF(OR(BI25="DNF",BI25="OCS",BI25="DSQ",BI25="DNS",BI25=" DNS "),$BW$3+1,BI25))</f>
        <v>0</v>
      </c>
      <c r="DV25" s="61">
        <f>IF(BJ25="",0,IF(OR(BJ25="DNF",BJ25="OCS",BJ25="DSQ",BJ25="DNS",BJ25=" DNS "),$BW$3+1,BJ25))</f>
        <v>0</v>
      </c>
      <c r="DW25" s="61">
        <f>IF(BK25="",0,IF(OR(BK25="DNF",BK25="OCS",BK25="DSQ",BK25="DNS",BK25=" DNS "),$BW$3+1,BK25))</f>
        <v>0</v>
      </c>
      <c r="DX25" s="61">
        <f>IF(BL25="",0,IF(OR(BL25="DNF",BL25="OCS",BL25="DSQ",BL25="DNS",BL25=" DNS "),$BW$3+1,BL25))</f>
        <v>0</v>
      </c>
      <c r="DY25" s="61">
        <f>IF(BM25="",0,IF(OR(BM25="DNF",BM25="OCS",BM25="DSQ",BM25="DNS",BM25=" DNS "),$BW$3+1,BM25))</f>
        <v>0</v>
      </c>
      <c r="DZ25" s="61">
        <f>IF(BN25="",0,IF(OR(BN25="DNF",BN25="OCS",BN25="DSQ",BN25="DNS",BN25=" DNS "),$BW$3+1,BN25))</f>
        <v>0</v>
      </c>
      <c r="EA25" s="61">
        <f>IF(BO25="",0,IF(OR(BO25="DNF",BO25="OCS",BO25="DSQ",BO25="DNS",BO25=" DNS "),$BW$3+1,BO25))</f>
        <v>0</v>
      </c>
      <c r="EB25" s="61">
        <f>IF(BP25="",0,IF(OR(BP25="DNF",BP25="OCS",BP25="DSQ",BP25="DNS",BP25=" DNS "),$BW$3+1,BP25))</f>
        <v>0</v>
      </c>
      <c r="EC25" s="61">
        <f>IF(BQ25="",0,IF(OR(BQ25="DNF",BQ25="OCS",BQ25="DSQ",BQ25="DNS",BQ25=" DNS "),$BW$3+1,BQ25))</f>
        <v>0</v>
      </c>
      <c r="EE25" s="61">
        <f xml:space="preserve">
IF(OR(Deltagarlista!$K$3=3,Deltagarlista!$K$3=4),
IF(Arrangörslista!$U$5&lt;8,0,
IF(Arrangörslista!$U$5&lt;16,SUM(LARGE(BV25:CJ25,1)),
IF(Arrangörslista!$U$5&lt;24,SUM(LARGE(BV25:CR25,{1;2})),
IF(Arrangörslista!$U$5&lt;32,SUM(LARGE(BV25:CZ25,{1;2;3})),
IF(Arrangörslista!$U$5&lt;40,SUM(LARGE(BV25:DH25,{1;2;3;4})),
IF(Arrangörslista!$U$5&lt;48,SUM(LARGE(BV25:DP25,{1;2;3;4;5})),
IF(Arrangörslista!$U$5&lt;56,SUM(LARGE(BV25:DX25,{1;2;3;4;5;6})),
IF(Arrangörslista!$U$5&lt;64,SUM(LARGE(BV25:EC25,{1;2;3;4;5;6;7})),0)))))))),
IF(Deltagarlista!$K$3=2,
IF(Arrangörslista!$U$5&lt;4,LARGE(BV25:BX25,1),
IF(Arrangörslista!$U$5&lt;7,SUM(LARGE(BV25:CA25,{1;2;3})),
IF(Arrangörslista!$U$5&lt;10,SUM(LARGE(BV25:CD25,{1;2;3;4})),
IF(Arrangörslista!$U$5&lt;13,SUM(LARGE(BV25:CG25,{1;2;3;4;5;6})),
IF(Arrangörslista!$U$5&lt;16,SUM(LARGE(BV25:CJ25,{1;2;3;4;5;6;7})),
IF(Arrangörslista!$U$5&lt;19,SUM(LARGE(BV25:CM25,{1;2;3;4;5;6;7;8;9})),
IF(Arrangörslista!$U$5&lt;22,SUM(LARGE(BV25:CP25,{1;2;3;4;5;6;7;8;9;10})),
IF(Arrangörslista!$U$5&lt;25,SUM(LARGE(BV25:CS25,{1;2;3;4;5;6;7;8;9;10;11;12})),
IF(Arrangörslista!$U$5&lt;28,SUM(LARGE(BV25:CV25,{1;2;3;4;5;6;7;8;9;10;11;12;13})),
IF(Arrangörslista!$U$5&lt;31,SUM(LARGE(BV25:CY25,{1;2;3;4;5;6;7;8;9;10;11;12;13;14;15})),
IF(Arrangörslista!$U$5&lt;34,SUM(LARGE(BV25:DB25,{1;2;3;4;5;6;7;8;9;10;11;12;13;14;15;16})),
IF(Arrangörslista!$U$5&lt;37,SUM(LARGE(BV25:DE25,{1;2;3;4;5;6;7;8;9;10;11;12;13;14;15;16;17;18})),
IF(Arrangörslista!$U$5&lt;40,SUM(LARGE(BV25:DH25,{1;2;3;4;5;6;7;8;9;10;11;12;13;14;15;16;17;18;19})),
IF(Arrangörslista!$U$5&lt;43,SUM(LARGE(BV25:DK25,{1;2;3;4;5;6;7;8;9;10;11;12;13;14;15;16;17;18;19;20;21})),
IF(Arrangörslista!$U$5&lt;46,SUM(LARGE(BV25:DN25,{1;2;3;4;5;6;7;8;9;10;11;12;13;14;15;16;17;18;19;20;21;22})),
IF(Arrangörslista!$U$5&lt;49,SUM(LARGE(BV25:DQ25,{1;2;3;4;5;6;7;8;9;10;11;12;13;14;15;16;17;18;19;20;21;22;23;24})),
IF(Arrangörslista!$U$5&lt;52,SUM(LARGE(BV25:DT25,{1;2;3;4;5;6;7;8;9;10;11;12;13;14;15;16;17;18;19;20;21;22;23;24;25})),
IF(Arrangörslista!$U$5&lt;55,SUM(LARGE(BV25:DW25,{1;2;3;4;5;6;7;8;9;10;11;12;13;14;15;16;17;18;19;20;21;22;23;24;25;26;27})),
IF(Arrangörslista!$U$5&lt;58,SUM(LARGE(BV25:DZ25,{1;2;3;4;5;6;7;8;9;10;11;12;13;14;15;16;17;18;19;20;21;22;23;24;25;26;27;28})),
IF(Arrangörslista!$U$5&lt;61,SUM(LARGE(BV25:EC25,{1;2;3;4;5;6;7;8;9;10;11;12;13;14;15;16;17;18;19;20;21;22;23;24;25;26;27;28;29;30})),0)))))))))))))))))))),
IF(Arrangörslista!$U$5&lt;4,0,
IF(Arrangörslista!$U$5&lt;8,SUM(LARGE(BV25:CB25,1)),
IF(Arrangörslista!$U$5&lt;12,SUM(LARGE(BV25:CF25,{1;2})),
IF(Arrangörslista!$U$5&lt;16,SUM(LARGE(BV25:CJ25,{1;2;3})),
IF(Arrangörslista!$U$5&lt;20,SUM(LARGE(BV25:CN25,{1;2;3;4})),
IF(Arrangörslista!$U$5&lt;24,SUM(LARGE(BV25:CR25,{1;2;3;4;5})),
IF(Arrangörslista!$U$5&lt;28,SUM(LARGE(BV25:CV25,{1;2;3;4;5;6})),
IF(Arrangörslista!$U$5&lt;32,SUM(LARGE(BV25:CZ25,{1;2;3;4;5;6;7})),
IF(Arrangörslista!$U$5&lt;36,SUM(LARGE(BV25:DD25,{1;2;3;4;5;6;7;8})),
IF(Arrangörslista!$U$5&lt;40,SUM(LARGE(BV25:DH25,{1;2;3;4;5;6;7;8;9})),
IF(Arrangörslista!$U$5&lt;44,SUM(LARGE(BV25:DL25,{1;2;3;4;5;6;7;8;9;10})),
IF(Arrangörslista!$U$5&lt;48,SUM(LARGE(BV25:DP25,{1;2;3;4;5;6;7;8;9;10;11})),
IF(Arrangörslista!$U$5&lt;52,SUM(LARGE(BV25:DT25,{1;2;3;4;5;6;7;8;9;10;11;12})),
IF(Arrangörslista!$U$5&lt;56,SUM(LARGE(BV25:DX25,{1;2;3;4;5;6;7;8;9;10;11;12;13})),
IF(Arrangörslista!$U$5&lt;60,SUM(LARGE(BV25:EB25,{1;2;3;4;5;6;7;8;9;10;11;12;13;14})),
IF(Arrangörslista!$U$5=60,SUM(LARGE(BV25:EC25,{1;2;3;4;5;6;7;8;9;10;11;12;13;14;15})),0))))))))))))))))))</f>
        <v>0</v>
      </c>
      <c r="EG25" s="67">
        <f>IF(F25="",,1)</f>
        <v>0</v>
      </c>
      <c r="EH25" s="61"/>
      <c r="EI25" s="61"/>
      <c r="EK25" s="62">
        <f>SMALL($J88:$BQ88,1)</f>
        <v>61</v>
      </c>
      <c r="EL25" s="62">
        <f>SMALL($J88:$BQ88,2)</f>
        <v>61</v>
      </c>
      <c r="EM25" s="62">
        <f>SMALL($J88:$BQ88,3)</f>
        <v>61</v>
      </c>
      <c r="EN25" s="62">
        <f>SMALL($J88:$BQ88,4)</f>
        <v>61</v>
      </c>
      <c r="EO25" s="62">
        <f>SMALL($J88:$BQ88,5)</f>
        <v>61</v>
      </c>
      <c r="EP25" s="62">
        <f>SMALL($J88:$BQ88,6)</f>
        <v>61</v>
      </c>
      <c r="EQ25" s="62">
        <f>SMALL($J88:$BQ88,7)</f>
        <v>61</v>
      </c>
      <c r="ER25" s="62">
        <f>SMALL($J88:$BQ88,8)</f>
        <v>61</v>
      </c>
      <c r="ES25" s="62">
        <f>SMALL($J88:$BQ88,9)</f>
        <v>61</v>
      </c>
      <c r="ET25" s="62">
        <f>SMALL($J88:$BQ88,10)</f>
        <v>61</v>
      </c>
      <c r="EU25" s="62">
        <f>SMALL($J88:$BQ88,11)</f>
        <v>61</v>
      </c>
      <c r="EV25" s="62">
        <f>SMALL($J88:$BQ88,12)</f>
        <v>61</v>
      </c>
      <c r="EW25" s="62">
        <f>SMALL($J88:$BQ88,13)</f>
        <v>61</v>
      </c>
      <c r="EX25" s="62">
        <f>SMALL($J88:$BQ88,14)</f>
        <v>61</v>
      </c>
      <c r="EY25" s="62">
        <f>SMALL($J88:$BQ88,15)</f>
        <v>61</v>
      </c>
      <c r="EZ25" s="62">
        <f>SMALL($J88:$BQ88,16)</f>
        <v>61</v>
      </c>
      <c r="FA25" s="62">
        <f>SMALL($J88:$BQ88,17)</f>
        <v>61</v>
      </c>
      <c r="FB25" s="62">
        <f>SMALL($J88:$BQ88,18)</f>
        <v>61</v>
      </c>
      <c r="FC25" s="62">
        <f>SMALL($J88:$BQ88,19)</f>
        <v>61</v>
      </c>
      <c r="FD25" s="62">
        <f>SMALL($J88:$BQ88,20)</f>
        <v>61</v>
      </c>
      <c r="FE25" s="62">
        <f>SMALL($J88:$BQ88,21)</f>
        <v>61</v>
      </c>
      <c r="FF25" s="62">
        <f>SMALL($J88:$BQ88,22)</f>
        <v>61</v>
      </c>
      <c r="FG25" s="62">
        <f>SMALL($J88:$BQ88,23)</f>
        <v>61</v>
      </c>
      <c r="FH25" s="62">
        <f>SMALL($J88:$BQ88,24)</f>
        <v>61</v>
      </c>
      <c r="FI25" s="62">
        <f>SMALL($J88:$BQ88,25)</f>
        <v>61</v>
      </c>
      <c r="FJ25" s="62">
        <f>SMALL($J88:$BQ88,26)</f>
        <v>61</v>
      </c>
      <c r="FK25" s="62">
        <f>SMALL($J88:$BQ88,27)</f>
        <v>61</v>
      </c>
      <c r="FL25" s="62">
        <f>SMALL($J88:$BQ88,28)</f>
        <v>61</v>
      </c>
      <c r="FM25" s="62">
        <f>SMALL($J88:$BQ88,29)</f>
        <v>61</v>
      </c>
      <c r="FN25" s="62">
        <f>SMALL($J88:$BQ88,30)</f>
        <v>61</v>
      </c>
      <c r="FO25" s="62">
        <f>SMALL($J88:$BQ88,31)</f>
        <v>61</v>
      </c>
      <c r="FP25" s="62">
        <f>SMALL($J88:$BQ88,32)</f>
        <v>61</v>
      </c>
      <c r="FQ25" s="62">
        <f>SMALL($J88:$BQ88,33)</f>
        <v>61</v>
      </c>
      <c r="FR25" s="62">
        <f>SMALL($J88:$BQ88,34)</f>
        <v>61</v>
      </c>
      <c r="FS25" s="62">
        <f>SMALL($J88:$BQ88,35)</f>
        <v>61</v>
      </c>
      <c r="FT25" s="62">
        <f>SMALL($J88:$BQ88,36)</f>
        <v>61</v>
      </c>
      <c r="FU25" s="62">
        <f>SMALL($J88:$BQ88,37)</f>
        <v>61</v>
      </c>
      <c r="FV25" s="62">
        <f>SMALL($J88:$BQ88,38)</f>
        <v>61</v>
      </c>
      <c r="FW25" s="62">
        <f>SMALL($J88:$BQ88,39)</f>
        <v>61</v>
      </c>
      <c r="FX25" s="62">
        <f>SMALL($J88:$BQ88,40)</f>
        <v>61</v>
      </c>
      <c r="FY25" s="62">
        <f>SMALL($J88:$BQ88,41)</f>
        <v>61</v>
      </c>
      <c r="FZ25" s="62">
        <f>SMALL($J88:$BQ88,42)</f>
        <v>61</v>
      </c>
      <c r="GA25" s="62">
        <f>SMALL($J88:$BQ88,43)</f>
        <v>61</v>
      </c>
      <c r="GB25" s="62">
        <f>SMALL($J88:$BQ88,44)</f>
        <v>61</v>
      </c>
      <c r="GC25" s="62">
        <f>SMALL($J88:$BQ88,45)</f>
        <v>61</v>
      </c>
      <c r="GD25" s="62">
        <f>SMALL($J88:$BQ88,46)</f>
        <v>61</v>
      </c>
      <c r="GE25" s="62">
        <f>SMALL($J88:$BQ88,47)</f>
        <v>61</v>
      </c>
      <c r="GF25" s="62">
        <f>SMALL($J88:$BQ88,48)</f>
        <v>61</v>
      </c>
      <c r="GG25" s="62">
        <f>SMALL($J88:$BQ88,49)</f>
        <v>61</v>
      </c>
      <c r="GH25" s="62">
        <f>SMALL($J88:$BQ88,50)</f>
        <v>61</v>
      </c>
      <c r="GI25" s="62">
        <f>SMALL($J88:$BQ88,51)</f>
        <v>61</v>
      </c>
      <c r="GJ25" s="62">
        <f>SMALL($J88:$BQ88,52)</f>
        <v>61</v>
      </c>
      <c r="GK25" s="62">
        <f>SMALL($J88:$BQ88,53)</f>
        <v>61</v>
      </c>
      <c r="GL25" s="62">
        <f>SMALL($J88:$BQ88,54)</f>
        <v>61</v>
      </c>
      <c r="GM25" s="62">
        <f>SMALL($J88:$BQ88,55)</f>
        <v>61</v>
      </c>
      <c r="GN25" s="62">
        <f>SMALL($J88:$BQ88,56)</f>
        <v>61</v>
      </c>
      <c r="GO25" s="62">
        <f>SMALL($J88:$BQ88,57)</f>
        <v>61</v>
      </c>
      <c r="GP25" s="62">
        <f>SMALL($J88:$BQ88,58)</f>
        <v>61</v>
      </c>
      <c r="GQ25" s="62">
        <f>SMALL($J88:$BQ88,59)</f>
        <v>61</v>
      </c>
      <c r="GR25" s="62">
        <f>SMALL($J88:$BQ88,60)</f>
        <v>61</v>
      </c>
      <c r="GT25" s="62">
        <f>IF(Deltagarlista!$K$3=2,
IF(GW25="1",
      IF(Arrangörslista!$U$5=1,J88,
IF(Arrangörslista!$U$5=2,K88,
IF(Arrangörslista!$U$5=3,L88,
IF(Arrangörslista!$U$5=4,M88,
IF(Arrangörslista!$U$5=5,N88,
IF(Arrangörslista!$U$5=6,O88,
IF(Arrangörslista!$U$5=7,P88,
IF(Arrangörslista!$U$5=8,Q88,
IF(Arrangörslista!$U$5=9,R88,
IF(Arrangörslista!$U$5=10,S88,
IF(Arrangörslista!$U$5=11,T88,
IF(Arrangörslista!$U$5=12,U88,
IF(Arrangörslista!$U$5=13,V88,
IF(Arrangörslista!$U$5=14,W88,
IF(Arrangörslista!$U$5=15,X88,
IF(Arrangörslista!$U$5=16,Y88,IF(Arrangörslista!$U$5=17,Z88,IF(Arrangörslista!$U$5=18,AA88,IF(Arrangörslista!$U$5=19,AB88,IF(Arrangörslista!$U$5=20,AC88,IF(Arrangörslista!$U$5=21,AD88,IF(Arrangörslista!$U$5=22,AE88,IF(Arrangörslista!$U$5=23,AF88, IF(Arrangörslista!$U$5=24,AG88, IF(Arrangörslista!$U$5=25,AH88, IF(Arrangörslista!$U$5=26,AI88, IF(Arrangörslista!$U$5=27,AJ88, IF(Arrangörslista!$U$5=28,AK88, IF(Arrangörslista!$U$5=29,AL88, IF(Arrangörslista!$U$5=30,AM88, IF(Arrangörslista!$U$5=31,AN88, IF(Arrangörslista!$U$5=32,AO88, IF(Arrangörslista!$U$5=33,AP88, IF(Arrangörslista!$U$5=34,AQ88, IF(Arrangörslista!$U$5=35,AR88, IF(Arrangörslista!$U$5=36,AS88, IF(Arrangörslista!$U$5=37,AT88, IF(Arrangörslista!$U$5=38,AU88, IF(Arrangörslista!$U$5=39,AV88, IF(Arrangörslista!$U$5=40,AW88, IF(Arrangörslista!$U$5=41,AX88, IF(Arrangörslista!$U$5=42,AY88, IF(Arrangörslista!$U$5=43,AZ88, IF(Arrangörslista!$U$5=44,BA88, IF(Arrangörslista!$U$5=45,BB88, IF(Arrangörslista!$U$5=46,BC88, IF(Arrangörslista!$U$5=47,BD88, IF(Arrangörslista!$U$5=48,BE88, IF(Arrangörslista!$U$5=49,BF88, IF(Arrangörslista!$U$5=50,BG88, IF(Arrangörslista!$U$5=51,BH88, IF(Arrangörslista!$U$5=52,BI88, IF(Arrangörslista!$U$5=53,BJ88, IF(Arrangörslista!$U$5=54,BK88, IF(Arrangörslista!$U$5=55,BL88, IF(Arrangörslista!$U$5=56,BM88, IF(Arrangörslista!$U$5=57,BN88, IF(Arrangörslista!$U$5=58,BO88, IF(Arrangörslista!$U$5=59,BP88, IF(Arrangörslista!$U$5=60,BQ88,0))))))))))))))))))))))))))))))))))))))))))))))))))))))))))))),IF(Deltagarlista!$K$3=4, IF(Arrangörslista!$U$5=1,J88,
IF(Arrangörslista!$U$5=2,J88,
IF(Arrangörslista!$U$5=3,K88,
IF(Arrangörslista!$U$5=4,K88,
IF(Arrangörslista!$U$5=5,L88,
IF(Arrangörslista!$U$5=6,L88,
IF(Arrangörslista!$U$5=7,M88,
IF(Arrangörslista!$U$5=8,M88,
IF(Arrangörslista!$U$5=9,N88,
IF(Arrangörslista!$U$5=10,N88,
IF(Arrangörslista!$U$5=11,O88,
IF(Arrangörslista!$U$5=12,O88,
IF(Arrangörslista!$U$5=13,P88,
IF(Arrangörslista!$U$5=14,P88,
IF(Arrangörslista!$U$5=15,Q88,
IF(Arrangörslista!$U$5=16,Q88,
IF(Arrangörslista!$U$5=17,R88,
IF(Arrangörslista!$U$5=18,R88,
IF(Arrangörslista!$U$5=19,S88,
IF(Arrangörslista!$U$5=20,S88,
IF(Arrangörslista!$U$5=21,T88,
IF(Arrangörslista!$U$5=22,T88,IF(Arrangörslista!$U$5=23,U88, IF(Arrangörslista!$U$5=24,U88, IF(Arrangörslista!$U$5=25,V88, IF(Arrangörslista!$U$5=26,V88, IF(Arrangörslista!$U$5=27,W88, IF(Arrangörslista!$U$5=28,W88, IF(Arrangörslista!$U$5=29,X88, IF(Arrangörslista!$U$5=30,X88, IF(Arrangörslista!$U$5=31,X88, IF(Arrangörslista!$U$5=32,Y88, IF(Arrangörslista!$U$5=33,AO88, IF(Arrangörslista!$U$5=34,Y88, IF(Arrangörslista!$U$5=35,Z88, IF(Arrangörslista!$U$5=36,AR88, IF(Arrangörslista!$U$5=37,Z88, IF(Arrangörslista!$U$5=38,AA88, IF(Arrangörslista!$U$5=39,AU88, IF(Arrangörslista!$U$5=40,AA88, IF(Arrangörslista!$U$5=41,AB88, IF(Arrangörslista!$U$5=42,AX88, IF(Arrangörslista!$U$5=43,AB88, IF(Arrangörslista!$U$5=44,AC88, IF(Arrangörslista!$U$5=45,BA88, IF(Arrangörslista!$U$5=46,AC88, IF(Arrangörslista!$U$5=47,AD88, IF(Arrangörslista!$U$5=48,BD88, IF(Arrangörslista!$U$5=49,AD88, IF(Arrangörslista!$U$5=50,AE88, IF(Arrangörslista!$U$5=51,BG88, IF(Arrangörslista!$U$5=52,AE88, IF(Arrangörslista!$U$5=53,AF88, IF(Arrangörslista!$U$5=54,BJ88, IF(Arrangörslista!$U$5=55,AF88, IF(Arrangörslista!$U$5=56,AG88, IF(Arrangörslista!$U$5=57,BM88, IF(Arrangörslista!$U$5=58,AG88, IF(Arrangörslista!$U$5=59,AH88, IF(Arrangörslista!$U$5=60,AH88,0)))))))))))))))))))))))))))))))))))))))))))))))))))))))))))),IF(Arrangörslista!$U$5=1,J88,
IF(Arrangörslista!$U$5=2,K88,
IF(Arrangörslista!$U$5=3,L88,
IF(Arrangörslista!$U$5=4,M88,
IF(Arrangörslista!$U$5=5,N88,
IF(Arrangörslista!$U$5=6,O88,
IF(Arrangörslista!$U$5=7,P88,
IF(Arrangörslista!$U$5=8,Q88,
IF(Arrangörslista!$U$5=9,R88,
IF(Arrangörslista!$U$5=10,S88,
IF(Arrangörslista!$U$5=11,T88,
IF(Arrangörslista!$U$5=12,U88,
IF(Arrangörslista!$U$5=13,V88,
IF(Arrangörslista!$U$5=14,W88,
IF(Arrangörslista!$U$5=15,X88,
IF(Arrangörslista!$U$5=16,Y88,IF(Arrangörslista!$U$5=17,Z88,IF(Arrangörslista!$U$5=18,AA88,IF(Arrangörslista!$U$5=19,AB88,IF(Arrangörslista!$U$5=20,AC88,IF(Arrangörslista!$U$5=21,AD88,IF(Arrangörslista!$U$5=22,AE88,IF(Arrangörslista!$U$5=23,AF88, IF(Arrangörslista!$U$5=24,AG88, IF(Arrangörslista!$U$5=25,AH88, IF(Arrangörslista!$U$5=26,AI88, IF(Arrangörslista!$U$5=27,AJ88, IF(Arrangörslista!$U$5=28,AK88, IF(Arrangörslista!$U$5=29,AL88, IF(Arrangörslista!$U$5=30,AM88, IF(Arrangörslista!$U$5=31,AN88, IF(Arrangörslista!$U$5=32,AO88, IF(Arrangörslista!$U$5=33,AP88, IF(Arrangörslista!$U$5=34,AQ88, IF(Arrangörslista!$U$5=35,AR88, IF(Arrangörslista!$U$5=36,AS88, IF(Arrangörslista!$U$5=37,AT88, IF(Arrangörslista!$U$5=38,AU88, IF(Arrangörslista!$U$5=39,AV88, IF(Arrangörslista!$U$5=40,AW88, IF(Arrangörslista!$U$5=41,AX88, IF(Arrangörslista!$U$5=42,AY88, IF(Arrangörslista!$U$5=43,AZ88, IF(Arrangörslista!$U$5=44,BA88, IF(Arrangörslista!$U$5=45,BB88, IF(Arrangörslista!$U$5=46,BC88, IF(Arrangörslista!$U$5=47,BD88, IF(Arrangörslista!$U$5=48,BE88, IF(Arrangörslista!$U$5=49,BF88, IF(Arrangörslista!$U$5=50,BG88, IF(Arrangörslista!$U$5=51,BH88, IF(Arrangörslista!$U$5=52,BI88, IF(Arrangörslista!$U$5=53,BJ88, IF(Arrangörslista!$U$5=54,BK88, IF(Arrangörslista!$U$5=55,BL88, IF(Arrangörslista!$U$5=56,BM88, IF(Arrangörslista!$U$5=57,BN88, IF(Arrangörslista!$U$5=58,BO88, IF(Arrangörslista!$U$5=59,BP88, IF(Arrangörslista!$U$5=60,BQ88,0))))))))))))))))))))))))))))))))))))))))))))))))))))))))))))
))</f>
        <v>0</v>
      </c>
      <c r="GV25" s="65" t="str">
        <f>IFERROR(IF(VLOOKUP(F25,Deltagarlista!$E$5:$I$64,5,FALSE)="Grön","Gr",IF(VLOOKUP(F25,Deltagarlista!$E$5:$I$64,5,FALSE)="Röd","R",IF(VLOOKUP(F25,Deltagarlista!$E$5:$I$64,5,FALSE)="Blå","B","Gu"))),"")</f>
        <v/>
      </c>
      <c r="GW25" s="62" t="str">
        <f t="shared" si="1"/>
        <v/>
      </c>
    </row>
    <row r="26" spans="2:205" x14ac:dyDescent="0.3">
      <c r="B26" s="23" t="str">
        <f>IF($BW$3&gt;22,23,"")</f>
        <v/>
      </c>
      <c r="C26" s="92" t="str">
        <f>IF(ISBLANK(Deltagarlista!C23),"",Deltagarlista!C23)</f>
        <v/>
      </c>
      <c r="D26" s="109" t="str">
        <f>CONCATENATE(IF(AND(Deltagarlista!H23="GM",Deltagarlista!$S$14=TRUE),"GM   ",""),  IF(OR(Deltagarlista!$K$3=4,Deltagarlista!$K$3=2),Deltagarlista!I23,""))</f>
        <v/>
      </c>
      <c r="E26" s="8" t="str">
        <f>IF(ISBLANK(Deltagarlista!D23),"",Deltagarlista!D23)</f>
        <v/>
      </c>
      <c r="F26" s="8" t="str">
        <f>IF(ISBLANK(Deltagarlista!E23),"",Deltagarlista!E23)</f>
        <v/>
      </c>
      <c r="G26" s="95" t="str">
        <f>IF(ISBLANK(Deltagarlista!F23),"",Deltagarlista!F23)</f>
        <v/>
      </c>
      <c r="H26" s="72" t="str">
        <f>IF(ISBLANK(Deltagarlista!C23),"",BU26-EE26)</f>
        <v/>
      </c>
      <c r="I26" s="13" t="str">
        <f>IF(ISBLANK(Deltagarlista!C23),"",IF(AND(Deltagarlista!$K$3=2,Deltagarlista!$L$3&lt;37),SUM(SUM(BV26:EC26)-(ROUNDDOWN(Arrangörslista!$U$5/3,1))*($BW$3+1)),SUM(BV26:EC26)))</f>
        <v/>
      </c>
      <c r="J26" s="79" t="str">
        <f>IF(Deltagarlista!$K$3=4,IF(ISBLANK(Deltagarlista!$C23),"",IF(ISBLANK(Arrangörslista!C$8),"",IFERROR(VLOOKUP($F26,Arrangörslista!C$8:$AG$45,16,FALSE),IF(ISBLANK(Deltagarlista!$C23),"",IF(ISBLANK(Arrangörslista!C$8),"",IFERROR(VLOOKUP($F26,Arrangörslista!D$8:$AG$45,16,FALSE),"DNS")))))),IF(Deltagarlista!$K$3=2,
IF(ISBLANK(Deltagarlista!$C23),"",IF(ISBLANK(Arrangörslista!C$8),"",IF($GV26=J$64," DNS ",IFERROR(VLOOKUP($F26,Arrangörslista!C$8:$AG$45,16,FALSE),"DNS")))),IF(ISBLANK(Deltagarlista!$C23),"",IF(ISBLANK(Arrangörslista!C$8),"",IFERROR(VLOOKUP($F26,Arrangörslista!C$8:$AG$45,16,FALSE),"DNS")))))</f>
        <v/>
      </c>
      <c r="K26" s="5" t="str">
        <f>IF(Deltagarlista!$K$3=4,IF(ISBLANK(Deltagarlista!$C23),"",IF(ISBLANK(Arrangörslista!E$8),"",IFERROR(VLOOKUP($F26,Arrangörslista!E$8:$AG$45,16,FALSE),IF(ISBLANK(Deltagarlista!$C23),"",IF(ISBLANK(Arrangörslista!E$8),"",IFERROR(VLOOKUP($F26,Arrangörslista!F$8:$AG$45,16,FALSE),"DNS")))))),IF(Deltagarlista!$K$3=2,
IF(ISBLANK(Deltagarlista!$C23),"",IF(ISBLANK(Arrangörslista!D$8),"",IF($GV26=K$64," DNS ",IFERROR(VLOOKUP($F26,Arrangörslista!D$8:$AG$45,16,FALSE),"DNS")))),IF(ISBLANK(Deltagarlista!$C23),"",IF(ISBLANK(Arrangörslista!D$8),"",IFERROR(VLOOKUP($F26,Arrangörslista!D$8:$AG$45,16,FALSE),"DNS")))))</f>
        <v/>
      </c>
      <c r="L26" s="5" t="str">
        <f>IF(Deltagarlista!$K$3=4,IF(ISBLANK(Deltagarlista!$C23),"",IF(ISBLANK(Arrangörslista!G$8),"",IFERROR(VLOOKUP($F26,Arrangörslista!G$8:$AG$45,16,FALSE),IF(ISBLANK(Deltagarlista!$C23),"",IF(ISBLANK(Arrangörslista!G$8),"",IFERROR(VLOOKUP($F26,Arrangörslista!H$8:$AG$45,16,FALSE),"DNS")))))),IF(Deltagarlista!$K$3=2,
IF(ISBLANK(Deltagarlista!$C23),"",IF(ISBLANK(Arrangörslista!E$8),"",IF($GV26=L$64," DNS ",IFERROR(VLOOKUP($F26,Arrangörslista!E$8:$AG$45,16,FALSE),"DNS")))),IF(ISBLANK(Deltagarlista!$C23),"",IF(ISBLANK(Arrangörslista!E$8),"",IFERROR(VLOOKUP($F26,Arrangörslista!E$8:$AG$45,16,FALSE),"DNS")))))</f>
        <v/>
      </c>
      <c r="M26" s="5" t="str">
        <f>IF(Deltagarlista!$K$3=4,IF(ISBLANK(Deltagarlista!$C23),"",IF(ISBLANK(Arrangörslista!I$8),"",IFERROR(VLOOKUP($F26,Arrangörslista!I$8:$AG$45,16,FALSE),IF(ISBLANK(Deltagarlista!$C23),"",IF(ISBLANK(Arrangörslista!I$8),"",IFERROR(VLOOKUP($F26,Arrangörslista!J$8:$AG$45,16,FALSE),"DNS")))))),IF(Deltagarlista!$K$3=2,
IF(ISBLANK(Deltagarlista!$C23),"",IF(ISBLANK(Arrangörslista!F$8),"",IF($GV26=M$64," DNS ",IFERROR(VLOOKUP($F26,Arrangörslista!F$8:$AG$45,16,FALSE),"DNS")))),IF(ISBLANK(Deltagarlista!$C23),"",IF(ISBLANK(Arrangörslista!F$8),"",IFERROR(VLOOKUP($F26,Arrangörslista!F$8:$AG$45,16,FALSE),"DNS")))))</f>
        <v/>
      </c>
      <c r="N26" s="5" t="str">
        <f>IF(Deltagarlista!$K$3=4,IF(ISBLANK(Deltagarlista!$C23),"",IF(ISBLANK(Arrangörslista!K$8),"",IFERROR(VLOOKUP($F26,Arrangörslista!K$8:$AG$45,16,FALSE),IF(ISBLANK(Deltagarlista!$C23),"",IF(ISBLANK(Arrangörslista!K$8),"",IFERROR(VLOOKUP($F26,Arrangörslista!L$8:$AG$45,16,FALSE),"DNS")))))),IF(Deltagarlista!$K$3=2,
IF(ISBLANK(Deltagarlista!$C23),"",IF(ISBLANK(Arrangörslista!G$8),"",IF($GV26=N$64," DNS ",IFERROR(VLOOKUP($F26,Arrangörslista!G$8:$AG$45,16,FALSE),"DNS")))),IF(ISBLANK(Deltagarlista!$C23),"",IF(ISBLANK(Arrangörslista!G$8),"",IFERROR(VLOOKUP($F26,Arrangörslista!G$8:$AG$45,16,FALSE),"DNS")))))</f>
        <v/>
      </c>
      <c r="O26" s="5" t="str">
        <f>IF(Deltagarlista!$K$3=4,IF(ISBLANK(Deltagarlista!$C23),"",IF(ISBLANK(Arrangörslista!M$8),"",IFERROR(VLOOKUP($F26,Arrangörslista!M$8:$AG$45,16,FALSE),IF(ISBLANK(Deltagarlista!$C23),"",IF(ISBLANK(Arrangörslista!M$8),"",IFERROR(VLOOKUP($F26,Arrangörslista!N$8:$AG$45,16,FALSE),"DNS")))))),IF(Deltagarlista!$K$3=2,
IF(ISBLANK(Deltagarlista!$C23),"",IF(ISBLANK(Arrangörslista!H$8),"",IF($GV26=O$64," DNS ",IFERROR(VLOOKUP($F26,Arrangörslista!H$8:$AG$45,16,FALSE),"DNS")))),IF(ISBLANK(Deltagarlista!$C23),"",IF(ISBLANK(Arrangörslista!H$8),"",IFERROR(VLOOKUP($F26,Arrangörslista!H$8:$AG$45,16,FALSE),"DNS")))))</f>
        <v/>
      </c>
      <c r="P26" s="5" t="str">
        <f>IF(Deltagarlista!$K$3=4,IF(ISBLANK(Deltagarlista!$C23),"",IF(ISBLANK(Arrangörslista!O$8),"",IFERROR(VLOOKUP($F26,Arrangörslista!O$8:$AG$45,16,FALSE),IF(ISBLANK(Deltagarlista!$C23),"",IF(ISBLANK(Arrangörslista!O$8),"",IFERROR(VLOOKUP($F26,Arrangörslista!P$8:$AG$45,16,FALSE),"DNS")))))),IF(Deltagarlista!$K$3=2,
IF(ISBLANK(Deltagarlista!$C23),"",IF(ISBLANK(Arrangörslista!I$8),"",IF($GV26=P$64," DNS ",IFERROR(VLOOKUP($F26,Arrangörslista!I$8:$AG$45,16,FALSE),"DNS")))),IF(ISBLANK(Deltagarlista!$C23),"",IF(ISBLANK(Arrangörslista!I$8),"",IFERROR(VLOOKUP($F26,Arrangörslista!I$8:$AG$45,16,FALSE),"DNS")))))</f>
        <v/>
      </c>
      <c r="Q26" s="5" t="str">
        <f>IF(Deltagarlista!$K$3=4,IF(ISBLANK(Deltagarlista!$C23),"",IF(ISBLANK(Arrangörslista!Q$8),"",IFERROR(VLOOKUP($F26,Arrangörslista!Q$8:$AG$45,16,FALSE),IF(ISBLANK(Deltagarlista!$C23),"",IF(ISBLANK(Arrangörslista!Q$8),"",IFERROR(VLOOKUP($F26,Arrangörslista!C$53:$AG$90,16,FALSE),"DNS")))))),IF(Deltagarlista!$K$3=2,
IF(ISBLANK(Deltagarlista!$C23),"",IF(ISBLANK(Arrangörslista!J$8),"",IF($GV26=Q$64," DNS ",IFERROR(VLOOKUP($F26,Arrangörslista!J$8:$AG$45,16,FALSE),"DNS")))),IF(ISBLANK(Deltagarlista!$C23),"",IF(ISBLANK(Arrangörslista!J$8),"",IFERROR(VLOOKUP($F26,Arrangörslista!J$8:$AG$45,16,FALSE),"DNS")))))</f>
        <v/>
      </c>
      <c r="R26" s="5" t="str">
        <f>IF(Deltagarlista!$K$3=4,IF(ISBLANK(Deltagarlista!$C23),"",IF(ISBLANK(Arrangörslista!D$53),"",IFERROR(VLOOKUP($F26,Arrangörslista!D$53:$AG$90,16,FALSE),IF(ISBLANK(Deltagarlista!$C23),"",IF(ISBLANK(Arrangörslista!D$53),"",IFERROR(VLOOKUP($F26,Arrangörslista!E$53:$AG$90,16,FALSE),"DNS")))))),IF(Deltagarlista!$K$3=2,
IF(ISBLANK(Deltagarlista!$C23),"",IF(ISBLANK(Arrangörslista!K$8),"",IF($GV26=R$64," DNS ",IFERROR(VLOOKUP($F26,Arrangörslista!K$8:$AG$45,16,FALSE),"DNS")))),IF(ISBLANK(Deltagarlista!$C23),"",IF(ISBLANK(Arrangörslista!K$8),"",IFERROR(VLOOKUP($F26,Arrangörslista!K$8:$AG$45,16,FALSE),"DNS")))))</f>
        <v/>
      </c>
      <c r="S26" s="5" t="str">
        <f>IF(Deltagarlista!$K$3=4,IF(ISBLANK(Deltagarlista!$C23),"",IF(ISBLANK(Arrangörslista!F$53),"",IFERROR(VLOOKUP($F26,Arrangörslista!F$53:$AG$90,16,FALSE),IF(ISBLANK(Deltagarlista!$C23),"",IF(ISBLANK(Arrangörslista!F$53),"",IFERROR(VLOOKUP($F26,Arrangörslista!G$53:$AG$90,16,FALSE),"DNS")))))),IF(Deltagarlista!$K$3=2,
IF(ISBLANK(Deltagarlista!$C23),"",IF(ISBLANK(Arrangörslista!L$8),"",IF($GV26=S$64," DNS ",IFERROR(VLOOKUP($F26,Arrangörslista!L$8:$AG$45,16,FALSE),"DNS")))),IF(ISBLANK(Deltagarlista!$C23),"",IF(ISBLANK(Arrangörslista!L$8),"",IFERROR(VLOOKUP($F26,Arrangörslista!L$8:$AG$45,16,FALSE),"DNS")))))</f>
        <v/>
      </c>
      <c r="T26" s="5" t="str">
        <f>IF(Deltagarlista!$K$3=4,IF(ISBLANK(Deltagarlista!$C23),"",IF(ISBLANK(Arrangörslista!H$53),"",IFERROR(VLOOKUP($F26,Arrangörslista!H$53:$AG$90,16,FALSE),IF(ISBLANK(Deltagarlista!$C23),"",IF(ISBLANK(Arrangörslista!H$53),"",IFERROR(VLOOKUP($F26,Arrangörslista!I$53:$AG$90,16,FALSE),"DNS")))))),IF(Deltagarlista!$K$3=2,
IF(ISBLANK(Deltagarlista!$C23),"",IF(ISBLANK(Arrangörslista!M$8),"",IF($GV26=T$64," DNS ",IFERROR(VLOOKUP($F26,Arrangörslista!M$8:$AG$45,16,FALSE),"DNS")))),IF(ISBLANK(Deltagarlista!$C23),"",IF(ISBLANK(Arrangörslista!M$8),"",IFERROR(VLOOKUP($F26,Arrangörslista!M$8:$AG$45,16,FALSE),"DNS")))))</f>
        <v/>
      </c>
      <c r="U26" s="5" t="str">
        <f>IF(Deltagarlista!$K$3=4,IF(ISBLANK(Deltagarlista!$C23),"",IF(ISBLANK(Arrangörslista!J$53),"",IFERROR(VLOOKUP($F26,Arrangörslista!J$53:$AG$90,16,FALSE),IF(ISBLANK(Deltagarlista!$C23),"",IF(ISBLANK(Arrangörslista!J$53),"",IFERROR(VLOOKUP($F26,Arrangörslista!K$53:$AG$90,16,FALSE),"DNS")))))),IF(Deltagarlista!$K$3=2,
IF(ISBLANK(Deltagarlista!$C23),"",IF(ISBLANK(Arrangörslista!N$8),"",IF($GV26=U$64," DNS ",IFERROR(VLOOKUP($F26,Arrangörslista!N$8:$AG$45,16,FALSE),"DNS")))),IF(ISBLANK(Deltagarlista!$C23),"",IF(ISBLANK(Arrangörslista!N$8),"",IFERROR(VLOOKUP($F26,Arrangörslista!N$8:$AG$45,16,FALSE),"DNS")))))</f>
        <v/>
      </c>
      <c r="V26" s="5" t="str">
        <f>IF(Deltagarlista!$K$3=4,IF(ISBLANK(Deltagarlista!$C23),"",IF(ISBLANK(Arrangörslista!L$53),"",IFERROR(VLOOKUP($F26,Arrangörslista!L$53:$AG$90,16,FALSE),IF(ISBLANK(Deltagarlista!$C23),"",IF(ISBLANK(Arrangörslista!L$53),"",IFERROR(VLOOKUP($F26,Arrangörslista!M$53:$AG$90,16,FALSE),"DNS")))))),IF(Deltagarlista!$K$3=2,
IF(ISBLANK(Deltagarlista!$C23),"",IF(ISBLANK(Arrangörslista!O$8),"",IF($GV26=V$64," DNS ",IFERROR(VLOOKUP($F26,Arrangörslista!O$8:$AG$45,16,FALSE),"DNS")))),IF(ISBLANK(Deltagarlista!$C23),"",IF(ISBLANK(Arrangörslista!O$8),"",IFERROR(VLOOKUP($F26,Arrangörslista!O$8:$AG$45,16,FALSE),"DNS")))))</f>
        <v/>
      </c>
      <c r="W26" s="5" t="str">
        <f>IF(Deltagarlista!$K$3=4,IF(ISBLANK(Deltagarlista!$C23),"",IF(ISBLANK(Arrangörslista!N$53),"",IFERROR(VLOOKUP($F26,Arrangörslista!N$53:$AG$90,16,FALSE),IF(ISBLANK(Deltagarlista!$C23),"",IF(ISBLANK(Arrangörslista!N$53),"",IFERROR(VLOOKUP($F26,Arrangörslista!O$53:$AG$90,16,FALSE),"DNS")))))),IF(Deltagarlista!$K$3=2,
IF(ISBLANK(Deltagarlista!$C23),"",IF(ISBLANK(Arrangörslista!P$8),"",IF($GV26=W$64," DNS ",IFERROR(VLOOKUP($F26,Arrangörslista!P$8:$AG$45,16,FALSE),"DNS")))),IF(ISBLANK(Deltagarlista!$C23),"",IF(ISBLANK(Arrangörslista!P$8),"",IFERROR(VLOOKUP($F26,Arrangörslista!P$8:$AG$45,16,FALSE),"DNS")))))</f>
        <v/>
      </c>
      <c r="X26" s="5" t="str">
        <f>IF(Deltagarlista!$K$3=4,IF(ISBLANK(Deltagarlista!$C23),"",IF(ISBLANK(Arrangörslista!P$53),"",IFERROR(VLOOKUP($F26,Arrangörslista!P$53:$AG$90,16,FALSE),IF(ISBLANK(Deltagarlista!$C23),"",IF(ISBLANK(Arrangörslista!P$53),"",IFERROR(VLOOKUP($F26,Arrangörslista!Q$53:$AG$90,16,FALSE),"DNS")))))),IF(Deltagarlista!$K$3=2,
IF(ISBLANK(Deltagarlista!$C23),"",IF(ISBLANK(Arrangörslista!Q$8),"",IF($GV26=X$64," DNS ",IFERROR(VLOOKUP($F26,Arrangörslista!Q$8:$AG$45,16,FALSE),"DNS")))),IF(ISBLANK(Deltagarlista!$C23),"",IF(ISBLANK(Arrangörslista!Q$8),"",IFERROR(VLOOKUP($F26,Arrangörslista!Q$8:$AG$45,16,FALSE),"DNS")))))</f>
        <v/>
      </c>
      <c r="Y26" s="5" t="str">
        <f>IF(Deltagarlista!$K$3=4,IF(ISBLANK(Deltagarlista!$C23),"",IF(ISBLANK(Arrangörslista!C$98),"",IFERROR(VLOOKUP($F26,Arrangörslista!C$98:$AG$135,16,FALSE),IF(ISBLANK(Deltagarlista!$C23),"",IF(ISBLANK(Arrangörslista!C$98),"",IFERROR(VLOOKUP($F26,Arrangörslista!D$98:$AG$135,16,FALSE),"DNS")))))),IF(Deltagarlista!$K$3=2,
IF(ISBLANK(Deltagarlista!$C23),"",IF(ISBLANK(Arrangörslista!C$53),"",IF($GV26=Y$64," DNS ",IFERROR(VLOOKUP($F26,Arrangörslista!C$53:$AG$90,16,FALSE),"DNS")))),IF(ISBLANK(Deltagarlista!$C23),"",IF(ISBLANK(Arrangörslista!C$53),"",IFERROR(VLOOKUP($F26,Arrangörslista!C$53:$AG$90,16,FALSE),"DNS")))))</f>
        <v/>
      </c>
      <c r="Z26" s="5" t="str">
        <f>IF(Deltagarlista!$K$3=4,IF(ISBLANK(Deltagarlista!$C23),"",IF(ISBLANK(Arrangörslista!E$98),"",IFERROR(VLOOKUP($F26,Arrangörslista!E$98:$AG$135,16,FALSE),IF(ISBLANK(Deltagarlista!$C23),"",IF(ISBLANK(Arrangörslista!E$98),"",IFERROR(VLOOKUP($F26,Arrangörslista!F$98:$AG$135,16,FALSE),"DNS")))))),IF(Deltagarlista!$K$3=2,
IF(ISBLANK(Deltagarlista!$C23),"",IF(ISBLANK(Arrangörslista!D$53),"",IF($GV26=Z$64," DNS ",IFERROR(VLOOKUP($F26,Arrangörslista!D$53:$AG$90,16,FALSE),"DNS")))),IF(ISBLANK(Deltagarlista!$C23),"",IF(ISBLANK(Arrangörslista!D$53),"",IFERROR(VLOOKUP($F26,Arrangörslista!D$53:$AG$90,16,FALSE),"DNS")))))</f>
        <v/>
      </c>
      <c r="AA26" s="5" t="str">
        <f>IF(Deltagarlista!$K$3=4,IF(ISBLANK(Deltagarlista!$C23),"",IF(ISBLANK(Arrangörslista!G$98),"",IFERROR(VLOOKUP($F26,Arrangörslista!G$98:$AG$135,16,FALSE),IF(ISBLANK(Deltagarlista!$C23),"",IF(ISBLANK(Arrangörslista!G$98),"",IFERROR(VLOOKUP($F26,Arrangörslista!H$98:$AG$135,16,FALSE),"DNS")))))),IF(Deltagarlista!$K$3=2,
IF(ISBLANK(Deltagarlista!$C23),"",IF(ISBLANK(Arrangörslista!E$53),"",IF($GV26=AA$64," DNS ",IFERROR(VLOOKUP($F26,Arrangörslista!E$53:$AG$90,16,FALSE),"DNS")))),IF(ISBLANK(Deltagarlista!$C23),"",IF(ISBLANK(Arrangörslista!E$53),"",IFERROR(VLOOKUP($F26,Arrangörslista!E$53:$AG$90,16,FALSE),"DNS")))))</f>
        <v/>
      </c>
      <c r="AB26" s="5" t="str">
        <f>IF(Deltagarlista!$K$3=4,IF(ISBLANK(Deltagarlista!$C23),"",IF(ISBLANK(Arrangörslista!I$98),"",IFERROR(VLOOKUP($F26,Arrangörslista!I$98:$AG$135,16,FALSE),IF(ISBLANK(Deltagarlista!$C23),"",IF(ISBLANK(Arrangörslista!I$98),"",IFERROR(VLOOKUP($F26,Arrangörslista!J$98:$AG$135,16,FALSE),"DNS")))))),IF(Deltagarlista!$K$3=2,
IF(ISBLANK(Deltagarlista!$C23),"",IF(ISBLANK(Arrangörslista!F$53),"",IF($GV26=AB$64," DNS ",IFERROR(VLOOKUP($F26,Arrangörslista!F$53:$AG$90,16,FALSE),"DNS")))),IF(ISBLANK(Deltagarlista!$C23),"",IF(ISBLANK(Arrangörslista!F$53),"",IFERROR(VLOOKUP($F26,Arrangörslista!F$53:$AG$90,16,FALSE),"DNS")))))</f>
        <v/>
      </c>
      <c r="AC26" s="5" t="str">
        <f>IF(Deltagarlista!$K$3=4,IF(ISBLANK(Deltagarlista!$C23),"",IF(ISBLANK(Arrangörslista!K$98),"",IFERROR(VLOOKUP($F26,Arrangörslista!K$98:$AG$135,16,FALSE),IF(ISBLANK(Deltagarlista!$C23),"",IF(ISBLANK(Arrangörslista!K$98),"",IFERROR(VLOOKUP($F26,Arrangörslista!L$98:$AG$135,16,FALSE),"DNS")))))),IF(Deltagarlista!$K$3=2,
IF(ISBLANK(Deltagarlista!$C23),"",IF(ISBLANK(Arrangörslista!G$53),"",IF($GV26=AC$64," DNS ",IFERROR(VLOOKUP($F26,Arrangörslista!G$53:$AG$90,16,FALSE),"DNS")))),IF(ISBLANK(Deltagarlista!$C23),"",IF(ISBLANK(Arrangörslista!G$53),"",IFERROR(VLOOKUP($F26,Arrangörslista!G$53:$AG$90,16,FALSE),"DNS")))))</f>
        <v/>
      </c>
      <c r="AD26" s="5" t="str">
        <f>IF(Deltagarlista!$K$3=4,IF(ISBLANK(Deltagarlista!$C23),"",IF(ISBLANK(Arrangörslista!M$98),"",IFERROR(VLOOKUP($F26,Arrangörslista!M$98:$AG$135,16,FALSE),IF(ISBLANK(Deltagarlista!$C23),"",IF(ISBLANK(Arrangörslista!M$98),"",IFERROR(VLOOKUP($F26,Arrangörslista!N$98:$AG$135,16,FALSE),"DNS")))))),IF(Deltagarlista!$K$3=2,
IF(ISBLANK(Deltagarlista!$C23),"",IF(ISBLANK(Arrangörslista!H$53),"",IF($GV26=AD$64," DNS ",IFERROR(VLOOKUP($F26,Arrangörslista!H$53:$AG$90,16,FALSE),"DNS")))),IF(ISBLANK(Deltagarlista!$C23),"",IF(ISBLANK(Arrangörslista!H$53),"",IFERROR(VLOOKUP($F26,Arrangörslista!H$53:$AG$90,16,FALSE),"DNS")))))</f>
        <v/>
      </c>
      <c r="AE26" s="5" t="str">
        <f>IF(Deltagarlista!$K$3=4,IF(ISBLANK(Deltagarlista!$C23),"",IF(ISBLANK(Arrangörslista!O$98),"",IFERROR(VLOOKUP($F26,Arrangörslista!O$98:$AG$135,16,FALSE),IF(ISBLANK(Deltagarlista!$C23),"",IF(ISBLANK(Arrangörslista!O$98),"",IFERROR(VLOOKUP($F26,Arrangörslista!P$98:$AG$135,16,FALSE),"DNS")))))),IF(Deltagarlista!$K$3=2,
IF(ISBLANK(Deltagarlista!$C23),"",IF(ISBLANK(Arrangörslista!I$53),"",IF($GV26=AE$64," DNS ",IFERROR(VLOOKUP($F26,Arrangörslista!I$53:$AG$90,16,FALSE),"DNS")))),IF(ISBLANK(Deltagarlista!$C23),"",IF(ISBLANK(Arrangörslista!I$53),"",IFERROR(VLOOKUP($F26,Arrangörslista!I$53:$AG$90,16,FALSE),"DNS")))))</f>
        <v/>
      </c>
      <c r="AF26" s="5" t="str">
        <f>IF(Deltagarlista!$K$3=4,IF(ISBLANK(Deltagarlista!$C23),"",IF(ISBLANK(Arrangörslista!Q$98),"",IFERROR(VLOOKUP($F26,Arrangörslista!Q$98:$AG$135,16,FALSE),IF(ISBLANK(Deltagarlista!$C23),"",IF(ISBLANK(Arrangörslista!Q$98),"",IFERROR(VLOOKUP($F26,Arrangörslista!C$143:$AG$180,16,FALSE),"DNS")))))),IF(Deltagarlista!$K$3=2,
IF(ISBLANK(Deltagarlista!$C23),"",IF(ISBLANK(Arrangörslista!J$53),"",IF($GV26=AF$64," DNS ",IFERROR(VLOOKUP($F26,Arrangörslista!J$53:$AG$90,16,FALSE),"DNS")))),IF(ISBLANK(Deltagarlista!$C23),"",IF(ISBLANK(Arrangörslista!J$53),"",IFERROR(VLOOKUP($F26,Arrangörslista!J$53:$AG$90,16,FALSE),"DNS")))))</f>
        <v/>
      </c>
      <c r="AG26" s="5" t="str">
        <f>IF(Deltagarlista!$K$3=4,IF(ISBLANK(Deltagarlista!$C23),"",IF(ISBLANK(Arrangörslista!D$143),"",IFERROR(VLOOKUP($F26,Arrangörslista!D$143:$AG$180,16,FALSE),IF(ISBLANK(Deltagarlista!$C23),"",IF(ISBLANK(Arrangörslista!D$143),"",IFERROR(VLOOKUP($F26,Arrangörslista!E$143:$AG$180,16,FALSE),"DNS")))))),IF(Deltagarlista!$K$3=2,
IF(ISBLANK(Deltagarlista!$C23),"",IF(ISBLANK(Arrangörslista!K$53),"",IF($GV26=AG$64," DNS ",IFERROR(VLOOKUP($F26,Arrangörslista!K$53:$AG$90,16,FALSE),"DNS")))),IF(ISBLANK(Deltagarlista!$C23),"",IF(ISBLANK(Arrangörslista!K$53),"",IFERROR(VLOOKUP($F26,Arrangörslista!K$53:$AG$90,16,FALSE),"DNS")))))</f>
        <v/>
      </c>
      <c r="AH26" s="5" t="str">
        <f>IF(Deltagarlista!$K$3=4,IF(ISBLANK(Deltagarlista!$C23),"",IF(ISBLANK(Arrangörslista!F$143),"",IFERROR(VLOOKUP($F26,Arrangörslista!F$143:$AG$180,16,FALSE),IF(ISBLANK(Deltagarlista!$C23),"",IF(ISBLANK(Arrangörslista!F$143),"",IFERROR(VLOOKUP($F26,Arrangörslista!G$143:$AG$180,16,FALSE),"DNS")))))),IF(Deltagarlista!$K$3=2,
IF(ISBLANK(Deltagarlista!$C23),"",IF(ISBLANK(Arrangörslista!L$53),"",IF($GV26=AH$64," DNS ",IFERROR(VLOOKUP($F26,Arrangörslista!L$53:$AG$90,16,FALSE),"DNS")))),IF(ISBLANK(Deltagarlista!$C23),"",IF(ISBLANK(Arrangörslista!L$53),"",IFERROR(VLOOKUP($F26,Arrangörslista!L$53:$AG$90,16,FALSE),"DNS")))))</f>
        <v/>
      </c>
      <c r="AI26" s="5" t="str">
        <f>IF(Deltagarlista!$K$3=4,IF(ISBLANK(Deltagarlista!$C23),"",IF(ISBLANK(Arrangörslista!H$143),"",IFERROR(VLOOKUP($F26,Arrangörslista!H$143:$AG$180,16,FALSE),IF(ISBLANK(Deltagarlista!$C23),"",IF(ISBLANK(Arrangörslista!H$143),"",IFERROR(VLOOKUP($F26,Arrangörslista!I$143:$AG$180,16,FALSE),"DNS")))))),IF(Deltagarlista!$K$3=2,
IF(ISBLANK(Deltagarlista!$C23),"",IF(ISBLANK(Arrangörslista!M$53),"",IF($GV26=AI$64," DNS ",IFERROR(VLOOKUP($F26,Arrangörslista!M$53:$AG$90,16,FALSE),"DNS")))),IF(ISBLANK(Deltagarlista!$C23),"",IF(ISBLANK(Arrangörslista!M$53),"",IFERROR(VLOOKUP($F26,Arrangörslista!M$53:$AG$90,16,FALSE),"DNS")))))</f>
        <v/>
      </c>
      <c r="AJ26" s="5" t="str">
        <f>IF(Deltagarlista!$K$3=4,IF(ISBLANK(Deltagarlista!$C23),"",IF(ISBLANK(Arrangörslista!J$143),"",IFERROR(VLOOKUP($F26,Arrangörslista!J$143:$AG$180,16,FALSE),IF(ISBLANK(Deltagarlista!$C23),"",IF(ISBLANK(Arrangörslista!J$143),"",IFERROR(VLOOKUP($F26,Arrangörslista!K$143:$AG$180,16,FALSE),"DNS")))))),IF(Deltagarlista!$K$3=2,
IF(ISBLANK(Deltagarlista!$C23),"",IF(ISBLANK(Arrangörslista!N$53),"",IF($GV26=AJ$64," DNS ",IFERROR(VLOOKUP($F26,Arrangörslista!N$53:$AG$90,16,FALSE),"DNS")))),IF(ISBLANK(Deltagarlista!$C23),"",IF(ISBLANK(Arrangörslista!N$53),"",IFERROR(VLOOKUP($F26,Arrangörslista!N$53:$AG$90,16,FALSE),"DNS")))))</f>
        <v/>
      </c>
      <c r="AK26" s="5" t="str">
        <f>IF(Deltagarlista!$K$3=4,IF(ISBLANK(Deltagarlista!$C23),"",IF(ISBLANK(Arrangörslista!L$143),"",IFERROR(VLOOKUP($F26,Arrangörslista!L$143:$AG$180,16,FALSE),IF(ISBLANK(Deltagarlista!$C23),"",IF(ISBLANK(Arrangörslista!L$143),"",IFERROR(VLOOKUP($F26,Arrangörslista!M$143:$AG$180,16,FALSE),"DNS")))))),IF(Deltagarlista!$K$3=2,
IF(ISBLANK(Deltagarlista!$C23),"",IF(ISBLANK(Arrangörslista!O$53),"",IF($GV26=AK$64," DNS ",IFERROR(VLOOKUP($F26,Arrangörslista!O$53:$AG$90,16,FALSE),"DNS")))),IF(ISBLANK(Deltagarlista!$C23),"",IF(ISBLANK(Arrangörslista!O$53),"",IFERROR(VLOOKUP($F26,Arrangörslista!O$53:$AG$90,16,FALSE),"DNS")))))</f>
        <v/>
      </c>
      <c r="AL26" s="5" t="str">
        <f>IF(Deltagarlista!$K$3=4,IF(ISBLANK(Deltagarlista!$C23),"",IF(ISBLANK(Arrangörslista!N$143),"",IFERROR(VLOOKUP($F26,Arrangörslista!N$143:$AG$180,16,FALSE),IF(ISBLANK(Deltagarlista!$C23),"",IF(ISBLANK(Arrangörslista!N$143),"",IFERROR(VLOOKUP($F26,Arrangörslista!O$143:$AG$180,16,FALSE),"DNS")))))),IF(Deltagarlista!$K$3=2,
IF(ISBLANK(Deltagarlista!$C23),"",IF(ISBLANK(Arrangörslista!P$53),"",IF($GV26=AL$64," DNS ",IFERROR(VLOOKUP($F26,Arrangörslista!P$53:$AG$90,16,FALSE),"DNS")))),IF(ISBLANK(Deltagarlista!$C23),"",IF(ISBLANK(Arrangörslista!P$53),"",IFERROR(VLOOKUP($F26,Arrangörslista!P$53:$AG$90,16,FALSE),"DNS")))))</f>
        <v/>
      </c>
      <c r="AM26" s="5" t="str">
        <f>IF(Deltagarlista!$K$3=4,IF(ISBLANK(Deltagarlista!$C23),"",IF(ISBLANK(Arrangörslista!P$143),"",IFERROR(VLOOKUP($F26,Arrangörslista!P$143:$AG$180,16,FALSE),IF(ISBLANK(Deltagarlista!$C23),"",IF(ISBLANK(Arrangörslista!P$143),"",IFERROR(VLOOKUP($F26,Arrangörslista!Q$143:$AG$180,16,FALSE),"DNS")))))),IF(Deltagarlista!$K$3=2,
IF(ISBLANK(Deltagarlista!$C23),"",IF(ISBLANK(Arrangörslista!Q$53),"",IF($GV26=AM$64," DNS ",IFERROR(VLOOKUP($F26,Arrangörslista!Q$53:$AG$90,16,FALSE),"DNS")))),IF(ISBLANK(Deltagarlista!$C23),"",IF(ISBLANK(Arrangörslista!Q$53),"",IFERROR(VLOOKUP($F26,Arrangörslista!Q$53:$AG$90,16,FALSE),"DNS")))))</f>
        <v/>
      </c>
      <c r="AN26" s="5" t="str">
        <f>IF(Deltagarlista!$K$3=2,
IF(ISBLANK(Deltagarlista!$C23),"",IF(ISBLANK(Arrangörslista!C$98),"",IF($GV26=AN$64," DNS ",IFERROR(VLOOKUP($F26,Arrangörslista!C$98:$AG$135,16,FALSE), "DNS")))), IF(Deltagarlista!$K$3=1,IF(ISBLANK(Deltagarlista!$C23),"",IF(ISBLANK(Arrangörslista!C$98),"",IFERROR(VLOOKUP($F26,Arrangörslista!C$98:$AG$135,16,FALSE), "DNS"))),""))</f>
        <v/>
      </c>
      <c r="AO26" s="5" t="str">
        <f>IF(Deltagarlista!$K$3=2,
IF(ISBLANK(Deltagarlista!$C23),"",IF(ISBLANK(Arrangörslista!D$98),"",IF($GV26=AO$64," DNS ",IFERROR(VLOOKUP($F26,Arrangörslista!D$98:$AG$135,16,FALSE), "DNS")))), IF(Deltagarlista!$K$3=1,IF(ISBLANK(Deltagarlista!$C23),"",IF(ISBLANK(Arrangörslista!D$98),"",IFERROR(VLOOKUP($F26,Arrangörslista!D$98:$AG$135,16,FALSE), "DNS"))),""))</f>
        <v/>
      </c>
      <c r="AP26" s="5" t="str">
        <f>IF(Deltagarlista!$K$3=2,
IF(ISBLANK(Deltagarlista!$C23),"",IF(ISBLANK(Arrangörslista!E$98),"",IF($GV26=AP$64," DNS ",IFERROR(VLOOKUP($F26,Arrangörslista!E$98:$AG$135,16,FALSE), "DNS")))), IF(Deltagarlista!$K$3=1,IF(ISBLANK(Deltagarlista!$C23),"",IF(ISBLANK(Arrangörslista!E$98),"",IFERROR(VLOOKUP($F26,Arrangörslista!E$98:$AG$135,16,FALSE), "DNS"))),""))</f>
        <v/>
      </c>
      <c r="AQ26" s="5" t="str">
        <f>IF(Deltagarlista!$K$3=2,
IF(ISBLANK(Deltagarlista!$C23),"",IF(ISBLANK(Arrangörslista!F$98),"",IF($GV26=AQ$64," DNS ",IFERROR(VLOOKUP($F26,Arrangörslista!F$98:$AG$135,16,FALSE), "DNS")))), IF(Deltagarlista!$K$3=1,IF(ISBLANK(Deltagarlista!$C23),"",IF(ISBLANK(Arrangörslista!F$98),"",IFERROR(VLOOKUP($F26,Arrangörslista!F$98:$AG$135,16,FALSE), "DNS"))),""))</f>
        <v/>
      </c>
      <c r="AR26" s="5" t="str">
        <f>IF(Deltagarlista!$K$3=2,
IF(ISBLANK(Deltagarlista!$C23),"",IF(ISBLANK(Arrangörslista!G$98),"",IF($GV26=AR$64," DNS ",IFERROR(VLOOKUP($F26,Arrangörslista!G$98:$AG$135,16,FALSE), "DNS")))), IF(Deltagarlista!$K$3=1,IF(ISBLANK(Deltagarlista!$C23),"",IF(ISBLANK(Arrangörslista!G$98),"",IFERROR(VLOOKUP($F26,Arrangörslista!G$98:$AG$135,16,FALSE), "DNS"))),""))</f>
        <v/>
      </c>
      <c r="AS26" s="5" t="str">
        <f>IF(Deltagarlista!$K$3=2,
IF(ISBLANK(Deltagarlista!$C23),"",IF(ISBLANK(Arrangörslista!H$98),"",IF($GV26=AS$64," DNS ",IFERROR(VLOOKUP($F26,Arrangörslista!H$98:$AG$135,16,FALSE), "DNS")))), IF(Deltagarlista!$K$3=1,IF(ISBLANK(Deltagarlista!$C23),"",IF(ISBLANK(Arrangörslista!H$98),"",IFERROR(VLOOKUP($F26,Arrangörslista!H$98:$AG$135,16,FALSE), "DNS"))),""))</f>
        <v/>
      </c>
      <c r="AT26" s="5" t="str">
        <f>IF(Deltagarlista!$K$3=2,
IF(ISBLANK(Deltagarlista!$C23),"",IF(ISBLANK(Arrangörslista!I$98),"",IF($GV26=AT$64," DNS ",IFERROR(VLOOKUP($F26,Arrangörslista!I$98:$AG$135,16,FALSE), "DNS")))), IF(Deltagarlista!$K$3=1,IF(ISBLANK(Deltagarlista!$C23),"",IF(ISBLANK(Arrangörslista!I$98),"",IFERROR(VLOOKUP($F26,Arrangörslista!I$98:$AG$135,16,FALSE), "DNS"))),""))</f>
        <v/>
      </c>
      <c r="AU26" s="5" t="str">
        <f>IF(Deltagarlista!$K$3=2,
IF(ISBLANK(Deltagarlista!$C23),"",IF(ISBLANK(Arrangörslista!J$98),"",IF($GV26=AU$64," DNS ",IFERROR(VLOOKUP($F26,Arrangörslista!J$98:$AG$135,16,FALSE), "DNS")))), IF(Deltagarlista!$K$3=1,IF(ISBLANK(Deltagarlista!$C23),"",IF(ISBLANK(Arrangörslista!J$98),"",IFERROR(VLOOKUP($F26,Arrangörslista!J$98:$AG$135,16,FALSE), "DNS"))),""))</f>
        <v/>
      </c>
      <c r="AV26" s="5" t="str">
        <f>IF(Deltagarlista!$K$3=2,
IF(ISBLANK(Deltagarlista!$C23),"",IF(ISBLANK(Arrangörslista!K$98),"",IF($GV26=AV$64," DNS ",IFERROR(VLOOKUP($F26,Arrangörslista!K$98:$AG$135,16,FALSE), "DNS")))), IF(Deltagarlista!$K$3=1,IF(ISBLANK(Deltagarlista!$C23),"",IF(ISBLANK(Arrangörslista!K$98),"",IFERROR(VLOOKUP($F26,Arrangörslista!K$98:$AG$135,16,FALSE), "DNS"))),""))</f>
        <v/>
      </c>
      <c r="AW26" s="5" t="str">
        <f>IF(Deltagarlista!$K$3=2,
IF(ISBLANK(Deltagarlista!$C23),"",IF(ISBLANK(Arrangörslista!L$98),"",IF($GV26=AW$64," DNS ",IFERROR(VLOOKUP($F26,Arrangörslista!L$98:$AG$135,16,FALSE), "DNS")))), IF(Deltagarlista!$K$3=1,IF(ISBLANK(Deltagarlista!$C23),"",IF(ISBLANK(Arrangörslista!L$98),"",IFERROR(VLOOKUP($F26,Arrangörslista!L$98:$AG$135,16,FALSE), "DNS"))),""))</f>
        <v/>
      </c>
      <c r="AX26" s="5" t="str">
        <f>IF(Deltagarlista!$K$3=2,
IF(ISBLANK(Deltagarlista!$C23),"",IF(ISBLANK(Arrangörslista!M$98),"",IF($GV26=AX$64," DNS ",IFERROR(VLOOKUP($F26,Arrangörslista!M$98:$AG$135,16,FALSE), "DNS")))), IF(Deltagarlista!$K$3=1,IF(ISBLANK(Deltagarlista!$C23),"",IF(ISBLANK(Arrangörslista!M$98),"",IFERROR(VLOOKUP($F26,Arrangörslista!M$98:$AG$135,16,FALSE), "DNS"))),""))</f>
        <v/>
      </c>
      <c r="AY26" s="5" t="str">
        <f>IF(Deltagarlista!$K$3=2,
IF(ISBLANK(Deltagarlista!$C23),"",IF(ISBLANK(Arrangörslista!N$98),"",IF($GV26=AY$64," DNS ",IFERROR(VLOOKUP($F26,Arrangörslista!N$98:$AG$135,16,FALSE), "DNS")))), IF(Deltagarlista!$K$3=1,IF(ISBLANK(Deltagarlista!$C23),"",IF(ISBLANK(Arrangörslista!N$98),"",IFERROR(VLOOKUP($F26,Arrangörslista!N$98:$AG$135,16,FALSE), "DNS"))),""))</f>
        <v/>
      </c>
      <c r="AZ26" s="5" t="str">
        <f>IF(Deltagarlista!$K$3=2,
IF(ISBLANK(Deltagarlista!$C23),"",IF(ISBLANK(Arrangörslista!O$98),"",IF($GV26=AZ$64," DNS ",IFERROR(VLOOKUP($F26,Arrangörslista!O$98:$AG$135,16,FALSE), "DNS")))), IF(Deltagarlista!$K$3=1,IF(ISBLANK(Deltagarlista!$C23),"",IF(ISBLANK(Arrangörslista!O$98),"",IFERROR(VLOOKUP($F26,Arrangörslista!O$98:$AG$135,16,FALSE), "DNS"))),""))</f>
        <v/>
      </c>
      <c r="BA26" s="5" t="str">
        <f>IF(Deltagarlista!$K$3=2,
IF(ISBLANK(Deltagarlista!$C23),"",IF(ISBLANK(Arrangörslista!P$98),"",IF($GV26=BA$64," DNS ",IFERROR(VLOOKUP($F26,Arrangörslista!P$98:$AG$135,16,FALSE), "DNS")))), IF(Deltagarlista!$K$3=1,IF(ISBLANK(Deltagarlista!$C23),"",IF(ISBLANK(Arrangörslista!P$98),"",IFERROR(VLOOKUP($F26,Arrangörslista!P$98:$AG$135,16,FALSE), "DNS"))),""))</f>
        <v/>
      </c>
      <c r="BB26" s="5" t="str">
        <f>IF(Deltagarlista!$K$3=2,
IF(ISBLANK(Deltagarlista!$C23),"",IF(ISBLANK(Arrangörslista!Q$98),"",IF($GV26=BB$64," DNS ",IFERROR(VLOOKUP($F26,Arrangörslista!Q$98:$AG$135,16,FALSE), "DNS")))), IF(Deltagarlista!$K$3=1,IF(ISBLANK(Deltagarlista!$C23),"",IF(ISBLANK(Arrangörslista!Q$98),"",IFERROR(VLOOKUP($F26,Arrangörslista!Q$98:$AG$135,16,FALSE), "DNS"))),""))</f>
        <v/>
      </c>
      <c r="BC26" s="5" t="str">
        <f>IF(Deltagarlista!$K$3=2,
IF(ISBLANK(Deltagarlista!$C23),"",IF(ISBLANK(Arrangörslista!C$143),"",IF($GV26=BC$64," DNS ",IFERROR(VLOOKUP($F26,Arrangörslista!C$143:$AG$180,16,FALSE), "DNS")))), IF(Deltagarlista!$K$3=1,IF(ISBLANK(Deltagarlista!$C23),"",IF(ISBLANK(Arrangörslista!C$143),"",IFERROR(VLOOKUP($F26,Arrangörslista!C$143:$AG$180,16,FALSE), "DNS"))),""))</f>
        <v/>
      </c>
      <c r="BD26" s="5" t="str">
        <f>IF(Deltagarlista!$K$3=2,
IF(ISBLANK(Deltagarlista!$C23),"",IF(ISBLANK(Arrangörslista!D$143),"",IF($GV26=BD$64," DNS ",IFERROR(VLOOKUP($F26,Arrangörslista!D$143:$AG$180,16,FALSE), "DNS")))), IF(Deltagarlista!$K$3=1,IF(ISBLANK(Deltagarlista!$C23),"",IF(ISBLANK(Arrangörslista!D$143),"",IFERROR(VLOOKUP($F26,Arrangörslista!D$143:$AG$180,16,FALSE), "DNS"))),""))</f>
        <v/>
      </c>
      <c r="BE26" s="5" t="str">
        <f>IF(Deltagarlista!$K$3=2,
IF(ISBLANK(Deltagarlista!$C23),"",IF(ISBLANK(Arrangörslista!E$143),"",IF($GV26=BE$64," DNS ",IFERROR(VLOOKUP($F26,Arrangörslista!E$143:$AG$180,16,FALSE), "DNS")))), IF(Deltagarlista!$K$3=1,IF(ISBLANK(Deltagarlista!$C23),"",IF(ISBLANK(Arrangörslista!E$143),"",IFERROR(VLOOKUP($F26,Arrangörslista!E$143:$AG$180,16,FALSE), "DNS"))),""))</f>
        <v/>
      </c>
      <c r="BF26" s="5" t="str">
        <f>IF(Deltagarlista!$K$3=2,
IF(ISBLANK(Deltagarlista!$C23),"",IF(ISBLANK(Arrangörslista!F$143),"",IF($GV26=BF$64," DNS ",IFERROR(VLOOKUP($F26,Arrangörslista!F$143:$AG$180,16,FALSE), "DNS")))), IF(Deltagarlista!$K$3=1,IF(ISBLANK(Deltagarlista!$C23),"",IF(ISBLANK(Arrangörslista!F$143),"",IFERROR(VLOOKUP($F26,Arrangörslista!F$143:$AG$180,16,FALSE), "DNS"))),""))</f>
        <v/>
      </c>
      <c r="BG26" s="5" t="str">
        <f>IF(Deltagarlista!$K$3=2,
IF(ISBLANK(Deltagarlista!$C23),"",IF(ISBLANK(Arrangörslista!G$143),"",IF($GV26=BG$64," DNS ",IFERROR(VLOOKUP($F26,Arrangörslista!G$143:$AG$180,16,FALSE), "DNS")))), IF(Deltagarlista!$K$3=1,IF(ISBLANK(Deltagarlista!$C23),"",IF(ISBLANK(Arrangörslista!G$143),"",IFERROR(VLOOKUP($F26,Arrangörslista!G$143:$AG$180,16,FALSE), "DNS"))),""))</f>
        <v/>
      </c>
      <c r="BH26" s="5" t="str">
        <f>IF(Deltagarlista!$K$3=2,
IF(ISBLANK(Deltagarlista!$C23),"",IF(ISBLANK(Arrangörslista!H$143),"",IF($GV26=BH$64," DNS ",IFERROR(VLOOKUP($F26,Arrangörslista!H$143:$AG$180,16,FALSE), "DNS")))), IF(Deltagarlista!$K$3=1,IF(ISBLANK(Deltagarlista!$C23),"",IF(ISBLANK(Arrangörslista!H$143),"",IFERROR(VLOOKUP($F26,Arrangörslista!H$143:$AG$180,16,FALSE), "DNS"))),""))</f>
        <v/>
      </c>
      <c r="BI26" s="5" t="str">
        <f>IF(Deltagarlista!$K$3=2,
IF(ISBLANK(Deltagarlista!$C23),"",IF(ISBLANK(Arrangörslista!I$143),"",IF($GV26=BI$64," DNS ",IFERROR(VLOOKUP($F26,Arrangörslista!I$143:$AG$180,16,FALSE), "DNS")))), IF(Deltagarlista!$K$3=1,IF(ISBLANK(Deltagarlista!$C23),"",IF(ISBLANK(Arrangörslista!I$143),"",IFERROR(VLOOKUP($F26,Arrangörslista!I$143:$AG$180,16,FALSE), "DNS"))),""))</f>
        <v/>
      </c>
      <c r="BJ26" s="5" t="str">
        <f>IF(Deltagarlista!$K$3=2,
IF(ISBLANK(Deltagarlista!$C23),"",IF(ISBLANK(Arrangörslista!J$143),"",IF($GV26=BJ$64," DNS ",IFERROR(VLOOKUP($F26,Arrangörslista!J$143:$AG$180,16,FALSE), "DNS")))), IF(Deltagarlista!$K$3=1,IF(ISBLANK(Deltagarlista!$C23),"",IF(ISBLANK(Arrangörslista!J$143),"",IFERROR(VLOOKUP($F26,Arrangörslista!J$143:$AG$180,16,FALSE), "DNS"))),""))</f>
        <v/>
      </c>
      <c r="BK26" s="5" t="str">
        <f>IF(Deltagarlista!$K$3=2,
IF(ISBLANK(Deltagarlista!$C23),"",IF(ISBLANK(Arrangörslista!K$143),"",IF($GV26=BK$64," DNS ",IFERROR(VLOOKUP($F26,Arrangörslista!K$143:$AG$180,16,FALSE), "DNS")))), IF(Deltagarlista!$K$3=1,IF(ISBLANK(Deltagarlista!$C23),"",IF(ISBLANK(Arrangörslista!K$143),"",IFERROR(VLOOKUP($F26,Arrangörslista!K$143:$AG$180,16,FALSE), "DNS"))),""))</f>
        <v/>
      </c>
      <c r="BL26" s="5" t="str">
        <f>IF(Deltagarlista!$K$3=2,
IF(ISBLANK(Deltagarlista!$C23),"",IF(ISBLANK(Arrangörslista!L$143),"",IF($GV26=BL$64," DNS ",IFERROR(VLOOKUP($F26,Arrangörslista!L$143:$AG$180,16,FALSE), "DNS")))), IF(Deltagarlista!$K$3=1,IF(ISBLANK(Deltagarlista!$C23),"",IF(ISBLANK(Arrangörslista!L$143),"",IFERROR(VLOOKUP($F26,Arrangörslista!L$143:$AG$180,16,FALSE), "DNS"))),""))</f>
        <v/>
      </c>
      <c r="BM26" s="5" t="str">
        <f>IF(Deltagarlista!$K$3=2,
IF(ISBLANK(Deltagarlista!$C23),"",IF(ISBLANK(Arrangörslista!M$143),"",IF($GV26=BM$64," DNS ",IFERROR(VLOOKUP($F26,Arrangörslista!M$143:$AG$180,16,FALSE), "DNS")))), IF(Deltagarlista!$K$3=1,IF(ISBLANK(Deltagarlista!$C23),"",IF(ISBLANK(Arrangörslista!M$143),"",IFERROR(VLOOKUP($F26,Arrangörslista!M$143:$AG$180,16,FALSE), "DNS"))),""))</f>
        <v/>
      </c>
      <c r="BN26" s="5" t="str">
        <f>IF(Deltagarlista!$K$3=2,
IF(ISBLANK(Deltagarlista!$C23),"",IF(ISBLANK(Arrangörslista!N$143),"",IF($GV26=BN$64," DNS ",IFERROR(VLOOKUP($F26,Arrangörslista!N$143:$AG$180,16,FALSE), "DNS")))), IF(Deltagarlista!$K$3=1,IF(ISBLANK(Deltagarlista!$C23),"",IF(ISBLANK(Arrangörslista!N$143),"",IFERROR(VLOOKUP($F26,Arrangörslista!N$143:$AG$180,16,FALSE), "DNS"))),""))</f>
        <v/>
      </c>
      <c r="BO26" s="5" t="str">
        <f>IF(Deltagarlista!$K$3=2,
IF(ISBLANK(Deltagarlista!$C23),"",IF(ISBLANK(Arrangörslista!O$143),"",IF($GV26=BO$64," DNS ",IFERROR(VLOOKUP($F26,Arrangörslista!O$143:$AG$180,16,FALSE), "DNS")))), IF(Deltagarlista!$K$3=1,IF(ISBLANK(Deltagarlista!$C23),"",IF(ISBLANK(Arrangörslista!O$143),"",IFERROR(VLOOKUP($F26,Arrangörslista!O$143:$AG$180,16,FALSE), "DNS"))),""))</f>
        <v/>
      </c>
      <c r="BP26" s="5" t="str">
        <f>IF(Deltagarlista!$K$3=2,
IF(ISBLANK(Deltagarlista!$C23),"",IF(ISBLANK(Arrangörslista!P$143),"",IF($GV26=BP$64," DNS ",IFERROR(VLOOKUP($F26,Arrangörslista!P$143:$AG$180,16,FALSE), "DNS")))), IF(Deltagarlista!$K$3=1,IF(ISBLANK(Deltagarlista!$C23),"",IF(ISBLANK(Arrangörslista!P$143),"",IFERROR(VLOOKUP($F26,Arrangörslista!P$143:$AG$180,16,FALSE), "DNS"))),""))</f>
        <v/>
      </c>
      <c r="BQ26" s="80" t="str">
        <f>IF(Deltagarlista!$K$3=2,
IF(ISBLANK(Deltagarlista!$C23),"",IF(ISBLANK(Arrangörslista!Q$143),"",IF($GV26=BQ$64," DNS ",IFERROR(VLOOKUP($F26,Arrangörslista!Q$143:$AG$180,16,FALSE), "DNS")))), IF(Deltagarlista!$K$3=1,IF(ISBLANK(Deltagarlista!$C23),"",IF(ISBLANK(Arrangörslista!Q$143),"",IFERROR(VLOOKUP($F26,Arrangörslista!Q$143:$AG$180,16,FALSE), "DNS"))),""))</f>
        <v/>
      </c>
      <c r="BR26" s="51"/>
      <c r="BS26" s="51"/>
      <c r="BT26" s="51"/>
      <c r="BU26" s="71">
        <f>SUM(BV26:EC26)</f>
        <v>0</v>
      </c>
      <c r="BV26" s="61">
        <f>IF(J26="",0,IF(OR(J26="DNF",J26="OCS",J26="DSQ",J26="DNS",J26=" DNS "),$BW$3+1,J26))</f>
        <v>0</v>
      </c>
      <c r="BW26" s="61">
        <f>IF(K26="",0,IF(OR(K26="DNF",K26="OCS",K26="DSQ",K26="DNS",K26=" DNS "),$BW$3+1,K26))</f>
        <v>0</v>
      </c>
      <c r="BX26" s="61">
        <f>IF(L26="",0,IF(OR(L26="DNF",L26="OCS",L26="DSQ",L26="DNS",L26=" DNS "),$BW$3+1,L26))</f>
        <v>0</v>
      </c>
      <c r="BY26" s="61">
        <f>IF(M26="",0,IF(OR(M26="DNF",M26="OCS",M26="DSQ",M26="DNS",M26=" DNS "),$BW$3+1,M26))</f>
        <v>0</v>
      </c>
      <c r="BZ26" s="61">
        <f>IF(N26="",0,IF(OR(N26="DNF",N26="OCS",N26="DSQ",N26="DNS",N26=" DNS "),$BW$3+1,N26))</f>
        <v>0</v>
      </c>
      <c r="CA26" s="61">
        <f>IF(O26="",0,IF(OR(O26="DNF",O26="OCS",O26="DSQ",O26="DNS",O26=" DNS "),$BW$3+1,O26))</f>
        <v>0</v>
      </c>
      <c r="CB26" s="61">
        <f>IF(P26="",0,IF(OR(P26="DNF",P26="OCS",P26="DSQ",P26="DNS",P26=" DNS "),$BW$3+1,P26))</f>
        <v>0</v>
      </c>
      <c r="CC26" s="61">
        <f>IF(Q26="",0,IF(OR(Q26="DNF",Q26="OCS",Q26="DSQ",Q26="DNS",Q26=" DNS "),$BW$3+1,Q26))</f>
        <v>0</v>
      </c>
      <c r="CD26" s="61">
        <f>IF(R26="",0,IF(OR(R26="DNF",R26="OCS",R26="DSQ",R26="DNS",R26=" DNS "),$BW$3+1,R26))</f>
        <v>0</v>
      </c>
      <c r="CE26" s="61">
        <f>IF(S26="",0,IF(OR(S26="DNF",S26="OCS",S26="DSQ",S26="DNS",S26=" DNS "),$BW$3+1,S26))</f>
        <v>0</v>
      </c>
      <c r="CF26" s="61">
        <f>IF(T26="",0,IF(OR(T26="DNF",T26="OCS",T26="DSQ",T26="DNS",T26=" DNS "),$BW$3+1,T26))</f>
        <v>0</v>
      </c>
      <c r="CG26" s="61">
        <f>IF(U26="",0,IF(OR(U26="DNF",U26="OCS",U26="DSQ",U26="DNS",U26=" DNS "),$BW$3+1,U26))</f>
        <v>0</v>
      </c>
      <c r="CH26" s="61">
        <f>IF(V26="",0,IF(OR(V26="DNF",V26="OCS",V26="DSQ",V26="DNS",V26=" DNS "),$BW$3+1,V26))</f>
        <v>0</v>
      </c>
      <c r="CI26" s="61">
        <f>IF(W26="",0,IF(OR(W26="DNF",W26="OCS",W26="DSQ",W26="DNS",W26=" DNS "),$BW$3+1,W26))</f>
        <v>0</v>
      </c>
      <c r="CJ26" s="61">
        <f>IF(X26="",0,IF(OR(X26="DNF",X26="OCS",X26="DSQ",X26="DNS",X26=" DNS "),$BW$3+1,X26))</f>
        <v>0</v>
      </c>
      <c r="CK26" s="61">
        <f>IF(Y26="",0,IF(OR(Y26="DNF",Y26="OCS",Y26="DSQ",Y26="DNS",Y26=" DNS "),$BW$3+1,Y26))</f>
        <v>0</v>
      </c>
      <c r="CL26" s="61">
        <f>IF(Z26="",0,IF(OR(Z26="DNF",Z26="OCS",Z26="DSQ",Z26="DNS",Z26=" DNS "),$BW$3+1,Z26))</f>
        <v>0</v>
      </c>
      <c r="CM26" s="61">
        <f>IF(AA26="",0,IF(OR(AA26="DNF",AA26="OCS",AA26="DSQ",AA26="DNS",AA26=" DNS "),$BW$3+1,AA26))</f>
        <v>0</v>
      </c>
      <c r="CN26" s="61">
        <f>IF(AB26="",0,IF(OR(AB26="DNF",AB26="OCS",AB26="DSQ",AB26="DNS",AB26=" DNS "),$BW$3+1,AB26))</f>
        <v>0</v>
      </c>
      <c r="CO26" s="61">
        <f>IF(AC26="",0,IF(OR(AC26="DNF",AC26="OCS",AC26="DSQ",AC26="DNS",AC26=" DNS "),$BW$3+1,AC26))</f>
        <v>0</v>
      </c>
      <c r="CP26" s="61">
        <f>IF(AD26="",0,IF(OR(AD26="DNF",AD26="OCS",AD26="DSQ",AD26="DNS",AD26=" DNS "),$BW$3+1,AD26))</f>
        <v>0</v>
      </c>
      <c r="CQ26" s="61">
        <f>IF(AE26="",0,IF(OR(AE26="DNF",AE26="OCS",AE26="DSQ",AE26="DNS",AE26=" DNS "),$BW$3+1,AE26))</f>
        <v>0</v>
      </c>
      <c r="CR26" s="61">
        <f>IF(AF26="",0,IF(OR(AF26="DNF",AF26="OCS",AF26="DSQ",AF26="DNS",AF26=" DNS "),$BW$3+1,AF26))</f>
        <v>0</v>
      </c>
      <c r="CS26" s="61">
        <f>IF(AG26="",0,IF(OR(AG26="DNF",AG26="OCS",AG26="DSQ",AG26="DNS",AG26=" DNS "),$BW$3+1,AG26))</f>
        <v>0</v>
      </c>
      <c r="CT26" s="61">
        <f>IF(AH26="",0,IF(OR(AH26="DNF",AH26="OCS",AH26="DSQ",AH26="DNS",AH26=" DNS "),$BW$3+1,AH26))</f>
        <v>0</v>
      </c>
      <c r="CU26" s="61">
        <f>IF(AI26="",0,IF(OR(AI26="DNF",AI26="OCS",AI26="DSQ",AI26="DNS",AI26=" DNS "),$BW$3+1,AI26))</f>
        <v>0</v>
      </c>
      <c r="CV26" s="61">
        <f>IF(AJ26="",0,IF(OR(AJ26="DNF",AJ26="OCS",AJ26="DSQ",AJ26="DNS",AJ26=" DNS "),$BW$3+1,AJ26))</f>
        <v>0</v>
      </c>
      <c r="CW26" s="61">
        <f>IF(AK26="",0,IF(OR(AK26="DNF",AK26="OCS",AK26="DSQ",AK26="DNS",AK26=" DNS "),$BW$3+1,AK26))</f>
        <v>0</v>
      </c>
      <c r="CX26" s="61">
        <f>IF(AL26="",0,IF(OR(AL26="DNF",AL26="OCS",AL26="DSQ",AL26="DNS",AL26=" DNS "),$BW$3+1,AL26))</f>
        <v>0</v>
      </c>
      <c r="CY26" s="61">
        <f>IF(AM26="",0,IF(OR(AM26="DNF",AM26="OCS",AM26="DSQ",AM26="DNS",AM26=" DNS "),$BW$3+1,AM26))</f>
        <v>0</v>
      </c>
      <c r="CZ26" s="61">
        <f>IF(AN26="",0,IF(OR(AN26="DNF",AN26="OCS",AN26="DSQ",AN26="DNS",AN26=" DNS "),$BW$3+1,AN26))</f>
        <v>0</v>
      </c>
      <c r="DA26" s="61">
        <f>IF(AO26="",0,IF(OR(AO26="DNF",AO26="OCS",AO26="DSQ",AO26="DNS",AO26=" DNS "),$BW$3+1,AO26))</f>
        <v>0</v>
      </c>
      <c r="DB26" s="61">
        <f>IF(AP26="",0,IF(OR(AP26="DNF",AP26="OCS",AP26="DSQ",AP26="DNS",AP26=" DNS "),$BW$3+1,AP26))</f>
        <v>0</v>
      </c>
      <c r="DC26" s="61">
        <f>IF(AQ26="",0,IF(OR(AQ26="DNF",AQ26="OCS",AQ26="DSQ",AQ26="DNS",AQ26=" DNS "),$BW$3+1,AQ26))</f>
        <v>0</v>
      </c>
      <c r="DD26" s="61">
        <f>IF(AR26="",0,IF(OR(AR26="DNF",AR26="OCS",AR26="DSQ",AR26="DNS",AR26=" DNS "),$BW$3+1,AR26))</f>
        <v>0</v>
      </c>
      <c r="DE26" s="61">
        <f>IF(AS26="",0,IF(OR(AS26="DNF",AS26="OCS",AS26="DSQ",AS26="DNS",AS26=" DNS "),$BW$3+1,AS26))</f>
        <v>0</v>
      </c>
      <c r="DF26" s="61">
        <f>IF(AT26="",0,IF(OR(AT26="DNF",AT26="OCS",AT26="DSQ",AT26="DNS",AT26=" DNS "),$BW$3+1,AT26))</f>
        <v>0</v>
      </c>
      <c r="DG26" s="61">
        <f>IF(AU26="",0,IF(OR(AU26="DNF",AU26="OCS",AU26="DSQ",AU26="DNS",AU26=" DNS "),$BW$3+1,AU26))</f>
        <v>0</v>
      </c>
      <c r="DH26" s="61">
        <f>IF(AV26="",0,IF(OR(AV26="DNF",AV26="OCS",AV26="DSQ",AV26="DNS",AV26=" DNS "),$BW$3+1,AV26))</f>
        <v>0</v>
      </c>
      <c r="DI26" s="61">
        <f>IF(AW26="",0,IF(OR(AW26="DNF",AW26="OCS",AW26="DSQ",AW26="DNS",AW26=" DNS "),$BW$3+1,AW26))</f>
        <v>0</v>
      </c>
      <c r="DJ26" s="61">
        <f>IF(AX26="",0,IF(OR(AX26="DNF",AX26="OCS",AX26="DSQ",AX26="DNS",AX26=" DNS "),$BW$3+1,AX26))</f>
        <v>0</v>
      </c>
      <c r="DK26" s="61">
        <f>IF(AY26="",0,IF(OR(AY26="DNF",AY26="OCS",AY26="DSQ",AY26="DNS",AY26=" DNS "),$BW$3+1,AY26))</f>
        <v>0</v>
      </c>
      <c r="DL26" s="61">
        <f>IF(AZ26="",0,IF(OR(AZ26="DNF",AZ26="OCS",AZ26="DSQ",AZ26="DNS",AZ26=" DNS "),$BW$3+1,AZ26))</f>
        <v>0</v>
      </c>
      <c r="DM26" s="61">
        <f>IF(BA26="",0,IF(OR(BA26="DNF",BA26="OCS",BA26="DSQ",BA26="DNS",BA26=" DNS "),$BW$3+1,BA26))</f>
        <v>0</v>
      </c>
      <c r="DN26" s="61">
        <f>IF(BB26="",0,IF(OR(BB26="DNF",BB26="OCS",BB26="DSQ",BB26="DNS",BB26=" DNS "),$BW$3+1,BB26))</f>
        <v>0</v>
      </c>
      <c r="DO26" s="61">
        <f>IF(BC26="",0,IF(OR(BC26="DNF",BC26="OCS",BC26="DSQ",BC26="DNS",BC26=" DNS "),$BW$3+1,BC26))</f>
        <v>0</v>
      </c>
      <c r="DP26" s="61">
        <f>IF(BD26="",0,IF(OR(BD26="DNF",BD26="OCS",BD26="DSQ",BD26="DNS",BD26=" DNS "),$BW$3+1,BD26))</f>
        <v>0</v>
      </c>
      <c r="DQ26" s="61">
        <f>IF(BE26="",0,IF(OR(BE26="DNF",BE26="OCS",BE26="DSQ",BE26="DNS",BE26=" DNS "),$BW$3+1,BE26))</f>
        <v>0</v>
      </c>
      <c r="DR26" s="61">
        <f>IF(BF26="",0,IF(OR(BF26="DNF",BF26="OCS",BF26="DSQ",BF26="DNS",BF26=" DNS "),$BW$3+1,BF26))</f>
        <v>0</v>
      </c>
      <c r="DS26" s="61">
        <f>IF(BG26="",0,IF(OR(BG26="DNF",BG26="OCS",BG26="DSQ",BG26="DNS",BG26=" DNS "),$BW$3+1,BG26))</f>
        <v>0</v>
      </c>
      <c r="DT26" s="61">
        <f>IF(BH26="",0,IF(OR(BH26="DNF",BH26="OCS",BH26="DSQ",BH26="DNS",BH26=" DNS "),$BW$3+1,BH26))</f>
        <v>0</v>
      </c>
      <c r="DU26" s="61">
        <f>IF(BI26="",0,IF(OR(BI26="DNF",BI26="OCS",BI26="DSQ",BI26="DNS",BI26=" DNS "),$BW$3+1,BI26))</f>
        <v>0</v>
      </c>
      <c r="DV26" s="61">
        <f>IF(BJ26="",0,IF(OR(BJ26="DNF",BJ26="OCS",BJ26="DSQ",BJ26="DNS",BJ26=" DNS "),$BW$3+1,BJ26))</f>
        <v>0</v>
      </c>
      <c r="DW26" s="61">
        <f>IF(BK26="",0,IF(OR(BK26="DNF",BK26="OCS",BK26="DSQ",BK26="DNS",BK26=" DNS "),$BW$3+1,BK26))</f>
        <v>0</v>
      </c>
      <c r="DX26" s="61">
        <f>IF(BL26="",0,IF(OR(BL26="DNF",BL26="OCS",BL26="DSQ",BL26="DNS",BL26=" DNS "),$BW$3+1,BL26))</f>
        <v>0</v>
      </c>
      <c r="DY26" s="61">
        <f>IF(BM26="",0,IF(OR(BM26="DNF",BM26="OCS",BM26="DSQ",BM26="DNS",BM26=" DNS "),$BW$3+1,BM26))</f>
        <v>0</v>
      </c>
      <c r="DZ26" s="61">
        <f>IF(BN26="",0,IF(OR(BN26="DNF",BN26="OCS",BN26="DSQ",BN26="DNS",BN26=" DNS "),$BW$3+1,BN26))</f>
        <v>0</v>
      </c>
      <c r="EA26" s="61">
        <f>IF(BO26="",0,IF(OR(BO26="DNF",BO26="OCS",BO26="DSQ",BO26="DNS",BO26=" DNS "),$BW$3+1,BO26))</f>
        <v>0</v>
      </c>
      <c r="EB26" s="61">
        <f>IF(BP26="",0,IF(OR(BP26="DNF",BP26="OCS",BP26="DSQ",BP26="DNS",BP26=" DNS "),$BW$3+1,BP26))</f>
        <v>0</v>
      </c>
      <c r="EC26" s="61">
        <f>IF(BQ26="",0,IF(OR(BQ26="DNF",BQ26="OCS",BQ26="DSQ",BQ26="DNS",BQ26=" DNS "),$BW$3+1,BQ26))</f>
        <v>0</v>
      </c>
      <c r="EE26" s="61">
        <f xml:space="preserve">
IF(OR(Deltagarlista!$K$3=3,Deltagarlista!$K$3=4),
IF(Arrangörslista!$U$5&lt;8,0,
IF(Arrangörslista!$U$5&lt;16,SUM(LARGE(BV26:CJ26,1)),
IF(Arrangörslista!$U$5&lt;24,SUM(LARGE(BV26:CR26,{1;2})),
IF(Arrangörslista!$U$5&lt;32,SUM(LARGE(BV26:CZ26,{1;2;3})),
IF(Arrangörslista!$U$5&lt;40,SUM(LARGE(BV26:DH26,{1;2;3;4})),
IF(Arrangörslista!$U$5&lt;48,SUM(LARGE(BV26:DP26,{1;2;3;4;5})),
IF(Arrangörslista!$U$5&lt;56,SUM(LARGE(BV26:DX26,{1;2;3;4;5;6})),
IF(Arrangörslista!$U$5&lt;64,SUM(LARGE(BV26:EC26,{1;2;3;4;5;6;7})),0)))))))),
IF(Deltagarlista!$K$3=2,
IF(Arrangörslista!$U$5&lt;4,LARGE(BV26:BX26,1),
IF(Arrangörslista!$U$5&lt;7,SUM(LARGE(BV26:CA26,{1;2;3})),
IF(Arrangörslista!$U$5&lt;10,SUM(LARGE(BV26:CD26,{1;2;3;4})),
IF(Arrangörslista!$U$5&lt;13,SUM(LARGE(BV26:CG26,{1;2;3;4;5;6})),
IF(Arrangörslista!$U$5&lt;16,SUM(LARGE(BV26:CJ26,{1;2;3;4;5;6;7})),
IF(Arrangörslista!$U$5&lt;19,SUM(LARGE(BV26:CM26,{1;2;3;4;5;6;7;8;9})),
IF(Arrangörslista!$U$5&lt;22,SUM(LARGE(BV26:CP26,{1;2;3;4;5;6;7;8;9;10})),
IF(Arrangörslista!$U$5&lt;25,SUM(LARGE(BV26:CS26,{1;2;3;4;5;6;7;8;9;10;11;12})),
IF(Arrangörslista!$U$5&lt;28,SUM(LARGE(BV26:CV26,{1;2;3;4;5;6;7;8;9;10;11;12;13})),
IF(Arrangörslista!$U$5&lt;31,SUM(LARGE(BV26:CY26,{1;2;3;4;5;6;7;8;9;10;11;12;13;14;15})),
IF(Arrangörslista!$U$5&lt;34,SUM(LARGE(BV26:DB26,{1;2;3;4;5;6;7;8;9;10;11;12;13;14;15;16})),
IF(Arrangörslista!$U$5&lt;37,SUM(LARGE(BV26:DE26,{1;2;3;4;5;6;7;8;9;10;11;12;13;14;15;16;17;18})),
IF(Arrangörslista!$U$5&lt;40,SUM(LARGE(BV26:DH26,{1;2;3;4;5;6;7;8;9;10;11;12;13;14;15;16;17;18;19})),
IF(Arrangörslista!$U$5&lt;43,SUM(LARGE(BV26:DK26,{1;2;3;4;5;6;7;8;9;10;11;12;13;14;15;16;17;18;19;20;21})),
IF(Arrangörslista!$U$5&lt;46,SUM(LARGE(BV26:DN26,{1;2;3;4;5;6;7;8;9;10;11;12;13;14;15;16;17;18;19;20;21;22})),
IF(Arrangörslista!$U$5&lt;49,SUM(LARGE(BV26:DQ26,{1;2;3;4;5;6;7;8;9;10;11;12;13;14;15;16;17;18;19;20;21;22;23;24})),
IF(Arrangörslista!$U$5&lt;52,SUM(LARGE(BV26:DT26,{1;2;3;4;5;6;7;8;9;10;11;12;13;14;15;16;17;18;19;20;21;22;23;24;25})),
IF(Arrangörslista!$U$5&lt;55,SUM(LARGE(BV26:DW26,{1;2;3;4;5;6;7;8;9;10;11;12;13;14;15;16;17;18;19;20;21;22;23;24;25;26;27})),
IF(Arrangörslista!$U$5&lt;58,SUM(LARGE(BV26:DZ26,{1;2;3;4;5;6;7;8;9;10;11;12;13;14;15;16;17;18;19;20;21;22;23;24;25;26;27;28})),
IF(Arrangörslista!$U$5&lt;61,SUM(LARGE(BV26:EC26,{1;2;3;4;5;6;7;8;9;10;11;12;13;14;15;16;17;18;19;20;21;22;23;24;25;26;27;28;29;30})),0)))))))))))))))))))),
IF(Arrangörslista!$U$5&lt;4,0,
IF(Arrangörslista!$U$5&lt;8,SUM(LARGE(BV26:CB26,1)),
IF(Arrangörslista!$U$5&lt;12,SUM(LARGE(BV26:CF26,{1;2})),
IF(Arrangörslista!$U$5&lt;16,SUM(LARGE(BV26:CJ26,{1;2;3})),
IF(Arrangörslista!$U$5&lt;20,SUM(LARGE(BV26:CN26,{1;2;3;4})),
IF(Arrangörslista!$U$5&lt;24,SUM(LARGE(BV26:CR26,{1;2;3;4;5})),
IF(Arrangörslista!$U$5&lt;28,SUM(LARGE(BV26:CV26,{1;2;3;4;5;6})),
IF(Arrangörslista!$U$5&lt;32,SUM(LARGE(BV26:CZ26,{1;2;3;4;5;6;7})),
IF(Arrangörslista!$U$5&lt;36,SUM(LARGE(BV26:DD26,{1;2;3;4;5;6;7;8})),
IF(Arrangörslista!$U$5&lt;40,SUM(LARGE(BV26:DH26,{1;2;3;4;5;6;7;8;9})),
IF(Arrangörslista!$U$5&lt;44,SUM(LARGE(BV26:DL26,{1;2;3;4;5;6;7;8;9;10})),
IF(Arrangörslista!$U$5&lt;48,SUM(LARGE(BV26:DP26,{1;2;3;4;5;6;7;8;9;10;11})),
IF(Arrangörslista!$U$5&lt;52,SUM(LARGE(BV26:DT26,{1;2;3;4;5;6;7;8;9;10;11;12})),
IF(Arrangörslista!$U$5&lt;56,SUM(LARGE(BV26:DX26,{1;2;3;4;5;6;7;8;9;10;11;12;13})),
IF(Arrangörslista!$U$5&lt;60,SUM(LARGE(BV26:EB26,{1;2;3;4;5;6;7;8;9;10;11;12;13;14})),
IF(Arrangörslista!$U$5=60,SUM(LARGE(BV26:EC26,{1;2;3;4;5;6;7;8;9;10;11;12;13;14;15})),0))))))))))))))))))</f>
        <v>0</v>
      </c>
      <c r="EG26" s="67">
        <f>IF(F26="",,1)</f>
        <v>0</v>
      </c>
      <c r="EH26" s="61"/>
      <c r="EI26" s="61"/>
      <c r="EK26" s="62">
        <f>SMALL($J89:$BQ89,1)</f>
        <v>61</v>
      </c>
      <c r="EL26" s="62">
        <f>SMALL($J89:$BQ89,2)</f>
        <v>61</v>
      </c>
      <c r="EM26" s="62">
        <f>SMALL($J89:$BQ89,3)</f>
        <v>61</v>
      </c>
      <c r="EN26" s="62">
        <f>SMALL($J89:$BQ89,4)</f>
        <v>61</v>
      </c>
      <c r="EO26" s="62">
        <f>SMALL($J89:$BQ89,5)</f>
        <v>61</v>
      </c>
      <c r="EP26" s="62">
        <f>SMALL($J89:$BQ89,6)</f>
        <v>61</v>
      </c>
      <c r="EQ26" s="62">
        <f>SMALL($J89:$BQ89,7)</f>
        <v>61</v>
      </c>
      <c r="ER26" s="62">
        <f>SMALL($J89:$BQ89,8)</f>
        <v>61</v>
      </c>
      <c r="ES26" s="62">
        <f>SMALL($J89:$BQ89,9)</f>
        <v>61</v>
      </c>
      <c r="ET26" s="62">
        <f>SMALL($J89:$BQ89,10)</f>
        <v>61</v>
      </c>
      <c r="EU26" s="62">
        <f>SMALL($J89:$BQ89,11)</f>
        <v>61</v>
      </c>
      <c r="EV26" s="62">
        <f>SMALL($J89:$BQ89,12)</f>
        <v>61</v>
      </c>
      <c r="EW26" s="62">
        <f>SMALL($J89:$BQ89,13)</f>
        <v>61</v>
      </c>
      <c r="EX26" s="62">
        <f>SMALL($J89:$BQ89,14)</f>
        <v>61</v>
      </c>
      <c r="EY26" s="62">
        <f>SMALL($J89:$BQ89,15)</f>
        <v>61</v>
      </c>
      <c r="EZ26" s="62">
        <f>SMALL($J89:$BQ89,16)</f>
        <v>61</v>
      </c>
      <c r="FA26" s="62">
        <f>SMALL($J89:$BQ89,17)</f>
        <v>61</v>
      </c>
      <c r="FB26" s="62">
        <f>SMALL($J89:$BQ89,18)</f>
        <v>61</v>
      </c>
      <c r="FC26" s="62">
        <f>SMALL($J89:$BQ89,19)</f>
        <v>61</v>
      </c>
      <c r="FD26" s="62">
        <f>SMALL($J89:$BQ89,20)</f>
        <v>61</v>
      </c>
      <c r="FE26" s="62">
        <f>SMALL($J89:$BQ89,21)</f>
        <v>61</v>
      </c>
      <c r="FF26" s="62">
        <f>SMALL($J89:$BQ89,22)</f>
        <v>61</v>
      </c>
      <c r="FG26" s="62">
        <f>SMALL($J89:$BQ89,23)</f>
        <v>61</v>
      </c>
      <c r="FH26" s="62">
        <f>SMALL($J89:$BQ89,24)</f>
        <v>61</v>
      </c>
      <c r="FI26" s="62">
        <f>SMALL($J89:$BQ89,25)</f>
        <v>61</v>
      </c>
      <c r="FJ26" s="62">
        <f>SMALL($J89:$BQ89,26)</f>
        <v>61</v>
      </c>
      <c r="FK26" s="62">
        <f>SMALL($J89:$BQ89,27)</f>
        <v>61</v>
      </c>
      <c r="FL26" s="62">
        <f>SMALL($J89:$BQ89,28)</f>
        <v>61</v>
      </c>
      <c r="FM26" s="62">
        <f>SMALL($J89:$BQ89,29)</f>
        <v>61</v>
      </c>
      <c r="FN26" s="62">
        <f>SMALL($J89:$BQ89,30)</f>
        <v>61</v>
      </c>
      <c r="FO26" s="62">
        <f>SMALL($J89:$BQ89,31)</f>
        <v>61</v>
      </c>
      <c r="FP26" s="62">
        <f>SMALL($J89:$BQ89,32)</f>
        <v>61</v>
      </c>
      <c r="FQ26" s="62">
        <f>SMALL($J89:$BQ89,33)</f>
        <v>61</v>
      </c>
      <c r="FR26" s="62">
        <f>SMALL($J89:$BQ89,34)</f>
        <v>61</v>
      </c>
      <c r="FS26" s="62">
        <f>SMALL($J89:$BQ89,35)</f>
        <v>61</v>
      </c>
      <c r="FT26" s="62">
        <f>SMALL($J89:$BQ89,36)</f>
        <v>61</v>
      </c>
      <c r="FU26" s="62">
        <f>SMALL($J89:$BQ89,37)</f>
        <v>61</v>
      </c>
      <c r="FV26" s="62">
        <f>SMALL($J89:$BQ89,38)</f>
        <v>61</v>
      </c>
      <c r="FW26" s="62">
        <f>SMALL($J89:$BQ89,39)</f>
        <v>61</v>
      </c>
      <c r="FX26" s="62">
        <f>SMALL($J89:$BQ89,40)</f>
        <v>61</v>
      </c>
      <c r="FY26" s="62">
        <f>SMALL($J89:$BQ89,41)</f>
        <v>61</v>
      </c>
      <c r="FZ26" s="62">
        <f>SMALL($J89:$BQ89,42)</f>
        <v>61</v>
      </c>
      <c r="GA26" s="62">
        <f>SMALL($J89:$BQ89,43)</f>
        <v>61</v>
      </c>
      <c r="GB26" s="62">
        <f>SMALL($J89:$BQ89,44)</f>
        <v>61</v>
      </c>
      <c r="GC26" s="62">
        <f>SMALL($J89:$BQ89,45)</f>
        <v>61</v>
      </c>
      <c r="GD26" s="62">
        <f>SMALL($J89:$BQ89,46)</f>
        <v>61</v>
      </c>
      <c r="GE26" s="62">
        <f>SMALL($J89:$BQ89,47)</f>
        <v>61</v>
      </c>
      <c r="GF26" s="62">
        <f>SMALL($J89:$BQ89,48)</f>
        <v>61</v>
      </c>
      <c r="GG26" s="62">
        <f>SMALL($J89:$BQ89,49)</f>
        <v>61</v>
      </c>
      <c r="GH26" s="62">
        <f>SMALL($J89:$BQ89,50)</f>
        <v>61</v>
      </c>
      <c r="GI26" s="62">
        <f>SMALL($J89:$BQ89,51)</f>
        <v>61</v>
      </c>
      <c r="GJ26" s="62">
        <f>SMALL($J89:$BQ89,52)</f>
        <v>61</v>
      </c>
      <c r="GK26" s="62">
        <f>SMALL($J89:$BQ89,53)</f>
        <v>61</v>
      </c>
      <c r="GL26" s="62">
        <f>SMALL($J89:$BQ89,54)</f>
        <v>61</v>
      </c>
      <c r="GM26" s="62">
        <f>SMALL($J89:$BQ89,55)</f>
        <v>61</v>
      </c>
      <c r="GN26" s="62">
        <f>SMALL($J89:$BQ89,56)</f>
        <v>61</v>
      </c>
      <c r="GO26" s="62">
        <f>SMALL($J89:$BQ89,57)</f>
        <v>61</v>
      </c>
      <c r="GP26" s="62">
        <f>SMALL($J89:$BQ89,58)</f>
        <v>61</v>
      </c>
      <c r="GQ26" s="62">
        <f>SMALL($J89:$BQ89,59)</f>
        <v>61</v>
      </c>
      <c r="GR26" s="62">
        <f>SMALL($J89:$BQ89,60)</f>
        <v>61</v>
      </c>
      <c r="GT26" s="62">
        <f>IF(Deltagarlista!$K$3=2,
IF(GW26="1",
      IF(Arrangörslista!$U$5=1,J89,
IF(Arrangörslista!$U$5=2,K89,
IF(Arrangörslista!$U$5=3,L89,
IF(Arrangörslista!$U$5=4,M89,
IF(Arrangörslista!$U$5=5,N89,
IF(Arrangörslista!$U$5=6,O89,
IF(Arrangörslista!$U$5=7,P89,
IF(Arrangörslista!$U$5=8,Q89,
IF(Arrangörslista!$U$5=9,R89,
IF(Arrangörslista!$U$5=10,S89,
IF(Arrangörslista!$U$5=11,T89,
IF(Arrangörslista!$U$5=12,U89,
IF(Arrangörslista!$U$5=13,V89,
IF(Arrangörslista!$U$5=14,W89,
IF(Arrangörslista!$U$5=15,X89,
IF(Arrangörslista!$U$5=16,Y89,IF(Arrangörslista!$U$5=17,Z89,IF(Arrangörslista!$U$5=18,AA89,IF(Arrangörslista!$U$5=19,AB89,IF(Arrangörslista!$U$5=20,AC89,IF(Arrangörslista!$U$5=21,AD89,IF(Arrangörslista!$U$5=22,AE89,IF(Arrangörslista!$U$5=23,AF89, IF(Arrangörslista!$U$5=24,AG89, IF(Arrangörslista!$U$5=25,AH89, IF(Arrangörslista!$U$5=26,AI89, IF(Arrangörslista!$U$5=27,AJ89, IF(Arrangörslista!$U$5=28,AK89, IF(Arrangörslista!$U$5=29,AL89, IF(Arrangörslista!$U$5=30,AM89, IF(Arrangörslista!$U$5=31,AN89, IF(Arrangörslista!$U$5=32,AO89, IF(Arrangörslista!$U$5=33,AP89, IF(Arrangörslista!$U$5=34,AQ89, IF(Arrangörslista!$U$5=35,AR89, IF(Arrangörslista!$U$5=36,AS89, IF(Arrangörslista!$U$5=37,AT89, IF(Arrangörslista!$U$5=38,AU89, IF(Arrangörslista!$U$5=39,AV89, IF(Arrangörslista!$U$5=40,AW89, IF(Arrangörslista!$U$5=41,AX89, IF(Arrangörslista!$U$5=42,AY89, IF(Arrangörslista!$U$5=43,AZ89, IF(Arrangörslista!$U$5=44,BA89, IF(Arrangörslista!$U$5=45,BB89, IF(Arrangörslista!$U$5=46,BC89, IF(Arrangörslista!$U$5=47,BD89, IF(Arrangörslista!$U$5=48,BE89, IF(Arrangörslista!$U$5=49,BF89, IF(Arrangörslista!$U$5=50,BG89, IF(Arrangörslista!$U$5=51,BH89, IF(Arrangörslista!$U$5=52,BI89, IF(Arrangörslista!$U$5=53,BJ89, IF(Arrangörslista!$U$5=54,BK89, IF(Arrangörslista!$U$5=55,BL89, IF(Arrangörslista!$U$5=56,BM89, IF(Arrangörslista!$U$5=57,BN89, IF(Arrangörslista!$U$5=58,BO89, IF(Arrangörslista!$U$5=59,BP89, IF(Arrangörslista!$U$5=60,BQ89,0))))))))))))))))))))))))))))))))))))))))))))))))))))))))))))),IF(Deltagarlista!$K$3=4, IF(Arrangörslista!$U$5=1,J89,
IF(Arrangörslista!$U$5=2,J89,
IF(Arrangörslista!$U$5=3,K89,
IF(Arrangörslista!$U$5=4,K89,
IF(Arrangörslista!$U$5=5,L89,
IF(Arrangörslista!$U$5=6,L89,
IF(Arrangörslista!$U$5=7,M89,
IF(Arrangörslista!$U$5=8,M89,
IF(Arrangörslista!$U$5=9,N89,
IF(Arrangörslista!$U$5=10,N89,
IF(Arrangörslista!$U$5=11,O89,
IF(Arrangörslista!$U$5=12,O89,
IF(Arrangörslista!$U$5=13,P89,
IF(Arrangörslista!$U$5=14,P89,
IF(Arrangörslista!$U$5=15,Q89,
IF(Arrangörslista!$U$5=16,Q89,
IF(Arrangörslista!$U$5=17,R89,
IF(Arrangörslista!$U$5=18,R89,
IF(Arrangörslista!$U$5=19,S89,
IF(Arrangörslista!$U$5=20,S89,
IF(Arrangörslista!$U$5=21,T89,
IF(Arrangörslista!$U$5=22,T89,IF(Arrangörslista!$U$5=23,U89, IF(Arrangörslista!$U$5=24,U89, IF(Arrangörslista!$U$5=25,V89, IF(Arrangörslista!$U$5=26,V89, IF(Arrangörslista!$U$5=27,W89, IF(Arrangörslista!$U$5=28,W89, IF(Arrangörslista!$U$5=29,X89, IF(Arrangörslista!$U$5=30,X89, IF(Arrangörslista!$U$5=31,X89, IF(Arrangörslista!$U$5=32,Y89, IF(Arrangörslista!$U$5=33,AO89, IF(Arrangörslista!$U$5=34,Y89, IF(Arrangörslista!$U$5=35,Z89, IF(Arrangörslista!$U$5=36,AR89, IF(Arrangörslista!$U$5=37,Z89, IF(Arrangörslista!$U$5=38,AA89, IF(Arrangörslista!$U$5=39,AU89, IF(Arrangörslista!$U$5=40,AA89, IF(Arrangörslista!$U$5=41,AB89, IF(Arrangörslista!$U$5=42,AX89, IF(Arrangörslista!$U$5=43,AB89, IF(Arrangörslista!$U$5=44,AC89, IF(Arrangörslista!$U$5=45,BA89, IF(Arrangörslista!$U$5=46,AC89, IF(Arrangörslista!$U$5=47,AD89, IF(Arrangörslista!$U$5=48,BD89, IF(Arrangörslista!$U$5=49,AD89, IF(Arrangörslista!$U$5=50,AE89, IF(Arrangörslista!$U$5=51,BG89, IF(Arrangörslista!$U$5=52,AE89, IF(Arrangörslista!$U$5=53,AF89, IF(Arrangörslista!$U$5=54,BJ89, IF(Arrangörslista!$U$5=55,AF89, IF(Arrangörslista!$U$5=56,AG89, IF(Arrangörslista!$U$5=57,BM89, IF(Arrangörslista!$U$5=58,AG89, IF(Arrangörslista!$U$5=59,AH89, IF(Arrangörslista!$U$5=60,AH89,0)))))))))))))))))))))))))))))))))))))))))))))))))))))))))))),IF(Arrangörslista!$U$5=1,J89,
IF(Arrangörslista!$U$5=2,K89,
IF(Arrangörslista!$U$5=3,L89,
IF(Arrangörslista!$U$5=4,M89,
IF(Arrangörslista!$U$5=5,N89,
IF(Arrangörslista!$U$5=6,O89,
IF(Arrangörslista!$U$5=7,P89,
IF(Arrangörslista!$U$5=8,Q89,
IF(Arrangörslista!$U$5=9,R89,
IF(Arrangörslista!$U$5=10,S89,
IF(Arrangörslista!$U$5=11,T89,
IF(Arrangörslista!$U$5=12,U89,
IF(Arrangörslista!$U$5=13,V89,
IF(Arrangörslista!$U$5=14,W89,
IF(Arrangörslista!$U$5=15,X89,
IF(Arrangörslista!$U$5=16,Y89,IF(Arrangörslista!$U$5=17,Z89,IF(Arrangörslista!$U$5=18,AA89,IF(Arrangörslista!$U$5=19,AB89,IF(Arrangörslista!$U$5=20,AC89,IF(Arrangörslista!$U$5=21,AD89,IF(Arrangörslista!$U$5=22,AE89,IF(Arrangörslista!$U$5=23,AF89, IF(Arrangörslista!$U$5=24,AG89, IF(Arrangörslista!$U$5=25,AH89, IF(Arrangörslista!$U$5=26,AI89, IF(Arrangörslista!$U$5=27,AJ89, IF(Arrangörslista!$U$5=28,AK89, IF(Arrangörslista!$U$5=29,AL89, IF(Arrangörslista!$U$5=30,AM89, IF(Arrangörslista!$U$5=31,AN89, IF(Arrangörslista!$U$5=32,AO89, IF(Arrangörslista!$U$5=33,AP89, IF(Arrangörslista!$U$5=34,AQ89, IF(Arrangörslista!$U$5=35,AR89, IF(Arrangörslista!$U$5=36,AS89, IF(Arrangörslista!$U$5=37,AT89, IF(Arrangörslista!$U$5=38,AU89, IF(Arrangörslista!$U$5=39,AV89, IF(Arrangörslista!$U$5=40,AW89, IF(Arrangörslista!$U$5=41,AX89, IF(Arrangörslista!$U$5=42,AY89, IF(Arrangörslista!$U$5=43,AZ89, IF(Arrangörslista!$U$5=44,BA89, IF(Arrangörslista!$U$5=45,BB89, IF(Arrangörslista!$U$5=46,BC89, IF(Arrangörslista!$U$5=47,BD89, IF(Arrangörslista!$U$5=48,BE89, IF(Arrangörslista!$U$5=49,BF89, IF(Arrangörslista!$U$5=50,BG89, IF(Arrangörslista!$U$5=51,BH89, IF(Arrangörslista!$U$5=52,BI89, IF(Arrangörslista!$U$5=53,BJ89, IF(Arrangörslista!$U$5=54,BK89, IF(Arrangörslista!$U$5=55,BL89, IF(Arrangörslista!$U$5=56,BM89, IF(Arrangörslista!$U$5=57,BN89, IF(Arrangörslista!$U$5=58,BO89, IF(Arrangörslista!$U$5=59,BP89, IF(Arrangörslista!$U$5=60,BQ89,0))))))))))))))))))))))))))))))))))))))))))))))))))))))))))))
))</f>
        <v>0</v>
      </c>
      <c r="GV26" s="65" t="str">
        <f>IFERROR(IF(VLOOKUP(F26,Deltagarlista!$E$5:$I$64,5,FALSE)="Grön","Gr",IF(VLOOKUP(F26,Deltagarlista!$E$5:$I$64,5,FALSE)="Röd","R",IF(VLOOKUP(F26,Deltagarlista!$E$5:$I$64,5,FALSE)="Blå","B","Gu"))),"")</f>
        <v/>
      </c>
      <c r="GW26" s="62" t="str">
        <f t="shared" si="1"/>
        <v/>
      </c>
    </row>
    <row r="27" spans="2:205" x14ac:dyDescent="0.3">
      <c r="B27" s="23" t="str">
        <f>IF($BW$3&gt;23,24,"")</f>
        <v/>
      </c>
      <c r="C27" s="92" t="str">
        <f>IF(ISBLANK(Deltagarlista!C27),"",Deltagarlista!C27)</f>
        <v/>
      </c>
      <c r="D27" s="109" t="str">
        <f>CONCATENATE(IF(AND(Deltagarlista!H27="GM",Deltagarlista!$S$14=TRUE),"GM   ",""),  IF(OR(Deltagarlista!$K$3=4,Deltagarlista!$K$3=2),Deltagarlista!I27,""))</f>
        <v/>
      </c>
      <c r="E27" s="8" t="str">
        <f>IF(ISBLANK(Deltagarlista!D27),"",Deltagarlista!D27)</f>
        <v/>
      </c>
      <c r="F27" s="8" t="str">
        <f>IF(ISBLANK(Deltagarlista!E27),"",Deltagarlista!E27)</f>
        <v/>
      </c>
      <c r="G27" s="95" t="str">
        <f>IF(ISBLANK(Deltagarlista!F27),"",Deltagarlista!F27)</f>
        <v/>
      </c>
      <c r="H27" s="72" t="str">
        <f>IF(ISBLANK(Deltagarlista!C27),"",BU27-EE27)</f>
        <v/>
      </c>
      <c r="I27" s="13" t="str">
        <f>IF(ISBLANK(Deltagarlista!C27),"",IF(AND(Deltagarlista!$K$3=2,Deltagarlista!$L$3&lt;37),SUM(SUM(BV27:EC27)-(ROUNDDOWN(Arrangörslista!$U$5/3,1))*($BW$3+1)),SUM(BV27:EC27)))</f>
        <v/>
      </c>
      <c r="J27" s="79" t="str">
        <f>IF(Deltagarlista!$K$3=4,IF(ISBLANK(Deltagarlista!$C27),"",IF(ISBLANK(Arrangörslista!C$8),"",IFERROR(VLOOKUP($F27,Arrangörslista!C$8:$AG$45,16,FALSE),IF(ISBLANK(Deltagarlista!$C27),"",IF(ISBLANK(Arrangörslista!C$8),"",IFERROR(VLOOKUP($F27,Arrangörslista!D$8:$AG$45,16,FALSE),"DNS")))))),IF(Deltagarlista!$K$3=2,
IF(ISBLANK(Deltagarlista!$C27),"",IF(ISBLANK(Arrangörslista!C$8),"",IF($GV27=J$64," DNS ",IFERROR(VLOOKUP($F27,Arrangörslista!C$8:$AG$45,16,FALSE),"DNS")))),IF(ISBLANK(Deltagarlista!$C27),"",IF(ISBLANK(Arrangörslista!C$8),"",IFERROR(VLOOKUP($F27,Arrangörslista!C$8:$AG$45,16,FALSE),"DNS")))))</f>
        <v/>
      </c>
      <c r="K27" s="5" t="str">
        <f>IF(Deltagarlista!$K$3=4,IF(ISBLANK(Deltagarlista!$C27),"",IF(ISBLANK(Arrangörslista!E$8),"",IFERROR(VLOOKUP($F27,Arrangörslista!E$8:$AG$45,16,FALSE),IF(ISBLANK(Deltagarlista!$C27),"",IF(ISBLANK(Arrangörslista!E$8),"",IFERROR(VLOOKUP($F27,Arrangörslista!F$8:$AG$45,16,FALSE),"DNS")))))),IF(Deltagarlista!$K$3=2,
IF(ISBLANK(Deltagarlista!$C27),"",IF(ISBLANK(Arrangörslista!D$8),"",IF($GV27=K$64," DNS ",IFERROR(VLOOKUP($F27,Arrangörslista!D$8:$AG$45,16,FALSE),"DNS")))),IF(ISBLANK(Deltagarlista!$C27),"",IF(ISBLANK(Arrangörslista!D$8),"",IFERROR(VLOOKUP($F27,Arrangörslista!D$8:$AG$45,16,FALSE),"DNS")))))</f>
        <v/>
      </c>
      <c r="L27" s="5" t="str">
        <f>IF(Deltagarlista!$K$3=4,IF(ISBLANK(Deltagarlista!$C27),"",IF(ISBLANK(Arrangörslista!G$8),"",IFERROR(VLOOKUP($F27,Arrangörslista!G$8:$AG$45,16,FALSE),IF(ISBLANK(Deltagarlista!$C27),"",IF(ISBLANK(Arrangörslista!G$8),"",IFERROR(VLOOKUP($F27,Arrangörslista!H$8:$AG$45,16,FALSE),"DNS")))))),IF(Deltagarlista!$K$3=2,
IF(ISBLANK(Deltagarlista!$C27),"",IF(ISBLANK(Arrangörslista!E$8),"",IF($GV27=L$64," DNS ",IFERROR(VLOOKUP($F27,Arrangörslista!E$8:$AG$45,16,FALSE),"DNS")))),IF(ISBLANK(Deltagarlista!$C27),"",IF(ISBLANK(Arrangörslista!E$8),"",IFERROR(VLOOKUP($F27,Arrangörslista!E$8:$AG$45,16,FALSE),"DNS")))))</f>
        <v/>
      </c>
      <c r="M27" s="5" t="str">
        <f>IF(Deltagarlista!$K$3=4,IF(ISBLANK(Deltagarlista!$C27),"",IF(ISBLANK(Arrangörslista!I$8),"",IFERROR(VLOOKUP($F27,Arrangörslista!I$8:$AG$45,16,FALSE),IF(ISBLANK(Deltagarlista!$C27),"",IF(ISBLANK(Arrangörslista!I$8),"",IFERROR(VLOOKUP($F27,Arrangörslista!J$8:$AG$45,16,FALSE),"DNS")))))),IF(Deltagarlista!$K$3=2,
IF(ISBLANK(Deltagarlista!$C27),"",IF(ISBLANK(Arrangörslista!F$8),"",IF($GV27=M$64," DNS ",IFERROR(VLOOKUP($F27,Arrangörslista!F$8:$AG$45,16,FALSE),"DNS")))),IF(ISBLANK(Deltagarlista!$C27),"",IF(ISBLANK(Arrangörslista!F$8),"",IFERROR(VLOOKUP($F27,Arrangörslista!F$8:$AG$45,16,FALSE),"DNS")))))</f>
        <v/>
      </c>
      <c r="N27" s="5" t="str">
        <f>IF(Deltagarlista!$K$3=4,IF(ISBLANK(Deltagarlista!$C27),"",IF(ISBLANK(Arrangörslista!K$8),"",IFERROR(VLOOKUP($F27,Arrangörslista!K$8:$AG$45,16,FALSE),IF(ISBLANK(Deltagarlista!$C27),"",IF(ISBLANK(Arrangörslista!K$8),"",IFERROR(VLOOKUP($F27,Arrangörslista!L$8:$AG$45,16,FALSE),"DNS")))))),IF(Deltagarlista!$K$3=2,
IF(ISBLANK(Deltagarlista!$C27),"",IF(ISBLANK(Arrangörslista!G$8),"",IF($GV27=N$64," DNS ",IFERROR(VLOOKUP($F27,Arrangörslista!G$8:$AG$45,16,FALSE),"DNS")))),IF(ISBLANK(Deltagarlista!$C27),"",IF(ISBLANK(Arrangörslista!G$8),"",IFERROR(VLOOKUP($F27,Arrangörslista!G$8:$AG$45,16,FALSE),"DNS")))))</f>
        <v/>
      </c>
      <c r="O27" s="5" t="str">
        <f>IF(Deltagarlista!$K$3=4,IF(ISBLANK(Deltagarlista!$C27),"",IF(ISBLANK(Arrangörslista!M$8),"",IFERROR(VLOOKUP($F27,Arrangörslista!M$8:$AG$45,16,FALSE),IF(ISBLANK(Deltagarlista!$C27),"",IF(ISBLANK(Arrangörslista!M$8),"",IFERROR(VLOOKUP($F27,Arrangörslista!N$8:$AG$45,16,FALSE),"DNS")))))),IF(Deltagarlista!$K$3=2,
IF(ISBLANK(Deltagarlista!$C27),"",IF(ISBLANK(Arrangörslista!H$8),"",IF($GV27=O$64," DNS ",IFERROR(VLOOKUP($F27,Arrangörslista!H$8:$AG$45,16,FALSE),"DNS")))),IF(ISBLANK(Deltagarlista!$C27),"",IF(ISBLANK(Arrangörslista!H$8),"",IFERROR(VLOOKUP($F27,Arrangörslista!H$8:$AG$45,16,FALSE),"DNS")))))</f>
        <v/>
      </c>
      <c r="P27" s="5" t="str">
        <f>IF(Deltagarlista!$K$3=4,IF(ISBLANK(Deltagarlista!$C27),"",IF(ISBLANK(Arrangörslista!O$8),"",IFERROR(VLOOKUP($F27,Arrangörslista!O$8:$AG$45,16,FALSE),IF(ISBLANK(Deltagarlista!$C27),"",IF(ISBLANK(Arrangörslista!O$8),"",IFERROR(VLOOKUP($F27,Arrangörslista!P$8:$AG$45,16,FALSE),"DNS")))))),IF(Deltagarlista!$K$3=2,
IF(ISBLANK(Deltagarlista!$C27),"",IF(ISBLANK(Arrangörslista!I$8),"",IF($GV27=P$64," DNS ",IFERROR(VLOOKUP($F27,Arrangörslista!I$8:$AG$45,16,FALSE),"DNS")))),IF(ISBLANK(Deltagarlista!$C27),"",IF(ISBLANK(Arrangörslista!I$8),"",IFERROR(VLOOKUP($F27,Arrangörslista!I$8:$AG$45,16,FALSE),"DNS")))))</f>
        <v/>
      </c>
      <c r="Q27" s="5" t="str">
        <f>IF(Deltagarlista!$K$3=4,IF(ISBLANK(Deltagarlista!$C27),"",IF(ISBLANK(Arrangörslista!Q$8),"",IFERROR(VLOOKUP($F27,Arrangörslista!Q$8:$AG$45,16,FALSE),IF(ISBLANK(Deltagarlista!$C27),"",IF(ISBLANK(Arrangörslista!Q$8),"",IFERROR(VLOOKUP($F27,Arrangörslista!C$53:$AG$90,16,FALSE),"DNS")))))),IF(Deltagarlista!$K$3=2,
IF(ISBLANK(Deltagarlista!$C27),"",IF(ISBLANK(Arrangörslista!J$8),"",IF($GV27=Q$64," DNS ",IFERROR(VLOOKUP($F27,Arrangörslista!J$8:$AG$45,16,FALSE),"DNS")))),IF(ISBLANK(Deltagarlista!$C27),"",IF(ISBLANK(Arrangörslista!J$8),"",IFERROR(VLOOKUP($F27,Arrangörslista!J$8:$AG$45,16,FALSE),"DNS")))))</f>
        <v/>
      </c>
      <c r="R27" s="5" t="str">
        <f>IF(Deltagarlista!$K$3=4,IF(ISBLANK(Deltagarlista!$C27),"",IF(ISBLANK(Arrangörslista!D$53),"",IFERROR(VLOOKUP($F27,Arrangörslista!D$53:$AG$90,16,FALSE),IF(ISBLANK(Deltagarlista!$C27),"",IF(ISBLANK(Arrangörslista!D$53),"",IFERROR(VLOOKUP($F27,Arrangörslista!E$53:$AG$90,16,FALSE),"DNS")))))),IF(Deltagarlista!$K$3=2,
IF(ISBLANK(Deltagarlista!$C27),"",IF(ISBLANK(Arrangörslista!K$8),"",IF($GV27=R$64," DNS ",IFERROR(VLOOKUP($F27,Arrangörslista!K$8:$AG$45,16,FALSE),"DNS")))),IF(ISBLANK(Deltagarlista!$C27),"",IF(ISBLANK(Arrangörslista!K$8),"",IFERROR(VLOOKUP($F27,Arrangörslista!K$8:$AG$45,16,FALSE),"DNS")))))</f>
        <v/>
      </c>
      <c r="S27" s="5" t="str">
        <f>IF(Deltagarlista!$K$3=4,IF(ISBLANK(Deltagarlista!$C27),"",IF(ISBLANK(Arrangörslista!F$53),"",IFERROR(VLOOKUP($F27,Arrangörslista!F$53:$AG$90,16,FALSE),IF(ISBLANK(Deltagarlista!$C27),"",IF(ISBLANK(Arrangörslista!F$53),"",IFERROR(VLOOKUP($F27,Arrangörslista!G$53:$AG$90,16,FALSE),"DNS")))))),IF(Deltagarlista!$K$3=2,
IF(ISBLANK(Deltagarlista!$C27),"",IF(ISBLANK(Arrangörslista!L$8),"",IF($GV27=S$64," DNS ",IFERROR(VLOOKUP($F27,Arrangörslista!L$8:$AG$45,16,FALSE),"DNS")))),IF(ISBLANK(Deltagarlista!$C27),"",IF(ISBLANK(Arrangörslista!L$8),"",IFERROR(VLOOKUP($F27,Arrangörslista!L$8:$AG$45,16,FALSE),"DNS")))))</f>
        <v/>
      </c>
      <c r="T27" s="5" t="str">
        <f>IF(Deltagarlista!$K$3=4,IF(ISBLANK(Deltagarlista!$C27),"",IF(ISBLANK(Arrangörslista!H$53),"",IFERROR(VLOOKUP($F27,Arrangörslista!H$53:$AG$90,16,FALSE),IF(ISBLANK(Deltagarlista!$C27),"",IF(ISBLANK(Arrangörslista!H$53),"",IFERROR(VLOOKUP($F27,Arrangörslista!I$53:$AG$90,16,FALSE),"DNS")))))),IF(Deltagarlista!$K$3=2,
IF(ISBLANK(Deltagarlista!$C27),"",IF(ISBLANK(Arrangörslista!M$8),"",IF($GV27=T$64," DNS ",IFERROR(VLOOKUP($F27,Arrangörslista!M$8:$AG$45,16,FALSE),"DNS")))),IF(ISBLANK(Deltagarlista!$C27),"",IF(ISBLANK(Arrangörslista!M$8),"",IFERROR(VLOOKUP($F27,Arrangörslista!M$8:$AG$45,16,FALSE),"DNS")))))</f>
        <v/>
      </c>
      <c r="U27" s="5" t="str">
        <f>IF(Deltagarlista!$K$3=4,IF(ISBLANK(Deltagarlista!$C27),"",IF(ISBLANK(Arrangörslista!J$53),"",IFERROR(VLOOKUP($F27,Arrangörslista!J$53:$AG$90,16,FALSE),IF(ISBLANK(Deltagarlista!$C27),"",IF(ISBLANK(Arrangörslista!J$53),"",IFERROR(VLOOKUP($F27,Arrangörslista!K$53:$AG$90,16,FALSE),"DNS")))))),IF(Deltagarlista!$K$3=2,
IF(ISBLANK(Deltagarlista!$C27),"",IF(ISBLANK(Arrangörslista!N$8),"",IF($GV27=U$64," DNS ",IFERROR(VLOOKUP($F27,Arrangörslista!N$8:$AG$45,16,FALSE),"DNS")))),IF(ISBLANK(Deltagarlista!$C27),"",IF(ISBLANK(Arrangörslista!N$8),"",IFERROR(VLOOKUP($F27,Arrangörslista!N$8:$AG$45,16,FALSE),"DNS")))))</f>
        <v/>
      </c>
      <c r="V27" s="5" t="str">
        <f>IF(Deltagarlista!$K$3=4,IF(ISBLANK(Deltagarlista!$C27),"",IF(ISBLANK(Arrangörslista!L$53),"",IFERROR(VLOOKUP($F27,Arrangörslista!L$53:$AG$90,16,FALSE),IF(ISBLANK(Deltagarlista!$C27),"",IF(ISBLANK(Arrangörslista!L$53),"",IFERROR(VLOOKUP($F27,Arrangörslista!M$53:$AG$90,16,FALSE),"DNS")))))),IF(Deltagarlista!$K$3=2,
IF(ISBLANK(Deltagarlista!$C27),"",IF(ISBLANK(Arrangörslista!O$8),"",IF($GV27=V$64," DNS ",IFERROR(VLOOKUP($F27,Arrangörslista!O$8:$AG$45,16,FALSE),"DNS")))),IF(ISBLANK(Deltagarlista!$C27),"",IF(ISBLANK(Arrangörslista!O$8),"",IFERROR(VLOOKUP($F27,Arrangörslista!O$8:$AG$45,16,FALSE),"DNS")))))</f>
        <v/>
      </c>
      <c r="W27" s="5" t="str">
        <f>IF(Deltagarlista!$K$3=4,IF(ISBLANK(Deltagarlista!$C27),"",IF(ISBLANK(Arrangörslista!N$53),"",IFERROR(VLOOKUP($F27,Arrangörslista!N$53:$AG$90,16,FALSE),IF(ISBLANK(Deltagarlista!$C27),"",IF(ISBLANK(Arrangörslista!N$53),"",IFERROR(VLOOKUP($F27,Arrangörslista!O$53:$AG$90,16,FALSE),"DNS")))))),IF(Deltagarlista!$K$3=2,
IF(ISBLANK(Deltagarlista!$C27),"",IF(ISBLANK(Arrangörslista!P$8),"",IF($GV27=W$64," DNS ",IFERROR(VLOOKUP($F27,Arrangörslista!P$8:$AG$45,16,FALSE),"DNS")))),IF(ISBLANK(Deltagarlista!$C27),"",IF(ISBLANK(Arrangörslista!P$8),"",IFERROR(VLOOKUP($F27,Arrangörslista!P$8:$AG$45,16,FALSE),"DNS")))))</f>
        <v/>
      </c>
      <c r="X27" s="5" t="str">
        <f>IF(Deltagarlista!$K$3=4,IF(ISBLANK(Deltagarlista!$C27),"",IF(ISBLANK(Arrangörslista!P$53),"",IFERROR(VLOOKUP($F27,Arrangörslista!P$53:$AG$90,16,FALSE),IF(ISBLANK(Deltagarlista!$C27),"",IF(ISBLANK(Arrangörslista!P$53),"",IFERROR(VLOOKUP($F27,Arrangörslista!Q$53:$AG$90,16,FALSE),"DNS")))))),IF(Deltagarlista!$K$3=2,
IF(ISBLANK(Deltagarlista!$C27),"",IF(ISBLANK(Arrangörslista!Q$8),"",IF($GV27=X$64," DNS ",IFERROR(VLOOKUP($F27,Arrangörslista!Q$8:$AG$45,16,FALSE),"DNS")))),IF(ISBLANK(Deltagarlista!$C27),"",IF(ISBLANK(Arrangörslista!Q$8),"",IFERROR(VLOOKUP($F27,Arrangörslista!Q$8:$AG$45,16,FALSE),"DNS")))))</f>
        <v/>
      </c>
      <c r="Y27" s="5" t="str">
        <f>IF(Deltagarlista!$K$3=4,IF(ISBLANK(Deltagarlista!$C27),"",IF(ISBLANK(Arrangörslista!C$98),"",IFERROR(VLOOKUP($F27,Arrangörslista!C$98:$AG$135,16,FALSE),IF(ISBLANK(Deltagarlista!$C27),"",IF(ISBLANK(Arrangörslista!C$98),"",IFERROR(VLOOKUP($F27,Arrangörslista!D$98:$AG$135,16,FALSE),"DNS")))))),IF(Deltagarlista!$K$3=2,
IF(ISBLANK(Deltagarlista!$C27),"",IF(ISBLANK(Arrangörslista!C$53),"",IF($GV27=Y$64," DNS ",IFERROR(VLOOKUP($F27,Arrangörslista!C$53:$AG$90,16,FALSE),"DNS")))),IF(ISBLANK(Deltagarlista!$C27),"",IF(ISBLANK(Arrangörslista!C$53),"",IFERROR(VLOOKUP($F27,Arrangörslista!C$53:$AG$90,16,FALSE),"DNS")))))</f>
        <v/>
      </c>
      <c r="Z27" s="5" t="str">
        <f>IF(Deltagarlista!$K$3=4,IF(ISBLANK(Deltagarlista!$C27),"",IF(ISBLANK(Arrangörslista!E$98),"",IFERROR(VLOOKUP($F27,Arrangörslista!E$98:$AG$135,16,FALSE),IF(ISBLANK(Deltagarlista!$C27),"",IF(ISBLANK(Arrangörslista!E$98),"",IFERROR(VLOOKUP($F27,Arrangörslista!F$98:$AG$135,16,FALSE),"DNS")))))),IF(Deltagarlista!$K$3=2,
IF(ISBLANK(Deltagarlista!$C27),"",IF(ISBLANK(Arrangörslista!D$53),"",IF($GV27=Z$64," DNS ",IFERROR(VLOOKUP($F27,Arrangörslista!D$53:$AG$90,16,FALSE),"DNS")))),IF(ISBLANK(Deltagarlista!$C27),"",IF(ISBLANK(Arrangörslista!D$53),"",IFERROR(VLOOKUP($F27,Arrangörslista!D$53:$AG$90,16,FALSE),"DNS")))))</f>
        <v/>
      </c>
      <c r="AA27" s="5" t="str">
        <f>IF(Deltagarlista!$K$3=4,IF(ISBLANK(Deltagarlista!$C27),"",IF(ISBLANK(Arrangörslista!G$98),"",IFERROR(VLOOKUP($F27,Arrangörslista!G$98:$AG$135,16,FALSE),IF(ISBLANK(Deltagarlista!$C27),"",IF(ISBLANK(Arrangörslista!G$98),"",IFERROR(VLOOKUP($F27,Arrangörslista!H$98:$AG$135,16,FALSE),"DNS")))))),IF(Deltagarlista!$K$3=2,
IF(ISBLANK(Deltagarlista!$C27),"",IF(ISBLANK(Arrangörslista!E$53),"",IF($GV27=AA$64," DNS ",IFERROR(VLOOKUP($F27,Arrangörslista!E$53:$AG$90,16,FALSE),"DNS")))),IF(ISBLANK(Deltagarlista!$C27),"",IF(ISBLANK(Arrangörslista!E$53),"",IFERROR(VLOOKUP($F27,Arrangörslista!E$53:$AG$90,16,FALSE),"DNS")))))</f>
        <v/>
      </c>
      <c r="AB27" s="5" t="str">
        <f>IF(Deltagarlista!$K$3=4,IF(ISBLANK(Deltagarlista!$C27),"",IF(ISBLANK(Arrangörslista!I$98),"",IFERROR(VLOOKUP($F27,Arrangörslista!I$98:$AG$135,16,FALSE),IF(ISBLANK(Deltagarlista!$C27),"",IF(ISBLANK(Arrangörslista!I$98),"",IFERROR(VLOOKUP($F27,Arrangörslista!J$98:$AG$135,16,FALSE),"DNS")))))),IF(Deltagarlista!$K$3=2,
IF(ISBLANK(Deltagarlista!$C27),"",IF(ISBLANK(Arrangörslista!F$53),"",IF($GV27=AB$64," DNS ",IFERROR(VLOOKUP($F27,Arrangörslista!F$53:$AG$90,16,FALSE),"DNS")))),IF(ISBLANK(Deltagarlista!$C27),"",IF(ISBLANK(Arrangörslista!F$53),"",IFERROR(VLOOKUP($F27,Arrangörslista!F$53:$AG$90,16,FALSE),"DNS")))))</f>
        <v/>
      </c>
      <c r="AC27" s="5" t="str">
        <f>IF(Deltagarlista!$K$3=4,IF(ISBLANK(Deltagarlista!$C27),"",IF(ISBLANK(Arrangörslista!K$98),"",IFERROR(VLOOKUP($F27,Arrangörslista!K$98:$AG$135,16,FALSE),IF(ISBLANK(Deltagarlista!$C27),"",IF(ISBLANK(Arrangörslista!K$98),"",IFERROR(VLOOKUP($F27,Arrangörslista!L$98:$AG$135,16,FALSE),"DNS")))))),IF(Deltagarlista!$K$3=2,
IF(ISBLANK(Deltagarlista!$C27),"",IF(ISBLANK(Arrangörslista!G$53),"",IF($GV27=AC$64," DNS ",IFERROR(VLOOKUP($F27,Arrangörslista!G$53:$AG$90,16,FALSE),"DNS")))),IF(ISBLANK(Deltagarlista!$C27),"",IF(ISBLANK(Arrangörslista!G$53),"",IFERROR(VLOOKUP($F27,Arrangörslista!G$53:$AG$90,16,FALSE),"DNS")))))</f>
        <v/>
      </c>
      <c r="AD27" s="5" t="str">
        <f>IF(Deltagarlista!$K$3=4,IF(ISBLANK(Deltagarlista!$C27),"",IF(ISBLANK(Arrangörslista!M$98),"",IFERROR(VLOOKUP($F27,Arrangörslista!M$98:$AG$135,16,FALSE),IF(ISBLANK(Deltagarlista!$C27),"",IF(ISBLANK(Arrangörslista!M$98),"",IFERROR(VLOOKUP($F27,Arrangörslista!N$98:$AG$135,16,FALSE),"DNS")))))),IF(Deltagarlista!$K$3=2,
IF(ISBLANK(Deltagarlista!$C27),"",IF(ISBLANK(Arrangörslista!H$53),"",IF($GV27=AD$64," DNS ",IFERROR(VLOOKUP($F27,Arrangörslista!H$53:$AG$90,16,FALSE),"DNS")))),IF(ISBLANK(Deltagarlista!$C27),"",IF(ISBLANK(Arrangörslista!H$53),"",IFERROR(VLOOKUP($F27,Arrangörslista!H$53:$AG$90,16,FALSE),"DNS")))))</f>
        <v/>
      </c>
      <c r="AE27" s="5" t="str">
        <f>IF(Deltagarlista!$K$3=4,IF(ISBLANK(Deltagarlista!$C27),"",IF(ISBLANK(Arrangörslista!O$98),"",IFERROR(VLOOKUP($F27,Arrangörslista!O$98:$AG$135,16,FALSE),IF(ISBLANK(Deltagarlista!$C27),"",IF(ISBLANK(Arrangörslista!O$98),"",IFERROR(VLOOKUP($F27,Arrangörslista!P$98:$AG$135,16,FALSE),"DNS")))))),IF(Deltagarlista!$K$3=2,
IF(ISBLANK(Deltagarlista!$C27),"",IF(ISBLANK(Arrangörslista!I$53),"",IF($GV27=AE$64," DNS ",IFERROR(VLOOKUP($F27,Arrangörslista!I$53:$AG$90,16,FALSE),"DNS")))),IF(ISBLANK(Deltagarlista!$C27),"",IF(ISBLANK(Arrangörslista!I$53),"",IFERROR(VLOOKUP($F27,Arrangörslista!I$53:$AG$90,16,FALSE),"DNS")))))</f>
        <v/>
      </c>
      <c r="AF27" s="5" t="str">
        <f>IF(Deltagarlista!$K$3=4,IF(ISBLANK(Deltagarlista!$C27),"",IF(ISBLANK(Arrangörslista!Q$98),"",IFERROR(VLOOKUP($F27,Arrangörslista!Q$98:$AG$135,16,FALSE),IF(ISBLANK(Deltagarlista!$C27),"",IF(ISBLANK(Arrangörslista!Q$98),"",IFERROR(VLOOKUP($F27,Arrangörslista!C$143:$AG$180,16,FALSE),"DNS")))))),IF(Deltagarlista!$K$3=2,
IF(ISBLANK(Deltagarlista!$C27),"",IF(ISBLANK(Arrangörslista!J$53),"",IF($GV27=AF$64," DNS ",IFERROR(VLOOKUP($F27,Arrangörslista!J$53:$AG$90,16,FALSE),"DNS")))),IF(ISBLANK(Deltagarlista!$C27),"",IF(ISBLANK(Arrangörslista!J$53),"",IFERROR(VLOOKUP($F27,Arrangörslista!J$53:$AG$90,16,FALSE),"DNS")))))</f>
        <v/>
      </c>
      <c r="AG27" s="5" t="str">
        <f>IF(Deltagarlista!$K$3=4,IF(ISBLANK(Deltagarlista!$C27),"",IF(ISBLANK(Arrangörslista!D$143),"",IFERROR(VLOOKUP($F27,Arrangörslista!D$143:$AG$180,16,FALSE),IF(ISBLANK(Deltagarlista!$C27),"",IF(ISBLANK(Arrangörslista!D$143),"",IFERROR(VLOOKUP($F27,Arrangörslista!E$143:$AG$180,16,FALSE),"DNS")))))),IF(Deltagarlista!$K$3=2,
IF(ISBLANK(Deltagarlista!$C27),"",IF(ISBLANK(Arrangörslista!K$53),"",IF($GV27=AG$64," DNS ",IFERROR(VLOOKUP($F27,Arrangörslista!K$53:$AG$90,16,FALSE),"DNS")))),IF(ISBLANK(Deltagarlista!$C27),"",IF(ISBLANK(Arrangörslista!K$53),"",IFERROR(VLOOKUP($F27,Arrangörslista!K$53:$AG$90,16,FALSE),"DNS")))))</f>
        <v/>
      </c>
      <c r="AH27" s="5" t="str">
        <f>IF(Deltagarlista!$K$3=4,IF(ISBLANK(Deltagarlista!$C27),"",IF(ISBLANK(Arrangörslista!F$143),"",IFERROR(VLOOKUP($F27,Arrangörslista!F$143:$AG$180,16,FALSE),IF(ISBLANK(Deltagarlista!$C27),"",IF(ISBLANK(Arrangörslista!F$143),"",IFERROR(VLOOKUP($F27,Arrangörslista!G$143:$AG$180,16,FALSE),"DNS")))))),IF(Deltagarlista!$K$3=2,
IF(ISBLANK(Deltagarlista!$C27),"",IF(ISBLANK(Arrangörslista!L$53),"",IF($GV27=AH$64," DNS ",IFERROR(VLOOKUP($F27,Arrangörslista!L$53:$AG$90,16,FALSE),"DNS")))),IF(ISBLANK(Deltagarlista!$C27),"",IF(ISBLANK(Arrangörslista!L$53),"",IFERROR(VLOOKUP($F27,Arrangörslista!L$53:$AG$90,16,FALSE),"DNS")))))</f>
        <v/>
      </c>
      <c r="AI27" s="5" t="str">
        <f>IF(Deltagarlista!$K$3=4,IF(ISBLANK(Deltagarlista!$C27),"",IF(ISBLANK(Arrangörslista!H$143),"",IFERROR(VLOOKUP($F27,Arrangörslista!H$143:$AG$180,16,FALSE),IF(ISBLANK(Deltagarlista!$C27),"",IF(ISBLANK(Arrangörslista!H$143),"",IFERROR(VLOOKUP($F27,Arrangörslista!I$143:$AG$180,16,FALSE),"DNS")))))),IF(Deltagarlista!$K$3=2,
IF(ISBLANK(Deltagarlista!$C27),"",IF(ISBLANK(Arrangörslista!M$53),"",IF($GV27=AI$64," DNS ",IFERROR(VLOOKUP($F27,Arrangörslista!M$53:$AG$90,16,FALSE),"DNS")))),IF(ISBLANK(Deltagarlista!$C27),"",IF(ISBLANK(Arrangörslista!M$53),"",IFERROR(VLOOKUP($F27,Arrangörslista!M$53:$AG$90,16,FALSE),"DNS")))))</f>
        <v/>
      </c>
      <c r="AJ27" s="5" t="str">
        <f>IF(Deltagarlista!$K$3=4,IF(ISBLANK(Deltagarlista!$C27),"",IF(ISBLANK(Arrangörslista!J$143),"",IFERROR(VLOOKUP($F27,Arrangörslista!J$143:$AG$180,16,FALSE),IF(ISBLANK(Deltagarlista!$C27),"",IF(ISBLANK(Arrangörslista!J$143),"",IFERROR(VLOOKUP($F27,Arrangörslista!K$143:$AG$180,16,FALSE),"DNS")))))),IF(Deltagarlista!$K$3=2,
IF(ISBLANK(Deltagarlista!$C27),"",IF(ISBLANK(Arrangörslista!N$53),"",IF($GV27=AJ$64," DNS ",IFERROR(VLOOKUP($F27,Arrangörslista!N$53:$AG$90,16,FALSE),"DNS")))),IF(ISBLANK(Deltagarlista!$C27),"",IF(ISBLANK(Arrangörslista!N$53),"",IFERROR(VLOOKUP($F27,Arrangörslista!N$53:$AG$90,16,FALSE),"DNS")))))</f>
        <v/>
      </c>
      <c r="AK27" s="5" t="str">
        <f>IF(Deltagarlista!$K$3=4,IF(ISBLANK(Deltagarlista!$C27),"",IF(ISBLANK(Arrangörslista!L$143),"",IFERROR(VLOOKUP($F27,Arrangörslista!L$143:$AG$180,16,FALSE),IF(ISBLANK(Deltagarlista!$C27),"",IF(ISBLANK(Arrangörslista!L$143),"",IFERROR(VLOOKUP($F27,Arrangörslista!M$143:$AG$180,16,FALSE),"DNS")))))),IF(Deltagarlista!$K$3=2,
IF(ISBLANK(Deltagarlista!$C27),"",IF(ISBLANK(Arrangörslista!O$53),"",IF($GV27=AK$64," DNS ",IFERROR(VLOOKUP($F27,Arrangörslista!O$53:$AG$90,16,FALSE),"DNS")))),IF(ISBLANK(Deltagarlista!$C27),"",IF(ISBLANK(Arrangörslista!O$53),"",IFERROR(VLOOKUP($F27,Arrangörslista!O$53:$AG$90,16,FALSE),"DNS")))))</f>
        <v/>
      </c>
      <c r="AL27" s="5" t="str">
        <f>IF(Deltagarlista!$K$3=4,IF(ISBLANK(Deltagarlista!$C27),"",IF(ISBLANK(Arrangörslista!N$143),"",IFERROR(VLOOKUP($F27,Arrangörslista!N$143:$AG$180,16,FALSE),IF(ISBLANK(Deltagarlista!$C27),"",IF(ISBLANK(Arrangörslista!N$143),"",IFERROR(VLOOKUP($F27,Arrangörslista!O$143:$AG$180,16,FALSE),"DNS")))))),IF(Deltagarlista!$K$3=2,
IF(ISBLANK(Deltagarlista!$C27),"",IF(ISBLANK(Arrangörslista!P$53),"",IF($GV27=AL$64," DNS ",IFERROR(VLOOKUP($F27,Arrangörslista!P$53:$AG$90,16,FALSE),"DNS")))),IF(ISBLANK(Deltagarlista!$C27),"",IF(ISBLANK(Arrangörslista!P$53),"",IFERROR(VLOOKUP($F27,Arrangörslista!P$53:$AG$90,16,FALSE),"DNS")))))</f>
        <v/>
      </c>
      <c r="AM27" s="5" t="str">
        <f>IF(Deltagarlista!$K$3=4,IF(ISBLANK(Deltagarlista!$C27),"",IF(ISBLANK(Arrangörslista!P$143),"",IFERROR(VLOOKUP($F27,Arrangörslista!P$143:$AG$180,16,FALSE),IF(ISBLANK(Deltagarlista!$C27),"",IF(ISBLANK(Arrangörslista!P$143),"",IFERROR(VLOOKUP($F27,Arrangörslista!Q$143:$AG$180,16,FALSE),"DNS")))))),IF(Deltagarlista!$K$3=2,
IF(ISBLANK(Deltagarlista!$C27),"",IF(ISBLANK(Arrangörslista!Q$53),"",IF($GV27=AM$64," DNS ",IFERROR(VLOOKUP($F27,Arrangörslista!Q$53:$AG$90,16,FALSE),"DNS")))),IF(ISBLANK(Deltagarlista!$C27),"",IF(ISBLANK(Arrangörslista!Q$53),"",IFERROR(VLOOKUP($F27,Arrangörslista!Q$53:$AG$90,16,FALSE),"DNS")))))</f>
        <v/>
      </c>
      <c r="AN27" s="5" t="str">
        <f>IF(Deltagarlista!$K$3=2,
IF(ISBLANK(Deltagarlista!$C27),"",IF(ISBLANK(Arrangörslista!C$98),"",IF($GV27=AN$64," DNS ",IFERROR(VLOOKUP($F27,Arrangörslista!C$98:$AG$135,16,FALSE), "DNS")))), IF(Deltagarlista!$K$3=1,IF(ISBLANK(Deltagarlista!$C27),"",IF(ISBLANK(Arrangörslista!C$98),"",IFERROR(VLOOKUP($F27,Arrangörslista!C$98:$AG$135,16,FALSE), "DNS"))),""))</f>
        <v/>
      </c>
      <c r="AO27" s="5" t="str">
        <f>IF(Deltagarlista!$K$3=2,
IF(ISBLANK(Deltagarlista!$C27),"",IF(ISBLANK(Arrangörslista!D$98),"",IF($GV27=AO$64," DNS ",IFERROR(VLOOKUP($F27,Arrangörslista!D$98:$AG$135,16,FALSE), "DNS")))), IF(Deltagarlista!$K$3=1,IF(ISBLANK(Deltagarlista!$C27),"",IF(ISBLANK(Arrangörslista!D$98),"",IFERROR(VLOOKUP($F27,Arrangörslista!D$98:$AG$135,16,FALSE), "DNS"))),""))</f>
        <v/>
      </c>
      <c r="AP27" s="5" t="str">
        <f>IF(Deltagarlista!$K$3=2,
IF(ISBLANK(Deltagarlista!$C27),"",IF(ISBLANK(Arrangörslista!E$98),"",IF($GV27=AP$64," DNS ",IFERROR(VLOOKUP($F27,Arrangörslista!E$98:$AG$135,16,FALSE), "DNS")))), IF(Deltagarlista!$K$3=1,IF(ISBLANK(Deltagarlista!$C27),"",IF(ISBLANK(Arrangörslista!E$98),"",IFERROR(VLOOKUP($F27,Arrangörslista!E$98:$AG$135,16,FALSE), "DNS"))),""))</f>
        <v/>
      </c>
      <c r="AQ27" s="5" t="str">
        <f>IF(Deltagarlista!$K$3=2,
IF(ISBLANK(Deltagarlista!$C27),"",IF(ISBLANK(Arrangörslista!F$98),"",IF($GV27=AQ$64," DNS ",IFERROR(VLOOKUP($F27,Arrangörslista!F$98:$AG$135,16,FALSE), "DNS")))), IF(Deltagarlista!$K$3=1,IF(ISBLANK(Deltagarlista!$C27),"",IF(ISBLANK(Arrangörslista!F$98),"",IFERROR(VLOOKUP($F27,Arrangörslista!F$98:$AG$135,16,FALSE), "DNS"))),""))</f>
        <v/>
      </c>
      <c r="AR27" s="5" t="str">
        <f>IF(Deltagarlista!$K$3=2,
IF(ISBLANK(Deltagarlista!$C27),"",IF(ISBLANK(Arrangörslista!G$98),"",IF($GV27=AR$64," DNS ",IFERROR(VLOOKUP($F27,Arrangörslista!G$98:$AG$135,16,FALSE), "DNS")))), IF(Deltagarlista!$K$3=1,IF(ISBLANK(Deltagarlista!$C27),"",IF(ISBLANK(Arrangörslista!G$98),"",IFERROR(VLOOKUP($F27,Arrangörslista!G$98:$AG$135,16,FALSE), "DNS"))),""))</f>
        <v/>
      </c>
      <c r="AS27" s="5" t="str">
        <f>IF(Deltagarlista!$K$3=2,
IF(ISBLANK(Deltagarlista!$C27),"",IF(ISBLANK(Arrangörslista!H$98),"",IF($GV27=AS$64," DNS ",IFERROR(VLOOKUP($F27,Arrangörslista!H$98:$AG$135,16,FALSE), "DNS")))), IF(Deltagarlista!$K$3=1,IF(ISBLANK(Deltagarlista!$C27),"",IF(ISBLANK(Arrangörslista!H$98),"",IFERROR(VLOOKUP($F27,Arrangörslista!H$98:$AG$135,16,FALSE), "DNS"))),""))</f>
        <v/>
      </c>
      <c r="AT27" s="5" t="str">
        <f>IF(Deltagarlista!$K$3=2,
IF(ISBLANK(Deltagarlista!$C27),"",IF(ISBLANK(Arrangörslista!I$98),"",IF($GV27=AT$64," DNS ",IFERROR(VLOOKUP($F27,Arrangörslista!I$98:$AG$135,16,FALSE), "DNS")))), IF(Deltagarlista!$K$3=1,IF(ISBLANK(Deltagarlista!$C27),"",IF(ISBLANK(Arrangörslista!I$98),"",IFERROR(VLOOKUP($F27,Arrangörslista!I$98:$AG$135,16,FALSE), "DNS"))),""))</f>
        <v/>
      </c>
      <c r="AU27" s="5" t="str">
        <f>IF(Deltagarlista!$K$3=2,
IF(ISBLANK(Deltagarlista!$C27),"",IF(ISBLANK(Arrangörslista!J$98),"",IF($GV27=AU$64," DNS ",IFERROR(VLOOKUP($F27,Arrangörslista!J$98:$AG$135,16,FALSE), "DNS")))), IF(Deltagarlista!$K$3=1,IF(ISBLANK(Deltagarlista!$C27),"",IF(ISBLANK(Arrangörslista!J$98),"",IFERROR(VLOOKUP($F27,Arrangörslista!J$98:$AG$135,16,FALSE), "DNS"))),""))</f>
        <v/>
      </c>
      <c r="AV27" s="5" t="str">
        <f>IF(Deltagarlista!$K$3=2,
IF(ISBLANK(Deltagarlista!$C27),"",IF(ISBLANK(Arrangörslista!K$98),"",IF($GV27=AV$64," DNS ",IFERROR(VLOOKUP($F27,Arrangörslista!K$98:$AG$135,16,FALSE), "DNS")))), IF(Deltagarlista!$K$3=1,IF(ISBLANK(Deltagarlista!$C27),"",IF(ISBLANK(Arrangörslista!K$98),"",IFERROR(VLOOKUP($F27,Arrangörslista!K$98:$AG$135,16,FALSE), "DNS"))),""))</f>
        <v/>
      </c>
      <c r="AW27" s="5" t="str">
        <f>IF(Deltagarlista!$K$3=2,
IF(ISBLANK(Deltagarlista!$C27),"",IF(ISBLANK(Arrangörslista!L$98),"",IF($GV27=AW$64," DNS ",IFERROR(VLOOKUP($F27,Arrangörslista!L$98:$AG$135,16,FALSE), "DNS")))), IF(Deltagarlista!$K$3=1,IF(ISBLANK(Deltagarlista!$C27),"",IF(ISBLANK(Arrangörslista!L$98),"",IFERROR(VLOOKUP($F27,Arrangörslista!L$98:$AG$135,16,FALSE), "DNS"))),""))</f>
        <v/>
      </c>
      <c r="AX27" s="5" t="str">
        <f>IF(Deltagarlista!$K$3=2,
IF(ISBLANK(Deltagarlista!$C27),"",IF(ISBLANK(Arrangörslista!M$98),"",IF($GV27=AX$64," DNS ",IFERROR(VLOOKUP($F27,Arrangörslista!M$98:$AG$135,16,FALSE), "DNS")))), IF(Deltagarlista!$K$3=1,IF(ISBLANK(Deltagarlista!$C27),"",IF(ISBLANK(Arrangörslista!M$98),"",IFERROR(VLOOKUP($F27,Arrangörslista!M$98:$AG$135,16,FALSE), "DNS"))),""))</f>
        <v/>
      </c>
      <c r="AY27" s="5" t="str">
        <f>IF(Deltagarlista!$K$3=2,
IF(ISBLANK(Deltagarlista!$C27),"",IF(ISBLANK(Arrangörslista!N$98),"",IF($GV27=AY$64," DNS ",IFERROR(VLOOKUP($F27,Arrangörslista!N$98:$AG$135,16,FALSE), "DNS")))), IF(Deltagarlista!$K$3=1,IF(ISBLANK(Deltagarlista!$C27),"",IF(ISBLANK(Arrangörslista!N$98),"",IFERROR(VLOOKUP($F27,Arrangörslista!N$98:$AG$135,16,FALSE), "DNS"))),""))</f>
        <v/>
      </c>
      <c r="AZ27" s="5" t="str">
        <f>IF(Deltagarlista!$K$3=2,
IF(ISBLANK(Deltagarlista!$C27),"",IF(ISBLANK(Arrangörslista!O$98),"",IF($GV27=AZ$64," DNS ",IFERROR(VLOOKUP($F27,Arrangörslista!O$98:$AG$135,16,FALSE), "DNS")))), IF(Deltagarlista!$K$3=1,IF(ISBLANK(Deltagarlista!$C27),"",IF(ISBLANK(Arrangörslista!O$98),"",IFERROR(VLOOKUP($F27,Arrangörslista!O$98:$AG$135,16,FALSE), "DNS"))),""))</f>
        <v/>
      </c>
      <c r="BA27" s="5" t="str">
        <f>IF(Deltagarlista!$K$3=2,
IF(ISBLANK(Deltagarlista!$C27),"",IF(ISBLANK(Arrangörslista!P$98),"",IF($GV27=BA$64," DNS ",IFERROR(VLOOKUP($F27,Arrangörslista!P$98:$AG$135,16,FALSE), "DNS")))), IF(Deltagarlista!$K$3=1,IF(ISBLANK(Deltagarlista!$C27),"",IF(ISBLANK(Arrangörslista!P$98),"",IFERROR(VLOOKUP($F27,Arrangörslista!P$98:$AG$135,16,FALSE), "DNS"))),""))</f>
        <v/>
      </c>
      <c r="BB27" s="5" t="str">
        <f>IF(Deltagarlista!$K$3=2,
IF(ISBLANK(Deltagarlista!$C27),"",IF(ISBLANK(Arrangörslista!Q$98),"",IF($GV27=BB$64," DNS ",IFERROR(VLOOKUP($F27,Arrangörslista!Q$98:$AG$135,16,FALSE), "DNS")))), IF(Deltagarlista!$K$3=1,IF(ISBLANK(Deltagarlista!$C27),"",IF(ISBLANK(Arrangörslista!Q$98),"",IFERROR(VLOOKUP($F27,Arrangörslista!Q$98:$AG$135,16,FALSE), "DNS"))),""))</f>
        <v/>
      </c>
      <c r="BC27" s="5" t="str">
        <f>IF(Deltagarlista!$K$3=2,
IF(ISBLANK(Deltagarlista!$C27),"",IF(ISBLANK(Arrangörslista!C$143),"",IF($GV27=BC$64," DNS ",IFERROR(VLOOKUP($F27,Arrangörslista!C$143:$AG$180,16,FALSE), "DNS")))), IF(Deltagarlista!$K$3=1,IF(ISBLANK(Deltagarlista!$C27),"",IF(ISBLANK(Arrangörslista!C$143),"",IFERROR(VLOOKUP($F27,Arrangörslista!C$143:$AG$180,16,FALSE), "DNS"))),""))</f>
        <v/>
      </c>
      <c r="BD27" s="5" t="str">
        <f>IF(Deltagarlista!$K$3=2,
IF(ISBLANK(Deltagarlista!$C27),"",IF(ISBLANK(Arrangörslista!D$143),"",IF($GV27=BD$64," DNS ",IFERROR(VLOOKUP($F27,Arrangörslista!D$143:$AG$180,16,FALSE), "DNS")))), IF(Deltagarlista!$K$3=1,IF(ISBLANK(Deltagarlista!$C27),"",IF(ISBLANK(Arrangörslista!D$143),"",IFERROR(VLOOKUP($F27,Arrangörslista!D$143:$AG$180,16,FALSE), "DNS"))),""))</f>
        <v/>
      </c>
      <c r="BE27" s="5" t="str">
        <f>IF(Deltagarlista!$K$3=2,
IF(ISBLANK(Deltagarlista!$C27),"",IF(ISBLANK(Arrangörslista!E$143),"",IF($GV27=BE$64," DNS ",IFERROR(VLOOKUP($F27,Arrangörslista!E$143:$AG$180,16,FALSE), "DNS")))), IF(Deltagarlista!$K$3=1,IF(ISBLANK(Deltagarlista!$C27),"",IF(ISBLANK(Arrangörslista!E$143),"",IFERROR(VLOOKUP($F27,Arrangörslista!E$143:$AG$180,16,FALSE), "DNS"))),""))</f>
        <v/>
      </c>
      <c r="BF27" s="5" t="str">
        <f>IF(Deltagarlista!$K$3=2,
IF(ISBLANK(Deltagarlista!$C27),"",IF(ISBLANK(Arrangörslista!F$143),"",IF($GV27=BF$64," DNS ",IFERROR(VLOOKUP($F27,Arrangörslista!F$143:$AG$180,16,FALSE), "DNS")))), IF(Deltagarlista!$K$3=1,IF(ISBLANK(Deltagarlista!$C27),"",IF(ISBLANK(Arrangörslista!F$143),"",IFERROR(VLOOKUP($F27,Arrangörslista!F$143:$AG$180,16,FALSE), "DNS"))),""))</f>
        <v/>
      </c>
      <c r="BG27" s="5" t="str">
        <f>IF(Deltagarlista!$K$3=2,
IF(ISBLANK(Deltagarlista!$C27),"",IF(ISBLANK(Arrangörslista!G$143),"",IF($GV27=BG$64," DNS ",IFERROR(VLOOKUP($F27,Arrangörslista!G$143:$AG$180,16,FALSE), "DNS")))), IF(Deltagarlista!$K$3=1,IF(ISBLANK(Deltagarlista!$C27),"",IF(ISBLANK(Arrangörslista!G$143),"",IFERROR(VLOOKUP($F27,Arrangörslista!G$143:$AG$180,16,FALSE), "DNS"))),""))</f>
        <v/>
      </c>
      <c r="BH27" s="5" t="str">
        <f>IF(Deltagarlista!$K$3=2,
IF(ISBLANK(Deltagarlista!$C27),"",IF(ISBLANK(Arrangörslista!H$143),"",IF($GV27=BH$64," DNS ",IFERROR(VLOOKUP($F27,Arrangörslista!H$143:$AG$180,16,FALSE), "DNS")))), IF(Deltagarlista!$K$3=1,IF(ISBLANK(Deltagarlista!$C27),"",IF(ISBLANK(Arrangörslista!H$143),"",IFERROR(VLOOKUP($F27,Arrangörslista!H$143:$AG$180,16,FALSE), "DNS"))),""))</f>
        <v/>
      </c>
      <c r="BI27" s="5" t="str">
        <f>IF(Deltagarlista!$K$3=2,
IF(ISBLANK(Deltagarlista!$C27),"",IF(ISBLANK(Arrangörslista!I$143),"",IF($GV27=BI$64," DNS ",IFERROR(VLOOKUP($F27,Arrangörslista!I$143:$AG$180,16,FALSE), "DNS")))), IF(Deltagarlista!$K$3=1,IF(ISBLANK(Deltagarlista!$C27),"",IF(ISBLANK(Arrangörslista!I$143),"",IFERROR(VLOOKUP($F27,Arrangörslista!I$143:$AG$180,16,FALSE), "DNS"))),""))</f>
        <v/>
      </c>
      <c r="BJ27" s="5" t="str">
        <f>IF(Deltagarlista!$K$3=2,
IF(ISBLANK(Deltagarlista!$C27),"",IF(ISBLANK(Arrangörslista!J$143),"",IF($GV27=BJ$64," DNS ",IFERROR(VLOOKUP($F27,Arrangörslista!J$143:$AG$180,16,FALSE), "DNS")))), IF(Deltagarlista!$K$3=1,IF(ISBLANK(Deltagarlista!$C27),"",IF(ISBLANK(Arrangörslista!J$143),"",IFERROR(VLOOKUP($F27,Arrangörslista!J$143:$AG$180,16,FALSE), "DNS"))),""))</f>
        <v/>
      </c>
      <c r="BK27" s="5" t="str">
        <f>IF(Deltagarlista!$K$3=2,
IF(ISBLANK(Deltagarlista!$C27),"",IF(ISBLANK(Arrangörslista!K$143),"",IF($GV27=BK$64," DNS ",IFERROR(VLOOKUP($F27,Arrangörslista!K$143:$AG$180,16,FALSE), "DNS")))), IF(Deltagarlista!$K$3=1,IF(ISBLANK(Deltagarlista!$C27),"",IF(ISBLANK(Arrangörslista!K$143),"",IFERROR(VLOOKUP($F27,Arrangörslista!K$143:$AG$180,16,FALSE), "DNS"))),""))</f>
        <v/>
      </c>
      <c r="BL27" s="5" t="str">
        <f>IF(Deltagarlista!$K$3=2,
IF(ISBLANK(Deltagarlista!$C27),"",IF(ISBLANK(Arrangörslista!L$143),"",IF($GV27=BL$64," DNS ",IFERROR(VLOOKUP($F27,Arrangörslista!L$143:$AG$180,16,FALSE), "DNS")))), IF(Deltagarlista!$K$3=1,IF(ISBLANK(Deltagarlista!$C27),"",IF(ISBLANK(Arrangörslista!L$143),"",IFERROR(VLOOKUP($F27,Arrangörslista!L$143:$AG$180,16,FALSE), "DNS"))),""))</f>
        <v/>
      </c>
      <c r="BM27" s="5" t="str">
        <f>IF(Deltagarlista!$K$3=2,
IF(ISBLANK(Deltagarlista!$C27),"",IF(ISBLANK(Arrangörslista!M$143),"",IF($GV27=BM$64," DNS ",IFERROR(VLOOKUP($F27,Arrangörslista!M$143:$AG$180,16,FALSE), "DNS")))), IF(Deltagarlista!$K$3=1,IF(ISBLANK(Deltagarlista!$C27),"",IF(ISBLANK(Arrangörslista!M$143),"",IFERROR(VLOOKUP($F27,Arrangörslista!M$143:$AG$180,16,FALSE), "DNS"))),""))</f>
        <v/>
      </c>
      <c r="BN27" s="5" t="str">
        <f>IF(Deltagarlista!$K$3=2,
IF(ISBLANK(Deltagarlista!$C27),"",IF(ISBLANK(Arrangörslista!N$143),"",IF($GV27=BN$64," DNS ",IFERROR(VLOOKUP($F27,Arrangörslista!N$143:$AG$180,16,FALSE), "DNS")))), IF(Deltagarlista!$K$3=1,IF(ISBLANK(Deltagarlista!$C27),"",IF(ISBLANK(Arrangörslista!N$143),"",IFERROR(VLOOKUP($F27,Arrangörslista!N$143:$AG$180,16,FALSE), "DNS"))),""))</f>
        <v/>
      </c>
      <c r="BO27" s="5" t="str">
        <f>IF(Deltagarlista!$K$3=2,
IF(ISBLANK(Deltagarlista!$C27),"",IF(ISBLANK(Arrangörslista!O$143),"",IF($GV27=BO$64," DNS ",IFERROR(VLOOKUP($F27,Arrangörslista!O$143:$AG$180,16,FALSE), "DNS")))), IF(Deltagarlista!$K$3=1,IF(ISBLANK(Deltagarlista!$C27),"",IF(ISBLANK(Arrangörslista!O$143),"",IFERROR(VLOOKUP($F27,Arrangörslista!O$143:$AG$180,16,FALSE), "DNS"))),""))</f>
        <v/>
      </c>
      <c r="BP27" s="5" t="str">
        <f>IF(Deltagarlista!$K$3=2,
IF(ISBLANK(Deltagarlista!$C27),"",IF(ISBLANK(Arrangörslista!P$143),"",IF($GV27=BP$64," DNS ",IFERROR(VLOOKUP($F27,Arrangörslista!P$143:$AG$180,16,FALSE), "DNS")))), IF(Deltagarlista!$K$3=1,IF(ISBLANK(Deltagarlista!$C27),"",IF(ISBLANK(Arrangörslista!P$143),"",IFERROR(VLOOKUP($F27,Arrangörslista!P$143:$AG$180,16,FALSE), "DNS"))),""))</f>
        <v/>
      </c>
      <c r="BQ27" s="80" t="str">
        <f>IF(Deltagarlista!$K$3=2,
IF(ISBLANK(Deltagarlista!$C27),"",IF(ISBLANK(Arrangörslista!Q$143),"",IF($GV27=BQ$64," DNS ",IFERROR(VLOOKUP($F27,Arrangörslista!Q$143:$AG$180,16,FALSE), "DNS")))), IF(Deltagarlista!$K$3=1,IF(ISBLANK(Deltagarlista!$C27),"",IF(ISBLANK(Arrangörslista!Q$143),"",IFERROR(VLOOKUP($F27,Arrangörslista!Q$143:$AG$180,16,FALSE), "DNS"))),""))</f>
        <v/>
      </c>
      <c r="BR27" s="51"/>
      <c r="BS27" s="51"/>
      <c r="BT27" s="51"/>
      <c r="BU27" s="71">
        <f>SUM(BV27:EC27)</f>
        <v>0</v>
      </c>
      <c r="BV27" s="61">
        <f>IF(J27="",0,IF(OR(J27="DNF",J27="OCS",J27="DSQ",J27="DNS",J27=" DNS "),$BW$3+1,J27))</f>
        <v>0</v>
      </c>
      <c r="BW27" s="61">
        <f>IF(K27="",0,IF(OR(K27="DNF",K27="OCS",K27="DSQ",K27="DNS",K27=" DNS "),$BW$3+1,K27))</f>
        <v>0</v>
      </c>
      <c r="BX27" s="61">
        <f>IF(L27="",0,IF(OR(L27="DNF",L27="OCS",L27="DSQ",L27="DNS",L27=" DNS "),$BW$3+1,L27))</f>
        <v>0</v>
      </c>
      <c r="BY27" s="61">
        <f>IF(M27="",0,IF(OR(M27="DNF",M27="OCS",M27="DSQ",M27="DNS",M27=" DNS "),$BW$3+1,M27))</f>
        <v>0</v>
      </c>
      <c r="BZ27" s="61">
        <f>IF(N27="",0,IF(OR(N27="DNF",N27="OCS",N27="DSQ",N27="DNS",N27=" DNS "),$BW$3+1,N27))</f>
        <v>0</v>
      </c>
      <c r="CA27" s="61">
        <f>IF(O27="",0,IF(OR(O27="DNF",O27="OCS",O27="DSQ",O27="DNS",O27=" DNS "),$BW$3+1,O27))</f>
        <v>0</v>
      </c>
      <c r="CB27" s="61">
        <f>IF(P27="",0,IF(OR(P27="DNF",P27="OCS",P27="DSQ",P27="DNS",P27=" DNS "),$BW$3+1,P27))</f>
        <v>0</v>
      </c>
      <c r="CC27" s="61">
        <f>IF(Q27="",0,IF(OR(Q27="DNF",Q27="OCS",Q27="DSQ",Q27="DNS",Q27=" DNS "),$BW$3+1,Q27))</f>
        <v>0</v>
      </c>
      <c r="CD27" s="61">
        <f>IF(R27="",0,IF(OR(R27="DNF",R27="OCS",R27="DSQ",R27="DNS",R27=" DNS "),$BW$3+1,R27))</f>
        <v>0</v>
      </c>
      <c r="CE27" s="61">
        <f>IF(S27="",0,IF(OR(S27="DNF",S27="OCS",S27="DSQ",S27="DNS",S27=" DNS "),$BW$3+1,S27))</f>
        <v>0</v>
      </c>
      <c r="CF27" s="61">
        <f>IF(T27="",0,IF(OR(T27="DNF",T27="OCS",T27="DSQ",T27="DNS",T27=" DNS "),$BW$3+1,T27))</f>
        <v>0</v>
      </c>
      <c r="CG27" s="61">
        <f>IF(U27="",0,IF(OR(U27="DNF",U27="OCS",U27="DSQ",U27="DNS",U27=" DNS "),$BW$3+1,U27))</f>
        <v>0</v>
      </c>
      <c r="CH27" s="61">
        <f>IF(V27="",0,IF(OR(V27="DNF",V27="OCS",V27="DSQ",V27="DNS",V27=" DNS "),$BW$3+1,V27))</f>
        <v>0</v>
      </c>
      <c r="CI27" s="61">
        <f>IF(W27="",0,IF(OR(W27="DNF",W27="OCS",W27="DSQ",W27="DNS",W27=" DNS "),$BW$3+1,W27))</f>
        <v>0</v>
      </c>
      <c r="CJ27" s="61">
        <f>IF(X27="",0,IF(OR(X27="DNF",X27="OCS",X27="DSQ",X27="DNS",X27=" DNS "),$BW$3+1,X27))</f>
        <v>0</v>
      </c>
      <c r="CK27" s="61">
        <f>IF(Y27="",0,IF(OR(Y27="DNF",Y27="OCS",Y27="DSQ",Y27="DNS",Y27=" DNS "),$BW$3+1,Y27))</f>
        <v>0</v>
      </c>
      <c r="CL27" s="61">
        <f>IF(Z27="",0,IF(OR(Z27="DNF",Z27="OCS",Z27="DSQ",Z27="DNS",Z27=" DNS "),$BW$3+1,Z27))</f>
        <v>0</v>
      </c>
      <c r="CM27" s="61">
        <f>IF(AA27="",0,IF(OR(AA27="DNF",AA27="OCS",AA27="DSQ",AA27="DNS",AA27=" DNS "),$BW$3+1,AA27))</f>
        <v>0</v>
      </c>
      <c r="CN27" s="61">
        <f>IF(AB27="",0,IF(OR(AB27="DNF",AB27="OCS",AB27="DSQ",AB27="DNS",AB27=" DNS "),$BW$3+1,AB27))</f>
        <v>0</v>
      </c>
      <c r="CO27" s="61">
        <f>IF(AC27="",0,IF(OR(AC27="DNF",AC27="OCS",AC27="DSQ",AC27="DNS",AC27=" DNS "),$BW$3+1,AC27))</f>
        <v>0</v>
      </c>
      <c r="CP27" s="61">
        <f>IF(AD27="",0,IF(OR(AD27="DNF",AD27="OCS",AD27="DSQ",AD27="DNS",AD27=" DNS "),$BW$3+1,AD27))</f>
        <v>0</v>
      </c>
      <c r="CQ27" s="61">
        <f>IF(AE27="",0,IF(OR(AE27="DNF",AE27="OCS",AE27="DSQ",AE27="DNS",AE27=" DNS "),$BW$3+1,AE27))</f>
        <v>0</v>
      </c>
      <c r="CR27" s="61">
        <f>IF(AF27="",0,IF(OR(AF27="DNF",AF27="OCS",AF27="DSQ",AF27="DNS",AF27=" DNS "),$BW$3+1,AF27))</f>
        <v>0</v>
      </c>
      <c r="CS27" s="61">
        <f>IF(AG27="",0,IF(OR(AG27="DNF",AG27="OCS",AG27="DSQ",AG27="DNS",AG27=" DNS "),$BW$3+1,AG27))</f>
        <v>0</v>
      </c>
      <c r="CT27" s="61">
        <f>IF(AH27="",0,IF(OR(AH27="DNF",AH27="OCS",AH27="DSQ",AH27="DNS",AH27=" DNS "),$BW$3+1,AH27))</f>
        <v>0</v>
      </c>
      <c r="CU27" s="61">
        <f>IF(AI27="",0,IF(OR(AI27="DNF",AI27="OCS",AI27="DSQ",AI27="DNS",AI27=" DNS "),$BW$3+1,AI27))</f>
        <v>0</v>
      </c>
      <c r="CV27" s="61">
        <f>IF(AJ27="",0,IF(OR(AJ27="DNF",AJ27="OCS",AJ27="DSQ",AJ27="DNS",AJ27=" DNS "),$BW$3+1,AJ27))</f>
        <v>0</v>
      </c>
      <c r="CW27" s="61">
        <f>IF(AK27="",0,IF(OR(AK27="DNF",AK27="OCS",AK27="DSQ",AK27="DNS",AK27=" DNS "),$BW$3+1,AK27))</f>
        <v>0</v>
      </c>
      <c r="CX27" s="61">
        <f>IF(AL27="",0,IF(OR(AL27="DNF",AL27="OCS",AL27="DSQ",AL27="DNS",AL27=" DNS "),$BW$3+1,AL27))</f>
        <v>0</v>
      </c>
      <c r="CY27" s="61">
        <f>IF(AM27="",0,IF(OR(AM27="DNF",AM27="OCS",AM27="DSQ",AM27="DNS",AM27=" DNS "),$BW$3+1,AM27))</f>
        <v>0</v>
      </c>
      <c r="CZ27" s="61">
        <f>IF(AN27="",0,IF(OR(AN27="DNF",AN27="OCS",AN27="DSQ",AN27="DNS",AN27=" DNS "),$BW$3+1,AN27))</f>
        <v>0</v>
      </c>
      <c r="DA27" s="61">
        <f>IF(AO27="",0,IF(OR(AO27="DNF",AO27="OCS",AO27="DSQ",AO27="DNS",AO27=" DNS "),$BW$3+1,AO27))</f>
        <v>0</v>
      </c>
      <c r="DB27" s="61">
        <f>IF(AP27="",0,IF(OR(AP27="DNF",AP27="OCS",AP27="DSQ",AP27="DNS",AP27=" DNS "),$BW$3+1,AP27))</f>
        <v>0</v>
      </c>
      <c r="DC27" s="61">
        <f>IF(AQ27="",0,IF(OR(AQ27="DNF",AQ27="OCS",AQ27="DSQ",AQ27="DNS",AQ27=" DNS "),$BW$3+1,AQ27))</f>
        <v>0</v>
      </c>
      <c r="DD27" s="61">
        <f>IF(AR27="",0,IF(OR(AR27="DNF",AR27="OCS",AR27="DSQ",AR27="DNS",AR27=" DNS "),$BW$3+1,AR27))</f>
        <v>0</v>
      </c>
      <c r="DE27" s="61">
        <f>IF(AS27="",0,IF(OR(AS27="DNF",AS27="OCS",AS27="DSQ",AS27="DNS",AS27=" DNS "),$BW$3+1,AS27))</f>
        <v>0</v>
      </c>
      <c r="DF27" s="61">
        <f>IF(AT27="",0,IF(OR(AT27="DNF",AT27="OCS",AT27="DSQ",AT27="DNS",AT27=" DNS "),$BW$3+1,AT27))</f>
        <v>0</v>
      </c>
      <c r="DG27" s="61">
        <f>IF(AU27="",0,IF(OR(AU27="DNF",AU27="OCS",AU27="DSQ",AU27="DNS",AU27=" DNS "),$BW$3+1,AU27))</f>
        <v>0</v>
      </c>
      <c r="DH27" s="61">
        <f>IF(AV27="",0,IF(OR(AV27="DNF",AV27="OCS",AV27="DSQ",AV27="DNS",AV27=" DNS "),$BW$3+1,AV27))</f>
        <v>0</v>
      </c>
      <c r="DI27" s="61">
        <f>IF(AW27="",0,IF(OR(AW27="DNF",AW27="OCS",AW27="DSQ",AW27="DNS",AW27=" DNS "),$BW$3+1,AW27))</f>
        <v>0</v>
      </c>
      <c r="DJ27" s="61">
        <f>IF(AX27="",0,IF(OR(AX27="DNF",AX27="OCS",AX27="DSQ",AX27="DNS",AX27=" DNS "),$BW$3+1,AX27))</f>
        <v>0</v>
      </c>
      <c r="DK27" s="61">
        <f>IF(AY27="",0,IF(OR(AY27="DNF",AY27="OCS",AY27="DSQ",AY27="DNS",AY27=" DNS "),$BW$3+1,AY27))</f>
        <v>0</v>
      </c>
      <c r="DL27" s="61">
        <f>IF(AZ27="",0,IF(OR(AZ27="DNF",AZ27="OCS",AZ27="DSQ",AZ27="DNS",AZ27=" DNS "),$BW$3+1,AZ27))</f>
        <v>0</v>
      </c>
      <c r="DM27" s="61">
        <f>IF(BA27="",0,IF(OR(BA27="DNF",BA27="OCS",BA27="DSQ",BA27="DNS",BA27=" DNS "),$BW$3+1,BA27))</f>
        <v>0</v>
      </c>
      <c r="DN27" s="61">
        <f>IF(BB27="",0,IF(OR(BB27="DNF",BB27="OCS",BB27="DSQ",BB27="DNS",BB27=" DNS "),$BW$3+1,BB27))</f>
        <v>0</v>
      </c>
      <c r="DO27" s="61">
        <f>IF(BC27="",0,IF(OR(BC27="DNF",BC27="OCS",BC27="DSQ",BC27="DNS",BC27=" DNS "),$BW$3+1,BC27))</f>
        <v>0</v>
      </c>
      <c r="DP27" s="61">
        <f>IF(BD27="",0,IF(OR(BD27="DNF",BD27="OCS",BD27="DSQ",BD27="DNS",BD27=" DNS "),$BW$3+1,BD27))</f>
        <v>0</v>
      </c>
      <c r="DQ27" s="61">
        <f>IF(BE27="",0,IF(OR(BE27="DNF",BE27="OCS",BE27="DSQ",BE27="DNS",BE27=" DNS "),$BW$3+1,BE27))</f>
        <v>0</v>
      </c>
      <c r="DR27" s="61">
        <f>IF(BF27="",0,IF(OR(BF27="DNF",BF27="OCS",BF27="DSQ",BF27="DNS",BF27=" DNS "),$BW$3+1,BF27))</f>
        <v>0</v>
      </c>
      <c r="DS27" s="61">
        <f>IF(BG27="",0,IF(OR(BG27="DNF",BG27="OCS",BG27="DSQ",BG27="DNS",BG27=" DNS "),$BW$3+1,BG27))</f>
        <v>0</v>
      </c>
      <c r="DT27" s="61">
        <f>IF(BH27="",0,IF(OR(BH27="DNF",BH27="OCS",BH27="DSQ",BH27="DNS",BH27=" DNS "),$BW$3+1,BH27))</f>
        <v>0</v>
      </c>
      <c r="DU27" s="61">
        <f>IF(BI27="",0,IF(OR(BI27="DNF",BI27="OCS",BI27="DSQ",BI27="DNS",BI27=" DNS "),$BW$3+1,BI27))</f>
        <v>0</v>
      </c>
      <c r="DV27" s="61">
        <f>IF(BJ27="",0,IF(OR(BJ27="DNF",BJ27="OCS",BJ27="DSQ",BJ27="DNS",BJ27=" DNS "),$BW$3+1,BJ27))</f>
        <v>0</v>
      </c>
      <c r="DW27" s="61">
        <f>IF(BK27="",0,IF(OR(BK27="DNF",BK27="OCS",BK27="DSQ",BK27="DNS",BK27=" DNS "),$BW$3+1,BK27))</f>
        <v>0</v>
      </c>
      <c r="DX27" s="61">
        <f>IF(BL27="",0,IF(OR(BL27="DNF",BL27="OCS",BL27="DSQ",BL27="DNS",BL27=" DNS "),$BW$3+1,BL27))</f>
        <v>0</v>
      </c>
      <c r="DY27" s="61">
        <f>IF(BM27="",0,IF(OR(BM27="DNF",BM27="OCS",BM27="DSQ",BM27="DNS",BM27=" DNS "),$BW$3+1,BM27))</f>
        <v>0</v>
      </c>
      <c r="DZ27" s="61">
        <f>IF(BN27="",0,IF(OR(BN27="DNF",BN27="OCS",BN27="DSQ",BN27="DNS",BN27=" DNS "),$BW$3+1,BN27))</f>
        <v>0</v>
      </c>
      <c r="EA27" s="61">
        <f>IF(BO27="",0,IF(OR(BO27="DNF",BO27="OCS",BO27="DSQ",BO27="DNS",BO27=" DNS "),$BW$3+1,BO27))</f>
        <v>0</v>
      </c>
      <c r="EB27" s="61">
        <f>IF(BP27="",0,IF(OR(BP27="DNF",BP27="OCS",BP27="DSQ",BP27="DNS",BP27=" DNS "),$BW$3+1,BP27))</f>
        <v>0</v>
      </c>
      <c r="EC27" s="61">
        <f>IF(BQ27="",0,IF(OR(BQ27="DNF",BQ27="OCS",BQ27="DSQ",BQ27="DNS",BQ27=" DNS "),$BW$3+1,BQ27))</f>
        <v>0</v>
      </c>
      <c r="EE27" s="61">
        <f xml:space="preserve">
IF(OR(Deltagarlista!$K$3=3,Deltagarlista!$K$3=4),
IF(Arrangörslista!$U$5&lt;8,0,
IF(Arrangörslista!$U$5&lt;16,SUM(LARGE(BV27:CJ27,1)),
IF(Arrangörslista!$U$5&lt;24,SUM(LARGE(BV27:CR27,{1;2})),
IF(Arrangörslista!$U$5&lt;32,SUM(LARGE(BV27:CZ27,{1;2;3})),
IF(Arrangörslista!$U$5&lt;40,SUM(LARGE(BV27:DH27,{1;2;3;4})),
IF(Arrangörslista!$U$5&lt;48,SUM(LARGE(BV27:DP27,{1;2;3;4;5})),
IF(Arrangörslista!$U$5&lt;56,SUM(LARGE(BV27:DX27,{1;2;3;4;5;6})),
IF(Arrangörslista!$U$5&lt;64,SUM(LARGE(BV27:EC27,{1;2;3;4;5;6;7})),0)))))))),
IF(Deltagarlista!$K$3=2,
IF(Arrangörslista!$U$5&lt;4,LARGE(BV27:BX27,1),
IF(Arrangörslista!$U$5&lt;7,SUM(LARGE(BV27:CA27,{1;2;3})),
IF(Arrangörslista!$U$5&lt;10,SUM(LARGE(BV27:CD27,{1;2;3;4})),
IF(Arrangörslista!$U$5&lt;13,SUM(LARGE(BV27:CG27,{1;2;3;4;5;6})),
IF(Arrangörslista!$U$5&lt;16,SUM(LARGE(BV27:CJ27,{1;2;3;4;5;6;7})),
IF(Arrangörslista!$U$5&lt;19,SUM(LARGE(BV27:CM27,{1;2;3;4;5;6;7;8;9})),
IF(Arrangörslista!$U$5&lt;22,SUM(LARGE(BV27:CP27,{1;2;3;4;5;6;7;8;9;10})),
IF(Arrangörslista!$U$5&lt;25,SUM(LARGE(BV27:CS27,{1;2;3;4;5;6;7;8;9;10;11;12})),
IF(Arrangörslista!$U$5&lt;28,SUM(LARGE(BV27:CV27,{1;2;3;4;5;6;7;8;9;10;11;12;13})),
IF(Arrangörslista!$U$5&lt;31,SUM(LARGE(BV27:CY27,{1;2;3;4;5;6;7;8;9;10;11;12;13;14;15})),
IF(Arrangörslista!$U$5&lt;34,SUM(LARGE(BV27:DB27,{1;2;3;4;5;6;7;8;9;10;11;12;13;14;15;16})),
IF(Arrangörslista!$U$5&lt;37,SUM(LARGE(BV27:DE27,{1;2;3;4;5;6;7;8;9;10;11;12;13;14;15;16;17;18})),
IF(Arrangörslista!$U$5&lt;40,SUM(LARGE(BV27:DH27,{1;2;3;4;5;6;7;8;9;10;11;12;13;14;15;16;17;18;19})),
IF(Arrangörslista!$U$5&lt;43,SUM(LARGE(BV27:DK27,{1;2;3;4;5;6;7;8;9;10;11;12;13;14;15;16;17;18;19;20;21})),
IF(Arrangörslista!$U$5&lt;46,SUM(LARGE(BV27:DN27,{1;2;3;4;5;6;7;8;9;10;11;12;13;14;15;16;17;18;19;20;21;22})),
IF(Arrangörslista!$U$5&lt;49,SUM(LARGE(BV27:DQ27,{1;2;3;4;5;6;7;8;9;10;11;12;13;14;15;16;17;18;19;20;21;22;23;24})),
IF(Arrangörslista!$U$5&lt;52,SUM(LARGE(BV27:DT27,{1;2;3;4;5;6;7;8;9;10;11;12;13;14;15;16;17;18;19;20;21;22;23;24;25})),
IF(Arrangörslista!$U$5&lt;55,SUM(LARGE(BV27:DW27,{1;2;3;4;5;6;7;8;9;10;11;12;13;14;15;16;17;18;19;20;21;22;23;24;25;26;27})),
IF(Arrangörslista!$U$5&lt;58,SUM(LARGE(BV27:DZ27,{1;2;3;4;5;6;7;8;9;10;11;12;13;14;15;16;17;18;19;20;21;22;23;24;25;26;27;28})),
IF(Arrangörslista!$U$5&lt;61,SUM(LARGE(BV27:EC27,{1;2;3;4;5;6;7;8;9;10;11;12;13;14;15;16;17;18;19;20;21;22;23;24;25;26;27;28;29;30})),0)))))))))))))))))))),
IF(Arrangörslista!$U$5&lt;4,0,
IF(Arrangörslista!$U$5&lt;8,SUM(LARGE(BV27:CB27,1)),
IF(Arrangörslista!$U$5&lt;12,SUM(LARGE(BV27:CF27,{1;2})),
IF(Arrangörslista!$U$5&lt;16,SUM(LARGE(BV27:CJ27,{1;2;3})),
IF(Arrangörslista!$U$5&lt;20,SUM(LARGE(BV27:CN27,{1;2;3;4})),
IF(Arrangörslista!$U$5&lt;24,SUM(LARGE(BV27:CR27,{1;2;3;4;5})),
IF(Arrangörslista!$U$5&lt;28,SUM(LARGE(BV27:CV27,{1;2;3;4;5;6})),
IF(Arrangörslista!$U$5&lt;32,SUM(LARGE(BV27:CZ27,{1;2;3;4;5;6;7})),
IF(Arrangörslista!$U$5&lt;36,SUM(LARGE(BV27:DD27,{1;2;3;4;5;6;7;8})),
IF(Arrangörslista!$U$5&lt;40,SUM(LARGE(BV27:DH27,{1;2;3;4;5;6;7;8;9})),
IF(Arrangörslista!$U$5&lt;44,SUM(LARGE(BV27:DL27,{1;2;3;4;5;6;7;8;9;10})),
IF(Arrangörslista!$U$5&lt;48,SUM(LARGE(BV27:DP27,{1;2;3;4;5;6;7;8;9;10;11})),
IF(Arrangörslista!$U$5&lt;52,SUM(LARGE(BV27:DT27,{1;2;3;4;5;6;7;8;9;10;11;12})),
IF(Arrangörslista!$U$5&lt;56,SUM(LARGE(BV27:DX27,{1;2;3;4;5;6;7;8;9;10;11;12;13})),
IF(Arrangörslista!$U$5&lt;60,SUM(LARGE(BV27:EB27,{1;2;3;4;5;6;7;8;9;10;11;12;13;14})),
IF(Arrangörslista!$U$5=60,SUM(LARGE(BV27:EC27,{1;2;3;4;5;6;7;8;9;10;11;12;13;14;15})),0))))))))))))))))))</f>
        <v>0</v>
      </c>
      <c r="EG27" s="67">
        <f>IF(F27="",,1)</f>
        <v>0</v>
      </c>
      <c r="EH27" s="61"/>
      <c r="EI27" s="61"/>
      <c r="EK27" s="62">
        <f>SMALL($J90:$BQ90,1)</f>
        <v>61</v>
      </c>
      <c r="EL27" s="62">
        <f>SMALL($J90:$BQ90,2)</f>
        <v>61</v>
      </c>
      <c r="EM27" s="62">
        <f>SMALL($J90:$BQ90,3)</f>
        <v>61</v>
      </c>
      <c r="EN27" s="62">
        <f>SMALL($J90:$BQ90,4)</f>
        <v>61</v>
      </c>
      <c r="EO27" s="62">
        <f>SMALL($J90:$BQ90,5)</f>
        <v>61</v>
      </c>
      <c r="EP27" s="62">
        <f>SMALL($J90:$BQ90,6)</f>
        <v>61</v>
      </c>
      <c r="EQ27" s="62">
        <f>SMALL($J90:$BQ90,7)</f>
        <v>61</v>
      </c>
      <c r="ER27" s="62">
        <f>SMALL($J90:$BQ90,8)</f>
        <v>61</v>
      </c>
      <c r="ES27" s="62">
        <f>SMALL($J90:$BQ90,9)</f>
        <v>61</v>
      </c>
      <c r="ET27" s="62">
        <f>SMALL($J90:$BQ90,10)</f>
        <v>61</v>
      </c>
      <c r="EU27" s="62">
        <f>SMALL($J90:$BQ90,11)</f>
        <v>61</v>
      </c>
      <c r="EV27" s="62">
        <f>SMALL($J90:$BQ90,12)</f>
        <v>61</v>
      </c>
      <c r="EW27" s="62">
        <f>SMALL($J90:$BQ90,13)</f>
        <v>61</v>
      </c>
      <c r="EX27" s="62">
        <f>SMALL($J90:$BQ90,14)</f>
        <v>61</v>
      </c>
      <c r="EY27" s="62">
        <f>SMALL($J90:$BQ90,15)</f>
        <v>61</v>
      </c>
      <c r="EZ27" s="62">
        <f>SMALL($J90:$BQ90,16)</f>
        <v>61</v>
      </c>
      <c r="FA27" s="62">
        <f>SMALL($J90:$BQ90,17)</f>
        <v>61</v>
      </c>
      <c r="FB27" s="62">
        <f>SMALL($J90:$BQ90,18)</f>
        <v>61</v>
      </c>
      <c r="FC27" s="62">
        <f>SMALL($J90:$BQ90,19)</f>
        <v>61</v>
      </c>
      <c r="FD27" s="62">
        <f>SMALL($J90:$BQ90,20)</f>
        <v>61</v>
      </c>
      <c r="FE27" s="62">
        <f>SMALL($J90:$BQ90,21)</f>
        <v>61</v>
      </c>
      <c r="FF27" s="62">
        <f>SMALL($J90:$BQ90,22)</f>
        <v>61</v>
      </c>
      <c r="FG27" s="62">
        <f>SMALL($J90:$BQ90,23)</f>
        <v>61</v>
      </c>
      <c r="FH27" s="62">
        <f>SMALL($J90:$BQ90,24)</f>
        <v>61</v>
      </c>
      <c r="FI27" s="62">
        <f>SMALL($J90:$BQ90,25)</f>
        <v>61</v>
      </c>
      <c r="FJ27" s="62">
        <f>SMALL($J90:$BQ90,26)</f>
        <v>61</v>
      </c>
      <c r="FK27" s="62">
        <f>SMALL($J90:$BQ90,27)</f>
        <v>61</v>
      </c>
      <c r="FL27" s="62">
        <f>SMALL($J90:$BQ90,28)</f>
        <v>61</v>
      </c>
      <c r="FM27" s="62">
        <f>SMALL($J90:$BQ90,29)</f>
        <v>61</v>
      </c>
      <c r="FN27" s="62">
        <f>SMALL($J90:$BQ90,30)</f>
        <v>61</v>
      </c>
      <c r="FO27" s="62">
        <f>SMALL($J90:$BQ90,31)</f>
        <v>61</v>
      </c>
      <c r="FP27" s="62">
        <f>SMALL($J90:$BQ90,32)</f>
        <v>61</v>
      </c>
      <c r="FQ27" s="62">
        <f>SMALL($J90:$BQ90,33)</f>
        <v>61</v>
      </c>
      <c r="FR27" s="62">
        <f>SMALL($J90:$BQ90,34)</f>
        <v>61</v>
      </c>
      <c r="FS27" s="62">
        <f>SMALL($J90:$BQ90,35)</f>
        <v>61</v>
      </c>
      <c r="FT27" s="62">
        <f>SMALL($J90:$BQ90,36)</f>
        <v>61</v>
      </c>
      <c r="FU27" s="62">
        <f>SMALL($J90:$BQ90,37)</f>
        <v>61</v>
      </c>
      <c r="FV27" s="62">
        <f>SMALL($J90:$BQ90,38)</f>
        <v>61</v>
      </c>
      <c r="FW27" s="62">
        <f>SMALL($J90:$BQ90,39)</f>
        <v>61</v>
      </c>
      <c r="FX27" s="62">
        <f>SMALL($J90:$BQ90,40)</f>
        <v>61</v>
      </c>
      <c r="FY27" s="62">
        <f>SMALL($J90:$BQ90,41)</f>
        <v>61</v>
      </c>
      <c r="FZ27" s="62">
        <f>SMALL($J90:$BQ90,42)</f>
        <v>61</v>
      </c>
      <c r="GA27" s="62">
        <f>SMALL($J90:$BQ90,43)</f>
        <v>61</v>
      </c>
      <c r="GB27" s="62">
        <f>SMALL($J90:$BQ90,44)</f>
        <v>61</v>
      </c>
      <c r="GC27" s="62">
        <f>SMALL($J90:$BQ90,45)</f>
        <v>61</v>
      </c>
      <c r="GD27" s="62">
        <f>SMALL($J90:$BQ90,46)</f>
        <v>61</v>
      </c>
      <c r="GE27" s="62">
        <f>SMALL($J90:$BQ90,47)</f>
        <v>61</v>
      </c>
      <c r="GF27" s="62">
        <f>SMALL($J90:$BQ90,48)</f>
        <v>61</v>
      </c>
      <c r="GG27" s="62">
        <f>SMALL($J90:$BQ90,49)</f>
        <v>61</v>
      </c>
      <c r="GH27" s="62">
        <f>SMALL($J90:$BQ90,50)</f>
        <v>61</v>
      </c>
      <c r="GI27" s="62">
        <f>SMALL($J90:$BQ90,51)</f>
        <v>61</v>
      </c>
      <c r="GJ27" s="62">
        <f>SMALL($J90:$BQ90,52)</f>
        <v>61</v>
      </c>
      <c r="GK27" s="62">
        <f>SMALL($J90:$BQ90,53)</f>
        <v>61</v>
      </c>
      <c r="GL27" s="62">
        <f>SMALL($J90:$BQ90,54)</f>
        <v>61</v>
      </c>
      <c r="GM27" s="62">
        <f>SMALL($J90:$BQ90,55)</f>
        <v>61</v>
      </c>
      <c r="GN27" s="62">
        <f>SMALL($J90:$BQ90,56)</f>
        <v>61</v>
      </c>
      <c r="GO27" s="62">
        <f>SMALL($J90:$BQ90,57)</f>
        <v>61</v>
      </c>
      <c r="GP27" s="62">
        <f>SMALL($J90:$BQ90,58)</f>
        <v>61</v>
      </c>
      <c r="GQ27" s="62">
        <f>SMALL($J90:$BQ90,59)</f>
        <v>61</v>
      </c>
      <c r="GR27" s="62">
        <f>SMALL($J90:$BQ90,60)</f>
        <v>61</v>
      </c>
      <c r="GT27" s="62">
        <f>IF(Deltagarlista!$K$3=2,
IF(GW27="1",
      IF(Arrangörslista!$U$5=1,J90,
IF(Arrangörslista!$U$5=2,K90,
IF(Arrangörslista!$U$5=3,L90,
IF(Arrangörslista!$U$5=4,M90,
IF(Arrangörslista!$U$5=5,N90,
IF(Arrangörslista!$U$5=6,O90,
IF(Arrangörslista!$U$5=7,P90,
IF(Arrangörslista!$U$5=8,Q90,
IF(Arrangörslista!$U$5=9,R90,
IF(Arrangörslista!$U$5=10,S90,
IF(Arrangörslista!$U$5=11,T90,
IF(Arrangörslista!$U$5=12,U90,
IF(Arrangörslista!$U$5=13,V90,
IF(Arrangörslista!$U$5=14,W90,
IF(Arrangörslista!$U$5=15,X90,
IF(Arrangörslista!$U$5=16,Y90,IF(Arrangörslista!$U$5=17,Z90,IF(Arrangörslista!$U$5=18,AA90,IF(Arrangörslista!$U$5=19,AB90,IF(Arrangörslista!$U$5=20,AC90,IF(Arrangörslista!$U$5=21,AD90,IF(Arrangörslista!$U$5=22,AE90,IF(Arrangörslista!$U$5=23,AF90, IF(Arrangörslista!$U$5=24,AG90, IF(Arrangörslista!$U$5=25,AH90, IF(Arrangörslista!$U$5=26,AI90, IF(Arrangörslista!$U$5=27,AJ90, IF(Arrangörslista!$U$5=28,AK90, IF(Arrangörslista!$U$5=29,AL90, IF(Arrangörslista!$U$5=30,AM90, IF(Arrangörslista!$U$5=31,AN90, IF(Arrangörslista!$U$5=32,AO90, IF(Arrangörslista!$U$5=33,AP90, IF(Arrangörslista!$U$5=34,AQ90, IF(Arrangörslista!$U$5=35,AR90, IF(Arrangörslista!$U$5=36,AS90, IF(Arrangörslista!$U$5=37,AT90, IF(Arrangörslista!$U$5=38,AU90, IF(Arrangörslista!$U$5=39,AV90, IF(Arrangörslista!$U$5=40,AW90, IF(Arrangörslista!$U$5=41,AX90, IF(Arrangörslista!$U$5=42,AY90, IF(Arrangörslista!$U$5=43,AZ90, IF(Arrangörslista!$U$5=44,BA90, IF(Arrangörslista!$U$5=45,BB90, IF(Arrangörslista!$U$5=46,BC90, IF(Arrangörslista!$U$5=47,BD90, IF(Arrangörslista!$U$5=48,BE90, IF(Arrangörslista!$U$5=49,BF90, IF(Arrangörslista!$U$5=50,BG90, IF(Arrangörslista!$U$5=51,BH90, IF(Arrangörslista!$U$5=52,BI90, IF(Arrangörslista!$U$5=53,BJ90, IF(Arrangörslista!$U$5=54,BK90, IF(Arrangörslista!$U$5=55,BL90, IF(Arrangörslista!$U$5=56,BM90, IF(Arrangörslista!$U$5=57,BN90, IF(Arrangörslista!$U$5=58,BO90, IF(Arrangörslista!$U$5=59,BP90, IF(Arrangörslista!$U$5=60,BQ90,0))))))))))))))))))))))))))))))))))))))))))))))))))))))))))))),IF(Deltagarlista!$K$3=4, IF(Arrangörslista!$U$5=1,J90,
IF(Arrangörslista!$U$5=2,J90,
IF(Arrangörslista!$U$5=3,K90,
IF(Arrangörslista!$U$5=4,K90,
IF(Arrangörslista!$U$5=5,L90,
IF(Arrangörslista!$U$5=6,L90,
IF(Arrangörslista!$U$5=7,M90,
IF(Arrangörslista!$U$5=8,M90,
IF(Arrangörslista!$U$5=9,N90,
IF(Arrangörslista!$U$5=10,N90,
IF(Arrangörslista!$U$5=11,O90,
IF(Arrangörslista!$U$5=12,O90,
IF(Arrangörslista!$U$5=13,P90,
IF(Arrangörslista!$U$5=14,P90,
IF(Arrangörslista!$U$5=15,Q90,
IF(Arrangörslista!$U$5=16,Q90,
IF(Arrangörslista!$U$5=17,R90,
IF(Arrangörslista!$U$5=18,R90,
IF(Arrangörslista!$U$5=19,S90,
IF(Arrangörslista!$U$5=20,S90,
IF(Arrangörslista!$U$5=21,T90,
IF(Arrangörslista!$U$5=22,T90,IF(Arrangörslista!$U$5=23,U90, IF(Arrangörslista!$U$5=24,U90, IF(Arrangörslista!$U$5=25,V90, IF(Arrangörslista!$U$5=26,V90, IF(Arrangörslista!$U$5=27,W90, IF(Arrangörslista!$U$5=28,W90, IF(Arrangörslista!$U$5=29,X90, IF(Arrangörslista!$U$5=30,X90, IF(Arrangörslista!$U$5=31,X90, IF(Arrangörslista!$U$5=32,Y90, IF(Arrangörslista!$U$5=33,AO90, IF(Arrangörslista!$U$5=34,Y90, IF(Arrangörslista!$U$5=35,Z90, IF(Arrangörslista!$U$5=36,AR90, IF(Arrangörslista!$U$5=37,Z90, IF(Arrangörslista!$U$5=38,AA90, IF(Arrangörslista!$U$5=39,AU90, IF(Arrangörslista!$U$5=40,AA90, IF(Arrangörslista!$U$5=41,AB90, IF(Arrangörslista!$U$5=42,AX90, IF(Arrangörslista!$U$5=43,AB90, IF(Arrangörslista!$U$5=44,AC90, IF(Arrangörslista!$U$5=45,BA90, IF(Arrangörslista!$U$5=46,AC90, IF(Arrangörslista!$U$5=47,AD90, IF(Arrangörslista!$U$5=48,BD90, IF(Arrangörslista!$U$5=49,AD90, IF(Arrangörslista!$U$5=50,AE90, IF(Arrangörslista!$U$5=51,BG90, IF(Arrangörslista!$U$5=52,AE90, IF(Arrangörslista!$U$5=53,AF90, IF(Arrangörslista!$U$5=54,BJ90, IF(Arrangörslista!$U$5=55,AF90, IF(Arrangörslista!$U$5=56,AG90, IF(Arrangörslista!$U$5=57,BM90, IF(Arrangörslista!$U$5=58,AG90, IF(Arrangörslista!$U$5=59,AH90, IF(Arrangörslista!$U$5=60,AH90,0)))))))))))))))))))))))))))))))))))))))))))))))))))))))))))),IF(Arrangörslista!$U$5=1,J90,
IF(Arrangörslista!$U$5=2,K90,
IF(Arrangörslista!$U$5=3,L90,
IF(Arrangörslista!$U$5=4,M90,
IF(Arrangörslista!$U$5=5,N90,
IF(Arrangörslista!$U$5=6,O90,
IF(Arrangörslista!$U$5=7,P90,
IF(Arrangörslista!$U$5=8,Q90,
IF(Arrangörslista!$U$5=9,R90,
IF(Arrangörslista!$U$5=10,S90,
IF(Arrangörslista!$U$5=11,T90,
IF(Arrangörslista!$U$5=12,U90,
IF(Arrangörslista!$U$5=13,V90,
IF(Arrangörslista!$U$5=14,W90,
IF(Arrangörslista!$U$5=15,X90,
IF(Arrangörslista!$U$5=16,Y90,IF(Arrangörslista!$U$5=17,Z90,IF(Arrangörslista!$U$5=18,AA90,IF(Arrangörslista!$U$5=19,AB90,IF(Arrangörslista!$U$5=20,AC90,IF(Arrangörslista!$U$5=21,AD90,IF(Arrangörslista!$U$5=22,AE90,IF(Arrangörslista!$U$5=23,AF90, IF(Arrangörslista!$U$5=24,AG90, IF(Arrangörslista!$U$5=25,AH90, IF(Arrangörslista!$U$5=26,AI90, IF(Arrangörslista!$U$5=27,AJ90, IF(Arrangörslista!$U$5=28,AK90, IF(Arrangörslista!$U$5=29,AL90, IF(Arrangörslista!$U$5=30,AM90, IF(Arrangörslista!$U$5=31,AN90, IF(Arrangörslista!$U$5=32,AO90, IF(Arrangörslista!$U$5=33,AP90, IF(Arrangörslista!$U$5=34,AQ90, IF(Arrangörslista!$U$5=35,AR90, IF(Arrangörslista!$U$5=36,AS90, IF(Arrangörslista!$U$5=37,AT90, IF(Arrangörslista!$U$5=38,AU90, IF(Arrangörslista!$U$5=39,AV90, IF(Arrangörslista!$U$5=40,AW90, IF(Arrangörslista!$U$5=41,AX90, IF(Arrangörslista!$U$5=42,AY90, IF(Arrangörslista!$U$5=43,AZ90, IF(Arrangörslista!$U$5=44,BA90, IF(Arrangörslista!$U$5=45,BB90, IF(Arrangörslista!$U$5=46,BC90, IF(Arrangörslista!$U$5=47,BD90, IF(Arrangörslista!$U$5=48,BE90, IF(Arrangörslista!$U$5=49,BF90, IF(Arrangörslista!$U$5=50,BG90, IF(Arrangörslista!$U$5=51,BH90, IF(Arrangörslista!$U$5=52,BI90, IF(Arrangörslista!$U$5=53,BJ90, IF(Arrangörslista!$U$5=54,BK90, IF(Arrangörslista!$U$5=55,BL90, IF(Arrangörslista!$U$5=56,BM90, IF(Arrangörslista!$U$5=57,BN90, IF(Arrangörslista!$U$5=58,BO90, IF(Arrangörslista!$U$5=59,BP90, IF(Arrangörslista!$U$5=60,BQ90,0))))))))))))))))))))))))))))))))))))))))))))))))))))))))))))
))</f>
        <v>0</v>
      </c>
      <c r="GV27" s="65" t="str">
        <f>IFERROR(IF(VLOOKUP(F27,Deltagarlista!$E$5:$I$64,5,FALSE)="Grön","Gr",IF(VLOOKUP(F27,Deltagarlista!$E$5:$I$64,5,FALSE)="Röd","R",IF(VLOOKUP(F27,Deltagarlista!$E$5:$I$64,5,FALSE)="Blå","B","Gu"))),"")</f>
        <v/>
      </c>
      <c r="GW27" s="62" t="str">
        <f t="shared" si="1"/>
        <v/>
      </c>
    </row>
    <row r="28" spans="2:205" x14ac:dyDescent="0.3">
      <c r="B28" s="23" t="str">
        <f>IF($BW$3&gt;24,25,"")</f>
        <v/>
      </c>
      <c r="C28" s="92" t="str">
        <f>IF(ISBLANK(Deltagarlista!C29),"",Deltagarlista!C29)</f>
        <v/>
      </c>
      <c r="D28" s="109" t="str">
        <f>CONCATENATE(IF(AND(Deltagarlista!H29="GM",Deltagarlista!$S$14=TRUE),"GM   ",""),  IF(OR(Deltagarlista!$K$3=4,Deltagarlista!$K$3=2),Deltagarlista!I29,""))</f>
        <v/>
      </c>
      <c r="E28" s="8" t="str">
        <f>IF(ISBLANK(Deltagarlista!D29),"",Deltagarlista!D29)</f>
        <v/>
      </c>
      <c r="F28" s="8" t="str">
        <f>IF(ISBLANK(Deltagarlista!E29),"",Deltagarlista!E29)</f>
        <v/>
      </c>
      <c r="G28" s="95" t="str">
        <f>IF(ISBLANK(Deltagarlista!F29),"",Deltagarlista!F29)</f>
        <v/>
      </c>
      <c r="H28" s="72" t="str">
        <f>IF(ISBLANK(Deltagarlista!C29),"",BU28-EE28)</f>
        <v/>
      </c>
      <c r="I28" s="13" t="str">
        <f>IF(ISBLANK(Deltagarlista!C29),"",IF(AND(Deltagarlista!$K$3=2,Deltagarlista!$L$3&lt;37),SUM(SUM(BV28:EC28)-(ROUNDDOWN(Arrangörslista!$U$5/3,1))*($BW$3+1)),SUM(BV28:EC28)))</f>
        <v/>
      </c>
      <c r="J28" s="79" t="str">
        <f>IF(Deltagarlista!$K$3=4,IF(ISBLANK(Deltagarlista!$C29),"",IF(ISBLANK(Arrangörslista!C$8),"",IFERROR(VLOOKUP($F28,Arrangörslista!C$8:$AG$45,16,FALSE),IF(ISBLANK(Deltagarlista!$C29),"",IF(ISBLANK(Arrangörslista!C$8),"",IFERROR(VLOOKUP($F28,Arrangörslista!D$8:$AG$45,16,FALSE),"DNS")))))),IF(Deltagarlista!$K$3=2,
IF(ISBLANK(Deltagarlista!$C29),"",IF(ISBLANK(Arrangörslista!C$8),"",IF($GV28=J$64," DNS ",IFERROR(VLOOKUP($F28,Arrangörslista!C$8:$AG$45,16,FALSE),"DNS")))),IF(ISBLANK(Deltagarlista!$C29),"",IF(ISBLANK(Arrangörslista!C$8),"",IFERROR(VLOOKUP($F28,Arrangörslista!C$8:$AG$45,16,FALSE),"DNS")))))</f>
        <v/>
      </c>
      <c r="K28" s="5" t="str">
        <f>IF(Deltagarlista!$K$3=4,IF(ISBLANK(Deltagarlista!$C29),"",IF(ISBLANK(Arrangörslista!E$8),"",IFERROR(VLOOKUP($F28,Arrangörslista!E$8:$AG$45,16,FALSE),IF(ISBLANK(Deltagarlista!$C29),"",IF(ISBLANK(Arrangörslista!E$8),"",IFERROR(VLOOKUP($F28,Arrangörslista!F$8:$AG$45,16,FALSE),"DNS")))))),IF(Deltagarlista!$K$3=2,
IF(ISBLANK(Deltagarlista!$C29),"",IF(ISBLANK(Arrangörslista!D$8),"",IF($GV28=K$64," DNS ",IFERROR(VLOOKUP($F28,Arrangörslista!D$8:$AG$45,16,FALSE),"DNS")))),IF(ISBLANK(Deltagarlista!$C29),"",IF(ISBLANK(Arrangörslista!D$8),"",IFERROR(VLOOKUP($F28,Arrangörslista!D$8:$AG$45,16,FALSE),"DNS")))))</f>
        <v/>
      </c>
      <c r="L28" s="5" t="str">
        <f>IF(Deltagarlista!$K$3=4,IF(ISBLANK(Deltagarlista!$C29),"",IF(ISBLANK(Arrangörslista!G$8),"",IFERROR(VLOOKUP($F28,Arrangörslista!G$8:$AG$45,16,FALSE),IF(ISBLANK(Deltagarlista!$C29),"",IF(ISBLANK(Arrangörslista!G$8),"",IFERROR(VLOOKUP($F28,Arrangörslista!H$8:$AG$45,16,FALSE),"DNS")))))),IF(Deltagarlista!$K$3=2,
IF(ISBLANK(Deltagarlista!$C29),"",IF(ISBLANK(Arrangörslista!E$8),"",IF($GV28=L$64," DNS ",IFERROR(VLOOKUP($F28,Arrangörslista!E$8:$AG$45,16,FALSE),"DNS")))),IF(ISBLANK(Deltagarlista!$C29),"",IF(ISBLANK(Arrangörslista!E$8),"",IFERROR(VLOOKUP($F28,Arrangörslista!E$8:$AG$45,16,FALSE),"DNS")))))</f>
        <v/>
      </c>
      <c r="M28" s="5" t="str">
        <f>IF(Deltagarlista!$K$3=4,IF(ISBLANK(Deltagarlista!$C29),"",IF(ISBLANK(Arrangörslista!I$8),"",IFERROR(VLOOKUP($F28,Arrangörslista!I$8:$AG$45,16,FALSE),IF(ISBLANK(Deltagarlista!$C29),"",IF(ISBLANK(Arrangörslista!I$8),"",IFERROR(VLOOKUP($F28,Arrangörslista!J$8:$AG$45,16,FALSE),"DNS")))))),IF(Deltagarlista!$K$3=2,
IF(ISBLANK(Deltagarlista!$C29),"",IF(ISBLANK(Arrangörslista!F$8),"",IF($GV28=M$64," DNS ",IFERROR(VLOOKUP($F28,Arrangörslista!F$8:$AG$45,16,FALSE),"DNS")))),IF(ISBLANK(Deltagarlista!$C29),"",IF(ISBLANK(Arrangörslista!F$8),"",IFERROR(VLOOKUP($F28,Arrangörslista!F$8:$AG$45,16,FALSE),"DNS")))))</f>
        <v/>
      </c>
      <c r="N28" s="5" t="str">
        <f>IF(Deltagarlista!$K$3=4,IF(ISBLANK(Deltagarlista!$C29),"",IF(ISBLANK(Arrangörslista!K$8),"",IFERROR(VLOOKUP($F28,Arrangörslista!K$8:$AG$45,16,FALSE),IF(ISBLANK(Deltagarlista!$C29),"",IF(ISBLANK(Arrangörslista!K$8),"",IFERROR(VLOOKUP($F28,Arrangörslista!L$8:$AG$45,16,FALSE),"DNS")))))),IF(Deltagarlista!$K$3=2,
IF(ISBLANK(Deltagarlista!$C29),"",IF(ISBLANK(Arrangörslista!G$8),"",IF($GV28=N$64," DNS ",IFERROR(VLOOKUP($F28,Arrangörslista!G$8:$AG$45,16,FALSE),"DNS")))),IF(ISBLANK(Deltagarlista!$C29),"",IF(ISBLANK(Arrangörslista!G$8),"",IFERROR(VLOOKUP($F28,Arrangörslista!G$8:$AG$45,16,FALSE),"DNS")))))</f>
        <v/>
      </c>
      <c r="O28" s="5" t="str">
        <f>IF(Deltagarlista!$K$3=4,IF(ISBLANK(Deltagarlista!$C29),"",IF(ISBLANK(Arrangörslista!M$8),"",IFERROR(VLOOKUP($F28,Arrangörslista!M$8:$AG$45,16,FALSE),IF(ISBLANK(Deltagarlista!$C29),"",IF(ISBLANK(Arrangörslista!M$8),"",IFERROR(VLOOKUP($F28,Arrangörslista!N$8:$AG$45,16,FALSE),"DNS")))))),IF(Deltagarlista!$K$3=2,
IF(ISBLANK(Deltagarlista!$C29),"",IF(ISBLANK(Arrangörslista!H$8),"",IF($GV28=O$64," DNS ",IFERROR(VLOOKUP($F28,Arrangörslista!H$8:$AG$45,16,FALSE),"DNS")))),IF(ISBLANK(Deltagarlista!$C29),"",IF(ISBLANK(Arrangörslista!H$8),"",IFERROR(VLOOKUP($F28,Arrangörslista!H$8:$AG$45,16,FALSE),"DNS")))))</f>
        <v/>
      </c>
      <c r="P28" s="5" t="str">
        <f>IF(Deltagarlista!$K$3=4,IF(ISBLANK(Deltagarlista!$C29),"",IF(ISBLANK(Arrangörslista!O$8),"",IFERROR(VLOOKUP($F28,Arrangörslista!O$8:$AG$45,16,FALSE),IF(ISBLANK(Deltagarlista!$C29),"",IF(ISBLANK(Arrangörslista!O$8),"",IFERROR(VLOOKUP($F28,Arrangörslista!P$8:$AG$45,16,FALSE),"DNS")))))),IF(Deltagarlista!$K$3=2,
IF(ISBLANK(Deltagarlista!$C29),"",IF(ISBLANK(Arrangörslista!I$8),"",IF($GV28=P$64," DNS ",IFERROR(VLOOKUP($F28,Arrangörslista!I$8:$AG$45,16,FALSE),"DNS")))),IF(ISBLANK(Deltagarlista!$C29),"",IF(ISBLANK(Arrangörslista!I$8),"",IFERROR(VLOOKUP($F28,Arrangörslista!I$8:$AG$45,16,FALSE),"DNS")))))</f>
        <v/>
      </c>
      <c r="Q28" s="5" t="str">
        <f>IF(Deltagarlista!$K$3=4,IF(ISBLANK(Deltagarlista!$C29),"",IF(ISBLANK(Arrangörslista!Q$8),"",IFERROR(VLOOKUP($F28,Arrangörslista!Q$8:$AG$45,16,FALSE),IF(ISBLANK(Deltagarlista!$C29),"",IF(ISBLANK(Arrangörslista!Q$8),"",IFERROR(VLOOKUP($F28,Arrangörslista!C$53:$AG$90,16,FALSE),"DNS")))))),IF(Deltagarlista!$K$3=2,
IF(ISBLANK(Deltagarlista!$C29),"",IF(ISBLANK(Arrangörslista!J$8),"",IF($GV28=Q$64," DNS ",IFERROR(VLOOKUP($F28,Arrangörslista!J$8:$AG$45,16,FALSE),"DNS")))),IF(ISBLANK(Deltagarlista!$C29),"",IF(ISBLANK(Arrangörslista!J$8),"",IFERROR(VLOOKUP($F28,Arrangörslista!J$8:$AG$45,16,FALSE),"DNS")))))</f>
        <v/>
      </c>
      <c r="R28" s="5" t="str">
        <f>IF(Deltagarlista!$K$3=4,IF(ISBLANK(Deltagarlista!$C29),"",IF(ISBLANK(Arrangörslista!D$53),"",IFERROR(VLOOKUP($F28,Arrangörslista!D$53:$AG$90,16,FALSE),IF(ISBLANK(Deltagarlista!$C29),"",IF(ISBLANK(Arrangörslista!D$53),"",IFERROR(VLOOKUP($F28,Arrangörslista!E$53:$AG$90,16,FALSE),"DNS")))))),IF(Deltagarlista!$K$3=2,
IF(ISBLANK(Deltagarlista!$C29),"",IF(ISBLANK(Arrangörslista!K$8),"",IF($GV28=R$64," DNS ",IFERROR(VLOOKUP($F28,Arrangörslista!K$8:$AG$45,16,FALSE),"DNS")))),IF(ISBLANK(Deltagarlista!$C29),"",IF(ISBLANK(Arrangörslista!K$8),"",IFERROR(VLOOKUP($F28,Arrangörslista!K$8:$AG$45,16,FALSE),"DNS")))))</f>
        <v/>
      </c>
      <c r="S28" s="5" t="str">
        <f>IF(Deltagarlista!$K$3=4,IF(ISBLANK(Deltagarlista!$C29),"",IF(ISBLANK(Arrangörslista!F$53),"",IFERROR(VLOOKUP($F28,Arrangörslista!F$53:$AG$90,16,FALSE),IF(ISBLANK(Deltagarlista!$C29),"",IF(ISBLANK(Arrangörslista!F$53),"",IFERROR(VLOOKUP($F28,Arrangörslista!G$53:$AG$90,16,FALSE),"DNS")))))),IF(Deltagarlista!$K$3=2,
IF(ISBLANK(Deltagarlista!$C29),"",IF(ISBLANK(Arrangörslista!L$8),"",IF($GV28=S$64," DNS ",IFERROR(VLOOKUP($F28,Arrangörslista!L$8:$AG$45,16,FALSE),"DNS")))),IF(ISBLANK(Deltagarlista!$C29),"",IF(ISBLANK(Arrangörslista!L$8),"",IFERROR(VLOOKUP($F28,Arrangörslista!L$8:$AG$45,16,FALSE),"DNS")))))</f>
        <v/>
      </c>
      <c r="T28" s="5" t="str">
        <f>IF(Deltagarlista!$K$3=4,IF(ISBLANK(Deltagarlista!$C29),"",IF(ISBLANK(Arrangörslista!H$53),"",IFERROR(VLOOKUP($F28,Arrangörslista!H$53:$AG$90,16,FALSE),IF(ISBLANK(Deltagarlista!$C29),"",IF(ISBLANK(Arrangörslista!H$53),"",IFERROR(VLOOKUP($F28,Arrangörslista!I$53:$AG$90,16,FALSE),"DNS")))))),IF(Deltagarlista!$K$3=2,
IF(ISBLANK(Deltagarlista!$C29),"",IF(ISBLANK(Arrangörslista!M$8),"",IF($GV28=T$64," DNS ",IFERROR(VLOOKUP($F28,Arrangörslista!M$8:$AG$45,16,FALSE),"DNS")))),IF(ISBLANK(Deltagarlista!$C29),"",IF(ISBLANK(Arrangörslista!M$8),"",IFERROR(VLOOKUP($F28,Arrangörslista!M$8:$AG$45,16,FALSE),"DNS")))))</f>
        <v/>
      </c>
      <c r="U28" s="5" t="str">
        <f>IF(Deltagarlista!$K$3=4,IF(ISBLANK(Deltagarlista!$C29),"",IF(ISBLANK(Arrangörslista!J$53),"",IFERROR(VLOOKUP($F28,Arrangörslista!J$53:$AG$90,16,FALSE),IF(ISBLANK(Deltagarlista!$C29),"",IF(ISBLANK(Arrangörslista!J$53),"",IFERROR(VLOOKUP($F28,Arrangörslista!K$53:$AG$90,16,FALSE),"DNS")))))),IF(Deltagarlista!$K$3=2,
IF(ISBLANK(Deltagarlista!$C29),"",IF(ISBLANK(Arrangörslista!N$8),"",IF($GV28=U$64," DNS ",IFERROR(VLOOKUP($F28,Arrangörslista!N$8:$AG$45,16,FALSE),"DNS")))),IF(ISBLANK(Deltagarlista!$C29),"",IF(ISBLANK(Arrangörslista!N$8),"",IFERROR(VLOOKUP($F28,Arrangörslista!N$8:$AG$45,16,FALSE),"DNS")))))</f>
        <v/>
      </c>
      <c r="V28" s="5" t="str">
        <f>IF(Deltagarlista!$K$3=4,IF(ISBLANK(Deltagarlista!$C29),"",IF(ISBLANK(Arrangörslista!L$53),"",IFERROR(VLOOKUP($F28,Arrangörslista!L$53:$AG$90,16,FALSE),IF(ISBLANK(Deltagarlista!$C29),"",IF(ISBLANK(Arrangörslista!L$53),"",IFERROR(VLOOKUP($F28,Arrangörslista!M$53:$AG$90,16,FALSE),"DNS")))))),IF(Deltagarlista!$K$3=2,
IF(ISBLANK(Deltagarlista!$C29),"",IF(ISBLANK(Arrangörslista!O$8),"",IF($GV28=V$64," DNS ",IFERROR(VLOOKUP($F28,Arrangörslista!O$8:$AG$45,16,FALSE),"DNS")))),IF(ISBLANK(Deltagarlista!$C29),"",IF(ISBLANK(Arrangörslista!O$8),"",IFERROR(VLOOKUP($F28,Arrangörslista!O$8:$AG$45,16,FALSE),"DNS")))))</f>
        <v/>
      </c>
      <c r="W28" s="5" t="str">
        <f>IF(Deltagarlista!$K$3=4,IF(ISBLANK(Deltagarlista!$C29),"",IF(ISBLANK(Arrangörslista!N$53),"",IFERROR(VLOOKUP($F28,Arrangörslista!N$53:$AG$90,16,FALSE),IF(ISBLANK(Deltagarlista!$C29),"",IF(ISBLANK(Arrangörslista!N$53),"",IFERROR(VLOOKUP($F28,Arrangörslista!O$53:$AG$90,16,FALSE),"DNS")))))),IF(Deltagarlista!$K$3=2,
IF(ISBLANK(Deltagarlista!$C29),"",IF(ISBLANK(Arrangörslista!P$8),"",IF($GV28=W$64," DNS ",IFERROR(VLOOKUP($F28,Arrangörslista!P$8:$AG$45,16,FALSE),"DNS")))),IF(ISBLANK(Deltagarlista!$C29),"",IF(ISBLANK(Arrangörslista!P$8),"",IFERROR(VLOOKUP($F28,Arrangörslista!P$8:$AG$45,16,FALSE),"DNS")))))</f>
        <v/>
      </c>
      <c r="X28" s="5" t="str">
        <f>IF(Deltagarlista!$K$3=4,IF(ISBLANK(Deltagarlista!$C29),"",IF(ISBLANK(Arrangörslista!P$53),"",IFERROR(VLOOKUP($F28,Arrangörslista!P$53:$AG$90,16,FALSE),IF(ISBLANK(Deltagarlista!$C29),"",IF(ISBLANK(Arrangörslista!P$53),"",IFERROR(VLOOKUP($F28,Arrangörslista!Q$53:$AG$90,16,FALSE),"DNS")))))),IF(Deltagarlista!$K$3=2,
IF(ISBLANK(Deltagarlista!$C29),"",IF(ISBLANK(Arrangörslista!Q$8),"",IF($GV28=X$64," DNS ",IFERROR(VLOOKUP($F28,Arrangörslista!Q$8:$AG$45,16,FALSE),"DNS")))),IF(ISBLANK(Deltagarlista!$C29),"",IF(ISBLANK(Arrangörslista!Q$8),"",IFERROR(VLOOKUP($F28,Arrangörslista!Q$8:$AG$45,16,FALSE),"DNS")))))</f>
        <v/>
      </c>
      <c r="Y28" s="5" t="str">
        <f>IF(Deltagarlista!$K$3=4,IF(ISBLANK(Deltagarlista!$C29),"",IF(ISBLANK(Arrangörslista!C$98),"",IFERROR(VLOOKUP($F28,Arrangörslista!C$98:$AG$135,16,FALSE),IF(ISBLANK(Deltagarlista!$C29),"",IF(ISBLANK(Arrangörslista!C$98),"",IFERROR(VLOOKUP($F28,Arrangörslista!D$98:$AG$135,16,FALSE),"DNS")))))),IF(Deltagarlista!$K$3=2,
IF(ISBLANK(Deltagarlista!$C29),"",IF(ISBLANK(Arrangörslista!C$53),"",IF($GV28=Y$64," DNS ",IFERROR(VLOOKUP($F28,Arrangörslista!C$53:$AG$90,16,FALSE),"DNS")))),IF(ISBLANK(Deltagarlista!$C29),"",IF(ISBLANK(Arrangörslista!C$53),"",IFERROR(VLOOKUP($F28,Arrangörslista!C$53:$AG$90,16,FALSE),"DNS")))))</f>
        <v/>
      </c>
      <c r="Z28" s="5" t="str">
        <f>IF(Deltagarlista!$K$3=4,IF(ISBLANK(Deltagarlista!$C29),"",IF(ISBLANK(Arrangörslista!E$98),"",IFERROR(VLOOKUP($F28,Arrangörslista!E$98:$AG$135,16,FALSE),IF(ISBLANK(Deltagarlista!$C29),"",IF(ISBLANK(Arrangörslista!E$98),"",IFERROR(VLOOKUP($F28,Arrangörslista!F$98:$AG$135,16,FALSE),"DNS")))))),IF(Deltagarlista!$K$3=2,
IF(ISBLANK(Deltagarlista!$C29),"",IF(ISBLANK(Arrangörslista!D$53),"",IF($GV28=Z$64," DNS ",IFERROR(VLOOKUP($F28,Arrangörslista!D$53:$AG$90,16,FALSE),"DNS")))),IF(ISBLANK(Deltagarlista!$C29),"",IF(ISBLANK(Arrangörslista!D$53),"",IFERROR(VLOOKUP($F28,Arrangörslista!D$53:$AG$90,16,FALSE),"DNS")))))</f>
        <v/>
      </c>
      <c r="AA28" s="5" t="str">
        <f>IF(Deltagarlista!$K$3=4,IF(ISBLANK(Deltagarlista!$C29),"",IF(ISBLANK(Arrangörslista!G$98),"",IFERROR(VLOOKUP($F28,Arrangörslista!G$98:$AG$135,16,FALSE),IF(ISBLANK(Deltagarlista!$C29),"",IF(ISBLANK(Arrangörslista!G$98),"",IFERROR(VLOOKUP($F28,Arrangörslista!H$98:$AG$135,16,FALSE),"DNS")))))),IF(Deltagarlista!$K$3=2,
IF(ISBLANK(Deltagarlista!$C29),"",IF(ISBLANK(Arrangörslista!E$53),"",IF($GV28=AA$64," DNS ",IFERROR(VLOOKUP($F28,Arrangörslista!E$53:$AG$90,16,FALSE),"DNS")))),IF(ISBLANK(Deltagarlista!$C29),"",IF(ISBLANK(Arrangörslista!E$53),"",IFERROR(VLOOKUP($F28,Arrangörslista!E$53:$AG$90,16,FALSE),"DNS")))))</f>
        <v/>
      </c>
      <c r="AB28" s="5" t="str">
        <f>IF(Deltagarlista!$K$3=4,IF(ISBLANK(Deltagarlista!$C29),"",IF(ISBLANK(Arrangörslista!I$98),"",IFERROR(VLOOKUP($F28,Arrangörslista!I$98:$AG$135,16,FALSE),IF(ISBLANK(Deltagarlista!$C29),"",IF(ISBLANK(Arrangörslista!I$98),"",IFERROR(VLOOKUP($F28,Arrangörslista!J$98:$AG$135,16,FALSE),"DNS")))))),IF(Deltagarlista!$K$3=2,
IF(ISBLANK(Deltagarlista!$C29),"",IF(ISBLANK(Arrangörslista!F$53),"",IF($GV28=AB$64," DNS ",IFERROR(VLOOKUP($F28,Arrangörslista!F$53:$AG$90,16,FALSE),"DNS")))),IF(ISBLANK(Deltagarlista!$C29),"",IF(ISBLANK(Arrangörslista!F$53),"",IFERROR(VLOOKUP($F28,Arrangörslista!F$53:$AG$90,16,FALSE),"DNS")))))</f>
        <v/>
      </c>
      <c r="AC28" s="5" t="str">
        <f>IF(Deltagarlista!$K$3=4,IF(ISBLANK(Deltagarlista!$C29),"",IF(ISBLANK(Arrangörslista!K$98),"",IFERROR(VLOOKUP($F28,Arrangörslista!K$98:$AG$135,16,FALSE),IF(ISBLANK(Deltagarlista!$C29),"",IF(ISBLANK(Arrangörslista!K$98),"",IFERROR(VLOOKUP($F28,Arrangörslista!L$98:$AG$135,16,FALSE),"DNS")))))),IF(Deltagarlista!$K$3=2,
IF(ISBLANK(Deltagarlista!$C29),"",IF(ISBLANK(Arrangörslista!G$53),"",IF($GV28=AC$64," DNS ",IFERROR(VLOOKUP($F28,Arrangörslista!G$53:$AG$90,16,FALSE),"DNS")))),IF(ISBLANK(Deltagarlista!$C29),"",IF(ISBLANK(Arrangörslista!G$53),"",IFERROR(VLOOKUP($F28,Arrangörslista!G$53:$AG$90,16,FALSE),"DNS")))))</f>
        <v/>
      </c>
      <c r="AD28" s="5" t="str">
        <f>IF(Deltagarlista!$K$3=4,IF(ISBLANK(Deltagarlista!$C29),"",IF(ISBLANK(Arrangörslista!M$98),"",IFERROR(VLOOKUP($F28,Arrangörslista!M$98:$AG$135,16,FALSE),IF(ISBLANK(Deltagarlista!$C29),"",IF(ISBLANK(Arrangörslista!M$98),"",IFERROR(VLOOKUP($F28,Arrangörslista!N$98:$AG$135,16,FALSE),"DNS")))))),IF(Deltagarlista!$K$3=2,
IF(ISBLANK(Deltagarlista!$C29),"",IF(ISBLANK(Arrangörslista!H$53),"",IF($GV28=AD$64," DNS ",IFERROR(VLOOKUP($F28,Arrangörslista!H$53:$AG$90,16,FALSE),"DNS")))),IF(ISBLANK(Deltagarlista!$C29),"",IF(ISBLANK(Arrangörslista!H$53),"",IFERROR(VLOOKUP($F28,Arrangörslista!H$53:$AG$90,16,FALSE),"DNS")))))</f>
        <v/>
      </c>
      <c r="AE28" s="5" t="str">
        <f>IF(Deltagarlista!$K$3=4,IF(ISBLANK(Deltagarlista!$C29),"",IF(ISBLANK(Arrangörslista!O$98),"",IFERROR(VLOOKUP($F28,Arrangörslista!O$98:$AG$135,16,FALSE),IF(ISBLANK(Deltagarlista!$C29),"",IF(ISBLANK(Arrangörslista!O$98),"",IFERROR(VLOOKUP($F28,Arrangörslista!P$98:$AG$135,16,FALSE),"DNS")))))),IF(Deltagarlista!$K$3=2,
IF(ISBLANK(Deltagarlista!$C29),"",IF(ISBLANK(Arrangörslista!I$53),"",IF($GV28=AE$64," DNS ",IFERROR(VLOOKUP($F28,Arrangörslista!I$53:$AG$90,16,FALSE),"DNS")))),IF(ISBLANK(Deltagarlista!$C29),"",IF(ISBLANK(Arrangörslista!I$53),"",IFERROR(VLOOKUP($F28,Arrangörslista!I$53:$AG$90,16,FALSE),"DNS")))))</f>
        <v/>
      </c>
      <c r="AF28" s="5" t="str">
        <f>IF(Deltagarlista!$K$3=4,IF(ISBLANK(Deltagarlista!$C29),"",IF(ISBLANK(Arrangörslista!Q$98),"",IFERROR(VLOOKUP($F28,Arrangörslista!Q$98:$AG$135,16,FALSE),IF(ISBLANK(Deltagarlista!$C29),"",IF(ISBLANK(Arrangörslista!Q$98),"",IFERROR(VLOOKUP($F28,Arrangörslista!C$143:$AG$180,16,FALSE),"DNS")))))),IF(Deltagarlista!$K$3=2,
IF(ISBLANK(Deltagarlista!$C29),"",IF(ISBLANK(Arrangörslista!J$53),"",IF($GV28=AF$64," DNS ",IFERROR(VLOOKUP($F28,Arrangörslista!J$53:$AG$90,16,FALSE),"DNS")))),IF(ISBLANK(Deltagarlista!$C29),"",IF(ISBLANK(Arrangörslista!J$53),"",IFERROR(VLOOKUP($F28,Arrangörslista!J$53:$AG$90,16,FALSE),"DNS")))))</f>
        <v/>
      </c>
      <c r="AG28" s="5" t="str">
        <f>IF(Deltagarlista!$K$3=4,IF(ISBLANK(Deltagarlista!$C29),"",IF(ISBLANK(Arrangörslista!D$143),"",IFERROR(VLOOKUP($F28,Arrangörslista!D$143:$AG$180,16,FALSE),IF(ISBLANK(Deltagarlista!$C29),"",IF(ISBLANK(Arrangörslista!D$143),"",IFERROR(VLOOKUP($F28,Arrangörslista!E$143:$AG$180,16,FALSE),"DNS")))))),IF(Deltagarlista!$K$3=2,
IF(ISBLANK(Deltagarlista!$C29),"",IF(ISBLANK(Arrangörslista!K$53),"",IF($GV28=AG$64," DNS ",IFERROR(VLOOKUP($F28,Arrangörslista!K$53:$AG$90,16,FALSE),"DNS")))),IF(ISBLANK(Deltagarlista!$C29),"",IF(ISBLANK(Arrangörslista!K$53),"",IFERROR(VLOOKUP($F28,Arrangörslista!K$53:$AG$90,16,FALSE),"DNS")))))</f>
        <v/>
      </c>
      <c r="AH28" s="5" t="str">
        <f>IF(Deltagarlista!$K$3=4,IF(ISBLANK(Deltagarlista!$C29),"",IF(ISBLANK(Arrangörslista!F$143),"",IFERROR(VLOOKUP($F28,Arrangörslista!F$143:$AG$180,16,FALSE),IF(ISBLANK(Deltagarlista!$C29),"",IF(ISBLANK(Arrangörslista!F$143),"",IFERROR(VLOOKUP($F28,Arrangörslista!G$143:$AG$180,16,FALSE),"DNS")))))),IF(Deltagarlista!$K$3=2,
IF(ISBLANK(Deltagarlista!$C29),"",IF(ISBLANK(Arrangörslista!L$53),"",IF($GV28=AH$64," DNS ",IFERROR(VLOOKUP($F28,Arrangörslista!L$53:$AG$90,16,FALSE),"DNS")))),IF(ISBLANK(Deltagarlista!$C29),"",IF(ISBLANK(Arrangörslista!L$53),"",IFERROR(VLOOKUP($F28,Arrangörslista!L$53:$AG$90,16,FALSE),"DNS")))))</f>
        <v/>
      </c>
      <c r="AI28" s="5" t="str">
        <f>IF(Deltagarlista!$K$3=4,IF(ISBLANK(Deltagarlista!$C29),"",IF(ISBLANK(Arrangörslista!H$143),"",IFERROR(VLOOKUP($F28,Arrangörslista!H$143:$AG$180,16,FALSE),IF(ISBLANK(Deltagarlista!$C29),"",IF(ISBLANK(Arrangörslista!H$143),"",IFERROR(VLOOKUP($F28,Arrangörslista!I$143:$AG$180,16,FALSE),"DNS")))))),IF(Deltagarlista!$K$3=2,
IF(ISBLANK(Deltagarlista!$C29),"",IF(ISBLANK(Arrangörslista!M$53),"",IF($GV28=AI$64," DNS ",IFERROR(VLOOKUP($F28,Arrangörslista!M$53:$AG$90,16,FALSE),"DNS")))),IF(ISBLANK(Deltagarlista!$C29),"",IF(ISBLANK(Arrangörslista!M$53),"",IFERROR(VLOOKUP($F28,Arrangörslista!M$53:$AG$90,16,FALSE),"DNS")))))</f>
        <v/>
      </c>
      <c r="AJ28" s="5" t="str">
        <f>IF(Deltagarlista!$K$3=4,IF(ISBLANK(Deltagarlista!$C29),"",IF(ISBLANK(Arrangörslista!J$143),"",IFERROR(VLOOKUP($F28,Arrangörslista!J$143:$AG$180,16,FALSE),IF(ISBLANK(Deltagarlista!$C29),"",IF(ISBLANK(Arrangörslista!J$143),"",IFERROR(VLOOKUP($F28,Arrangörslista!K$143:$AG$180,16,FALSE),"DNS")))))),IF(Deltagarlista!$K$3=2,
IF(ISBLANK(Deltagarlista!$C29),"",IF(ISBLANK(Arrangörslista!N$53),"",IF($GV28=AJ$64," DNS ",IFERROR(VLOOKUP($F28,Arrangörslista!N$53:$AG$90,16,FALSE),"DNS")))),IF(ISBLANK(Deltagarlista!$C29),"",IF(ISBLANK(Arrangörslista!N$53),"",IFERROR(VLOOKUP($F28,Arrangörslista!N$53:$AG$90,16,FALSE),"DNS")))))</f>
        <v/>
      </c>
      <c r="AK28" s="5" t="str">
        <f>IF(Deltagarlista!$K$3=4,IF(ISBLANK(Deltagarlista!$C29),"",IF(ISBLANK(Arrangörslista!L$143),"",IFERROR(VLOOKUP($F28,Arrangörslista!L$143:$AG$180,16,FALSE),IF(ISBLANK(Deltagarlista!$C29),"",IF(ISBLANK(Arrangörslista!L$143),"",IFERROR(VLOOKUP($F28,Arrangörslista!M$143:$AG$180,16,FALSE),"DNS")))))),IF(Deltagarlista!$K$3=2,
IF(ISBLANK(Deltagarlista!$C29),"",IF(ISBLANK(Arrangörslista!O$53),"",IF($GV28=AK$64," DNS ",IFERROR(VLOOKUP($F28,Arrangörslista!O$53:$AG$90,16,FALSE),"DNS")))),IF(ISBLANK(Deltagarlista!$C29),"",IF(ISBLANK(Arrangörslista!O$53),"",IFERROR(VLOOKUP($F28,Arrangörslista!O$53:$AG$90,16,FALSE),"DNS")))))</f>
        <v/>
      </c>
      <c r="AL28" s="5" t="str">
        <f>IF(Deltagarlista!$K$3=4,IF(ISBLANK(Deltagarlista!$C29),"",IF(ISBLANK(Arrangörslista!N$143),"",IFERROR(VLOOKUP($F28,Arrangörslista!N$143:$AG$180,16,FALSE),IF(ISBLANK(Deltagarlista!$C29),"",IF(ISBLANK(Arrangörslista!N$143),"",IFERROR(VLOOKUP($F28,Arrangörslista!O$143:$AG$180,16,FALSE),"DNS")))))),IF(Deltagarlista!$K$3=2,
IF(ISBLANK(Deltagarlista!$C29),"",IF(ISBLANK(Arrangörslista!P$53),"",IF($GV28=AL$64," DNS ",IFERROR(VLOOKUP($F28,Arrangörslista!P$53:$AG$90,16,FALSE),"DNS")))),IF(ISBLANK(Deltagarlista!$C29),"",IF(ISBLANK(Arrangörslista!P$53),"",IFERROR(VLOOKUP($F28,Arrangörslista!P$53:$AG$90,16,FALSE),"DNS")))))</f>
        <v/>
      </c>
      <c r="AM28" s="5" t="str">
        <f>IF(Deltagarlista!$K$3=4,IF(ISBLANK(Deltagarlista!$C29),"",IF(ISBLANK(Arrangörslista!P$143),"",IFERROR(VLOOKUP($F28,Arrangörslista!P$143:$AG$180,16,FALSE),IF(ISBLANK(Deltagarlista!$C29),"",IF(ISBLANK(Arrangörslista!P$143),"",IFERROR(VLOOKUP($F28,Arrangörslista!Q$143:$AG$180,16,FALSE),"DNS")))))),IF(Deltagarlista!$K$3=2,
IF(ISBLANK(Deltagarlista!$C29),"",IF(ISBLANK(Arrangörslista!Q$53),"",IF($GV28=AM$64," DNS ",IFERROR(VLOOKUP($F28,Arrangörslista!Q$53:$AG$90,16,FALSE),"DNS")))),IF(ISBLANK(Deltagarlista!$C29),"",IF(ISBLANK(Arrangörslista!Q$53),"",IFERROR(VLOOKUP($F28,Arrangörslista!Q$53:$AG$90,16,FALSE),"DNS")))))</f>
        <v/>
      </c>
      <c r="AN28" s="5" t="str">
        <f>IF(Deltagarlista!$K$3=2,
IF(ISBLANK(Deltagarlista!$C29),"",IF(ISBLANK(Arrangörslista!C$98),"",IF($GV28=AN$64," DNS ",IFERROR(VLOOKUP($F28,Arrangörslista!C$98:$AG$135,16,FALSE), "DNS")))), IF(Deltagarlista!$K$3=1,IF(ISBLANK(Deltagarlista!$C29),"",IF(ISBLANK(Arrangörslista!C$98),"",IFERROR(VLOOKUP($F28,Arrangörslista!C$98:$AG$135,16,FALSE), "DNS"))),""))</f>
        <v/>
      </c>
      <c r="AO28" s="5" t="str">
        <f>IF(Deltagarlista!$K$3=2,
IF(ISBLANK(Deltagarlista!$C29),"",IF(ISBLANK(Arrangörslista!D$98),"",IF($GV28=AO$64," DNS ",IFERROR(VLOOKUP($F28,Arrangörslista!D$98:$AG$135,16,FALSE), "DNS")))), IF(Deltagarlista!$K$3=1,IF(ISBLANK(Deltagarlista!$C29),"",IF(ISBLANK(Arrangörslista!D$98),"",IFERROR(VLOOKUP($F28,Arrangörslista!D$98:$AG$135,16,FALSE), "DNS"))),""))</f>
        <v/>
      </c>
      <c r="AP28" s="5" t="str">
        <f>IF(Deltagarlista!$K$3=2,
IF(ISBLANK(Deltagarlista!$C29),"",IF(ISBLANK(Arrangörslista!E$98),"",IF($GV28=AP$64," DNS ",IFERROR(VLOOKUP($F28,Arrangörslista!E$98:$AG$135,16,FALSE), "DNS")))), IF(Deltagarlista!$K$3=1,IF(ISBLANK(Deltagarlista!$C29),"",IF(ISBLANK(Arrangörslista!E$98),"",IFERROR(VLOOKUP($F28,Arrangörslista!E$98:$AG$135,16,FALSE), "DNS"))),""))</f>
        <v/>
      </c>
      <c r="AQ28" s="5" t="str">
        <f>IF(Deltagarlista!$K$3=2,
IF(ISBLANK(Deltagarlista!$C29),"",IF(ISBLANK(Arrangörslista!F$98),"",IF($GV28=AQ$64," DNS ",IFERROR(VLOOKUP($F28,Arrangörslista!F$98:$AG$135,16,FALSE), "DNS")))), IF(Deltagarlista!$K$3=1,IF(ISBLANK(Deltagarlista!$C29),"",IF(ISBLANK(Arrangörslista!F$98),"",IFERROR(VLOOKUP($F28,Arrangörslista!F$98:$AG$135,16,FALSE), "DNS"))),""))</f>
        <v/>
      </c>
      <c r="AR28" s="5" t="str">
        <f>IF(Deltagarlista!$K$3=2,
IF(ISBLANK(Deltagarlista!$C29),"",IF(ISBLANK(Arrangörslista!G$98),"",IF($GV28=AR$64," DNS ",IFERROR(VLOOKUP($F28,Arrangörslista!G$98:$AG$135,16,FALSE), "DNS")))), IF(Deltagarlista!$K$3=1,IF(ISBLANK(Deltagarlista!$C29),"",IF(ISBLANK(Arrangörslista!G$98),"",IFERROR(VLOOKUP($F28,Arrangörslista!G$98:$AG$135,16,FALSE), "DNS"))),""))</f>
        <v/>
      </c>
      <c r="AS28" s="5" t="str">
        <f>IF(Deltagarlista!$K$3=2,
IF(ISBLANK(Deltagarlista!$C29),"",IF(ISBLANK(Arrangörslista!H$98),"",IF($GV28=AS$64," DNS ",IFERROR(VLOOKUP($F28,Arrangörslista!H$98:$AG$135,16,FALSE), "DNS")))), IF(Deltagarlista!$K$3=1,IF(ISBLANK(Deltagarlista!$C29),"",IF(ISBLANK(Arrangörslista!H$98),"",IFERROR(VLOOKUP($F28,Arrangörslista!H$98:$AG$135,16,FALSE), "DNS"))),""))</f>
        <v/>
      </c>
      <c r="AT28" s="5" t="str">
        <f>IF(Deltagarlista!$K$3=2,
IF(ISBLANK(Deltagarlista!$C29),"",IF(ISBLANK(Arrangörslista!I$98),"",IF($GV28=AT$64," DNS ",IFERROR(VLOOKUP($F28,Arrangörslista!I$98:$AG$135,16,FALSE), "DNS")))), IF(Deltagarlista!$K$3=1,IF(ISBLANK(Deltagarlista!$C29),"",IF(ISBLANK(Arrangörslista!I$98),"",IFERROR(VLOOKUP($F28,Arrangörslista!I$98:$AG$135,16,FALSE), "DNS"))),""))</f>
        <v/>
      </c>
      <c r="AU28" s="5" t="str">
        <f>IF(Deltagarlista!$K$3=2,
IF(ISBLANK(Deltagarlista!$C29),"",IF(ISBLANK(Arrangörslista!J$98),"",IF($GV28=AU$64," DNS ",IFERROR(VLOOKUP($F28,Arrangörslista!J$98:$AG$135,16,FALSE), "DNS")))), IF(Deltagarlista!$K$3=1,IF(ISBLANK(Deltagarlista!$C29),"",IF(ISBLANK(Arrangörslista!J$98),"",IFERROR(VLOOKUP($F28,Arrangörslista!J$98:$AG$135,16,FALSE), "DNS"))),""))</f>
        <v/>
      </c>
      <c r="AV28" s="5" t="str">
        <f>IF(Deltagarlista!$K$3=2,
IF(ISBLANK(Deltagarlista!$C29),"",IF(ISBLANK(Arrangörslista!K$98),"",IF($GV28=AV$64," DNS ",IFERROR(VLOOKUP($F28,Arrangörslista!K$98:$AG$135,16,FALSE), "DNS")))), IF(Deltagarlista!$K$3=1,IF(ISBLANK(Deltagarlista!$C29),"",IF(ISBLANK(Arrangörslista!K$98),"",IFERROR(VLOOKUP($F28,Arrangörslista!K$98:$AG$135,16,FALSE), "DNS"))),""))</f>
        <v/>
      </c>
      <c r="AW28" s="5" t="str">
        <f>IF(Deltagarlista!$K$3=2,
IF(ISBLANK(Deltagarlista!$C29),"",IF(ISBLANK(Arrangörslista!L$98),"",IF($GV28=AW$64," DNS ",IFERROR(VLOOKUP($F28,Arrangörslista!L$98:$AG$135,16,FALSE), "DNS")))), IF(Deltagarlista!$K$3=1,IF(ISBLANK(Deltagarlista!$C29),"",IF(ISBLANK(Arrangörslista!L$98),"",IFERROR(VLOOKUP($F28,Arrangörslista!L$98:$AG$135,16,FALSE), "DNS"))),""))</f>
        <v/>
      </c>
      <c r="AX28" s="5" t="str">
        <f>IF(Deltagarlista!$K$3=2,
IF(ISBLANK(Deltagarlista!$C29),"",IF(ISBLANK(Arrangörslista!M$98),"",IF($GV28=AX$64," DNS ",IFERROR(VLOOKUP($F28,Arrangörslista!M$98:$AG$135,16,FALSE), "DNS")))), IF(Deltagarlista!$K$3=1,IF(ISBLANK(Deltagarlista!$C29),"",IF(ISBLANK(Arrangörslista!M$98),"",IFERROR(VLOOKUP($F28,Arrangörslista!M$98:$AG$135,16,FALSE), "DNS"))),""))</f>
        <v/>
      </c>
      <c r="AY28" s="5" t="str">
        <f>IF(Deltagarlista!$K$3=2,
IF(ISBLANK(Deltagarlista!$C29),"",IF(ISBLANK(Arrangörslista!N$98),"",IF($GV28=AY$64," DNS ",IFERROR(VLOOKUP($F28,Arrangörslista!N$98:$AG$135,16,FALSE), "DNS")))), IF(Deltagarlista!$K$3=1,IF(ISBLANK(Deltagarlista!$C29),"",IF(ISBLANK(Arrangörslista!N$98),"",IFERROR(VLOOKUP($F28,Arrangörslista!N$98:$AG$135,16,FALSE), "DNS"))),""))</f>
        <v/>
      </c>
      <c r="AZ28" s="5" t="str">
        <f>IF(Deltagarlista!$K$3=2,
IF(ISBLANK(Deltagarlista!$C29),"",IF(ISBLANK(Arrangörslista!O$98),"",IF($GV28=AZ$64," DNS ",IFERROR(VLOOKUP($F28,Arrangörslista!O$98:$AG$135,16,FALSE), "DNS")))), IF(Deltagarlista!$K$3=1,IF(ISBLANK(Deltagarlista!$C29),"",IF(ISBLANK(Arrangörslista!O$98),"",IFERROR(VLOOKUP($F28,Arrangörslista!O$98:$AG$135,16,FALSE), "DNS"))),""))</f>
        <v/>
      </c>
      <c r="BA28" s="5" t="str">
        <f>IF(Deltagarlista!$K$3=2,
IF(ISBLANK(Deltagarlista!$C29),"",IF(ISBLANK(Arrangörslista!P$98),"",IF($GV28=BA$64," DNS ",IFERROR(VLOOKUP($F28,Arrangörslista!P$98:$AG$135,16,FALSE), "DNS")))), IF(Deltagarlista!$K$3=1,IF(ISBLANK(Deltagarlista!$C29),"",IF(ISBLANK(Arrangörslista!P$98),"",IFERROR(VLOOKUP($F28,Arrangörslista!P$98:$AG$135,16,FALSE), "DNS"))),""))</f>
        <v/>
      </c>
      <c r="BB28" s="5" t="str">
        <f>IF(Deltagarlista!$K$3=2,
IF(ISBLANK(Deltagarlista!$C29),"",IF(ISBLANK(Arrangörslista!Q$98),"",IF($GV28=BB$64," DNS ",IFERROR(VLOOKUP($F28,Arrangörslista!Q$98:$AG$135,16,FALSE), "DNS")))), IF(Deltagarlista!$K$3=1,IF(ISBLANK(Deltagarlista!$C29),"",IF(ISBLANK(Arrangörslista!Q$98),"",IFERROR(VLOOKUP($F28,Arrangörslista!Q$98:$AG$135,16,FALSE), "DNS"))),""))</f>
        <v/>
      </c>
      <c r="BC28" s="5" t="str">
        <f>IF(Deltagarlista!$K$3=2,
IF(ISBLANK(Deltagarlista!$C29),"",IF(ISBLANK(Arrangörslista!C$143),"",IF($GV28=BC$64," DNS ",IFERROR(VLOOKUP($F28,Arrangörslista!C$143:$AG$180,16,FALSE), "DNS")))), IF(Deltagarlista!$K$3=1,IF(ISBLANK(Deltagarlista!$C29),"",IF(ISBLANK(Arrangörslista!C$143),"",IFERROR(VLOOKUP($F28,Arrangörslista!C$143:$AG$180,16,FALSE), "DNS"))),""))</f>
        <v/>
      </c>
      <c r="BD28" s="5" t="str">
        <f>IF(Deltagarlista!$K$3=2,
IF(ISBLANK(Deltagarlista!$C29),"",IF(ISBLANK(Arrangörslista!D$143),"",IF($GV28=BD$64," DNS ",IFERROR(VLOOKUP($F28,Arrangörslista!D$143:$AG$180,16,FALSE), "DNS")))), IF(Deltagarlista!$K$3=1,IF(ISBLANK(Deltagarlista!$C29),"",IF(ISBLANK(Arrangörslista!D$143),"",IFERROR(VLOOKUP($F28,Arrangörslista!D$143:$AG$180,16,FALSE), "DNS"))),""))</f>
        <v/>
      </c>
      <c r="BE28" s="5" t="str">
        <f>IF(Deltagarlista!$K$3=2,
IF(ISBLANK(Deltagarlista!$C29),"",IF(ISBLANK(Arrangörslista!E$143),"",IF($GV28=BE$64," DNS ",IFERROR(VLOOKUP($F28,Arrangörslista!E$143:$AG$180,16,FALSE), "DNS")))), IF(Deltagarlista!$K$3=1,IF(ISBLANK(Deltagarlista!$C29),"",IF(ISBLANK(Arrangörslista!E$143),"",IFERROR(VLOOKUP($F28,Arrangörslista!E$143:$AG$180,16,FALSE), "DNS"))),""))</f>
        <v/>
      </c>
      <c r="BF28" s="5" t="str">
        <f>IF(Deltagarlista!$K$3=2,
IF(ISBLANK(Deltagarlista!$C29),"",IF(ISBLANK(Arrangörslista!F$143),"",IF($GV28=BF$64," DNS ",IFERROR(VLOOKUP($F28,Arrangörslista!F$143:$AG$180,16,FALSE), "DNS")))), IF(Deltagarlista!$K$3=1,IF(ISBLANK(Deltagarlista!$C29),"",IF(ISBLANK(Arrangörslista!F$143),"",IFERROR(VLOOKUP($F28,Arrangörslista!F$143:$AG$180,16,FALSE), "DNS"))),""))</f>
        <v/>
      </c>
      <c r="BG28" s="5" t="str">
        <f>IF(Deltagarlista!$K$3=2,
IF(ISBLANK(Deltagarlista!$C29),"",IF(ISBLANK(Arrangörslista!G$143),"",IF($GV28=BG$64," DNS ",IFERROR(VLOOKUP($F28,Arrangörslista!G$143:$AG$180,16,FALSE), "DNS")))), IF(Deltagarlista!$K$3=1,IF(ISBLANK(Deltagarlista!$C29),"",IF(ISBLANK(Arrangörslista!G$143),"",IFERROR(VLOOKUP($F28,Arrangörslista!G$143:$AG$180,16,FALSE), "DNS"))),""))</f>
        <v/>
      </c>
      <c r="BH28" s="5" t="str">
        <f>IF(Deltagarlista!$K$3=2,
IF(ISBLANK(Deltagarlista!$C29),"",IF(ISBLANK(Arrangörslista!H$143),"",IF($GV28=BH$64," DNS ",IFERROR(VLOOKUP($F28,Arrangörslista!H$143:$AG$180,16,FALSE), "DNS")))), IF(Deltagarlista!$K$3=1,IF(ISBLANK(Deltagarlista!$C29),"",IF(ISBLANK(Arrangörslista!H$143),"",IFERROR(VLOOKUP($F28,Arrangörslista!H$143:$AG$180,16,FALSE), "DNS"))),""))</f>
        <v/>
      </c>
      <c r="BI28" s="5" t="str">
        <f>IF(Deltagarlista!$K$3=2,
IF(ISBLANK(Deltagarlista!$C29),"",IF(ISBLANK(Arrangörslista!I$143),"",IF($GV28=BI$64," DNS ",IFERROR(VLOOKUP($F28,Arrangörslista!I$143:$AG$180,16,FALSE), "DNS")))), IF(Deltagarlista!$K$3=1,IF(ISBLANK(Deltagarlista!$C29),"",IF(ISBLANK(Arrangörslista!I$143),"",IFERROR(VLOOKUP($F28,Arrangörslista!I$143:$AG$180,16,FALSE), "DNS"))),""))</f>
        <v/>
      </c>
      <c r="BJ28" s="5" t="str">
        <f>IF(Deltagarlista!$K$3=2,
IF(ISBLANK(Deltagarlista!$C29),"",IF(ISBLANK(Arrangörslista!J$143),"",IF($GV28=BJ$64," DNS ",IFERROR(VLOOKUP($F28,Arrangörslista!J$143:$AG$180,16,FALSE), "DNS")))), IF(Deltagarlista!$K$3=1,IF(ISBLANK(Deltagarlista!$C29),"",IF(ISBLANK(Arrangörslista!J$143),"",IFERROR(VLOOKUP($F28,Arrangörslista!J$143:$AG$180,16,FALSE), "DNS"))),""))</f>
        <v/>
      </c>
      <c r="BK28" s="5" t="str">
        <f>IF(Deltagarlista!$K$3=2,
IF(ISBLANK(Deltagarlista!$C29),"",IF(ISBLANK(Arrangörslista!K$143),"",IF($GV28=BK$64," DNS ",IFERROR(VLOOKUP($F28,Arrangörslista!K$143:$AG$180,16,FALSE), "DNS")))), IF(Deltagarlista!$K$3=1,IF(ISBLANK(Deltagarlista!$C29),"",IF(ISBLANK(Arrangörslista!K$143),"",IFERROR(VLOOKUP($F28,Arrangörslista!K$143:$AG$180,16,FALSE), "DNS"))),""))</f>
        <v/>
      </c>
      <c r="BL28" s="5" t="str">
        <f>IF(Deltagarlista!$K$3=2,
IF(ISBLANK(Deltagarlista!$C29),"",IF(ISBLANK(Arrangörslista!L$143),"",IF($GV28=BL$64," DNS ",IFERROR(VLOOKUP($F28,Arrangörslista!L$143:$AG$180,16,FALSE), "DNS")))), IF(Deltagarlista!$K$3=1,IF(ISBLANK(Deltagarlista!$C29),"",IF(ISBLANK(Arrangörslista!L$143),"",IFERROR(VLOOKUP($F28,Arrangörslista!L$143:$AG$180,16,FALSE), "DNS"))),""))</f>
        <v/>
      </c>
      <c r="BM28" s="5" t="str">
        <f>IF(Deltagarlista!$K$3=2,
IF(ISBLANK(Deltagarlista!$C29),"",IF(ISBLANK(Arrangörslista!M$143),"",IF($GV28=BM$64," DNS ",IFERROR(VLOOKUP($F28,Arrangörslista!M$143:$AG$180,16,FALSE), "DNS")))), IF(Deltagarlista!$K$3=1,IF(ISBLANK(Deltagarlista!$C29),"",IF(ISBLANK(Arrangörslista!M$143),"",IFERROR(VLOOKUP($F28,Arrangörslista!M$143:$AG$180,16,FALSE), "DNS"))),""))</f>
        <v/>
      </c>
      <c r="BN28" s="5" t="str">
        <f>IF(Deltagarlista!$K$3=2,
IF(ISBLANK(Deltagarlista!$C29),"",IF(ISBLANK(Arrangörslista!N$143),"",IF($GV28=BN$64," DNS ",IFERROR(VLOOKUP($F28,Arrangörslista!N$143:$AG$180,16,FALSE), "DNS")))), IF(Deltagarlista!$K$3=1,IF(ISBLANK(Deltagarlista!$C29),"",IF(ISBLANK(Arrangörslista!N$143),"",IFERROR(VLOOKUP($F28,Arrangörslista!N$143:$AG$180,16,FALSE), "DNS"))),""))</f>
        <v/>
      </c>
      <c r="BO28" s="5" t="str">
        <f>IF(Deltagarlista!$K$3=2,
IF(ISBLANK(Deltagarlista!$C29),"",IF(ISBLANK(Arrangörslista!O$143),"",IF($GV28=BO$64," DNS ",IFERROR(VLOOKUP($F28,Arrangörslista!O$143:$AG$180,16,FALSE), "DNS")))), IF(Deltagarlista!$K$3=1,IF(ISBLANK(Deltagarlista!$C29),"",IF(ISBLANK(Arrangörslista!O$143),"",IFERROR(VLOOKUP($F28,Arrangörslista!O$143:$AG$180,16,FALSE), "DNS"))),""))</f>
        <v/>
      </c>
      <c r="BP28" s="5" t="str">
        <f>IF(Deltagarlista!$K$3=2,
IF(ISBLANK(Deltagarlista!$C29),"",IF(ISBLANK(Arrangörslista!P$143),"",IF($GV28=BP$64," DNS ",IFERROR(VLOOKUP($F28,Arrangörslista!P$143:$AG$180,16,FALSE), "DNS")))), IF(Deltagarlista!$K$3=1,IF(ISBLANK(Deltagarlista!$C29),"",IF(ISBLANK(Arrangörslista!P$143),"",IFERROR(VLOOKUP($F28,Arrangörslista!P$143:$AG$180,16,FALSE), "DNS"))),""))</f>
        <v/>
      </c>
      <c r="BQ28" s="80" t="str">
        <f>IF(Deltagarlista!$K$3=2,
IF(ISBLANK(Deltagarlista!$C29),"",IF(ISBLANK(Arrangörslista!Q$143),"",IF($GV28=BQ$64," DNS ",IFERROR(VLOOKUP($F28,Arrangörslista!Q$143:$AG$180,16,FALSE), "DNS")))), IF(Deltagarlista!$K$3=1,IF(ISBLANK(Deltagarlista!$C29),"",IF(ISBLANK(Arrangörslista!Q$143),"",IFERROR(VLOOKUP($F28,Arrangörslista!Q$143:$AG$180,16,FALSE), "DNS"))),""))</f>
        <v/>
      </c>
      <c r="BR28" s="51"/>
      <c r="BS28" s="51"/>
      <c r="BT28" s="51"/>
      <c r="BU28" s="71">
        <f>SUM(BV28:EC28)</f>
        <v>0</v>
      </c>
      <c r="BV28" s="61">
        <f>IF(J28="",0,IF(OR(J28="DNF",J28="OCS",J28="DSQ",J28="DNS",J28=" DNS "),$BW$3+1,J28))</f>
        <v>0</v>
      </c>
      <c r="BW28" s="61">
        <f>IF(K28="",0,IF(OR(K28="DNF",K28="OCS",K28="DSQ",K28="DNS",K28=" DNS "),$BW$3+1,K28))</f>
        <v>0</v>
      </c>
      <c r="BX28" s="61">
        <f>IF(L28="",0,IF(OR(L28="DNF",L28="OCS",L28="DSQ",L28="DNS",L28=" DNS "),$BW$3+1,L28))</f>
        <v>0</v>
      </c>
      <c r="BY28" s="61">
        <f>IF(M28="",0,IF(OR(M28="DNF",M28="OCS",M28="DSQ",M28="DNS",M28=" DNS "),$BW$3+1,M28))</f>
        <v>0</v>
      </c>
      <c r="BZ28" s="61">
        <f>IF(N28="",0,IF(OR(N28="DNF",N28="OCS",N28="DSQ",N28="DNS",N28=" DNS "),$BW$3+1,N28))</f>
        <v>0</v>
      </c>
      <c r="CA28" s="61">
        <f>IF(O28="",0,IF(OR(O28="DNF",O28="OCS",O28="DSQ",O28="DNS",O28=" DNS "),$BW$3+1,O28))</f>
        <v>0</v>
      </c>
      <c r="CB28" s="61">
        <f>IF(P28="",0,IF(OR(P28="DNF",P28="OCS",P28="DSQ",P28="DNS",P28=" DNS "),$BW$3+1,P28))</f>
        <v>0</v>
      </c>
      <c r="CC28" s="61">
        <f>IF(Q28="",0,IF(OR(Q28="DNF",Q28="OCS",Q28="DSQ",Q28="DNS",Q28=" DNS "),$BW$3+1,Q28))</f>
        <v>0</v>
      </c>
      <c r="CD28" s="61">
        <f>IF(R28="",0,IF(OR(R28="DNF",R28="OCS",R28="DSQ",R28="DNS",R28=" DNS "),$BW$3+1,R28))</f>
        <v>0</v>
      </c>
      <c r="CE28" s="61">
        <f>IF(S28="",0,IF(OR(S28="DNF",S28="OCS",S28="DSQ",S28="DNS",S28=" DNS "),$BW$3+1,S28))</f>
        <v>0</v>
      </c>
      <c r="CF28" s="61">
        <f>IF(T28="",0,IF(OR(T28="DNF",T28="OCS",T28="DSQ",T28="DNS",T28=" DNS "),$BW$3+1,T28))</f>
        <v>0</v>
      </c>
      <c r="CG28" s="61">
        <f>IF(U28="",0,IF(OR(U28="DNF",U28="OCS",U28="DSQ",U28="DNS",U28=" DNS "),$BW$3+1,U28))</f>
        <v>0</v>
      </c>
      <c r="CH28" s="61">
        <f>IF(V28="",0,IF(OR(V28="DNF",V28="OCS",V28="DSQ",V28="DNS",V28=" DNS "),$BW$3+1,V28))</f>
        <v>0</v>
      </c>
      <c r="CI28" s="61">
        <f>IF(W28="",0,IF(OR(W28="DNF",W28="OCS",W28="DSQ",W28="DNS",W28=" DNS "),$BW$3+1,W28))</f>
        <v>0</v>
      </c>
      <c r="CJ28" s="61">
        <f>IF(X28="",0,IF(OR(X28="DNF",X28="OCS",X28="DSQ",X28="DNS",X28=" DNS "),$BW$3+1,X28))</f>
        <v>0</v>
      </c>
      <c r="CK28" s="61">
        <f>IF(Y28="",0,IF(OR(Y28="DNF",Y28="OCS",Y28="DSQ",Y28="DNS",Y28=" DNS "),$BW$3+1,Y28))</f>
        <v>0</v>
      </c>
      <c r="CL28" s="61">
        <f>IF(Z28="",0,IF(OR(Z28="DNF",Z28="OCS",Z28="DSQ",Z28="DNS",Z28=" DNS "),$BW$3+1,Z28))</f>
        <v>0</v>
      </c>
      <c r="CM28" s="61">
        <f>IF(AA28="",0,IF(OR(AA28="DNF",AA28="OCS",AA28="DSQ",AA28="DNS",AA28=" DNS "),$BW$3+1,AA28))</f>
        <v>0</v>
      </c>
      <c r="CN28" s="61">
        <f>IF(AB28="",0,IF(OR(AB28="DNF",AB28="OCS",AB28="DSQ",AB28="DNS",AB28=" DNS "),$BW$3+1,AB28))</f>
        <v>0</v>
      </c>
      <c r="CO28" s="61">
        <f>IF(AC28="",0,IF(OR(AC28="DNF",AC28="OCS",AC28="DSQ",AC28="DNS",AC28=" DNS "),$BW$3+1,AC28))</f>
        <v>0</v>
      </c>
      <c r="CP28" s="61">
        <f>IF(AD28="",0,IF(OR(AD28="DNF",AD28="OCS",AD28="DSQ",AD28="DNS",AD28=" DNS "),$BW$3+1,AD28))</f>
        <v>0</v>
      </c>
      <c r="CQ28" s="61">
        <f>IF(AE28="",0,IF(OR(AE28="DNF",AE28="OCS",AE28="DSQ",AE28="DNS",AE28=" DNS "),$BW$3+1,AE28))</f>
        <v>0</v>
      </c>
      <c r="CR28" s="61">
        <f>IF(AF28="",0,IF(OR(AF28="DNF",AF28="OCS",AF28="DSQ",AF28="DNS",AF28=" DNS "),$BW$3+1,AF28))</f>
        <v>0</v>
      </c>
      <c r="CS28" s="61">
        <f>IF(AG28="",0,IF(OR(AG28="DNF",AG28="OCS",AG28="DSQ",AG28="DNS",AG28=" DNS "),$BW$3+1,AG28))</f>
        <v>0</v>
      </c>
      <c r="CT28" s="61">
        <f>IF(AH28="",0,IF(OR(AH28="DNF",AH28="OCS",AH28="DSQ",AH28="DNS",AH28=" DNS "),$BW$3+1,AH28))</f>
        <v>0</v>
      </c>
      <c r="CU28" s="61">
        <f>IF(AI28="",0,IF(OR(AI28="DNF",AI28="OCS",AI28="DSQ",AI28="DNS",AI28=" DNS "),$BW$3+1,AI28))</f>
        <v>0</v>
      </c>
      <c r="CV28" s="61">
        <f>IF(AJ28="",0,IF(OR(AJ28="DNF",AJ28="OCS",AJ28="DSQ",AJ28="DNS",AJ28=" DNS "),$BW$3+1,AJ28))</f>
        <v>0</v>
      </c>
      <c r="CW28" s="61">
        <f>IF(AK28="",0,IF(OR(AK28="DNF",AK28="OCS",AK28="DSQ",AK28="DNS",AK28=" DNS "),$BW$3+1,AK28))</f>
        <v>0</v>
      </c>
      <c r="CX28" s="61">
        <f>IF(AL28="",0,IF(OR(AL28="DNF",AL28="OCS",AL28="DSQ",AL28="DNS",AL28=" DNS "),$BW$3+1,AL28))</f>
        <v>0</v>
      </c>
      <c r="CY28" s="61">
        <f>IF(AM28="",0,IF(OR(AM28="DNF",AM28="OCS",AM28="DSQ",AM28="DNS",AM28=" DNS "),$BW$3+1,AM28))</f>
        <v>0</v>
      </c>
      <c r="CZ28" s="61">
        <f>IF(AN28="",0,IF(OR(AN28="DNF",AN28="OCS",AN28="DSQ",AN28="DNS",AN28=" DNS "),$BW$3+1,AN28))</f>
        <v>0</v>
      </c>
      <c r="DA28" s="61">
        <f>IF(AO28="",0,IF(OR(AO28="DNF",AO28="OCS",AO28="DSQ",AO28="DNS",AO28=" DNS "),$BW$3+1,AO28))</f>
        <v>0</v>
      </c>
      <c r="DB28" s="61">
        <f>IF(AP28="",0,IF(OR(AP28="DNF",AP28="OCS",AP28="DSQ",AP28="DNS",AP28=" DNS "),$BW$3+1,AP28))</f>
        <v>0</v>
      </c>
      <c r="DC28" s="61">
        <f>IF(AQ28="",0,IF(OR(AQ28="DNF",AQ28="OCS",AQ28="DSQ",AQ28="DNS",AQ28=" DNS "),$BW$3+1,AQ28))</f>
        <v>0</v>
      </c>
      <c r="DD28" s="61">
        <f>IF(AR28="",0,IF(OR(AR28="DNF",AR28="OCS",AR28="DSQ",AR28="DNS",AR28=" DNS "),$BW$3+1,AR28))</f>
        <v>0</v>
      </c>
      <c r="DE28" s="61">
        <f>IF(AS28="",0,IF(OR(AS28="DNF",AS28="OCS",AS28="DSQ",AS28="DNS",AS28=" DNS "),$BW$3+1,AS28))</f>
        <v>0</v>
      </c>
      <c r="DF28" s="61">
        <f>IF(AT28="",0,IF(OR(AT28="DNF",AT28="OCS",AT28="DSQ",AT28="DNS",AT28=" DNS "),$BW$3+1,AT28))</f>
        <v>0</v>
      </c>
      <c r="DG28" s="61">
        <f>IF(AU28="",0,IF(OR(AU28="DNF",AU28="OCS",AU28="DSQ",AU28="DNS",AU28=" DNS "),$BW$3+1,AU28))</f>
        <v>0</v>
      </c>
      <c r="DH28" s="61">
        <f>IF(AV28="",0,IF(OR(AV28="DNF",AV28="OCS",AV28="DSQ",AV28="DNS",AV28=" DNS "),$BW$3+1,AV28))</f>
        <v>0</v>
      </c>
      <c r="DI28" s="61">
        <f>IF(AW28="",0,IF(OR(AW28="DNF",AW28="OCS",AW28="DSQ",AW28="DNS",AW28=" DNS "),$BW$3+1,AW28))</f>
        <v>0</v>
      </c>
      <c r="DJ28" s="61">
        <f>IF(AX28="",0,IF(OR(AX28="DNF",AX28="OCS",AX28="DSQ",AX28="DNS",AX28=" DNS "),$BW$3+1,AX28))</f>
        <v>0</v>
      </c>
      <c r="DK28" s="61">
        <f>IF(AY28="",0,IF(OR(AY28="DNF",AY28="OCS",AY28="DSQ",AY28="DNS",AY28=" DNS "),$BW$3+1,AY28))</f>
        <v>0</v>
      </c>
      <c r="DL28" s="61">
        <f>IF(AZ28="",0,IF(OR(AZ28="DNF",AZ28="OCS",AZ28="DSQ",AZ28="DNS",AZ28=" DNS "),$BW$3+1,AZ28))</f>
        <v>0</v>
      </c>
      <c r="DM28" s="61">
        <f>IF(BA28="",0,IF(OR(BA28="DNF",BA28="OCS",BA28="DSQ",BA28="DNS",BA28=" DNS "),$BW$3+1,BA28))</f>
        <v>0</v>
      </c>
      <c r="DN28" s="61">
        <f>IF(BB28="",0,IF(OR(BB28="DNF",BB28="OCS",BB28="DSQ",BB28="DNS",BB28=" DNS "),$BW$3+1,BB28))</f>
        <v>0</v>
      </c>
      <c r="DO28" s="61">
        <f>IF(BC28="",0,IF(OR(BC28="DNF",BC28="OCS",BC28="DSQ",BC28="DNS",BC28=" DNS "),$BW$3+1,BC28))</f>
        <v>0</v>
      </c>
      <c r="DP28" s="61">
        <f>IF(BD28="",0,IF(OR(BD28="DNF",BD28="OCS",BD28="DSQ",BD28="DNS",BD28=" DNS "),$BW$3+1,BD28))</f>
        <v>0</v>
      </c>
      <c r="DQ28" s="61">
        <f>IF(BE28="",0,IF(OR(BE28="DNF",BE28="OCS",BE28="DSQ",BE28="DNS",BE28=" DNS "),$BW$3+1,BE28))</f>
        <v>0</v>
      </c>
      <c r="DR28" s="61">
        <f>IF(BF28="",0,IF(OR(BF28="DNF",BF28="OCS",BF28="DSQ",BF28="DNS",BF28=" DNS "),$BW$3+1,BF28))</f>
        <v>0</v>
      </c>
      <c r="DS28" s="61">
        <f>IF(BG28="",0,IF(OR(BG28="DNF",BG28="OCS",BG28="DSQ",BG28="DNS",BG28=" DNS "),$BW$3+1,BG28))</f>
        <v>0</v>
      </c>
      <c r="DT28" s="61">
        <f>IF(BH28="",0,IF(OR(BH28="DNF",BH28="OCS",BH28="DSQ",BH28="DNS",BH28=" DNS "),$BW$3+1,BH28))</f>
        <v>0</v>
      </c>
      <c r="DU28" s="61">
        <f>IF(BI28="",0,IF(OR(BI28="DNF",BI28="OCS",BI28="DSQ",BI28="DNS",BI28=" DNS "),$BW$3+1,BI28))</f>
        <v>0</v>
      </c>
      <c r="DV28" s="61">
        <f>IF(BJ28="",0,IF(OR(BJ28="DNF",BJ28="OCS",BJ28="DSQ",BJ28="DNS",BJ28=" DNS "),$BW$3+1,BJ28))</f>
        <v>0</v>
      </c>
      <c r="DW28" s="61">
        <f>IF(BK28="",0,IF(OR(BK28="DNF",BK28="OCS",BK28="DSQ",BK28="DNS",BK28=" DNS "),$BW$3+1,BK28))</f>
        <v>0</v>
      </c>
      <c r="DX28" s="61">
        <f>IF(BL28="",0,IF(OR(BL28="DNF",BL28="OCS",BL28="DSQ",BL28="DNS",BL28=" DNS "),$BW$3+1,BL28))</f>
        <v>0</v>
      </c>
      <c r="DY28" s="61">
        <f>IF(BM28="",0,IF(OR(BM28="DNF",BM28="OCS",BM28="DSQ",BM28="DNS",BM28=" DNS "),$BW$3+1,BM28))</f>
        <v>0</v>
      </c>
      <c r="DZ28" s="61">
        <f>IF(BN28="",0,IF(OR(BN28="DNF",BN28="OCS",BN28="DSQ",BN28="DNS",BN28=" DNS "),$BW$3+1,BN28))</f>
        <v>0</v>
      </c>
      <c r="EA28" s="61">
        <f>IF(BO28="",0,IF(OR(BO28="DNF",BO28="OCS",BO28="DSQ",BO28="DNS",BO28=" DNS "),$BW$3+1,BO28))</f>
        <v>0</v>
      </c>
      <c r="EB28" s="61">
        <f>IF(BP28="",0,IF(OR(BP28="DNF",BP28="OCS",BP28="DSQ",BP28="DNS",BP28=" DNS "),$BW$3+1,BP28))</f>
        <v>0</v>
      </c>
      <c r="EC28" s="61">
        <f>IF(BQ28="",0,IF(OR(BQ28="DNF",BQ28="OCS",BQ28="DSQ",BQ28="DNS",BQ28=" DNS "),$BW$3+1,BQ28))</f>
        <v>0</v>
      </c>
      <c r="EE28" s="61">
        <f xml:space="preserve">
IF(OR(Deltagarlista!$K$3=3,Deltagarlista!$K$3=4),
IF(Arrangörslista!$U$5&lt;8,0,
IF(Arrangörslista!$U$5&lt;16,SUM(LARGE(BV28:CJ28,1)),
IF(Arrangörslista!$U$5&lt;24,SUM(LARGE(BV28:CR28,{1;2})),
IF(Arrangörslista!$U$5&lt;32,SUM(LARGE(BV28:CZ28,{1;2;3})),
IF(Arrangörslista!$U$5&lt;40,SUM(LARGE(BV28:DH28,{1;2;3;4})),
IF(Arrangörslista!$U$5&lt;48,SUM(LARGE(BV28:DP28,{1;2;3;4;5})),
IF(Arrangörslista!$U$5&lt;56,SUM(LARGE(BV28:DX28,{1;2;3;4;5;6})),
IF(Arrangörslista!$U$5&lt;64,SUM(LARGE(BV28:EC28,{1;2;3;4;5;6;7})),0)))))))),
IF(Deltagarlista!$K$3=2,
IF(Arrangörslista!$U$5&lt;4,LARGE(BV28:BX28,1),
IF(Arrangörslista!$U$5&lt;7,SUM(LARGE(BV28:CA28,{1;2;3})),
IF(Arrangörslista!$U$5&lt;10,SUM(LARGE(BV28:CD28,{1;2;3;4})),
IF(Arrangörslista!$U$5&lt;13,SUM(LARGE(BV28:CG28,{1;2;3;4;5;6})),
IF(Arrangörslista!$U$5&lt;16,SUM(LARGE(BV28:CJ28,{1;2;3;4;5;6;7})),
IF(Arrangörslista!$U$5&lt;19,SUM(LARGE(BV28:CM28,{1;2;3;4;5;6;7;8;9})),
IF(Arrangörslista!$U$5&lt;22,SUM(LARGE(BV28:CP28,{1;2;3;4;5;6;7;8;9;10})),
IF(Arrangörslista!$U$5&lt;25,SUM(LARGE(BV28:CS28,{1;2;3;4;5;6;7;8;9;10;11;12})),
IF(Arrangörslista!$U$5&lt;28,SUM(LARGE(BV28:CV28,{1;2;3;4;5;6;7;8;9;10;11;12;13})),
IF(Arrangörslista!$U$5&lt;31,SUM(LARGE(BV28:CY28,{1;2;3;4;5;6;7;8;9;10;11;12;13;14;15})),
IF(Arrangörslista!$U$5&lt;34,SUM(LARGE(BV28:DB28,{1;2;3;4;5;6;7;8;9;10;11;12;13;14;15;16})),
IF(Arrangörslista!$U$5&lt;37,SUM(LARGE(BV28:DE28,{1;2;3;4;5;6;7;8;9;10;11;12;13;14;15;16;17;18})),
IF(Arrangörslista!$U$5&lt;40,SUM(LARGE(BV28:DH28,{1;2;3;4;5;6;7;8;9;10;11;12;13;14;15;16;17;18;19})),
IF(Arrangörslista!$U$5&lt;43,SUM(LARGE(BV28:DK28,{1;2;3;4;5;6;7;8;9;10;11;12;13;14;15;16;17;18;19;20;21})),
IF(Arrangörslista!$U$5&lt;46,SUM(LARGE(BV28:DN28,{1;2;3;4;5;6;7;8;9;10;11;12;13;14;15;16;17;18;19;20;21;22})),
IF(Arrangörslista!$U$5&lt;49,SUM(LARGE(BV28:DQ28,{1;2;3;4;5;6;7;8;9;10;11;12;13;14;15;16;17;18;19;20;21;22;23;24})),
IF(Arrangörslista!$U$5&lt;52,SUM(LARGE(BV28:DT28,{1;2;3;4;5;6;7;8;9;10;11;12;13;14;15;16;17;18;19;20;21;22;23;24;25})),
IF(Arrangörslista!$U$5&lt;55,SUM(LARGE(BV28:DW28,{1;2;3;4;5;6;7;8;9;10;11;12;13;14;15;16;17;18;19;20;21;22;23;24;25;26;27})),
IF(Arrangörslista!$U$5&lt;58,SUM(LARGE(BV28:DZ28,{1;2;3;4;5;6;7;8;9;10;11;12;13;14;15;16;17;18;19;20;21;22;23;24;25;26;27;28})),
IF(Arrangörslista!$U$5&lt;61,SUM(LARGE(BV28:EC28,{1;2;3;4;5;6;7;8;9;10;11;12;13;14;15;16;17;18;19;20;21;22;23;24;25;26;27;28;29;30})),0)))))))))))))))))))),
IF(Arrangörslista!$U$5&lt;4,0,
IF(Arrangörslista!$U$5&lt;8,SUM(LARGE(BV28:CB28,1)),
IF(Arrangörslista!$U$5&lt;12,SUM(LARGE(BV28:CF28,{1;2})),
IF(Arrangörslista!$U$5&lt;16,SUM(LARGE(BV28:CJ28,{1;2;3})),
IF(Arrangörslista!$U$5&lt;20,SUM(LARGE(BV28:CN28,{1;2;3;4})),
IF(Arrangörslista!$U$5&lt;24,SUM(LARGE(BV28:CR28,{1;2;3;4;5})),
IF(Arrangörslista!$U$5&lt;28,SUM(LARGE(BV28:CV28,{1;2;3;4;5;6})),
IF(Arrangörslista!$U$5&lt;32,SUM(LARGE(BV28:CZ28,{1;2;3;4;5;6;7})),
IF(Arrangörslista!$U$5&lt;36,SUM(LARGE(BV28:DD28,{1;2;3;4;5;6;7;8})),
IF(Arrangörslista!$U$5&lt;40,SUM(LARGE(BV28:DH28,{1;2;3;4;5;6;7;8;9})),
IF(Arrangörslista!$U$5&lt;44,SUM(LARGE(BV28:DL28,{1;2;3;4;5;6;7;8;9;10})),
IF(Arrangörslista!$U$5&lt;48,SUM(LARGE(BV28:DP28,{1;2;3;4;5;6;7;8;9;10;11})),
IF(Arrangörslista!$U$5&lt;52,SUM(LARGE(BV28:DT28,{1;2;3;4;5;6;7;8;9;10;11;12})),
IF(Arrangörslista!$U$5&lt;56,SUM(LARGE(BV28:DX28,{1;2;3;4;5;6;7;8;9;10;11;12;13})),
IF(Arrangörslista!$U$5&lt;60,SUM(LARGE(BV28:EB28,{1;2;3;4;5;6;7;8;9;10;11;12;13;14})),
IF(Arrangörslista!$U$5=60,SUM(LARGE(BV28:EC28,{1;2;3;4;5;6;7;8;9;10;11;12;13;14;15})),0))))))))))))))))))</f>
        <v>0</v>
      </c>
      <c r="EG28" s="67">
        <f>IF(F28="",,1)</f>
        <v>0</v>
      </c>
      <c r="EH28" s="61"/>
      <c r="EI28" s="61"/>
      <c r="EK28" s="62">
        <f>SMALL($J91:$BQ91,1)</f>
        <v>61</v>
      </c>
      <c r="EL28" s="62">
        <f>SMALL($J91:$BQ91,2)</f>
        <v>61</v>
      </c>
      <c r="EM28" s="62">
        <f>SMALL($J91:$BQ91,3)</f>
        <v>61</v>
      </c>
      <c r="EN28" s="62">
        <f>SMALL($J91:$BQ91,4)</f>
        <v>61</v>
      </c>
      <c r="EO28" s="62">
        <f>SMALL($J91:$BQ91,5)</f>
        <v>61</v>
      </c>
      <c r="EP28" s="62">
        <f>SMALL($J91:$BQ91,6)</f>
        <v>61</v>
      </c>
      <c r="EQ28" s="62">
        <f>SMALL($J91:$BQ91,7)</f>
        <v>61</v>
      </c>
      <c r="ER28" s="62">
        <f>SMALL($J91:$BQ91,8)</f>
        <v>61</v>
      </c>
      <c r="ES28" s="62">
        <f>SMALL($J91:$BQ91,9)</f>
        <v>61</v>
      </c>
      <c r="ET28" s="62">
        <f>SMALL($J91:$BQ91,10)</f>
        <v>61</v>
      </c>
      <c r="EU28" s="62">
        <f>SMALL($J91:$BQ91,11)</f>
        <v>61</v>
      </c>
      <c r="EV28" s="62">
        <f>SMALL($J91:$BQ91,12)</f>
        <v>61</v>
      </c>
      <c r="EW28" s="62">
        <f>SMALL($J91:$BQ91,13)</f>
        <v>61</v>
      </c>
      <c r="EX28" s="62">
        <f>SMALL($J91:$BQ91,14)</f>
        <v>61</v>
      </c>
      <c r="EY28" s="62">
        <f>SMALL($J91:$BQ91,15)</f>
        <v>61</v>
      </c>
      <c r="EZ28" s="62">
        <f>SMALL($J91:$BQ91,16)</f>
        <v>61</v>
      </c>
      <c r="FA28" s="62">
        <f>SMALL($J91:$BQ91,17)</f>
        <v>61</v>
      </c>
      <c r="FB28" s="62">
        <f>SMALL($J91:$BQ91,18)</f>
        <v>61</v>
      </c>
      <c r="FC28" s="62">
        <f>SMALL($J91:$BQ91,19)</f>
        <v>61</v>
      </c>
      <c r="FD28" s="62">
        <f>SMALL($J91:$BQ91,20)</f>
        <v>61</v>
      </c>
      <c r="FE28" s="62">
        <f>SMALL($J91:$BQ91,21)</f>
        <v>61</v>
      </c>
      <c r="FF28" s="62">
        <f>SMALL($J91:$BQ91,22)</f>
        <v>61</v>
      </c>
      <c r="FG28" s="62">
        <f>SMALL($J91:$BQ91,23)</f>
        <v>61</v>
      </c>
      <c r="FH28" s="62">
        <f>SMALL($J91:$BQ91,24)</f>
        <v>61</v>
      </c>
      <c r="FI28" s="62">
        <f>SMALL($J91:$BQ91,25)</f>
        <v>61</v>
      </c>
      <c r="FJ28" s="62">
        <f>SMALL($J91:$BQ91,26)</f>
        <v>61</v>
      </c>
      <c r="FK28" s="62">
        <f>SMALL($J91:$BQ91,27)</f>
        <v>61</v>
      </c>
      <c r="FL28" s="62">
        <f>SMALL($J91:$BQ91,28)</f>
        <v>61</v>
      </c>
      <c r="FM28" s="62">
        <f>SMALL($J91:$BQ91,29)</f>
        <v>61</v>
      </c>
      <c r="FN28" s="62">
        <f>SMALL($J91:$BQ91,30)</f>
        <v>61</v>
      </c>
      <c r="FO28" s="62">
        <f>SMALL($J91:$BQ91,31)</f>
        <v>61</v>
      </c>
      <c r="FP28" s="62">
        <f>SMALL($J91:$BQ91,32)</f>
        <v>61</v>
      </c>
      <c r="FQ28" s="62">
        <f>SMALL($J91:$BQ91,33)</f>
        <v>61</v>
      </c>
      <c r="FR28" s="62">
        <f>SMALL($J91:$BQ91,34)</f>
        <v>61</v>
      </c>
      <c r="FS28" s="62">
        <f>SMALL($J91:$BQ91,35)</f>
        <v>61</v>
      </c>
      <c r="FT28" s="62">
        <f>SMALL($J91:$BQ91,36)</f>
        <v>61</v>
      </c>
      <c r="FU28" s="62">
        <f>SMALL($J91:$BQ91,37)</f>
        <v>61</v>
      </c>
      <c r="FV28" s="62">
        <f>SMALL($J91:$BQ91,38)</f>
        <v>61</v>
      </c>
      <c r="FW28" s="62">
        <f>SMALL($J91:$BQ91,39)</f>
        <v>61</v>
      </c>
      <c r="FX28" s="62">
        <f>SMALL($J91:$BQ91,40)</f>
        <v>61</v>
      </c>
      <c r="FY28" s="62">
        <f>SMALL($J91:$BQ91,41)</f>
        <v>61</v>
      </c>
      <c r="FZ28" s="62">
        <f>SMALL($J91:$BQ91,42)</f>
        <v>61</v>
      </c>
      <c r="GA28" s="62">
        <f>SMALL($J91:$BQ91,43)</f>
        <v>61</v>
      </c>
      <c r="GB28" s="62">
        <f>SMALL($J91:$BQ91,44)</f>
        <v>61</v>
      </c>
      <c r="GC28" s="62">
        <f>SMALL($J91:$BQ91,45)</f>
        <v>61</v>
      </c>
      <c r="GD28" s="62">
        <f>SMALL($J91:$BQ91,46)</f>
        <v>61</v>
      </c>
      <c r="GE28" s="62">
        <f>SMALL($J91:$BQ91,47)</f>
        <v>61</v>
      </c>
      <c r="GF28" s="62">
        <f>SMALL($J91:$BQ91,48)</f>
        <v>61</v>
      </c>
      <c r="GG28" s="62">
        <f>SMALL($J91:$BQ91,49)</f>
        <v>61</v>
      </c>
      <c r="GH28" s="62">
        <f>SMALL($J91:$BQ91,50)</f>
        <v>61</v>
      </c>
      <c r="GI28" s="62">
        <f>SMALL($J91:$BQ91,51)</f>
        <v>61</v>
      </c>
      <c r="GJ28" s="62">
        <f>SMALL($J91:$BQ91,52)</f>
        <v>61</v>
      </c>
      <c r="GK28" s="62">
        <f>SMALL($J91:$BQ91,53)</f>
        <v>61</v>
      </c>
      <c r="GL28" s="62">
        <f>SMALL($J91:$BQ91,54)</f>
        <v>61</v>
      </c>
      <c r="GM28" s="62">
        <f>SMALL($J91:$BQ91,55)</f>
        <v>61</v>
      </c>
      <c r="GN28" s="62">
        <f>SMALL($J91:$BQ91,56)</f>
        <v>61</v>
      </c>
      <c r="GO28" s="62">
        <f>SMALL($J91:$BQ91,57)</f>
        <v>61</v>
      </c>
      <c r="GP28" s="62">
        <f>SMALL($J91:$BQ91,58)</f>
        <v>61</v>
      </c>
      <c r="GQ28" s="62">
        <f>SMALL($J91:$BQ91,59)</f>
        <v>61</v>
      </c>
      <c r="GR28" s="62">
        <f>SMALL($J91:$BQ91,60)</f>
        <v>61</v>
      </c>
      <c r="GT28" s="62">
        <f>IF(Deltagarlista!$K$3=2,
IF(GW28="1",
      IF(Arrangörslista!$U$5=1,J91,
IF(Arrangörslista!$U$5=2,K91,
IF(Arrangörslista!$U$5=3,L91,
IF(Arrangörslista!$U$5=4,M91,
IF(Arrangörslista!$U$5=5,N91,
IF(Arrangörslista!$U$5=6,O91,
IF(Arrangörslista!$U$5=7,P91,
IF(Arrangörslista!$U$5=8,Q91,
IF(Arrangörslista!$U$5=9,R91,
IF(Arrangörslista!$U$5=10,S91,
IF(Arrangörslista!$U$5=11,T91,
IF(Arrangörslista!$U$5=12,U91,
IF(Arrangörslista!$U$5=13,V91,
IF(Arrangörslista!$U$5=14,W91,
IF(Arrangörslista!$U$5=15,X91,
IF(Arrangörslista!$U$5=16,Y91,IF(Arrangörslista!$U$5=17,Z91,IF(Arrangörslista!$U$5=18,AA91,IF(Arrangörslista!$U$5=19,AB91,IF(Arrangörslista!$U$5=20,AC91,IF(Arrangörslista!$U$5=21,AD91,IF(Arrangörslista!$U$5=22,AE91,IF(Arrangörslista!$U$5=23,AF91, IF(Arrangörslista!$U$5=24,AG91, IF(Arrangörslista!$U$5=25,AH91, IF(Arrangörslista!$U$5=26,AI91, IF(Arrangörslista!$U$5=27,AJ91, IF(Arrangörslista!$U$5=28,AK91, IF(Arrangörslista!$U$5=29,AL91, IF(Arrangörslista!$U$5=30,AM91, IF(Arrangörslista!$U$5=31,AN91, IF(Arrangörslista!$U$5=32,AO91, IF(Arrangörslista!$U$5=33,AP91, IF(Arrangörslista!$U$5=34,AQ91, IF(Arrangörslista!$U$5=35,AR91, IF(Arrangörslista!$U$5=36,AS91, IF(Arrangörslista!$U$5=37,AT91, IF(Arrangörslista!$U$5=38,AU91, IF(Arrangörslista!$U$5=39,AV91, IF(Arrangörslista!$U$5=40,AW91, IF(Arrangörslista!$U$5=41,AX91, IF(Arrangörslista!$U$5=42,AY91, IF(Arrangörslista!$U$5=43,AZ91, IF(Arrangörslista!$U$5=44,BA91, IF(Arrangörslista!$U$5=45,BB91, IF(Arrangörslista!$U$5=46,BC91, IF(Arrangörslista!$U$5=47,BD91, IF(Arrangörslista!$U$5=48,BE91, IF(Arrangörslista!$U$5=49,BF91, IF(Arrangörslista!$U$5=50,BG91, IF(Arrangörslista!$U$5=51,BH91, IF(Arrangörslista!$U$5=52,BI91, IF(Arrangörslista!$U$5=53,BJ91, IF(Arrangörslista!$U$5=54,BK91, IF(Arrangörslista!$U$5=55,BL91, IF(Arrangörslista!$U$5=56,BM91, IF(Arrangörslista!$U$5=57,BN91, IF(Arrangörslista!$U$5=58,BO91, IF(Arrangörslista!$U$5=59,BP91, IF(Arrangörslista!$U$5=60,BQ91,0))))))))))))))))))))))))))))))))))))))))))))))))))))))))))))),IF(Deltagarlista!$K$3=4, IF(Arrangörslista!$U$5=1,J91,
IF(Arrangörslista!$U$5=2,J91,
IF(Arrangörslista!$U$5=3,K91,
IF(Arrangörslista!$U$5=4,K91,
IF(Arrangörslista!$U$5=5,L91,
IF(Arrangörslista!$U$5=6,L91,
IF(Arrangörslista!$U$5=7,M91,
IF(Arrangörslista!$U$5=8,M91,
IF(Arrangörslista!$U$5=9,N91,
IF(Arrangörslista!$U$5=10,N91,
IF(Arrangörslista!$U$5=11,O91,
IF(Arrangörslista!$U$5=12,O91,
IF(Arrangörslista!$U$5=13,P91,
IF(Arrangörslista!$U$5=14,P91,
IF(Arrangörslista!$U$5=15,Q91,
IF(Arrangörslista!$U$5=16,Q91,
IF(Arrangörslista!$U$5=17,R91,
IF(Arrangörslista!$U$5=18,R91,
IF(Arrangörslista!$U$5=19,S91,
IF(Arrangörslista!$U$5=20,S91,
IF(Arrangörslista!$U$5=21,T91,
IF(Arrangörslista!$U$5=22,T91,IF(Arrangörslista!$U$5=23,U91, IF(Arrangörslista!$U$5=24,U91, IF(Arrangörslista!$U$5=25,V91, IF(Arrangörslista!$U$5=26,V91, IF(Arrangörslista!$U$5=27,W91, IF(Arrangörslista!$U$5=28,W91, IF(Arrangörslista!$U$5=29,X91, IF(Arrangörslista!$U$5=30,X91, IF(Arrangörslista!$U$5=31,X91, IF(Arrangörslista!$U$5=32,Y91, IF(Arrangörslista!$U$5=33,AO91, IF(Arrangörslista!$U$5=34,Y91, IF(Arrangörslista!$U$5=35,Z91, IF(Arrangörslista!$U$5=36,AR91, IF(Arrangörslista!$U$5=37,Z91, IF(Arrangörslista!$U$5=38,AA91, IF(Arrangörslista!$U$5=39,AU91, IF(Arrangörslista!$U$5=40,AA91, IF(Arrangörslista!$U$5=41,AB91, IF(Arrangörslista!$U$5=42,AX91, IF(Arrangörslista!$U$5=43,AB91, IF(Arrangörslista!$U$5=44,AC91, IF(Arrangörslista!$U$5=45,BA91, IF(Arrangörslista!$U$5=46,AC91, IF(Arrangörslista!$U$5=47,AD91, IF(Arrangörslista!$U$5=48,BD91, IF(Arrangörslista!$U$5=49,AD91, IF(Arrangörslista!$U$5=50,AE91, IF(Arrangörslista!$U$5=51,BG91, IF(Arrangörslista!$U$5=52,AE91, IF(Arrangörslista!$U$5=53,AF91, IF(Arrangörslista!$U$5=54,BJ91, IF(Arrangörslista!$U$5=55,AF91, IF(Arrangörslista!$U$5=56,AG91, IF(Arrangörslista!$U$5=57,BM91, IF(Arrangörslista!$U$5=58,AG91, IF(Arrangörslista!$U$5=59,AH91, IF(Arrangörslista!$U$5=60,AH91,0)))))))))))))))))))))))))))))))))))))))))))))))))))))))))))),IF(Arrangörslista!$U$5=1,J91,
IF(Arrangörslista!$U$5=2,K91,
IF(Arrangörslista!$U$5=3,L91,
IF(Arrangörslista!$U$5=4,M91,
IF(Arrangörslista!$U$5=5,N91,
IF(Arrangörslista!$U$5=6,O91,
IF(Arrangörslista!$U$5=7,P91,
IF(Arrangörslista!$U$5=8,Q91,
IF(Arrangörslista!$U$5=9,R91,
IF(Arrangörslista!$U$5=10,S91,
IF(Arrangörslista!$U$5=11,T91,
IF(Arrangörslista!$U$5=12,U91,
IF(Arrangörslista!$U$5=13,V91,
IF(Arrangörslista!$U$5=14,W91,
IF(Arrangörslista!$U$5=15,X91,
IF(Arrangörslista!$U$5=16,Y91,IF(Arrangörslista!$U$5=17,Z91,IF(Arrangörslista!$U$5=18,AA91,IF(Arrangörslista!$U$5=19,AB91,IF(Arrangörslista!$U$5=20,AC91,IF(Arrangörslista!$U$5=21,AD91,IF(Arrangörslista!$U$5=22,AE91,IF(Arrangörslista!$U$5=23,AF91, IF(Arrangörslista!$U$5=24,AG91, IF(Arrangörslista!$U$5=25,AH91, IF(Arrangörslista!$U$5=26,AI91, IF(Arrangörslista!$U$5=27,AJ91, IF(Arrangörslista!$U$5=28,AK91, IF(Arrangörslista!$U$5=29,AL91, IF(Arrangörslista!$U$5=30,AM91, IF(Arrangörslista!$U$5=31,AN91, IF(Arrangörslista!$U$5=32,AO91, IF(Arrangörslista!$U$5=33,AP91, IF(Arrangörslista!$U$5=34,AQ91, IF(Arrangörslista!$U$5=35,AR91, IF(Arrangörslista!$U$5=36,AS91, IF(Arrangörslista!$U$5=37,AT91, IF(Arrangörslista!$U$5=38,AU91, IF(Arrangörslista!$U$5=39,AV91, IF(Arrangörslista!$U$5=40,AW91, IF(Arrangörslista!$U$5=41,AX91, IF(Arrangörslista!$U$5=42,AY91, IF(Arrangörslista!$U$5=43,AZ91, IF(Arrangörslista!$U$5=44,BA91, IF(Arrangörslista!$U$5=45,BB91, IF(Arrangörslista!$U$5=46,BC91, IF(Arrangörslista!$U$5=47,BD91, IF(Arrangörslista!$U$5=48,BE91, IF(Arrangörslista!$U$5=49,BF91, IF(Arrangörslista!$U$5=50,BG91, IF(Arrangörslista!$U$5=51,BH91, IF(Arrangörslista!$U$5=52,BI91, IF(Arrangörslista!$U$5=53,BJ91, IF(Arrangörslista!$U$5=54,BK91, IF(Arrangörslista!$U$5=55,BL91, IF(Arrangörslista!$U$5=56,BM91, IF(Arrangörslista!$U$5=57,BN91, IF(Arrangörslista!$U$5=58,BO91, IF(Arrangörslista!$U$5=59,BP91, IF(Arrangörslista!$U$5=60,BQ91,0))))))))))))))))))))))))))))))))))))))))))))))))))))))))))))
))</f>
        <v>0</v>
      </c>
      <c r="GV28" s="65" t="str">
        <f>IFERROR(IF(VLOOKUP(F28,Deltagarlista!$E$5:$I$64,5,FALSE)="Grön","Gr",IF(VLOOKUP(F28,Deltagarlista!$E$5:$I$64,5,FALSE)="Röd","R",IF(VLOOKUP(F28,Deltagarlista!$E$5:$I$64,5,FALSE)="Blå","B","Gu"))),"")</f>
        <v/>
      </c>
      <c r="GW28" s="62" t="str">
        <f t="shared" si="1"/>
        <v/>
      </c>
    </row>
    <row r="29" spans="2:205" x14ac:dyDescent="0.3">
      <c r="B29" s="23" t="str">
        <f>IF($BW$3&gt;25,26,"")</f>
        <v/>
      </c>
      <c r="C29" s="92" t="str">
        <f>IF(ISBLANK(Deltagarlista!C30),"",Deltagarlista!C30)</f>
        <v/>
      </c>
      <c r="D29" s="109" t="str">
        <f>CONCATENATE(IF(AND(Deltagarlista!H30="GM",Deltagarlista!$S$14=TRUE),"GM   ",""),  IF(OR(Deltagarlista!$K$3=4,Deltagarlista!$K$3=2),Deltagarlista!I30,""))</f>
        <v/>
      </c>
      <c r="E29" s="8" t="str">
        <f>IF(ISBLANK(Deltagarlista!D30),"",Deltagarlista!D30)</f>
        <v/>
      </c>
      <c r="F29" s="8" t="str">
        <f>IF(ISBLANK(Deltagarlista!E30),"",Deltagarlista!E30)</f>
        <v/>
      </c>
      <c r="G29" s="95" t="str">
        <f>IF(ISBLANK(Deltagarlista!F30),"",Deltagarlista!F30)</f>
        <v/>
      </c>
      <c r="H29" s="72" t="str">
        <f>IF(ISBLANK(Deltagarlista!C30),"",BU29-EE29)</f>
        <v/>
      </c>
      <c r="I29" s="13" t="str">
        <f>IF(ISBLANK(Deltagarlista!C30),"",IF(AND(Deltagarlista!$K$3=2,Deltagarlista!$L$3&lt;37),SUM(SUM(BV29:EC29)-(ROUNDDOWN(Arrangörslista!$U$5/3,1))*($BW$3+1)),SUM(BV29:EC29)))</f>
        <v/>
      </c>
      <c r="J29" s="79" t="str">
        <f>IF(Deltagarlista!$K$3=4,IF(ISBLANK(Deltagarlista!$C30),"",IF(ISBLANK(Arrangörslista!C$8),"",IFERROR(VLOOKUP($F29,Arrangörslista!C$8:$AG$45,16,FALSE),IF(ISBLANK(Deltagarlista!$C30),"",IF(ISBLANK(Arrangörslista!C$8),"",IFERROR(VLOOKUP($F29,Arrangörslista!D$8:$AG$45,16,FALSE),"DNS")))))),IF(Deltagarlista!$K$3=2,
IF(ISBLANK(Deltagarlista!$C30),"",IF(ISBLANK(Arrangörslista!C$8),"",IF($GV29=J$64," DNS ",IFERROR(VLOOKUP($F29,Arrangörslista!C$8:$AG$45,16,FALSE),"DNS")))),IF(ISBLANK(Deltagarlista!$C30),"",IF(ISBLANK(Arrangörslista!C$8),"",IFERROR(VLOOKUP($F29,Arrangörslista!C$8:$AG$45,16,FALSE),"DNS")))))</f>
        <v/>
      </c>
      <c r="K29" s="5" t="str">
        <f>IF(Deltagarlista!$K$3=4,IF(ISBLANK(Deltagarlista!$C30),"",IF(ISBLANK(Arrangörslista!E$8),"",IFERROR(VLOOKUP($F29,Arrangörslista!E$8:$AG$45,16,FALSE),IF(ISBLANK(Deltagarlista!$C30),"",IF(ISBLANK(Arrangörslista!E$8),"",IFERROR(VLOOKUP($F29,Arrangörslista!F$8:$AG$45,16,FALSE),"DNS")))))),IF(Deltagarlista!$K$3=2,
IF(ISBLANK(Deltagarlista!$C30),"",IF(ISBLANK(Arrangörslista!D$8),"",IF($GV29=K$64," DNS ",IFERROR(VLOOKUP($F29,Arrangörslista!D$8:$AG$45,16,FALSE),"DNS")))),IF(ISBLANK(Deltagarlista!$C30),"",IF(ISBLANK(Arrangörslista!D$8),"",IFERROR(VLOOKUP($F29,Arrangörslista!D$8:$AG$45,16,FALSE),"DNS")))))</f>
        <v/>
      </c>
      <c r="L29" s="5" t="str">
        <f>IF(Deltagarlista!$K$3=4,IF(ISBLANK(Deltagarlista!$C30),"",IF(ISBLANK(Arrangörslista!G$8),"",IFERROR(VLOOKUP($F29,Arrangörslista!G$8:$AG$45,16,FALSE),IF(ISBLANK(Deltagarlista!$C30),"",IF(ISBLANK(Arrangörslista!G$8),"",IFERROR(VLOOKUP($F29,Arrangörslista!H$8:$AG$45,16,FALSE),"DNS")))))),IF(Deltagarlista!$K$3=2,
IF(ISBLANK(Deltagarlista!$C30),"",IF(ISBLANK(Arrangörslista!E$8),"",IF($GV29=L$64," DNS ",IFERROR(VLOOKUP($F29,Arrangörslista!E$8:$AG$45,16,FALSE),"DNS")))),IF(ISBLANK(Deltagarlista!$C30),"",IF(ISBLANK(Arrangörslista!E$8),"",IFERROR(VLOOKUP($F29,Arrangörslista!E$8:$AG$45,16,FALSE),"DNS")))))</f>
        <v/>
      </c>
      <c r="M29" s="5" t="str">
        <f>IF(Deltagarlista!$K$3=4,IF(ISBLANK(Deltagarlista!$C30),"",IF(ISBLANK(Arrangörslista!I$8),"",IFERROR(VLOOKUP($F29,Arrangörslista!I$8:$AG$45,16,FALSE),IF(ISBLANK(Deltagarlista!$C30),"",IF(ISBLANK(Arrangörslista!I$8),"",IFERROR(VLOOKUP($F29,Arrangörslista!J$8:$AG$45,16,FALSE),"DNS")))))),IF(Deltagarlista!$K$3=2,
IF(ISBLANK(Deltagarlista!$C30),"",IF(ISBLANK(Arrangörslista!F$8),"",IF($GV29=M$64," DNS ",IFERROR(VLOOKUP($F29,Arrangörslista!F$8:$AG$45,16,FALSE),"DNS")))),IF(ISBLANK(Deltagarlista!$C30),"",IF(ISBLANK(Arrangörslista!F$8),"",IFERROR(VLOOKUP($F29,Arrangörslista!F$8:$AG$45,16,FALSE),"DNS")))))</f>
        <v/>
      </c>
      <c r="N29" s="5" t="str">
        <f>IF(Deltagarlista!$K$3=4,IF(ISBLANK(Deltagarlista!$C30),"",IF(ISBLANK(Arrangörslista!K$8),"",IFERROR(VLOOKUP($F29,Arrangörslista!K$8:$AG$45,16,FALSE),IF(ISBLANK(Deltagarlista!$C30),"",IF(ISBLANK(Arrangörslista!K$8),"",IFERROR(VLOOKUP($F29,Arrangörslista!L$8:$AG$45,16,FALSE),"DNS")))))),IF(Deltagarlista!$K$3=2,
IF(ISBLANK(Deltagarlista!$C30),"",IF(ISBLANK(Arrangörslista!G$8),"",IF($GV29=N$64," DNS ",IFERROR(VLOOKUP($F29,Arrangörslista!G$8:$AG$45,16,FALSE),"DNS")))),IF(ISBLANK(Deltagarlista!$C30),"",IF(ISBLANK(Arrangörslista!G$8),"",IFERROR(VLOOKUP($F29,Arrangörslista!G$8:$AG$45,16,FALSE),"DNS")))))</f>
        <v/>
      </c>
      <c r="O29" s="5" t="str">
        <f>IF(Deltagarlista!$K$3=4,IF(ISBLANK(Deltagarlista!$C30),"",IF(ISBLANK(Arrangörslista!M$8),"",IFERROR(VLOOKUP($F29,Arrangörslista!M$8:$AG$45,16,FALSE),IF(ISBLANK(Deltagarlista!$C30),"",IF(ISBLANK(Arrangörslista!M$8),"",IFERROR(VLOOKUP($F29,Arrangörslista!N$8:$AG$45,16,FALSE),"DNS")))))),IF(Deltagarlista!$K$3=2,
IF(ISBLANK(Deltagarlista!$C30),"",IF(ISBLANK(Arrangörslista!H$8),"",IF($GV29=O$64," DNS ",IFERROR(VLOOKUP($F29,Arrangörslista!H$8:$AG$45,16,FALSE),"DNS")))),IF(ISBLANK(Deltagarlista!$C30),"",IF(ISBLANK(Arrangörslista!H$8),"",IFERROR(VLOOKUP($F29,Arrangörslista!H$8:$AG$45,16,FALSE),"DNS")))))</f>
        <v/>
      </c>
      <c r="P29" s="5" t="str">
        <f>IF(Deltagarlista!$K$3=4,IF(ISBLANK(Deltagarlista!$C30),"",IF(ISBLANK(Arrangörslista!O$8),"",IFERROR(VLOOKUP($F29,Arrangörslista!O$8:$AG$45,16,FALSE),IF(ISBLANK(Deltagarlista!$C30),"",IF(ISBLANK(Arrangörslista!O$8),"",IFERROR(VLOOKUP($F29,Arrangörslista!P$8:$AG$45,16,FALSE),"DNS")))))),IF(Deltagarlista!$K$3=2,
IF(ISBLANK(Deltagarlista!$C30),"",IF(ISBLANK(Arrangörslista!I$8),"",IF($GV29=P$64," DNS ",IFERROR(VLOOKUP($F29,Arrangörslista!I$8:$AG$45,16,FALSE),"DNS")))),IF(ISBLANK(Deltagarlista!$C30),"",IF(ISBLANK(Arrangörslista!I$8),"",IFERROR(VLOOKUP($F29,Arrangörslista!I$8:$AG$45,16,FALSE),"DNS")))))</f>
        <v/>
      </c>
      <c r="Q29" s="5" t="str">
        <f>IF(Deltagarlista!$K$3=4,IF(ISBLANK(Deltagarlista!$C30),"",IF(ISBLANK(Arrangörslista!Q$8),"",IFERROR(VLOOKUP($F29,Arrangörslista!Q$8:$AG$45,16,FALSE),IF(ISBLANK(Deltagarlista!$C30),"",IF(ISBLANK(Arrangörslista!Q$8),"",IFERROR(VLOOKUP($F29,Arrangörslista!C$53:$AG$90,16,FALSE),"DNS")))))),IF(Deltagarlista!$K$3=2,
IF(ISBLANK(Deltagarlista!$C30),"",IF(ISBLANK(Arrangörslista!J$8),"",IF($GV29=Q$64," DNS ",IFERROR(VLOOKUP($F29,Arrangörslista!J$8:$AG$45,16,FALSE),"DNS")))),IF(ISBLANK(Deltagarlista!$C30),"",IF(ISBLANK(Arrangörslista!J$8),"",IFERROR(VLOOKUP($F29,Arrangörslista!J$8:$AG$45,16,FALSE),"DNS")))))</f>
        <v/>
      </c>
      <c r="R29" s="5" t="str">
        <f>IF(Deltagarlista!$K$3=4,IF(ISBLANK(Deltagarlista!$C30),"",IF(ISBLANK(Arrangörslista!D$53),"",IFERROR(VLOOKUP($F29,Arrangörslista!D$53:$AG$90,16,FALSE),IF(ISBLANK(Deltagarlista!$C30),"",IF(ISBLANK(Arrangörslista!D$53),"",IFERROR(VLOOKUP($F29,Arrangörslista!E$53:$AG$90,16,FALSE),"DNS")))))),IF(Deltagarlista!$K$3=2,
IF(ISBLANK(Deltagarlista!$C30),"",IF(ISBLANK(Arrangörslista!K$8),"",IF($GV29=R$64," DNS ",IFERROR(VLOOKUP($F29,Arrangörslista!K$8:$AG$45,16,FALSE),"DNS")))),IF(ISBLANK(Deltagarlista!$C30),"",IF(ISBLANK(Arrangörslista!K$8),"",IFERROR(VLOOKUP($F29,Arrangörslista!K$8:$AG$45,16,FALSE),"DNS")))))</f>
        <v/>
      </c>
      <c r="S29" s="5" t="str">
        <f>IF(Deltagarlista!$K$3=4,IF(ISBLANK(Deltagarlista!$C30),"",IF(ISBLANK(Arrangörslista!F$53),"",IFERROR(VLOOKUP($F29,Arrangörslista!F$53:$AG$90,16,FALSE),IF(ISBLANK(Deltagarlista!$C30),"",IF(ISBLANK(Arrangörslista!F$53),"",IFERROR(VLOOKUP($F29,Arrangörslista!G$53:$AG$90,16,FALSE),"DNS")))))),IF(Deltagarlista!$K$3=2,
IF(ISBLANK(Deltagarlista!$C30),"",IF(ISBLANK(Arrangörslista!L$8),"",IF($GV29=S$64," DNS ",IFERROR(VLOOKUP($F29,Arrangörslista!L$8:$AG$45,16,FALSE),"DNS")))),IF(ISBLANK(Deltagarlista!$C30),"",IF(ISBLANK(Arrangörslista!L$8),"",IFERROR(VLOOKUP($F29,Arrangörslista!L$8:$AG$45,16,FALSE),"DNS")))))</f>
        <v/>
      </c>
      <c r="T29" s="5" t="str">
        <f>IF(Deltagarlista!$K$3=4,IF(ISBLANK(Deltagarlista!$C30),"",IF(ISBLANK(Arrangörslista!H$53),"",IFERROR(VLOOKUP($F29,Arrangörslista!H$53:$AG$90,16,FALSE),IF(ISBLANK(Deltagarlista!$C30),"",IF(ISBLANK(Arrangörslista!H$53),"",IFERROR(VLOOKUP($F29,Arrangörslista!I$53:$AG$90,16,FALSE),"DNS")))))),IF(Deltagarlista!$K$3=2,
IF(ISBLANK(Deltagarlista!$C30),"",IF(ISBLANK(Arrangörslista!M$8),"",IF($GV29=T$64," DNS ",IFERROR(VLOOKUP($F29,Arrangörslista!M$8:$AG$45,16,FALSE),"DNS")))),IF(ISBLANK(Deltagarlista!$C30),"",IF(ISBLANK(Arrangörslista!M$8),"",IFERROR(VLOOKUP($F29,Arrangörslista!M$8:$AG$45,16,FALSE),"DNS")))))</f>
        <v/>
      </c>
      <c r="U29" s="5" t="str">
        <f>IF(Deltagarlista!$K$3=4,IF(ISBLANK(Deltagarlista!$C30),"",IF(ISBLANK(Arrangörslista!J$53),"",IFERROR(VLOOKUP($F29,Arrangörslista!J$53:$AG$90,16,FALSE),IF(ISBLANK(Deltagarlista!$C30),"",IF(ISBLANK(Arrangörslista!J$53),"",IFERROR(VLOOKUP($F29,Arrangörslista!K$53:$AG$90,16,FALSE),"DNS")))))),IF(Deltagarlista!$K$3=2,
IF(ISBLANK(Deltagarlista!$C30),"",IF(ISBLANK(Arrangörslista!N$8),"",IF($GV29=U$64," DNS ",IFERROR(VLOOKUP($F29,Arrangörslista!N$8:$AG$45,16,FALSE),"DNS")))),IF(ISBLANK(Deltagarlista!$C30),"",IF(ISBLANK(Arrangörslista!N$8),"",IFERROR(VLOOKUP($F29,Arrangörslista!N$8:$AG$45,16,FALSE),"DNS")))))</f>
        <v/>
      </c>
      <c r="V29" s="5" t="str">
        <f>IF(Deltagarlista!$K$3=4,IF(ISBLANK(Deltagarlista!$C30),"",IF(ISBLANK(Arrangörslista!L$53),"",IFERROR(VLOOKUP($F29,Arrangörslista!L$53:$AG$90,16,FALSE),IF(ISBLANK(Deltagarlista!$C30),"",IF(ISBLANK(Arrangörslista!L$53),"",IFERROR(VLOOKUP($F29,Arrangörslista!M$53:$AG$90,16,FALSE),"DNS")))))),IF(Deltagarlista!$K$3=2,
IF(ISBLANK(Deltagarlista!$C30),"",IF(ISBLANK(Arrangörslista!O$8),"",IF($GV29=V$64," DNS ",IFERROR(VLOOKUP($F29,Arrangörslista!O$8:$AG$45,16,FALSE),"DNS")))),IF(ISBLANK(Deltagarlista!$C30),"",IF(ISBLANK(Arrangörslista!O$8),"",IFERROR(VLOOKUP($F29,Arrangörslista!O$8:$AG$45,16,FALSE),"DNS")))))</f>
        <v/>
      </c>
      <c r="W29" s="5" t="str">
        <f>IF(Deltagarlista!$K$3=4,IF(ISBLANK(Deltagarlista!$C30),"",IF(ISBLANK(Arrangörslista!N$53),"",IFERROR(VLOOKUP($F29,Arrangörslista!N$53:$AG$90,16,FALSE),IF(ISBLANK(Deltagarlista!$C30),"",IF(ISBLANK(Arrangörslista!N$53),"",IFERROR(VLOOKUP($F29,Arrangörslista!O$53:$AG$90,16,FALSE),"DNS")))))),IF(Deltagarlista!$K$3=2,
IF(ISBLANK(Deltagarlista!$C30),"",IF(ISBLANK(Arrangörslista!P$8),"",IF($GV29=W$64," DNS ",IFERROR(VLOOKUP($F29,Arrangörslista!P$8:$AG$45,16,FALSE),"DNS")))),IF(ISBLANK(Deltagarlista!$C30),"",IF(ISBLANK(Arrangörslista!P$8),"",IFERROR(VLOOKUP($F29,Arrangörslista!P$8:$AG$45,16,FALSE),"DNS")))))</f>
        <v/>
      </c>
      <c r="X29" s="5" t="str">
        <f>IF(Deltagarlista!$K$3=4,IF(ISBLANK(Deltagarlista!$C30),"",IF(ISBLANK(Arrangörslista!P$53),"",IFERROR(VLOOKUP($F29,Arrangörslista!P$53:$AG$90,16,FALSE),IF(ISBLANK(Deltagarlista!$C30),"",IF(ISBLANK(Arrangörslista!P$53),"",IFERROR(VLOOKUP($F29,Arrangörslista!Q$53:$AG$90,16,FALSE),"DNS")))))),IF(Deltagarlista!$K$3=2,
IF(ISBLANK(Deltagarlista!$C30),"",IF(ISBLANK(Arrangörslista!Q$8),"",IF($GV29=X$64," DNS ",IFERROR(VLOOKUP($F29,Arrangörslista!Q$8:$AG$45,16,FALSE),"DNS")))),IF(ISBLANK(Deltagarlista!$C30),"",IF(ISBLANK(Arrangörslista!Q$8),"",IFERROR(VLOOKUP($F29,Arrangörslista!Q$8:$AG$45,16,FALSE),"DNS")))))</f>
        <v/>
      </c>
      <c r="Y29" s="5" t="str">
        <f>IF(Deltagarlista!$K$3=4,IF(ISBLANK(Deltagarlista!$C30),"",IF(ISBLANK(Arrangörslista!C$98),"",IFERROR(VLOOKUP($F29,Arrangörslista!C$98:$AG$135,16,FALSE),IF(ISBLANK(Deltagarlista!$C30),"",IF(ISBLANK(Arrangörslista!C$98),"",IFERROR(VLOOKUP($F29,Arrangörslista!D$98:$AG$135,16,FALSE),"DNS")))))),IF(Deltagarlista!$K$3=2,
IF(ISBLANK(Deltagarlista!$C30),"",IF(ISBLANK(Arrangörslista!C$53),"",IF($GV29=Y$64," DNS ",IFERROR(VLOOKUP($F29,Arrangörslista!C$53:$AG$90,16,FALSE),"DNS")))),IF(ISBLANK(Deltagarlista!$C30),"",IF(ISBLANK(Arrangörslista!C$53),"",IFERROR(VLOOKUP($F29,Arrangörslista!C$53:$AG$90,16,FALSE),"DNS")))))</f>
        <v/>
      </c>
      <c r="Z29" s="5" t="str">
        <f>IF(Deltagarlista!$K$3=4,IF(ISBLANK(Deltagarlista!$C30),"",IF(ISBLANK(Arrangörslista!E$98),"",IFERROR(VLOOKUP($F29,Arrangörslista!E$98:$AG$135,16,FALSE),IF(ISBLANK(Deltagarlista!$C30),"",IF(ISBLANK(Arrangörslista!E$98),"",IFERROR(VLOOKUP($F29,Arrangörslista!F$98:$AG$135,16,FALSE),"DNS")))))),IF(Deltagarlista!$K$3=2,
IF(ISBLANK(Deltagarlista!$C30),"",IF(ISBLANK(Arrangörslista!D$53),"",IF($GV29=Z$64," DNS ",IFERROR(VLOOKUP($F29,Arrangörslista!D$53:$AG$90,16,FALSE),"DNS")))),IF(ISBLANK(Deltagarlista!$C30),"",IF(ISBLANK(Arrangörslista!D$53),"",IFERROR(VLOOKUP($F29,Arrangörslista!D$53:$AG$90,16,FALSE),"DNS")))))</f>
        <v/>
      </c>
      <c r="AA29" s="5" t="str">
        <f>IF(Deltagarlista!$K$3=4,IF(ISBLANK(Deltagarlista!$C30),"",IF(ISBLANK(Arrangörslista!G$98),"",IFERROR(VLOOKUP($F29,Arrangörslista!G$98:$AG$135,16,FALSE),IF(ISBLANK(Deltagarlista!$C30),"",IF(ISBLANK(Arrangörslista!G$98),"",IFERROR(VLOOKUP($F29,Arrangörslista!H$98:$AG$135,16,FALSE),"DNS")))))),IF(Deltagarlista!$K$3=2,
IF(ISBLANK(Deltagarlista!$C30),"",IF(ISBLANK(Arrangörslista!E$53),"",IF($GV29=AA$64," DNS ",IFERROR(VLOOKUP($F29,Arrangörslista!E$53:$AG$90,16,FALSE),"DNS")))),IF(ISBLANK(Deltagarlista!$C30),"",IF(ISBLANK(Arrangörslista!E$53),"",IFERROR(VLOOKUP($F29,Arrangörslista!E$53:$AG$90,16,FALSE),"DNS")))))</f>
        <v/>
      </c>
      <c r="AB29" s="5" t="str">
        <f>IF(Deltagarlista!$K$3=4,IF(ISBLANK(Deltagarlista!$C30),"",IF(ISBLANK(Arrangörslista!I$98),"",IFERROR(VLOOKUP($F29,Arrangörslista!I$98:$AG$135,16,FALSE),IF(ISBLANK(Deltagarlista!$C30),"",IF(ISBLANK(Arrangörslista!I$98),"",IFERROR(VLOOKUP($F29,Arrangörslista!J$98:$AG$135,16,FALSE),"DNS")))))),IF(Deltagarlista!$K$3=2,
IF(ISBLANK(Deltagarlista!$C30),"",IF(ISBLANK(Arrangörslista!F$53),"",IF($GV29=AB$64," DNS ",IFERROR(VLOOKUP($F29,Arrangörslista!F$53:$AG$90,16,FALSE),"DNS")))),IF(ISBLANK(Deltagarlista!$C30),"",IF(ISBLANK(Arrangörslista!F$53),"",IFERROR(VLOOKUP($F29,Arrangörslista!F$53:$AG$90,16,FALSE),"DNS")))))</f>
        <v/>
      </c>
      <c r="AC29" s="5" t="str">
        <f>IF(Deltagarlista!$K$3=4,IF(ISBLANK(Deltagarlista!$C30),"",IF(ISBLANK(Arrangörslista!K$98),"",IFERROR(VLOOKUP($F29,Arrangörslista!K$98:$AG$135,16,FALSE),IF(ISBLANK(Deltagarlista!$C30),"",IF(ISBLANK(Arrangörslista!K$98),"",IFERROR(VLOOKUP($F29,Arrangörslista!L$98:$AG$135,16,FALSE),"DNS")))))),IF(Deltagarlista!$K$3=2,
IF(ISBLANK(Deltagarlista!$C30),"",IF(ISBLANK(Arrangörslista!G$53),"",IF($GV29=AC$64," DNS ",IFERROR(VLOOKUP($F29,Arrangörslista!G$53:$AG$90,16,FALSE),"DNS")))),IF(ISBLANK(Deltagarlista!$C30),"",IF(ISBLANK(Arrangörslista!G$53),"",IFERROR(VLOOKUP($F29,Arrangörslista!G$53:$AG$90,16,FALSE),"DNS")))))</f>
        <v/>
      </c>
      <c r="AD29" s="5" t="str">
        <f>IF(Deltagarlista!$K$3=4,IF(ISBLANK(Deltagarlista!$C30),"",IF(ISBLANK(Arrangörslista!M$98),"",IFERROR(VLOOKUP($F29,Arrangörslista!M$98:$AG$135,16,FALSE),IF(ISBLANK(Deltagarlista!$C30),"",IF(ISBLANK(Arrangörslista!M$98),"",IFERROR(VLOOKUP($F29,Arrangörslista!N$98:$AG$135,16,FALSE),"DNS")))))),IF(Deltagarlista!$K$3=2,
IF(ISBLANK(Deltagarlista!$C30),"",IF(ISBLANK(Arrangörslista!H$53),"",IF($GV29=AD$64," DNS ",IFERROR(VLOOKUP($F29,Arrangörslista!H$53:$AG$90,16,FALSE),"DNS")))),IF(ISBLANK(Deltagarlista!$C30),"",IF(ISBLANK(Arrangörslista!H$53),"",IFERROR(VLOOKUP($F29,Arrangörslista!H$53:$AG$90,16,FALSE),"DNS")))))</f>
        <v/>
      </c>
      <c r="AE29" s="5" t="str">
        <f>IF(Deltagarlista!$K$3=4,IF(ISBLANK(Deltagarlista!$C30),"",IF(ISBLANK(Arrangörslista!O$98),"",IFERROR(VLOOKUP($F29,Arrangörslista!O$98:$AG$135,16,FALSE),IF(ISBLANK(Deltagarlista!$C30),"",IF(ISBLANK(Arrangörslista!O$98),"",IFERROR(VLOOKUP($F29,Arrangörslista!P$98:$AG$135,16,FALSE),"DNS")))))),IF(Deltagarlista!$K$3=2,
IF(ISBLANK(Deltagarlista!$C30),"",IF(ISBLANK(Arrangörslista!I$53),"",IF($GV29=AE$64," DNS ",IFERROR(VLOOKUP($F29,Arrangörslista!I$53:$AG$90,16,FALSE),"DNS")))),IF(ISBLANK(Deltagarlista!$C30),"",IF(ISBLANK(Arrangörslista!I$53),"",IFERROR(VLOOKUP($F29,Arrangörslista!I$53:$AG$90,16,FALSE),"DNS")))))</f>
        <v/>
      </c>
      <c r="AF29" s="5" t="str">
        <f>IF(Deltagarlista!$K$3=4,IF(ISBLANK(Deltagarlista!$C30),"",IF(ISBLANK(Arrangörslista!Q$98),"",IFERROR(VLOOKUP($F29,Arrangörslista!Q$98:$AG$135,16,FALSE),IF(ISBLANK(Deltagarlista!$C30),"",IF(ISBLANK(Arrangörslista!Q$98),"",IFERROR(VLOOKUP($F29,Arrangörslista!C$143:$AG$180,16,FALSE),"DNS")))))),IF(Deltagarlista!$K$3=2,
IF(ISBLANK(Deltagarlista!$C30),"",IF(ISBLANK(Arrangörslista!J$53),"",IF($GV29=AF$64," DNS ",IFERROR(VLOOKUP($F29,Arrangörslista!J$53:$AG$90,16,FALSE),"DNS")))),IF(ISBLANK(Deltagarlista!$C30),"",IF(ISBLANK(Arrangörslista!J$53),"",IFERROR(VLOOKUP($F29,Arrangörslista!J$53:$AG$90,16,FALSE),"DNS")))))</f>
        <v/>
      </c>
      <c r="AG29" s="5" t="str">
        <f>IF(Deltagarlista!$K$3=4,IF(ISBLANK(Deltagarlista!$C30),"",IF(ISBLANK(Arrangörslista!D$143),"",IFERROR(VLOOKUP($F29,Arrangörslista!D$143:$AG$180,16,FALSE),IF(ISBLANK(Deltagarlista!$C30),"",IF(ISBLANK(Arrangörslista!D$143),"",IFERROR(VLOOKUP($F29,Arrangörslista!E$143:$AG$180,16,FALSE),"DNS")))))),IF(Deltagarlista!$K$3=2,
IF(ISBLANK(Deltagarlista!$C30),"",IF(ISBLANK(Arrangörslista!K$53),"",IF($GV29=AG$64," DNS ",IFERROR(VLOOKUP($F29,Arrangörslista!K$53:$AG$90,16,FALSE),"DNS")))),IF(ISBLANK(Deltagarlista!$C30),"",IF(ISBLANK(Arrangörslista!K$53),"",IFERROR(VLOOKUP($F29,Arrangörslista!K$53:$AG$90,16,FALSE),"DNS")))))</f>
        <v/>
      </c>
      <c r="AH29" s="5" t="str">
        <f>IF(Deltagarlista!$K$3=4,IF(ISBLANK(Deltagarlista!$C30),"",IF(ISBLANK(Arrangörslista!F$143),"",IFERROR(VLOOKUP($F29,Arrangörslista!F$143:$AG$180,16,FALSE),IF(ISBLANK(Deltagarlista!$C30),"",IF(ISBLANK(Arrangörslista!F$143),"",IFERROR(VLOOKUP($F29,Arrangörslista!G$143:$AG$180,16,FALSE),"DNS")))))),IF(Deltagarlista!$K$3=2,
IF(ISBLANK(Deltagarlista!$C30),"",IF(ISBLANK(Arrangörslista!L$53),"",IF($GV29=AH$64," DNS ",IFERROR(VLOOKUP($F29,Arrangörslista!L$53:$AG$90,16,FALSE),"DNS")))),IF(ISBLANK(Deltagarlista!$C30),"",IF(ISBLANK(Arrangörslista!L$53),"",IFERROR(VLOOKUP($F29,Arrangörslista!L$53:$AG$90,16,FALSE),"DNS")))))</f>
        <v/>
      </c>
      <c r="AI29" s="5" t="str">
        <f>IF(Deltagarlista!$K$3=4,IF(ISBLANK(Deltagarlista!$C30),"",IF(ISBLANK(Arrangörslista!H$143),"",IFERROR(VLOOKUP($F29,Arrangörslista!H$143:$AG$180,16,FALSE),IF(ISBLANK(Deltagarlista!$C30),"",IF(ISBLANK(Arrangörslista!H$143),"",IFERROR(VLOOKUP($F29,Arrangörslista!I$143:$AG$180,16,FALSE),"DNS")))))),IF(Deltagarlista!$K$3=2,
IF(ISBLANK(Deltagarlista!$C30),"",IF(ISBLANK(Arrangörslista!M$53),"",IF($GV29=AI$64," DNS ",IFERROR(VLOOKUP($F29,Arrangörslista!M$53:$AG$90,16,FALSE),"DNS")))),IF(ISBLANK(Deltagarlista!$C30),"",IF(ISBLANK(Arrangörslista!M$53),"",IFERROR(VLOOKUP($F29,Arrangörslista!M$53:$AG$90,16,FALSE),"DNS")))))</f>
        <v/>
      </c>
      <c r="AJ29" s="5" t="str">
        <f>IF(Deltagarlista!$K$3=4,IF(ISBLANK(Deltagarlista!$C30),"",IF(ISBLANK(Arrangörslista!J$143),"",IFERROR(VLOOKUP($F29,Arrangörslista!J$143:$AG$180,16,FALSE),IF(ISBLANK(Deltagarlista!$C30),"",IF(ISBLANK(Arrangörslista!J$143),"",IFERROR(VLOOKUP($F29,Arrangörslista!K$143:$AG$180,16,FALSE),"DNS")))))),IF(Deltagarlista!$K$3=2,
IF(ISBLANK(Deltagarlista!$C30),"",IF(ISBLANK(Arrangörslista!N$53),"",IF($GV29=AJ$64," DNS ",IFERROR(VLOOKUP($F29,Arrangörslista!N$53:$AG$90,16,FALSE),"DNS")))),IF(ISBLANK(Deltagarlista!$C30),"",IF(ISBLANK(Arrangörslista!N$53),"",IFERROR(VLOOKUP($F29,Arrangörslista!N$53:$AG$90,16,FALSE),"DNS")))))</f>
        <v/>
      </c>
      <c r="AK29" s="5" t="str">
        <f>IF(Deltagarlista!$K$3=4,IF(ISBLANK(Deltagarlista!$C30),"",IF(ISBLANK(Arrangörslista!L$143),"",IFERROR(VLOOKUP($F29,Arrangörslista!L$143:$AG$180,16,FALSE),IF(ISBLANK(Deltagarlista!$C30),"",IF(ISBLANK(Arrangörslista!L$143),"",IFERROR(VLOOKUP($F29,Arrangörslista!M$143:$AG$180,16,FALSE),"DNS")))))),IF(Deltagarlista!$K$3=2,
IF(ISBLANK(Deltagarlista!$C30),"",IF(ISBLANK(Arrangörslista!O$53),"",IF($GV29=AK$64," DNS ",IFERROR(VLOOKUP($F29,Arrangörslista!O$53:$AG$90,16,FALSE),"DNS")))),IF(ISBLANK(Deltagarlista!$C30),"",IF(ISBLANK(Arrangörslista!O$53),"",IFERROR(VLOOKUP($F29,Arrangörslista!O$53:$AG$90,16,FALSE),"DNS")))))</f>
        <v/>
      </c>
      <c r="AL29" s="5" t="str">
        <f>IF(Deltagarlista!$K$3=4,IF(ISBLANK(Deltagarlista!$C30),"",IF(ISBLANK(Arrangörslista!N$143),"",IFERROR(VLOOKUP($F29,Arrangörslista!N$143:$AG$180,16,FALSE),IF(ISBLANK(Deltagarlista!$C30),"",IF(ISBLANK(Arrangörslista!N$143),"",IFERROR(VLOOKUP($F29,Arrangörslista!O$143:$AG$180,16,FALSE),"DNS")))))),IF(Deltagarlista!$K$3=2,
IF(ISBLANK(Deltagarlista!$C30),"",IF(ISBLANK(Arrangörslista!P$53),"",IF($GV29=AL$64," DNS ",IFERROR(VLOOKUP($F29,Arrangörslista!P$53:$AG$90,16,FALSE),"DNS")))),IF(ISBLANK(Deltagarlista!$C30),"",IF(ISBLANK(Arrangörslista!P$53),"",IFERROR(VLOOKUP($F29,Arrangörslista!P$53:$AG$90,16,FALSE),"DNS")))))</f>
        <v/>
      </c>
      <c r="AM29" s="5" t="str">
        <f>IF(Deltagarlista!$K$3=4,IF(ISBLANK(Deltagarlista!$C30),"",IF(ISBLANK(Arrangörslista!P$143),"",IFERROR(VLOOKUP($F29,Arrangörslista!P$143:$AG$180,16,FALSE),IF(ISBLANK(Deltagarlista!$C30),"",IF(ISBLANK(Arrangörslista!P$143),"",IFERROR(VLOOKUP($F29,Arrangörslista!Q$143:$AG$180,16,FALSE),"DNS")))))),IF(Deltagarlista!$K$3=2,
IF(ISBLANK(Deltagarlista!$C30),"",IF(ISBLANK(Arrangörslista!Q$53),"",IF($GV29=AM$64," DNS ",IFERROR(VLOOKUP($F29,Arrangörslista!Q$53:$AG$90,16,FALSE),"DNS")))),IF(ISBLANK(Deltagarlista!$C30),"",IF(ISBLANK(Arrangörslista!Q$53),"",IFERROR(VLOOKUP($F29,Arrangörslista!Q$53:$AG$90,16,FALSE),"DNS")))))</f>
        <v/>
      </c>
      <c r="AN29" s="5" t="str">
        <f>IF(Deltagarlista!$K$3=2,
IF(ISBLANK(Deltagarlista!$C30),"",IF(ISBLANK(Arrangörslista!C$98),"",IF($GV29=AN$64," DNS ",IFERROR(VLOOKUP($F29,Arrangörslista!C$98:$AG$135,16,FALSE), "DNS")))), IF(Deltagarlista!$K$3=1,IF(ISBLANK(Deltagarlista!$C30),"",IF(ISBLANK(Arrangörslista!C$98),"",IFERROR(VLOOKUP($F29,Arrangörslista!C$98:$AG$135,16,FALSE), "DNS"))),""))</f>
        <v/>
      </c>
      <c r="AO29" s="5" t="str">
        <f>IF(Deltagarlista!$K$3=2,
IF(ISBLANK(Deltagarlista!$C30),"",IF(ISBLANK(Arrangörslista!D$98),"",IF($GV29=AO$64," DNS ",IFERROR(VLOOKUP($F29,Arrangörslista!D$98:$AG$135,16,FALSE), "DNS")))), IF(Deltagarlista!$K$3=1,IF(ISBLANK(Deltagarlista!$C30),"",IF(ISBLANK(Arrangörslista!D$98),"",IFERROR(VLOOKUP($F29,Arrangörslista!D$98:$AG$135,16,FALSE), "DNS"))),""))</f>
        <v/>
      </c>
      <c r="AP29" s="5" t="str">
        <f>IF(Deltagarlista!$K$3=2,
IF(ISBLANK(Deltagarlista!$C30),"",IF(ISBLANK(Arrangörslista!E$98),"",IF($GV29=AP$64," DNS ",IFERROR(VLOOKUP($F29,Arrangörslista!E$98:$AG$135,16,FALSE), "DNS")))), IF(Deltagarlista!$K$3=1,IF(ISBLANK(Deltagarlista!$C30),"",IF(ISBLANK(Arrangörslista!E$98),"",IFERROR(VLOOKUP($F29,Arrangörslista!E$98:$AG$135,16,FALSE), "DNS"))),""))</f>
        <v/>
      </c>
      <c r="AQ29" s="5" t="str">
        <f>IF(Deltagarlista!$K$3=2,
IF(ISBLANK(Deltagarlista!$C30),"",IF(ISBLANK(Arrangörslista!F$98),"",IF($GV29=AQ$64," DNS ",IFERROR(VLOOKUP($F29,Arrangörslista!F$98:$AG$135,16,FALSE), "DNS")))), IF(Deltagarlista!$K$3=1,IF(ISBLANK(Deltagarlista!$C30),"",IF(ISBLANK(Arrangörslista!F$98),"",IFERROR(VLOOKUP($F29,Arrangörslista!F$98:$AG$135,16,FALSE), "DNS"))),""))</f>
        <v/>
      </c>
      <c r="AR29" s="5" t="str">
        <f>IF(Deltagarlista!$K$3=2,
IF(ISBLANK(Deltagarlista!$C30),"",IF(ISBLANK(Arrangörslista!G$98),"",IF($GV29=AR$64," DNS ",IFERROR(VLOOKUP($F29,Arrangörslista!G$98:$AG$135,16,FALSE), "DNS")))), IF(Deltagarlista!$K$3=1,IF(ISBLANK(Deltagarlista!$C30),"",IF(ISBLANK(Arrangörslista!G$98),"",IFERROR(VLOOKUP($F29,Arrangörslista!G$98:$AG$135,16,FALSE), "DNS"))),""))</f>
        <v/>
      </c>
      <c r="AS29" s="5" t="str">
        <f>IF(Deltagarlista!$K$3=2,
IF(ISBLANK(Deltagarlista!$C30),"",IF(ISBLANK(Arrangörslista!H$98),"",IF($GV29=AS$64," DNS ",IFERROR(VLOOKUP($F29,Arrangörslista!H$98:$AG$135,16,FALSE), "DNS")))), IF(Deltagarlista!$K$3=1,IF(ISBLANK(Deltagarlista!$C30),"",IF(ISBLANK(Arrangörslista!H$98),"",IFERROR(VLOOKUP($F29,Arrangörslista!H$98:$AG$135,16,FALSE), "DNS"))),""))</f>
        <v/>
      </c>
      <c r="AT29" s="5" t="str">
        <f>IF(Deltagarlista!$K$3=2,
IF(ISBLANK(Deltagarlista!$C30),"",IF(ISBLANK(Arrangörslista!I$98),"",IF($GV29=AT$64," DNS ",IFERROR(VLOOKUP($F29,Arrangörslista!I$98:$AG$135,16,FALSE), "DNS")))), IF(Deltagarlista!$K$3=1,IF(ISBLANK(Deltagarlista!$C30),"",IF(ISBLANK(Arrangörslista!I$98),"",IFERROR(VLOOKUP($F29,Arrangörslista!I$98:$AG$135,16,FALSE), "DNS"))),""))</f>
        <v/>
      </c>
      <c r="AU29" s="5" t="str">
        <f>IF(Deltagarlista!$K$3=2,
IF(ISBLANK(Deltagarlista!$C30),"",IF(ISBLANK(Arrangörslista!J$98),"",IF($GV29=AU$64," DNS ",IFERROR(VLOOKUP($F29,Arrangörslista!J$98:$AG$135,16,FALSE), "DNS")))), IF(Deltagarlista!$K$3=1,IF(ISBLANK(Deltagarlista!$C30),"",IF(ISBLANK(Arrangörslista!J$98),"",IFERROR(VLOOKUP($F29,Arrangörslista!J$98:$AG$135,16,FALSE), "DNS"))),""))</f>
        <v/>
      </c>
      <c r="AV29" s="5" t="str">
        <f>IF(Deltagarlista!$K$3=2,
IF(ISBLANK(Deltagarlista!$C30),"",IF(ISBLANK(Arrangörslista!K$98),"",IF($GV29=AV$64," DNS ",IFERROR(VLOOKUP($F29,Arrangörslista!K$98:$AG$135,16,FALSE), "DNS")))), IF(Deltagarlista!$K$3=1,IF(ISBLANK(Deltagarlista!$C30),"",IF(ISBLANK(Arrangörslista!K$98),"",IFERROR(VLOOKUP($F29,Arrangörslista!K$98:$AG$135,16,FALSE), "DNS"))),""))</f>
        <v/>
      </c>
      <c r="AW29" s="5" t="str">
        <f>IF(Deltagarlista!$K$3=2,
IF(ISBLANK(Deltagarlista!$C30),"",IF(ISBLANK(Arrangörslista!L$98),"",IF($GV29=AW$64," DNS ",IFERROR(VLOOKUP($F29,Arrangörslista!L$98:$AG$135,16,FALSE), "DNS")))), IF(Deltagarlista!$K$3=1,IF(ISBLANK(Deltagarlista!$C30),"",IF(ISBLANK(Arrangörslista!L$98),"",IFERROR(VLOOKUP($F29,Arrangörslista!L$98:$AG$135,16,FALSE), "DNS"))),""))</f>
        <v/>
      </c>
      <c r="AX29" s="5" t="str">
        <f>IF(Deltagarlista!$K$3=2,
IF(ISBLANK(Deltagarlista!$C30),"",IF(ISBLANK(Arrangörslista!M$98),"",IF($GV29=AX$64," DNS ",IFERROR(VLOOKUP($F29,Arrangörslista!M$98:$AG$135,16,FALSE), "DNS")))), IF(Deltagarlista!$K$3=1,IF(ISBLANK(Deltagarlista!$C30),"",IF(ISBLANK(Arrangörslista!M$98),"",IFERROR(VLOOKUP($F29,Arrangörslista!M$98:$AG$135,16,FALSE), "DNS"))),""))</f>
        <v/>
      </c>
      <c r="AY29" s="5" t="str">
        <f>IF(Deltagarlista!$K$3=2,
IF(ISBLANK(Deltagarlista!$C30),"",IF(ISBLANK(Arrangörslista!N$98),"",IF($GV29=AY$64," DNS ",IFERROR(VLOOKUP($F29,Arrangörslista!N$98:$AG$135,16,FALSE), "DNS")))), IF(Deltagarlista!$K$3=1,IF(ISBLANK(Deltagarlista!$C30),"",IF(ISBLANK(Arrangörslista!N$98),"",IFERROR(VLOOKUP($F29,Arrangörslista!N$98:$AG$135,16,FALSE), "DNS"))),""))</f>
        <v/>
      </c>
      <c r="AZ29" s="5" t="str">
        <f>IF(Deltagarlista!$K$3=2,
IF(ISBLANK(Deltagarlista!$C30),"",IF(ISBLANK(Arrangörslista!O$98),"",IF($GV29=AZ$64," DNS ",IFERROR(VLOOKUP($F29,Arrangörslista!O$98:$AG$135,16,FALSE), "DNS")))), IF(Deltagarlista!$K$3=1,IF(ISBLANK(Deltagarlista!$C30),"",IF(ISBLANK(Arrangörslista!O$98),"",IFERROR(VLOOKUP($F29,Arrangörslista!O$98:$AG$135,16,FALSE), "DNS"))),""))</f>
        <v/>
      </c>
      <c r="BA29" s="5" t="str">
        <f>IF(Deltagarlista!$K$3=2,
IF(ISBLANK(Deltagarlista!$C30),"",IF(ISBLANK(Arrangörslista!P$98),"",IF($GV29=BA$64," DNS ",IFERROR(VLOOKUP($F29,Arrangörslista!P$98:$AG$135,16,FALSE), "DNS")))), IF(Deltagarlista!$K$3=1,IF(ISBLANK(Deltagarlista!$C30),"",IF(ISBLANK(Arrangörslista!P$98),"",IFERROR(VLOOKUP($F29,Arrangörslista!P$98:$AG$135,16,FALSE), "DNS"))),""))</f>
        <v/>
      </c>
      <c r="BB29" s="5" t="str">
        <f>IF(Deltagarlista!$K$3=2,
IF(ISBLANK(Deltagarlista!$C30),"",IF(ISBLANK(Arrangörslista!Q$98),"",IF($GV29=BB$64," DNS ",IFERROR(VLOOKUP($F29,Arrangörslista!Q$98:$AG$135,16,FALSE), "DNS")))), IF(Deltagarlista!$K$3=1,IF(ISBLANK(Deltagarlista!$C30),"",IF(ISBLANK(Arrangörslista!Q$98),"",IFERROR(VLOOKUP($F29,Arrangörslista!Q$98:$AG$135,16,FALSE), "DNS"))),""))</f>
        <v/>
      </c>
      <c r="BC29" s="5" t="str">
        <f>IF(Deltagarlista!$K$3=2,
IF(ISBLANK(Deltagarlista!$C30),"",IF(ISBLANK(Arrangörslista!C$143),"",IF($GV29=BC$64," DNS ",IFERROR(VLOOKUP($F29,Arrangörslista!C$143:$AG$180,16,FALSE), "DNS")))), IF(Deltagarlista!$K$3=1,IF(ISBLANK(Deltagarlista!$C30),"",IF(ISBLANK(Arrangörslista!C$143),"",IFERROR(VLOOKUP($F29,Arrangörslista!C$143:$AG$180,16,FALSE), "DNS"))),""))</f>
        <v/>
      </c>
      <c r="BD29" s="5" t="str">
        <f>IF(Deltagarlista!$K$3=2,
IF(ISBLANK(Deltagarlista!$C30),"",IF(ISBLANK(Arrangörslista!D$143),"",IF($GV29=BD$64," DNS ",IFERROR(VLOOKUP($F29,Arrangörslista!D$143:$AG$180,16,FALSE), "DNS")))), IF(Deltagarlista!$K$3=1,IF(ISBLANK(Deltagarlista!$C30),"",IF(ISBLANK(Arrangörslista!D$143),"",IFERROR(VLOOKUP($F29,Arrangörslista!D$143:$AG$180,16,FALSE), "DNS"))),""))</f>
        <v/>
      </c>
      <c r="BE29" s="5" t="str">
        <f>IF(Deltagarlista!$K$3=2,
IF(ISBLANK(Deltagarlista!$C30),"",IF(ISBLANK(Arrangörslista!E$143),"",IF($GV29=BE$64," DNS ",IFERROR(VLOOKUP($F29,Arrangörslista!E$143:$AG$180,16,FALSE), "DNS")))), IF(Deltagarlista!$K$3=1,IF(ISBLANK(Deltagarlista!$C30),"",IF(ISBLANK(Arrangörslista!E$143),"",IFERROR(VLOOKUP($F29,Arrangörslista!E$143:$AG$180,16,FALSE), "DNS"))),""))</f>
        <v/>
      </c>
      <c r="BF29" s="5" t="str">
        <f>IF(Deltagarlista!$K$3=2,
IF(ISBLANK(Deltagarlista!$C30),"",IF(ISBLANK(Arrangörslista!F$143),"",IF($GV29=BF$64," DNS ",IFERROR(VLOOKUP($F29,Arrangörslista!F$143:$AG$180,16,FALSE), "DNS")))), IF(Deltagarlista!$K$3=1,IF(ISBLANK(Deltagarlista!$C30),"",IF(ISBLANK(Arrangörslista!F$143),"",IFERROR(VLOOKUP($F29,Arrangörslista!F$143:$AG$180,16,FALSE), "DNS"))),""))</f>
        <v/>
      </c>
      <c r="BG29" s="5" t="str">
        <f>IF(Deltagarlista!$K$3=2,
IF(ISBLANK(Deltagarlista!$C30),"",IF(ISBLANK(Arrangörslista!G$143),"",IF($GV29=BG$64," DNS ",IFERROR(VLOOKUP($F29,Arrangörslista!G$143:$AG$180,16,FALSE), "DNS")))), IF(Deltagarlista!$K$3=1,IF(ISBLANK(Deltagarlista!$C30),"",IF(ISBLANK(Arrangörslista!G$143),"",IFERROR(VLOOKUP($F29,Arrangörslista!G$143:$AG$180,16,FALSE), "DNS"))),""))</f>
        <v/>
      </c>
      <c r="BH29" s="5" t="str">
        <f>IF(Deltagarlista!$K$3=2,
IF(ISBLANK(Deltagarlista!$C30),"",IF(ISBLANK(Arrangörslista!H$143),"",IF($GV29=BH$64," DNS ",IFERROR(VLOOKUP($F29,Arrangörslista!H$143:$AG$180,16,FALSE), "DNS")))), IF(Deltagarlista!$K$3=1,IF(ISBLANK(Deltagarlista!$C30),"",IF(ISBLANK(Arrangörslista!H$143),"",IFERROR(VLOOKUP($F29,Arrangörslista!H$143:$AG$180,16,FALSE), "DNS"))),""))</f>
        <v/>
      </c>
      <c r="BI29" s="5" t="str">
        <f>IF(Deltagarlista!$K$3=2,
IF(ISBLANK(Deltagarlista!$C30),"",IF(ISBLANK(Arrangörslista!I$143),"",IF($GV29=BI$64," DNS ",IFERROR(VLOOKUP($F29,Arrangörslista!I$143:$AG$180,16,FALSE), "DNS")))), IF(Deltagarlista!$K$3=1,IF(ISBLANK(Deltagarlista!$C30),"",IF(ISBLANK(Arrangörslista!I$143),"",IFERROR(VLOOKUP($F29,Arrangörslista!I$143:$AG$180,16,FALSE), "DNS"))),""))</f>
        <v/>
      </c>
      <c r="BJ29" s="5" t="str">
        <f>IF(Deltagarlista!$K$3=2,
IF(ISBLANK(Deltagarlista!$C30),"",IF(ISBLANK(Arrangörslista!J$143),"",IF($GV29=BJ$64," DNS ",IFERROR(VLOOKUP($F29,Arrangörslista!J$143:$AG$180,16,FALSE), "DNS")))), IF(Deltagarlista!$K$3=1,IF(ISBLANK(Deltagarlista!$C30),"",IF(ISBLANK(Arrangörslista!J$143),"",IFERROR(VLOOKUP($F29,Arrangörslista!J$143:$AG$180,16,FALSE), "DNS"))),""))</f>
        <v/>
      </c>
      <c r="BK29" s="5" t="str">
        <f>IF(Deltagarlista!$K$3=2,
IF(ISBLANK(Deltagarlista!$C30),"",IF(ISBLANK(Arrangörslista!K$143),"",IF($GV29=BK$64," DNS ",IFERROR(VLOOKUP($F29,Arrangörslista!K$143:$AG$180,16,FALSE), "DNS")))), IF(Deltagarlista!$K$3=1,IF(ISBLANK(Deltagarlista!$C30),"",IF(ISBLANK(Arrangörslista!K$143),"",IFERROR(VLOOKUP($F29,Arrangörslista!K$143:$AG$180,16,FALSE), "DNS"))),""))</f>
        <v/>
      </c>
      <c r="BL29" s="5" t="str">
        <f>IF(Deltagarlista!$K$3=2,
IF(ISBLANK(Deltagarlista!$C30),"",IF(ISBLANK(Arrangörslista!L$143),"",IF($GV29=BL$64," DNS ",IFERROR(VLOOKUP($F29,Arrangörslista!L$143:$AG$180,16,FALSE), "DNS")))), IF(Deltagarlista!$K$3=1,IF(ISBLANK(Deltagarlista!$C30),"",IF(ISBLANK(Arrangörslista!L$143),"",IFERROR(VLOOKUP($F29,Arrangörslista!L$143:$AG$180,16,FALSE), "DNS"))),""))</f>
        <v/>
      </c>
      <c r="BM29" s="5" t="str">
        <f>IF(Deltagarlista!$K$3=2,
IF(ISBLANK(Deltagarlista!$C30),"",IF(ISBLANK(Arrangörslista!M$143),"",IF($GV29=BM$64," DNS ",IFERROR(VLOOKUP($F29,Arrangörslista!M$143:$AG$180,16,FALSE), "DNS")))), IF(Deltagarlista!$K$3=1,IF(ISBLANK(Deltagarlista!$C30),"",IF(ISBLANK(Arrangörslista!M$143),"",IFERROR(VLOOKUP($F29,Arrangörslista!M$143:$AG$180,16,FALSE), "DNS"))),""))</f>
        <v/>
      </c>
      <c r="BN29" s="5" t="str">
        <f>IF(Deltagarlista!$K$3=2,
IF(ISBLANK(Deltagarlista!$C30),"",IF(ISBLANK(Arrangörslista!N$143),"",IF($GV29=BN$64," DNS ",IFERROR(VLOOKUP($F29,Arrangörslista!N$143:$AG$180,16,FALSE), "DNS")))), IF(Deltagarlista!$K$3=1,IF(ISBLANK(Deltagarlista!$C30),"",IF(ISBLANK(Arrangörslista!N$143),"",IFERROR(VLOOKUP($F29,Arrangörslista!N$143:$AG$180,16,FALSE), "DNS"))),""))</f>
        <v/>
      </c>
      <c r="BO29" s="5" t="str">
        <f>IF(Deltagarlista!$K$3=2,
IF(ISBLANK(Deltagarlista!$C30),"",IF(ISBLANK(Arrangörslista!O$143),"",IF($GV29=BO$64," DNS ",IFERROR(VLOOKUP($F29,Arrangörslista!O$143:$AG$180,16,FALSE), "DNS")))), IF(Deltagarlista!$K$3=1,IF(ISBLANK(Deltagarlista!$C30),"",IF(ISBLANK(Arrangörslista!O$143),"",IFERROR(VLOOKUP($F29,Arrangörslista!O$143:$AG$180,16,FALSE), "DNS"))),""))</f>
        <v/>
      </c>
      <c r="BP29" s="5" t="str">
        <f>IF(Deltagarlista!$K$3=2,
IF(ISBLANK(Deltagarlista!$C30),"",IF(ISBLANK(Arrangörslista!P$143),"",IF($GV29=BP$64," DNS ",IFERROR(VLOOKUP($F29,Arrangörslista!P$143:$AG$180,16,FALSE), "DNS")))), IF(Deltagarlista!$K$3=1,IF(ISBLANK(Deltagarlista!$C30),"",IF(ISBLANK(Arrangörslista!P$143),"",IFERROR(VLOOKUP($F29,Arrangörslista!P$143:$AG$180,16,FALSE), "DNS"))),""))</f>
        <v/>
      </c>
      <c r="BQ29" s="80" t="str">
        <f>IF(Deltagarlista!$K$3=2,
IF(ISBLANK(Deltagarlista!$C30),"",IF(ISBLANK(Arrangörslista!Q$143),"",IF($GV29=BQ$64," DNS ",IFERROR(VLOOKUP($F29,Arrangörslista!Q$143:$AG$180,16,FALSE), "DNS")))), IF(Deltagarlista!$K$3=1,IF(ISBLANK(Deltagarlista!$C30),"",IF(ISBLANK(Arrangörslista!Q$143),"",IFERROR(VLOOKUP($F29,Arrangörslista!Q$143:$AG$180,16,FALSE), "DNS"))),""))</f>
        <v/>
      </c>
      <c r="BR29" s="51"/>
      <c r="BS29" s="51"/>
      <c r="BT29" s="51"/>
      <c r="BU29" s="71">
        <f>SUM(BV29:EC29)</f>
        <v>0</v>
      </c>
      <c r="BV29" s="61">
        <f>IF(J29="",0,IF(OR(J29="DNF",J29="OCS",J29="DSQ",J29="DNS",J29=" DNS "),$BW$3+1,J29))</f>
        <v>0</v>
      </c>
      <c r="BW29" s="61">
        <f>IF(K29="",0,IF(OR(K29="DNF",K29="OCS",K29="DSQ",K29="DNS",K29=" DNS "),$BW$3+1,K29))</f>
        <v>0</v>
      </c>
      <c r="BX29" s="61">
        <f>IF(L29="",0,IF(OR(L29="DNF",L29="OCS",L29="DSQ",L29="DNS",L29=" DNS "),$BW$3+1,L29))</f>
        <v>0</v>
      </c>
      <c r="BY29" s="61">
        <f>IF(M29="",0,IF(OR(M29="DNF",M29="OCS",M29="DSQ",M29="DNS",M29=" DNS "),$BW$3+1,M29))</f>
        <v>0</v>
      </c>
      <c r="BZ29" s="61">
        <f>IF(N29="",0,IF(OR(N29="DNF",N29="OCS",N29="DSQ",N29="DNS",N29=" DNS "),$BW$3+1,N29))</f>
        <v>0</v>
      </c>
      <c r="CA29" s="61">
        <f>IF(O29="",0,IF(OR(O29="DNF",O29="OCS",O29="DSQ",O29="DNS",O29=" DNS "),$BW$3+1,O29))</f>
        <v>0</v>
      </c>
      <c r="CB29" s="61">
        <f>IF(P29="",0,IF(OR(P29="DNF",P29="OCS",P29="DSQ",P29="DNS",P29=" DNS "),$BW$3+1,P29))</f>
        <v>0</v>
      </c>
      <c r="CC29" s="61">
        <f>IF(Q29="",0,IF(OR(Q29="DNF",Q29="OCS",Q29="DSQ",Q29="DNS",Q29=" DNS "),$BW$3+1,Q29))</f>
        <v>0</v>
      </c>
      <c r="CD29" s="61">
        <f>IF(R29="",0,IF(OR(R29="DNF",R29="OCS",R29="DSQ",R29="DNS",R29=" DNS "),$BW$3+1,R29))</f>
        <v>0</v>
      </c>
      <c r="CE29" s="61">
        <f>IF(S29="",0,IF(OR(S29="DNF",S29="OCS",S29="DSQ",S29="DNS",S29=" DNS "),$BW$3+1,S29))</f>
        <v>0</v>
      </c>
      <c r="CF29" s="61">
        <f>IF(T29="",0,IF(OR(T29="DNF",T29="OCS",T29="DSQ",T29="DNS",T29=" DNS "),$BW$3+1,T29))</f>
        <v>0</v>
      </c>
      <c r="CG29" s="61">
        <f>IF(U29="",0,IF(OR(U29="DNF",U29="OCS",U29="DSQ",U29="DNS",U29=" DNS "),$BW$3+1,U29))</f>
        <v>0</v>
      </c>
      <c r="CH29" s="61">
        <f>IF(V29="",0,IF(OR(V29="DNF",V29="OCS",V29="DSQ",V29="DNS",V29=" DNS "),$BW$3+1,V29))</f>
        <v>0</v>
      </c>
      <c r="CI29" s="61">
        <f>IF(W29="",0,IF(OR(W29="DNF",W29="OCS",W29="DSQ",W29="DNS",W29=" DNS "),$BW$3+1,W29))</f>
        <v>0</v>
      </c>
      <c r="CJ29" s="61">
        <f>IF(X29="",0,IF(OR(X29="DNF",X29="OCS",X29="DSQ",X29="DNS",X29=" DNS "),$BW$3+1,X29))</f>
        <v>0</v>
      </c>
      <c r="CK29" s="61">
        <f>IF(Y29="",0,IF(OR(Y29="DNF",Y29="OCS",Y29="DSQ",Y29="DNS",Y29=" DNS "),$BW$3+1,Y29))</f>
        <v>0</v>
      </c>
      <c r="CL29" s="61">
        <f>IF(Z29="",0,IF(OR(Z29="DNF",Z29="OCS",Z29="DSQ",Z29="DNS",Z29=" DNS "),$BW$3+1,Z29))</f>
        <v>0</v>
      </c>
      <c r="CM29" s="61">
        <f>IF(AA29="",0,IF(OR(AA29="DNF",AA29="OCS",AA29="DSQ",AA29="DNS",AA29=" DNS "),$BW$3+1,AA29))</f>
        <v>0</v>
      </c>
      <c r="CN29" s="61">
        <f>IF(AB29="",0,IF(OR(AB29="DNF",AB29="OCS",AB29="DSQ",AB29="DNS",AB29=" DNS "),$BW$3+1,AB29))</f>
        <v>0</v>
      </c>
      <c r="CO29" s="61">
        <f>IF(AC29="",0,IF(OR(AC29="DNF",AC29="OCS",AC29="DSQ",AC29="DNS",AC29=" DNS "),$BW$3+1,AC29))</f>
        <v>0</v>
      </c>
      <c r="CP29" s="61">
        <f>IF(AD29="",0,IF(OR(AD29="DNF",AD29="OCS",AD29="DSQ",AD29="DNS",AD29=" DNS "),$BW$3+1,AD29))</f>
        <v>0</v>
      </c>
      <c r="CQ29" s="61">
        <f>IF(AE29="",0,IF(OR(AE29="DNF",AE29="OCS",AE29="DSQ",AE29="DNS",AE29=" DNS "),$BW$3+1,AE29))</f>
        <v>0</v>
      </c>
      <c r="CR29" s="61">
        <f>IF(AF29="",0,IF(OR(AF29="DNF",AF29="OCS",AF29="DSQ",AF29="DNS",AF29=" DNS "),$BW$3+1,AF29))</f>
        <v>0</v>
      </c>
      <c r="CS29" s="61">
        <f>IF(AG29="",0,IF(OR(AG29="DNF",AG29="OCS",AG29="DSQ",AG29="DNS",AG29=" DNS "),$BW$3+1,AG29))</f>
        <v>0</v>
      </c>
      <c r="CT29" s="61">
        <f>IF(AH29="",0,IF(OR(AH29="DNF",AH29="OCS",AH29="DSQ",AH29="DNS",AH29=" DNS "),$BW$3+1,AH29))</f>
        <v>0</v>
      </c>
      <c r="CU29" s="61">
        <f>IF(AI29="",0,IF(OR(AI29="DNF",AI29="OCS",AI29="DSQ",AI29="DNS",AI29=" DNS "),$BW$3+1,AI29))</f>
        <v>0</v>
      </c>
      <c r="CV29" s="61">
        <f>IF(AJ29="",0,IF(OR(AJ29="DNF",AJ29="OCS",AJ29="DSQ",AJ29="DNS",AJ29=" DNS "),$BW$3+1,AJ29))</f>
        <v>0</v>
      </c>
      <c r="CW29" s="61">
        <f>IF(AK29="",0,IF(OR(AK29="DNF",AK29="OCS",AK29="DSQ",AK29="DNS",AK29=" DNS "),$BW$3+1,AK29))</f>
        <v>0</v>
      </c>
      <c r="CX29" s="61">
        <f>IF(AL29="",0,IF(OR(AL29="DNF",AL29="OCS",AL29="DSQ",AL29="DNS",AL29=" DNS "),$BW$3+1,AL29))</f>
        <v>0</v>
      </c>
      <c r="CY29" s="61">
        <f>IF(AM29="",0,IF(OR(AM29="DNF",AM29="OCS",AM29="DSQ",AM29="DNS",AM29=" DNS "),$BW$3+1,AM29))</f>
        <v>0</v>
      </c>
      <c r="CZ29" s="61">
        <f>IF(AN29="",0,IF(OR(AN29="DNF",AN29="OCS",AN29="DSQ",AN29="DNS",AN29=" DNS "),$BW$3+1,AN29))</f>
        <v>0</v>
      </c>
      <c r="DA29" s="61">
        <f>IF(AO29="",0,IF(OR(AO29="DNF",AO29="OCS",AO29="DSQ",AO29="DNS",AO29=" DNS "),$BW$3+1,AO29))</f>
        <v>0</v>
      </c>
      <c r="DB29" s="61">
        <f>IF(AP29="",0,IF(OR(AP29="DNF",AP29="OCS",AP29="DSQ",AP29="DNS",AP29=" DNS "),$BW$3+1,AP29))</f>
        <v>0</v>
      </c>
      <c r="DC29" s="61">
        <f>IF(AQ29="",0,IF(OR(AQ29="DNF",AQ29="OCS",AQ29="DSQ",AQ29="DNS",AQ29=" DNS "),$BW$3+1,AQ29))</f>
        <v>0</v>
      </c>
      <c r="DD29" s="61">
        <f>IF(AR29="",0,IF(OR(AR29="DNF",AR29="OCS",AR29="DSQ",AR29="DNS",AR29=" DNS "),$BW$3+1,AR29))</f>
        <v>0</v>
      </c>
      <c r="DE29" s="61">
        <f>IF(AS29="",0,IF(OR(AS29="DNF",AS29="OCS",AS29="DSQ",AS29="DNS",AS29=" DNS "),$BW$3+1,AS29))</f>
        <v>0</v>
      </c>
      <c r="DF29" s="61">
        <f>IF(AT29="",0,IF(OR(AT29="DNF",AT29="OCS",AT29="DSQ",AT29="DNS",AT29=" DNS "),$BW$3+1,AT29))</f>
        <v>0</v>
      </c>
      <c r="DG29" s="61">
        <f>IF(AU29="",0,IF(OR(AU29="DNF",AU29="OCS",AU29="DSQ",AU29="DNS",AU29=" DNS "),$BW$3+1,AU29))</f>
        <v>0</v>
      </c>
      <c r="DH29" s="61">
        <f>IF(AV29="",0,IF(OR(AV29="DNF",AV29="OCS",AV29="DSQ",AV29="DNS",AV29=" DNS "),$BW$3+1,AV29))</f>
        <v>0</v>
      </c>
      <c r="DI29" s="61">
        <f>IF(AW29="",0,IF(OR(AW29="DNF",AW29="OCS",AW29="DSQ",AW29="DNS",AW29=" DNS "),$BW$3+1,AW29))</f>
        <v>0</v>
      </c>
      <c r="DJ29" s="61">
        <f>IF(AX29="",0,IF(OR(AX29="DNF",AX29="OCS",AX29="DSQ",AX29="DNS",AX29=" DNS "),$BW$3+1,AX29))</f>
        <v>0</v>
      </c>
      <c r="DK29" s="61">
        <f>IF(AY29="",0,IF(OR(AY29="DNF",AY29="OCS",AY29="DSQ",AY29="DNS",AY29=" DNS "),$BW$3+1,AY29))</f>
        <v>0</v>
      </c>
      <c r="DL29" s="61">
        <f>IF(AZ29="",0,IF(OR(AZ29="DNF",AZ29="OCS",AZ29="DSQ",AZ29="DNS",AZ29=" DNS "),$BW$3+1,AZ29))</f>
        <v>0</v>
      </c>
      <c r="DM29" s="61">
        <f>IF(BA29="",0,IF(OR(BA29="DNF",BA29="OCS",BA29="DSQ",BA29="DNS",BA29=" DNS "),$BW$3+1,BA29))</f>
        <v>0</v>
      </c>
      <c r="DN29" s="61">
        <f>IF(BB29="",0,IF(OR(BB29="DNF",BB29="OCS",BB29="DSQ",BB29="DNS",BB29=" DNS "),$BW$3+1,BB29))</f>
        <v>0</v>
      </c>
      <c r="DO29" s="61">
        <f>IF(BC29="",0,IF(OR(BC29="DNF",BC29="OCS",BC29="DSQ",BC29="DNS",BC29=" DNS "),$BW$3+1,BC29))</f>
        <v>0</v>
      </c>
      <c r="DP29" s="61">
        <f>IF(BD29="",0,IF(OR(BD29="DNF",BD29="OCS",BD29="DSQ",BD29="DNS",BD29=" DNS "),$BW$3+1,BD29))</f>
        <v>0</v>
      </c>
      <c r="DQ29" s="61">
        <f>IF(BE29="",0,IF(OR(BE29="DNF",BE29="OCS",BE29="DSQ",BE29="DNS",BE29=" DNS "),$BW$3+1,BE29))</f>
        <v>0</v>
      </c>
      <c r="DR29" s="61">
        <f>IF(BF29="",0,IF(OR(BF29="DNF",BF29="OCS",BF29="DSQ",BF29="DNS",BF29=" DNS "),$BW$3+1,BF29))</f>
        <v>0</v>
      </c>
      <c r="DS29" s="61">
        <f>IF(BG29="",0,IF(OR(BG29="DNF",BG29="OCS",BG29="DSQ",BG29="DNS",BG29=" DNS "),$BW$3+1,BG29))</f>
        <v>0</v>
      </c>
      <c r="DT29" s="61">
        <f>IF(BH29="",0,IF(OR(BH29="DNF",BH29="OCS",BH29="DSQ",BH29="DNS",BH29=" DNS "),$BW$3+1,BH29))</f>
        <v>0</v>
      </c>
      <c r="DU29" s="61">
        <f>IF(BI29="",0,IF(OR(BI29="DNF",BI29="OCS",BI29="DSQ",BI29="DNS",BI29=" DNS "),$BW$3+1,BI29))</f>
        <v>0</v>
      </c>
      <c r="DV29" s="61">
        <f>IF(BJ29="",0,IF(OR(BJ29="DNF",BJ29="OCS",BJ29="DSQ",BJ29="DNS",BJ29=" DNS "),$BW$3+1,BJ29))</f>
        <v>0</v>
      </c>
      <c r="DW29" s="61">
        <f>IF(BK29="",0,IF(OR(BK29="DNF",BK29="OCS",BK29="DSQ",BK29="DNS",BK29=" DNS "),$BW$3+1,BK29))</f>
        <v>0</v>
      </c>
      <c r="DX29" s="61">
        <f>IF(BL29="",0,IF(OR(BL29="DNF",BL29="OCS",BL29="DSQ",BL29="DNS",BL29=" DNS "),$BW$3+1,BL29))</f>
        <v>0</v>
      </c>
      <c r="DY29" s="61">
        <f>IF(BM29="",0,IF(OR(BM29="DNF",BM29="OCS",BM29="DSQ",BM29="DNS",BM29=" DNS "),$BW$3+1,BM29))</f>
        <v>0</v>
      </c>
      <c r="DZ29" s="61">
        <f>IF(BN29="",0,IF(OR(BN29="DNF",BN29="OCS",BN29="DSQ",BN29="DNS",BN29=" DNS "),$BW$3+1,BN29))</f>
        <v>0</v>
      </c>
      <c r="EA29" s="61">
        <f>IF(BO29="",0,IF(OR(BO29="DNF",BO29="OCS",BO29="DSQ",BO29="DNS",BO29=" DNS "),$BW$3+1,BO29))</f>
        <v>0</v>
      </c>
      <c r="EB29" s="61">
        <f>IF(BP29="",0,IF(OR(BP29="DNF",BP29="OCS",BP29="DSQ",BP29="DNS",BP29=" DNS "),$BW$3+1,BP29))</f>
        <v>0</v>
      </c>
      <c r="EC29" s="61">
        <f>IF(BQ29="",0,IF(OR(BQ29="DNF",BQ29="OCS",BQ29="DSQ",BQ29="DNS",BQ29=" DNS "),$BW$3+1,BQ29))</f>
        <v>0</v>
      </c>
      <c r="EE29" s="61">
        <f xml:space="preserve">
IF(OR(Deltagarlista!$K$3=3,Deltagarlista!$K$3=4),
IF(Arrangörslista!$U$5&lt;8,0,
IF(Arrangörslista!$U$5&lt;16,SUM(LARGE(BV29:CJ29,1)),
IF(Arrangörslista!$U$5&lt;24,SUM(LARGE(BV29:CR29,{1;2})),
IF(Arrangörslista!$U$5&lt;32,SUM(LARGE(BV29:CZ29,{1;2;3})),
IF(Arrangörslista!$U$5&lt;40,SUM(LARGE(BV29:DH29,{1;2;3;4})),
IF(Arrangörslista!$U$5&lt;48,SUM(LARGE(BV29:DP29,{1;2;3;4;5})),
IF(Arrangörslista!$U$5&lt;56,SUM(LARGE(BV29:DX29,{1;2;3;4;5;6})),
IF(Arrangörslista!$U$5&lt;64,SUM(LARGE(BV29:EC29,{1;2;3;4;5;6;7})),0)))))))),
IF(Deltagarlista!$K$3=2,
IF(Arrangörslista!$U$5&lt;4,LARGE(BV29:BX29,1),
IF(Arrangörslista!$U$5&lt;7,SUM(LARGE(BV29:CA29,{1;2;3})),
IF(Arrangörslista!$U$5&lt;10,SUM(LARGE(BV29:CD29,{1;2;3;4})),
IF(Arrangörslista!$U$5&lt;13,SUM(LARGE(BV29:CG29,{1;2;3;4;5;6})),
IF(Arrangörslista!$U$5&lt;16,SUM(LARGE(BV29:CJ29,{1;2;3;4;5;6;7})),
IF(Arrangörslista!$U$5&lt;19,SUM(LARGE(BV29:CM29,{1;2;3;4;5;6;7;8;9})),
IF(Arrangörslista!$U$5&lt;22,SUM(LARGE(BV29:CP29,{1;2;3;4;5;6;7;8;9;10})),
IF(Arrangörslista!$U$5&lt;25,SUM(LARGE(BV29:CS29,{1;2;3;4;5;6;7;8;9;10;11;12})),
IF(Arrangörslista!$U$5&lt;28,SUM(LARGE(BV29:CV29,{1;2;3;4;5;6;7;8;9;10;11;12;13})),
IF(Arrangörslista!$U$5&lt;31,SUM(LARGE(BV29:CY29,{1;2;3;4;5;6;7;8;9;10;11;12;13;14;15})),
IF(Arrangörslista!$U$5&lt;34,SUM(LARGE(BV29:DB29,{1;2;3;4;5;6;7;8;9;10;11;12;13;14;15;16})),
IF(Arrangörslista!$U$5&lt;37,SUM(LARGE(BV29:DE29,{1;2;3;4;5;6;7;8;9;10;11;12;13;14;15;16;17;18})),
IF(Arrangörslista!$U$5&lt;40,SUM(LARGE(BV29:DH29,{1;2;3;4;5;6;7;8;9;10;11;12;13;14;15;16;17;18;19})),
IF(Arrangörslista!$U$5&lt;43,SUM(LARGE(BV29:DK29,{1;2;3;4;5;6;7;8;9;10;11;12;13;14;15;16;17;18;19;20;21})),
IF(Arrangörslista!$U$5&lt;46,SUM(LARGE(BV29:DN29,{1;2;3;4;5;6;7;8;9;10;11;12;13;14;15;16;17;18;19;20;21;22})),
IF(Arrangörslista!$U$5&lt;49,SUM(LARGE(BV29:DQ29,{1;2;3;4;5;6;7;8;9;10;11;12;13;14;15;16;17;18;19;20;21;22;23;24})),
IF(Arrangörslista!$U$5&lt;52,SUM(LARGE(BV29:DT29,{1;2;3;4;5;6;7;8;9;10;11;12;13;14;15;16;17;18;19;20;21;22;23;24;25})),
IF(Arrangörslista!$U$5&lt;55,SUM(LARGE(BV29:DW29,{1;2;3;4;5;6;7;8;9;10;11;12;13;14;15;16;17;18;19;20;21;22;23;24;25;26;27})),
IF(Arrangörslista!$U$5&lt;58,SUM(LARGE(BV29:DZ29,{1;2;3;4;5;6;7;8;9;10;11;12;13;14;15;16;17;18;19;20;21;22;23;24;25;26;27;28})),
IF(Arrangörslista!$U$5&lt;61,SUM(LARGE(BV29:EC29,{1;2;3;4;5;6;7;8;9;10;11;12;13;14;15;16;17;18;19;20;21;22;23;24;25;26;27;28;29;30})),0)))))))))))))))))))),
IF(Arrangörslista!$U$5&lt;4,0,
IF(Arrangörslista!$U$5&lt;8,SUM(LARGE(BV29:CB29,1)),
IF(Arrangörslista!$U$5&lt;12,SUM(LARGE(BV29:CF29,{1;2})),
IF(Arrangörslista!$U$5&lt;16,SUM(LARGE(BV29:CJ29,{1;2;3})),
IF(Arrangörslista!$U$5&lt;20,SUM(LARGE(BV29:CN29,{1;2;3;4})),
IF(Arrangörslista!$U$5&lt;24,SUM(LARGE(BV29:CR29,{1;2;3;4;5})),
IF(Arrangörslista!$U$5&lt;28,SUM(LARGE(BV29:CV29,{1;2;3;4;5;6})),
IF(Arrangörslista!$U$5&lt;32,SUM(LARGE(BV29:CZ29,{1;2;3;4;5;6;7})),
IF(Arrangörslista!$U$5&lt;36,SUM(LARGE(BV29:DD29,{1;2;3;4;5;6;7;8})),
IF(Arrangörslista!$U$5&lt;40,SUM(LARGE(BV29:DH29,{1;2;3;4;5;6;7;8;9})),
IF(Arrangörslista!$U$5&lt;44,SUM(LARGE(BV29:DL29,{1;2;3;4;5;6;7;8;9;10})),
IF(Arrangörslista!$U$5&lt;48,SUM(LARGE(BV29:DP29,{1;2;3;4;5;6;7;8;9;10;11})),
IF(Arrangörslista!$U$5&lt;52,SUM(LARGE(BV29:DT29,{1;2;3;4;5;6;7;8;9;10;11;12})),
IF(Arrangörslista!$U$5&lt;56,SUM(LARGE(BV29:DX29,{1;2;3;4;5;6;7;8;9;10;11;12;13})),
IF(Arrangörslista!$U$5&lt;60,SUM(LARGE(BV29:EB29,{1;2;3;4;5;6;7;8;9;10;11;12;13;14})),
IF(Arrangörslista!$U$5=60,SUM(LARGE(BV29:EC29,{1;2;3;4;5;6;7;8;9;10;11;12;13;14;15})),0))))))))))))))))))</f>
        <v>0</v>
      </c>
      <c r="EG29" s="67">
        <f>IF(F29="",,1)</f>
        <v>0</v>
      </c>
      <c r="EH29" s="61"/>
      <c r="EI29" s="61"/>
      <c r="EK29" s="62">
        <f>SMALL($J92:$BQ92,1)</f>
        <v>61</v>
      </c>
      <c r="EL29" s="62">
        <f>SMALL($J92:$BQ92,2)</f>
        <v>61</v>
      </c>
      <c r="EM29" s="62">
        <f>SMALL($J92:$BQ92,3)</f>
        <v>61</v>
      </c>
      <c r="EN29" s="62">
        <f>SMALL($J92:$BQ92,4)</f>
        <v>61</v>
      </c>
      <c r="EO29" s="62">
        <f>SMALL($J92:$BQ92,5)</f>
        <v>61</v>
      </c>
      <c r="EP29" s="62">
        <f>SMALL($J92:$BQ92,6)</f>
        <v>61</v>
      </c>
      <c r="EQ29" s="62">
        <f>SMALL($J92:$BQ92,7)</f>
        <v>61</v>
      </c>
      <c r="ER29" s="62">
        <f>SMALL($J92:$BQ92,8)</f>
        <v>61</v>
      </c>
      <c r="ES29" s="62">
        <f>SMALL($J92:$BQ92,9)</f>
        <v>61</v>
      </c>
      <c r="ET29" s="62">
        <f>SMALL($J92:$BQ92,10)</f>
        <v>61</v>
      </c>
      <c r="EU29" s="62">
        <f>SMALL($J92:$BQ92,11)</f>
        <v>61</v>
      </c>
      <c r="EV29" s="62">
        <f>SMALL($J92:$BQ92,12)</f>
        <v>61</v>
      </c>
      <c r="EW29" s="62">
        <f>SMALL($J92:$BQ92,13)</f>
        <v>61</v>
      </c>
      <c r="EX29" s="62">
        <f>SMALL($J92:$BQ92,14)</f>
        <v>61</v>
      </c>
      <c r="EY29" s="62">
        <f>SMALL($J92:$BQ92,15)</f>
        <v>61</v>
      </c>
      <c r="EZ29" s="62">
        <f>SMALL($J92:$BQ92,16)</f>
        <v>61</v>
      </c>
      <c r="FA29" s="62">
        <f>SMALL($J92:$BQ92,17)</f>
        <v>61</v>
      </c>
      <c r="FB29" s="62">
        <f>SMALL($J92:$BQ92,18)</f>
        <v>61</v>
      </c>
      <c r="FC29" s="62">
        <f>SMALL($J92:$BQ92,19)</f>
        <v>61</v>
      </c>
      <c r="FD29" s="62">
        <f>SMALL($J92:$BQ92,20)</f>
        <v>61</v>
      </c>
      <c r="FE29" s="62">
        <f>SMALL($J92:$BQ92,21)</f>
        <v>61</v>
      </c>
      <c r="FF29" s="62">
        <f>SMALL($J92:$BQ92,22)</f>
        <v>61</v>
      </c>
      <c r="FG29" s="62">
        <f>SMALL($J92:$BQ92,23)</f>
        <v>61</v>
      </c>
      <c r="FH29" s="62">
        <f>SMALL($J92:$BQ92,24)</f>
        <v>61</v>
      </c>
      <c r="FI29" s="62">
        <f>SMALL($J92:$BQ92,25)</f>
        <v>61</v>
      </c>
      <c r="FJ29" s="62">
        <f>SMALL($J92:$BQ92,26)</f>
        <v>61</v>
      </c>
      <c r="FK29" s="62">
        <f>SMALL($J92:$BQ92,27)</f>
        <v>61</v>
      </c>
      <c r="FL29" s="62">
        <f>SMALL($J92:$BQ92,28)</f>
        <v>61</v>
      </c>
      <c r="FM29" s="62">
        <f>SMALL($J92:$BQ92,29)</f>
        <v>61</v>
      </c>
      <c r="FN29" s="62">
        <f>SMALL($J92:$BQ92,30)</f>
        <v>61</v>
      </c>
      <c r="FO29" s="62">
        <f>SMALL($J92:$BQ92,31)</f>
        <v>61</v>
      </c>
      <c r="FP29" s="62">
        <f>SMALL($J92:$BQ92,32)</f>
        <v>61</v>
      </c>
      <c r="FQ29" s="62">
        <f>SMALL($J92:$BQ92,33)</f>
        <v>61</v>
      </c>
      <c r="FR29" s="62">
        <f>SMALL($J92:$BQ92,34)</f>
        <v>61</v>
      </c>
      <c r="FS29" s="62">
        <f>SMALL($J92:$BQ92,35)</f>
        <v>61</v>
      </c>
      <c r="FT29" s="62">
        <f>SMALL($J92:$BQ92,36)</f>
        <v>61</v>
      </c>
      <c r="FU29" s="62">
        <f>SMALL($J92:$BQ92,37)</f>
        <v>61</v>
      </c>
      <c r="FV29" s="62">
        <f>SMALL($J92:$BQ92,38)</f>
        <v>61</v>
      </c>
      <c r="FW29" s="62">
        <f>SMALL($J92:$BQ92,39)</f>
        <v>61</v>
      </c>
      <c r="FX29" s="62">
        <f>SMALL($J92:$BQ92,40)</f>
        <v>61</v>
      </c>
      <c r="FY29" s="62">
        <f>SMALL($J92:$BQ92,41)</f>
        <v>61</v>
      </c>
      <c r="FZ29" s="62">
        <f>SMALL($J92:$BQ92,42)</f>
        <v>61</v>
      </c>
      <c r="GA29" s="62">
        <f>SMALL($J92:$BQ92,43)</f>
        <v>61</v>
      </c>
      <c r="GB29" s="62">
        <f>SMALL($J92:$BQ92,44)</f>
        <v>61</v>
      </c>
      <c r="GC29" s="62">
        <f>SMALL($J92:$BQ92,45)</f>
        <v>61</v>
      </c>
      <c r="GD29" s="62">
        <f>SMALL($J92:$BQ92,46)</f>
        <v>61</v>
      </c>
      <c r="GE29" s="62">
        <f>SMALL($J92:$BQ92,47)</f>
        <v>61</v>
      </c>
      <c r="GF29" s="62">
        <f>SMALL($J92:$BQ92,48)</f>
        <v>61</v>
      </c>
      <c r="GG29" s="62">
        <f>SMALL($J92:$BQ92,49)</f>
        <v>61</v>
      </c>
      <c r="GH29" s="62">
        <f>SMALL($J92:$BQ92,50)</f>
        <v>61</v>
      </c>
      <c r="GI29" s="62">
        <f>SMALL($J92:$BQ92,51)</f>
        <v>61</v>
      </c>
      <c r="GJ29" s="62">
        <f>SMALL($J92:$BQ92,52)</f>
        <v>61</v>
      </c>
      <c r="GK29" s="62">
        <f>SMALL($J92:$BQ92,53)</f>
        <v>61</v>
      </c>
      <c r="GL29" s="62">
        <f>SMALL($J92:$BQ92,54)</f>
        <v>61</v>
      </c>
      <c r="GM29" s="62">
        <f>SMALL($J92:$BQ92,55)</f>
        <v>61</v>
      </c>
      <c r="GN29" s="62">
        <f>SMALL($J92:$BQ92,56)</f>
        <v>61</v>
      </c>
      <c r="GO29" s="62">
        <f>SMALL($J92:$BQ92,57)</f>
        <v>61</v>
      </c>
      <c r="GP29" s="62">
        <f>SMALL($J92:$BQ92,58)</f>
        <v>61</v>
      </c>
      <c r="GQ29" s="62">
        <f>SMALL($J92:$BQ92,59)</f>
        <v>61</v>
      </c>
      <c r="GR29" s="62">
        <f>SMALL($J92:$BQ92,60)</f>
        <v>61</v>
      </c>
      <c r="GT29" s="62">
        <f>IF(Deltagarlista!$K$3=2,
IF(GW29="1",
      IF(Arrangörslista!$U$5=1,J92,
IF(Arrangörslista!$U$5=2,K92,
IF(Arrangörslista!$U$5=3,L92,
IF(Arrangörslista!$U$5=4,M92,
IF(Arrangörslista!$U$5=5,N92,
IF(Arrangörslista!$U$5=6,O92,
IF(Arrangörslista!$U$5=7,P92,
IF(Arrangörslista!$U$5=8,Q92,
IF(Arrangörslista!$U$5=9,R92,
IF(Arrangörslista!$U$5=10,S92,
IF(Arrangörslista!$U$5=11,T92,
IF(Arrangörslista!$U$5=12,U92,
IF(Arrangörslista!$U$5=13,V92,
IF(Arrangörslista!$U$5=14,W92,
IF(Arrangörslista!$U$5=15,X92,
IF(Arrangörslista!$U$5=16,Y92,IF(Arrangörslista!$U$5=17,Z92,IF(Arrangörslista!$U$5=18,AA92,IF(Arrangörslista!$U$5=19,AB92,IF(Arrangörslista!$U$5=20,AC92,IF(Arrangörslista!$U$5=21,AD92,IF(Arrangörslista!$U$5=22,AE92,IF(Arrangörslista!$U$5=23,AF92, IF(Arrangörslista!$U$5=24,AG92, IF(Arrangörslista!$U$5=25,AH92, IF(Arrangörslista!$U$5=26,AI92, IF(Arrangörslista!$U$5=27,AJ92, IF(Arrangörslista!$U$5=28,AK92, IF(Arrangörslista!$U$5=29,AL92, IF(Arrangörslista!$U$5=30,AM92, IF(Arrangörslista!$U$5=31,AN92, IF(Arrangörslista!$U$5=32,AO92, IF(Arrangörslista!$U$5=33,AP92, IF(Arrangörslista!$U$5=34,AQ92, IF(Arrangörslista!$U$5=35,AR92, IF(Arrangörslista!$U$5=36,AS92, IF(Arrangörslista!$U$5=37,AT92, IF(Arrangörslista!$U$5=38,AU92, IF(Arrangörslista!$U$5=39,AV92, IF(Arrangörslista!$U$5=40,AW92, IF(Arrangörslista!$U$5=41,AX92, IF(Arrangörslista!$U$5=42,AY92, IF(Arrangörslista!$U$5=43,AZ92, IF(Arrangörslista!$U$5=44,BA92, IF(Arrangörslista!$U$5=45,BB92, IF(Arrangörslista!$U$5=46,BC92, IF(Arrangörslista!$U$5=47,BD92, IF(Arrangörslista!$U$5=48,BE92, IF(Arrangörslista!$U$5=49,BF92, IF(Arrangörslista!$U$5=50,BG92, IF(Arrangörslista!$U$5=51,BH92, IF(Arrangörslista!$U$5=52,BI92, IF(Arrangörslista!$U$5=53,BJ92, IF(Arrangörslista!$U$5=54,BK92, IF(Arrangörslista!$U$5=55,BL92, IF(Arrangörslista!$U$5=56,BM92, IF(Arrangörslista!$U$5=57,BN92, IF(Arrangörslista!$U$5=58,BO92, IF(Arrangörslista!$U$5=59,BP92, IF(Arrangörslista!$U$5=60,BQ92,0))))))))))))))))))))))))))))))))))))))))))))))))))))))))))))),IF(Deltagarlista!$K$3=4, IF(Arrangörslista!$U$5=1,J92,
IF(Arrangörslista!$U$5=2,J92,
IF(Arrangörslista!$U$5=3,K92,
IF(Arrangörslista!$U$5=4,K92,
IF(Arrangörslista!$U$5=5,L92,
IF(Arrangörslista!$U$5=6,L92,
IF(Arrangörslista!$U$5=7,M92,
IF(Arrangörslista!$U$5=8,M92,
IF(Arrangörslista!$U$5=9,N92,
IF(Arrangörslista!$U$5=10,N92,
IF(Arrangörslista!$U$5=11,O92,
IF(Arrangörslista!$U$5=12,O92,
IF(Arrangörslista!$U$5=13,P92,
IF(Arrangörslista!$U$5=14,P92,
IF(Arrangörslista!$U$5=15,Q92,
IF(Arrangörslista!$U$5=16,Q92,
IF(Arrangörslista!$U$5=17,R92,
IF(Arrangörslista!$U$5=18,R92,
IF(Arrangörslista!$U$5=19,S92,
IF(Arrangörslista!$U$5=20,S92,
IF(Arrangörslista!$U$5=21,T92,
IF(Arrangörslista!$U$5=22,T92,IF(Arrangörslista!$U$5=23,U92, IF(Arrangörslista!$U$5=24,U92, IF(Arrangörslista!$U$5=25,V92, IF(Arrangörslista!$U$5=26,V92, IF(Arrangörslista!$U$5=27,W92, IF(Arrangörslista!$U$5=28,W92, IF(Arrangörslista!$U$5=29,X92, IF(Arrangörslista!$U$5=30,X92, IF(Arrangörslista!$U$5=31,X92, IF(Arrangörslista!$U$5=32,Y92, IF(Arrangörslista!$U$5=33,AO92, IF(Arrangörslista!$U$5=34,Y92, IF(Arrangörslista!$U$5=35,Z92, IF(Arrangörslista!$U$5=36,AR92, IF(Arrangörslista!$U$5=37,Z92, IF(Arrangörslista!$U$5=38,AA92, IF(Arrangörslista!$U$5=39,AU92, IF(Arrangörslista!$U$5=40,AA92, IF(Arrangörslista!$U$5=41,AB92, IF(Arrangörslista!$U$5=42,AX92, IF(Arrangörslista!$U$5=43,AB92, IF(Arrangörslista!$U$5=44,AC92, IF(Arrangörslista!$U$5=45,BA92, IF(Arrangörslista!$U$5=46,AC92, IF(Arrangörslista!$U$5=47,AD92, IF(Arrangörslista!$U$5=48,BD92, IF(Arrangörslista!$U$5=49,AD92, IF(Arrangörslista!$U$5=50,AE92, IF(Arrangörslista!$U$5=51,BG92, IF(Arrangörslista!$U$5=52,AE92, IF(Arrangörslista!$U$5=53,AF92, IF(Arrangörslista!$U$5=54,BJ92, IF(Arrangörslista!$U$5=55,AF92, IF(Arrangörslista!$U$5=56,AG92, IF(Arrangörslista!$U$5=57,BM92, IF(Arrangörslista!$U$5=58,AG92, IF(Arrangörslista!$U$5=59,AH92, IF(Arrangörslista!$U$5=60,AH92,0)))))))))))))))))))))))))))))))))))))))))))))))))))))))))))),IF(Arrangörslista!$U$5=1,J92,
IF(Arrangörslista!$U$5=2,K92,
IF(Arrangörslista!$U$5=3,L92,
IF(Arrangörslista!$U$5=4,M92,
IF(Arrangörslista!$U$5=5,N92,
IF(Arrangörslista!$U$5=6,O92,
IF(Arrangörslista!$U$5=7,P92,
IF(Arrangörslista!$U$5=8,Q92,
IF(Arrangörslista!$U$5=9,R92,
IF(Arrangörslista!$U$5=10,S92,
IF(Arrangörslista!$U$5=11,T92,
IF(Arrangörslista!$U$5=12,U92,
IF(Arrangörslista!$U$5=13,V92,
IF(Arrangörslista!$U$5=14,W92,
IF(Arrangörslista!$U$5=15,X92,
IF(Arrangörslista!$U$5=16,Y92,IF(Arrangörslista!$U$5=17,Z92,IF(Arrangörslista!$U$5=18,AA92,IF(Arrangörslista!$U$5=19,AB92,IF(Arrangörslista!$U$5=20,AC92,IF(Arrangörslista!$U$5=21,AD92,IF(Arrangörslista!$U$5=22,AE92,IF(Arrangörslista!$U$5=23,AF92, IF(Arrangörslista!$U$5=24,AG92, IF(Arrangörslista!$U$5=25,AH92, IF(Arrangörslista!$U$5=26,AI92, IF(Arrangörslista!$U$5=27,AJ92, IF(Arrangörslista!$U$5=28,AK92, IF(Arrangörslista!$U$5=29,AL92, IF(Arrangörslista!$U$5=30,AM92, IF(Arrangörslista!$U$5=31,AN92, IF(Arrangörslista!$U$5=32,AO92, IF(Arrangörslista!$U$5=33,AP92, IF(Arrangörslista!$U$5=34,AQ92, IF(Arrangörslista!$U$5=35,AR92, IF(Arrangörslista!$U$5=36,AS92, IF(Arrangörslista!$U$5=37,AT92, IF(Arrangörslista!$U$5=38,AU92, IF(Arrangörslista!$U$5=39,AV92, IF(Arrangörslista!$U$5=40,AW92, IF(Arrangörslista!$U$5=41,AX92, IF(Arrangörslista!$U$5=42,AY92, IF(Arrangörslista!$U$5=43,AZ92, IF(Arrangörslista!$U$5=44,BA92, IF(Arrangörslista!$U$5=45,BB92, IF(Arrangörslista!$U$5=46,BC92, IF(Arrangörslista!$U$5=47,BD92, IF(Arrangörslista!$U$5=48,BE92, IF(Arrangörslista!$U$5=49,BF92, IF(Arrangörslista!$U$5=50,BG92, IF(Arrangörslista!$U$5=51,BH92, IF(Arrangörslista!$U$5=52,BI92, IF(Arrangörslista!$U$5=53,BJ92, IF(Arrangörslista!$U$5=54,BK92, IF(Arrangörslista!$U$5=55,BL92, IF(Arrangörslista!$U$5=56,BM92, IF(Arrangörslista!$U$5=57,BN92, IF(Arrangörslista!$U$5=58,BO92, IF(Arrangörslista!$U$5=59,BP92, IF(Arrangörslista!$U$5=60,BQ92,0))))))))))))))))))))))))))))))))))))))))))))))))))))))))))))
))</f>
        <v>0</v>
      </c>
      <c r="GV29" s="65" t="str">
        <f>IFERROR(IF(VLOOKUP(F29,Deltagarlista!$E$5:$I$64,5,FALSE)="Grön","Gr",IF(VLOOKUP(F29,Deltagarlista!$E$5:$I$64,5,FALSE)="Röd","R",IF(VLOOKUP(F29,Deltagarlista!$E$5:$I$64,5,FALSE)="Blå","B","Gu"))),"")</f>
        <v/>
      </c>
      <c r="GW29" s="62" t="str">
        <f t="shared" si="1"/>
        <v/>
      </c>
    </row>
    <row r="30" spans="2:205" ht="15.75" customHeight="1" x14ac:dyDescent="0.3">
      <c r="B30" s="23" t="str">
        <f>IF($BW$3&gt;26,27,"")</f>
        <v/>
      </c>
      <c r="C30" s="92" t="str">
        <f>IF(ISBLANK(Deltagarlista!C32),"",Deltagarlista!C32)</f>
        <v/>
      </c>
      <c r="D30" s="109" t="str">
        <f>CONCATENATE(IF(AND(Deltagarlista!H32="GM",Deltagarlista!$S$14=TRUE),"GM   ",""), IF(OR(Deltagarlista!$K$3=4,Deltagarlista!$K$3=2),Deltagarlista!I32,""))</f>
        <v/>
      </c>
      <c r="E30" s="8" t="str">
        <f>IF(ISBLANK(Deltagarlista!D32),"",Deltagarlista!D32)</f>
        <v/>
      </c>
      <c r="F30" s="8" t="str">
        <f>IF(ISBLANK(Deltagarlista!E32),"",Deltagarlista!E32)</f>
        <v/>
      </c>
      <c r="G30" s="95" t="str">
        <f>IF(ISBLANK(Deltagarlista!F32),"",Deltagarlista!F32)</f>
        <v/>
      </c>
      <c r="H30" s="72" t="str">
        <f>IF(ISBLANK(Deltagarlista!C32),"",BU30-EE30)</f>
        <v/>
      </c>
      <c r="I30" s="13" t="str">
        <f>IF(ISBLANK(Deltagarlista!C32),"",IF(AND(Deltagarlista!$K$3=2,Deltagarlista!$L$3&lt;37),SUM(SUM(BV30:EC30)-(ROUNDDOWN(Arrangörslista!$U$5/3,1))*($BW$3+1)),SUM(BV30:EC30)))</f>
        <v/>
      </c>
      <c r="J30" s="79" t="str">
        <f>IF(Deltagarlista!$K$3=4,IF(ISBLANK(Deltagarlista!$C32),"",IF(ISBLANK(Arrangörslista!C$8),"",IFERROR(VLOOKUP($F30,Arrangörslista!C$8:$AG$45,16,FALSE),IF(ISBLANK(Deltagarlista!$C32),"",IF(ISBLANK(Arrangörslista!C$8),"",IFERROR(VLOOKUP($F30,Arrangörslista!D$8:$AG$45,16,FALSE),"DNS")))))),IF(Deltagarlista!$K$3=2,
IF(ISBLANK(Deltagarlista!$C32),"",IF(ISBLANK(Arrangörslista!C$8),"",IF($GV30=J$64," DNS ",IFERROR(VLOOKUP($F30,Arrangörslista!C$8:$AG$45,16,FALSE),"DNS")))),IF(ISBLANK(Deltagarlista!$C32),"",IF(ISBLANK(Arrangörslista!C$8),"",IFERROR(VLOOKUP($F30,Arrangörslista!C$8:$AG$45,16,FALSE),"DNS")))))</f>
        <v/>
      </c>
      <c r="K30" s="5" t="str">
        <f>IF(Deltagarlista!$K$3=4,IF(ISBLANK(Deltagarlista!$C32),"",IF(ISBLANK(Arrangörslista!E$8),"",IFERROR(VLOOKUP($F30,Arrangörslista!E$8:$AG$45,16,FALSE),IF(ISBLANK(Deltagarlista!$C32),"",IF(ISBLANK(Arrangörslista!E$8),"",IFERROR(VLOOKUP($F30,Arrangörslista!F$8:$AG$45,16,FALSE),"DNS")))))),IF(Deltagarlista!$K$3=2,
IF(ISBLANK(Deltagarlista!$C32),"",IF(ISBLANK(Arrangörslista!D$8),"",IF($GV30=K$64," DNS ",IFERROR(VLOOKUP($F30,Arrangörslista!D$8:$AG$45,16,FALSE),"DNS")))),IF(ISBLANK(Deltagarlista!$C32),"",IF(ISBLANK(Arrangörslista!D$8),"",IFERROR(VLOOKUP($F30,Arrangörslista!D$8:$AG$45,16,FALSE),"DNS")))))</f>
        <v/>
      </c>
      <c r="L30" s="5" t="str">
        <f>IF(Deltagarlista!$K$3=4,IF(ISBLANK(Deltagarlista!$C32),"",IF(ISBLANK(Arrangörslista!G$8),"",IFERROR(VLOOKUP($F30,Arrangörslista!G$8:$AG$45,16,FALSE),IF(ISBLANK(Deltagarlista!$C32),"",IF(ISBLANK(Arrangörslista!G$8),"",IFERROR(VLOOKUP($F30,Arrangörslista!H$8:$AG$45,16,FALSE),"DNS")))))),IF(Deltagarlista!$K$3=2,
IF(ISBLANK(Deltagarlista!$C32),"",IF(ISBLANK(Arrangörslista!E$8),"",IF($GV30=L$64," DNS ",IFERROR(VLOOKUP($F30,Arrangörslista!E$8:$AG$45,16,FALSE),"DNS")))),IF(ISBLANK(Deltagarlista!$C32),"",IF(ISBLANK(Arrangörslista!E$8),"",IFERROR(VLOOKUP($F30,Arrangörslista!E$8:$AG$45,16,FALSE),"DNS")))))</f>
        <v/>
      </c>
      <c r="M30" s="5" t="str">
        <f>IF(Deltagarlista!$K$3=4,IF(ISBLANK(Deltagarlista!$C32),"",IF(ISBLANK(Arrangörslista!I$8),"",IFERROR(VLOOKUP($F30,Arrangörslista!I$8:$AG$45,16,FALSE),IF(ISBLANK(Deltagarlista!$C32),"",IF(ISBLANK(Arrangörslista!I$8),"",IFERROR(VLOOKUP($F30,Arrangörslista!J$8:$AG$45,16,FALSE),"DNS")))))),IF(Deltagarlista!$K$3=2,
IF(ISBLANK(Deltagarlista!$C32),"",IF(ISBLANK(Arrangörslista!F$8),"",IF($GV30=M$64," DNS ",IFERROR(VLOOKUP($F30,Arrangörslista!F$8:$AG$45,16,FALSE),"DNS")))),IF(ISBLANK(Deltagarlista!$C32),"",IF(ISBLANK(Arrangörslista!F$8),"",IFERROR(VLOOKUP($F30,Arrangörslista!F$8:$AG$45,16,FALSE),"DNS")))))</f>
        <v/>
      </c>
      <c r="N30" s="5" t="str">
        <f>IF(Deltagarlista!$K$3=4,IF(ISBLANK(Deltagarlista!$C32),"",IF(ISBLANK(Arrangörslista!K$8),"",IFERROR(VLOOKUP($F30,Arrangörslista!K$8:$AG$45,16,FALSE),IF(ISBLANK(Deltagarlista!$C32),"",IF(ISBLANK(Arrangörslista!K$8),"",IFERROR(VLOOKUP($F30,Arrangörslista!L$8:$AG$45,16,FALSE),"DNS")))))),IF(Deltagarlista!$K$3=2,
IF(ISBLANK(Deltagarlista!$C32),"",IF(ISBLANK(Arrangörslista!G$8),"",IF($GV30=N$64," DNS ",IFERROR(VLOOKUP($F30,Arrangörslista!G$8:$AG$45,16,FALSE),"DNS")))),IF(ISBLANK(Deltagarlista!$C32),"",IF(ISBLANK(Arrangörslista!G$8),"",IFERROR(VLOOKUP($F30,Arrangörslista!G$8:$AG$45,16,FALSE),"DNS")))))</f>
        <v/>
      </c>
      <c r="O30" s="5" t="str">
        <f>IF(Deltagarlista!$K$3=4,IF(ISBLANK(Deltagarlista!$C32),"",IF(ISBLANK(Arrangörslista!M$8),"",IFERROR(VLOOKUP($F30,Arrangörslista!M$8:$AG$45,16,FALSE),IF(ISBLANK(Deltagarlista!$C32),"",IF(ISBLANK(Arrangörslista!M$8),"",IFERROR(VLOOKUP($F30,Arrangörslista!N$8:$AG$45,16,FALSE),"DNS")))))),IF(Deltagarlista!$K$3=2,
IF(ISBLANK(Deltagarlista!$C32),"",IF(ISBLANK(Arrangörslista!H$8),"",IF($GV30=O$64," DNS ",IFERROR(VLOOKUP($F30,Arrangörslista!H$8:$AG$45,16,FALSE),"DNS")))),IF(ISBLANK(Deltagarlista!$C32),"",IF(ISBLANK(Arrangörslista!H$8),"",IFERROR(VLOOKUP($F30,Arrangörslista!H$8:$AG$45,16,FALSE),"DNS")))))</f>
        <v/>
      </c>
      <c r="P30" s="5" t="str">
        <f>IF(Deltagarlista!$K$3=4,IF(ISBLANK(Deltagarlista!$C32),"",IF(ISBLANK(Arrangörslista!O$8),"",IFERROR(VLOOKUP($F30,Arrangörslista!O$8:$AG$45,16,FALSE),IF(ISBLANK(Deltagarlista!$C32),"",IF(ISBLANK(Arrangörslista!O$8),"",IFERROR(VLOOKUP($F30,Arrangörslista!P$8:$AG$45,16,FALSE),"DNS")))))),IF(Deltagarlista!$K$3=2,
IF(ISBLANK(Deltagarlista!$C32),"",IF(ISBLANK(Arrangörslista!I$8),"",IF($GV30=P$64," DNS ",IFERROR(VLOOKUP($F30,Arrangörslista!I$8:$AG$45,16,FALSE),"DNS")))),IF(ISBLANK(Deltagarlista!$C32),"",IF(ISBLANK(Arrangörslista!I$8),"",IFERROR(VLOOKUP($F30,Arrangörslista!I$8:$AG$45,16,FALSE),"DNS")))))</f>
        <v/>
      </c>
      <c r="Q30" s="5" t="str">
        <f>IF(Deltagarlista!$K$3=4,IF(ISBLANK(Deltagarlista!$C32),"",IF(ISBLANK(Arrangörslista!Q$8),"",IFERROR(VLOOKUP($F30,Arrangörslista!Q$8:$AG$45,16,FALSE),IF(ISBLANK(Deltagarlista!$C32),"",IF(ISBLANK(Arrangörslista!Q$8),"",IFERROR(VLOOKUP($F30,Arrangörslista!C$53:$AG$90,16,FALSE),"DNS")))))),IF(Deltagarlista!$K$3=2,
IF(ISBLANK(Deltagarlista!$C32),"",IF(ISBLANK(Arrangörslista!J$8),"",IF($GV30=Q$64," DNS ",IFERROR(VLOOKUP($F30,Arrangörslista!J$8:$AG$45,16,FALSE),"DNS")))),IF(ISBLANK(Deltagarlista!$C32),"",IF(ISBLANK(Arrangörslista!J$8),"",IFERROR(VLOOKUP($F30,Arrangörslista!J$8:$AG$45,16,FALSE),"DNS")))))</f>
        <v/>
      </c>
      <c r="R30" s="5" t="str">
        <f>IF(Deltagarlista!$K$3=4,IF(ISBLANK(Deltagarlista!$C32),"",IF(ISBLANK(Arrangörslista!D$53),"",IFERROR(VLOOKUP($F30,Arrangörslista!D$53:$AG$90,16,FALSE),IF(ISBLANK(Deltagarlista!$C32),"",IF(ISBLANK(Arrangörslista!D$53),"",IFERROR(VLOOKUP($F30,Arrangörslista!E$53:$AG$90,16,FALSE),"DNS")))))),IF(Deltagarlista!$K$3=2,
IF(ISBLANK(Deltagarlista!$C32),"",IF(ISBLANK(Arrangörslista!K$8),"",IF($GV30=R$64," DNS ",IFERROR(VLOOKUP($F30,Arrangörslista!K$8:$AG$45,16,FALSE),"DNS")))),IF(ISBLANK(Deltagarlista!$C32),"",IF(ISBLANK(Arrangörslista!K$8),"",IFERROR(VLOOKUP($F30,Arrangörslista!K$8:$AG$45,16,FALSE),"DNS")))))</f>
        <v/>
      </c>
      <c r="S30" s="5" t="str">
        <f>IF(Deltagarlista!$K$3=4,IF(ISBLANK(Deltagarlista!$C32),"",IF(ISBLANK(Arrangörslista!F$53),"",IFERROR(VLOOKUP($F30,Arrangörslista!F$53:$AG$90,16,FALSE),IF(ISBLANK(Deltagarlista!$C32),"",IF(ISBLANK(Arrangörslista!F$53),"",IFERROR(VLOOKUP($F30,Arrangörslista!G$53:$AG$90,16,FALSE),"DNS")))))),IF(Deltagarlista!$K$3=2,
IF(ISBLANK(Deltagarlista!$C32),"",IF(ISBLANK(Arrangörslista!L$8),"",IF($GV30=S$64," DNS ",IFERROR(VLOOKUP($F30,Arrangörslista!L$8:$AG$45,16,FALSE),"DNS")))),IF(ISBLANK(Deltagarlista!$C32),"",IF(ISBLANK(Arrangörslista!L$8),"",IFERROR(VLOOKUP($F30,Arrangörslista!L$8:$AG$45,16,FALSE),"DNS")))))</f>
        <v/>
      </c>
      <c r="T30" s="5" t="str">
        <f>IF(Deltagarlista!$K$3=4,IF(ISBLANK(Deltagarlista!$C32),"",IF(ISBLANK(Arrangörslista!H$53),"",IFERROR(VLOOKUP($F30,Arrangörslista!H$53:$AG$90,16,FALSE),IF(ISBLANK(Deltagarlista!$C32),"",IF(ISBLANK(Arrangörslista!H$53),"",IFERROR(VLOOKUP($F30,Arrangörslista!I$53:$AG$90,16,FALSE),"DNS")))))),IF(Deltagarlista!$K$3=2,
IF(ISBLANK(Deltagarlista!$C32),"",IF(ISBLANK(Arrangörslista!M$8),"",IF($GV30=T$64," DNS ",IFERROR(VLOOKUP($F30,Arrangörslista!M$8:$AG$45,16,FALSE),"DNS")))),IF(ISBLANK(Deltagarlista!$C32),"",IF(ISBLANK(Arrangörslista!M$8),"",IFERROR(VLOOKUP($F30,Arrangörslista!M$8:$AG$45,16,FALSE),"DNS")))))</f>
        <v/>
      </c>
      <c r="U30" s="5" t="str">
        <f>IF(Deltagarlista!$K$3=4,IF(ISBLANK(Deltagarlista!$C32),"",IF(ISBLANK(Arrangörslista!J$53),"",IFERROR(VLOOKUP($F30,Arrangörslista!J$53:$AG$90,16,FALSE),IF(ISBLANK(Deltagarlista!$C32),"",IF(ISBLANK(Arrangörslista!J$53),"",IFERROR(VLOOKUP($F30,Arrangörslista!K$53:$AG$90,16,FALSE),"DNS")))))),IF(Deltagarlista!$K$3=2,
IF(ISBLANK(Deltagarlista!$C32),"",IF(ISBLANK(Arrangörslista!N$8),"",IF($GV30=U$64," DNS ",IFERROR(VLOOKUP($F30,Arrangörslista!N$8:$AG$45,16,FALSE),"DNS")))),IF(ISBLANK(Deltagarlista!$C32),"",IF(ISBLANK(Arrangörslista!N$8),"",IFERROR(VLOOKUP($F30,Arrangörslista!N$8:$AG$45,16,FALSE),"DNS")))))</f>
        <v/>
      </c>
      <c r="V30" s="5" t="str">
        <f>IF(Deltagarlista!$K$3=4,IF(ISBLANK(Deltagarlista!$C32),"",IF(ISBLANK(Arrangörslista!L$53),"",IFERROR(VLOOKUP($F30,Arrangörslista!L$53:$AG$90,16,FALSE),IF(ISBLANK(Deltagarlista!$C32),"",IF(ISBLANK(Arrangörslista!L$53),"",IFERROR(VLOOKUP($F30,Arrangörslista!M$53:$AG$90,16,FALSE),"DNS")))))),IF(Deltagarlista!$K$3=2,
IF(ISBLANK(Deltagarlista!$C32),"",IF(ISBLANK(Arrangörslista!O$8),"",IF($GV30=V$64," DNS ",IFERROR(VLOOKUP($F30,Arrangörslista!O$8:$AG$45,16,FALSE),"DNS")))),IF(ISBLANK(Deltagarlista!$C32),"",IF(ISBLANK(Arrangörslista!O$8),"",IFERROR(VLOOKUP($F30,Arrangörslista!O$8:$AG$45,16,FALSE),"DNS")))))</f>
        <v/>
      </c>
      <c r="W30" s="5" t="str">
        <f>IF(Deltagarlista!$K$3=4,IF(ISBLANK(Deltagarlista!$C32),"",IF(ISBLANK(Arrangörslista!N$53),"",IFERROR(VLOOKUP($F30,Arrangörslista!N$53:$AG$90,16,FALSE),IF(ISBLANK(Deltagarlista!$C32),"",IF(ISBLANK(Arrangörslista!N$53),"",IFERROR(VLOOKUP($F30,Arrangörslista!O$53:$AG$90,16,FALSE),"DNS")))))),IF(Deltagarlista!$K$3=2,
IF(ISBLANK(Deltagarlista!$C32),"",IF(ISBLANK(Arrangörslista!P$8),"",IF($GV30=W$64," DNS ",IFERROR(VLOOKUP($F30,Arrangörslista!P$8:$AG$45,16,FALSE),"DNS")))),IF(ISBLANK(Deltagarlista!$C32),"",IF(ISBLANK(Arrangörslista!P$8),"",IFERROR(VLOOKUP($F30,Arrangörslista!P$8:$AG$45,16,FALSE),"DNS")))))</f>
        <v/>
      </c>
      <c r="X30" s="5" t="str">
        <f>IF(Deltagarlista!$K$3=4,IF(ISBLANK(Deltagarlista!$C32),"",IF(ISBLANK(Arrangörslista!P$53),"",IFERROR(VLOOKUP($F30,Arrangörslista!P$53:$AG$90,16,FALSE),IF(ISBLANK(Deltagarlista!$C32),"",IF(ISBLANK(Arrangörslista!P$53),"",IFERROR(VLOOKUP($F30,Arrangörslista!Q$53:$AG$90,16,FALSE),"DNS")))))),IF(Deltagarlista!$K$3=2,
IF(ISBLANK(Deltagarlista!$C32),"",IF(ISBLANK(Arrangörslista!Q$8),"",IF($GV30=X$64," DNS ",IFERROR(VLOOKUP($F30,Arrangörslista!Q$8:$AG$45,16,FALSE),"DNS")))),IF(ISBLANK(Deltagarlista!$C32),"",IF(ISBLANK(Arrangörslista!Q$8),"",IFERROR(VLOOKUP($F30,Arrangörslista!Q$8:$AG$45,16,FALSE),"DNS")))))</f>
        <v/>
      </c>
      <c r="Y30" s="5" t="str">
        <f>IF(Deltagarlista!$K$3=4,IF(ISBLANK(Deltagarlista!$C32),"",IF(ISBLANK(Arrangörslista!C$98),"",IFERROR(VLOOKUP($F30,Arrangörslista!C$98:$AG$135,16,FALSE),IF(ISBLANK(Deltagarlista!$C32),"",IF(ISBLANK(Arrangörslista!C$98),"",IFERROR(VLOOKUP($F30,Arrangörslista!D$98:$AG$135,16,FALSE),"DNS")))))),IF(Deltagarlista!$K$3=2,
IF(ISBLANK(Deltagarlista!$C32),"",IF(ISBLANK(Arrangörslista!C$53),"",IF($GV30=Y$64," DNS ",IFERROR(VLOOKUP($F30,Arrangörslista!C$53:$AG$90,16,FALSE),"DNS")))),IF(ISBLANK(Deltagarlista!$C32),"",IF(ISBLANK(Arrangörslista!C$53),"",IFERROR(VLOOKUP($F30,Arrangörslista!C$53:$AG$90,16,FALSE),"DNS")))))</f>
        <v/>
      </c>
      <c r="Z30" s="5" t="str">
        <f>IF(Deltagarlista!$K$3=4,IF(ISBLANK(Deltagarlista!$C32),"",IF(ISBLANK(Arrangörslista!E$98),"",IFERROR(VLOOKUP($F30,Arrangörslista!E$98:$AG$135,16,FALSE),IF(ISBLANK(Deltagarlista!$C32),"",IF(ISBLANK(Arrangörslista!E$98),"",IFERROR(VLOOKUP($F30,Arrangörslista!F$98:$AG$135,16,FALSE),"DNS")))))),IF(Deltagarlista!$K$3=2,
IF(ISBLANK(Deltagarlista!$C32),"",IF(ISBLANK(Arrangörslista!D$53),"",IF($GV30=Z$64," DNS ",IFERROR(VLOOKUP($F30,Arrangörslista!D$53:$AG$90,16,FALSE),"DNS")))),IF(ISBLANK(Deltagarlista!$C32),"",IF(ISBLANK(Arrangörslista!D$53),"",IFERROR(VLOOKUP($F30,Arrangörslista!D$53:$AG$90,16,FALSE),"DNS")))))</f>
        <v/>
      </c>
      <c r="AA30" s="5" t="str">
        <f>IF(Deltagarlista!$K$3=4,IF(ISBLANK(Deltagarlista!$C32),"",IF(ISBLANK(Arrangörslista!G$98),"",IFERROR(VLOOKUP($F30,Arrangörslista!G$98:$AG$135,16,FALSE),IF(ISBLANK(Deltagarlista!$C32),"",IF(ISBLANK(Arrangörslista!G$98),"",IFERROR(VLOOKUP($F30,Arrangörslista!H$98:$AG$135,16,FALSE),"DNS")))))),IF(Deltagarlista!$K$3=2,
IF(ISBLANK(Deltagarlista!$C32),"",IF(ISBLANK(Arrangörslista!E$53),"",IF($GV30=AA$64," DNS ",IFERROR(VLOOKUP($F30,Arrangörslista!E$53:$AG$90,16,FALSE),"DNS")))),IF(ISBLANK(Deltagarlista!$C32),"",IF(ISBLANK(Arrangörslista!E$53),"",IFERROR(VLOOKUP($F30,Arrangörslista!E$53:$AG$90,16,FALSE),"DNS")))))</f>
        <v/>
      </c>
      <c r="AB30" s="5" t="str">
        <f>IF(Deltagarlista!$K$3=4,IF(ISBLANK(Deltagarlista!$C32),"",IF(ISBLANK(Arrangörslista!I$98),"",IFERROR(VLOOKUP($F30,Arrangörslista!I$98:$AG$135,16,FALSE),IF(ISBLANK(Deltagarlista!$C32),"",IF(ISBLANK(Arrangörslista!I$98),"",IFERROR(VLOOKUP($F30,Arrangörslista!J$98:$AG$135,16,FALSE),"DNS")))))),IF(Deltagarlista!$K$3=2,
IF(ISBLANK(Deltagarlista!$C32),"",IF(ISBLANK(Arrangörslista!F$53),"",IF($GV30=AB$64," DNS ",IFERROR(VLOOKUP($F30,Arrangörslista!F$53:$AG$90,16,FALSE),"DNS")))),IF(ISBLANK(Deltagarlista!$C32),"",IF(ISBLANK(Arrangörslista!F$53),"",IFERROR(VLOOKUP($F30,Arrangörslista!F$53:$AG$90,16,FALSE),"DNS")))))</f>
        <v/>
      </c>
      <c r="AC30" s="5" t="str">
        <f>IF(Deltagarlista!$K$3=4,IF(ISBLANK(Deltagarlista!$C32),"",IF(ISBLANK(Arrangörslista!K$98),"",IFERROR(VLOOKUP($F30,Arrangörslista!K$98:$AG$135,16,FALSE),IF(ISBLANK(Deltagarlista!$C32),"",IF(ISBLANK(Arrangörslista!K$98),"",IFERROR(VLOOKUP($F30,Arrangörslista!L$98:$AG$135,16,FALSE),"DNS")))))),IF(Deltagarlista!$K$3=2,
IF(ISBLANK(Deltagarlista!$C32),"",IF(ISBLANK(Arrangörslista!G$53),"",IF($GV30=AC$64," DNS ",IFERROR(VLOOKUP($F30,Arrangörslista!G$53:$AG$90,16,FALSE),"DNS")))),IF(ISBLANK(Deltagarlista!$C32),"",IF(ISBLANK(Arrangörslista!G$53),"",IFERROR(VLOOKUP($F30,Arrangörslista!G$53:$AG$90,16,FALSE),"DNS")))))</f>
        <v/>
      </c>
      <c r="AD30" s="5" t="str">
        <f>IF(Deltagarlista!$K$3=4,IF(ISBLANK(Deltagarlista!$C32),"",IF(ISBLANK(Arrangörslista!M$98),"",IFERROR(VLOOKUP($F30,Arrangörslista!M$98:$AG$135,16,FALSE),IF(ISBLANK(Deltagarlista!$C32),"",IF(ISBLANK(Arrangörslista!M$98),"",IFERROR(VLOOKUP($F30,Arrangörslista!N$98:$AG$135,16,FALSE),"DNS")))))),IF(Deltagarlista!$K$3=2,
IF(ISBLANK(Deltagarlista!$C32),"",IF(ISBLANK(Arrangörslista!H$53),"",IF($GV30=AD$64," DNS ",IFERROR(VLOOKUP($F30,Arrangörslista!H$53:$AG$90,16,FALSE),"DNS")))),IF(ISBLANK(Deltagarlista!$C32),"",IF(ISBLANK(Arrangörslista!H$53),"",IFERROR(VLOOKUP($F30,Arrangörslista!H$53:$AG$90,16,FALSE),"DNS")))))</f>
        <v/>
      </c>
      <c r="AE30" s="5" t="str">
        <f>IF(Deltagarlista!$K$3=4,IF(ISBLANK(Deltagarlista!$C32),"",IF(ISBLANK(Arrangörslista!O$98),"",IFERROR(VLOOKUP($F30,Arrangörslista!O$98:$AG$135,16,FALSE),IF(ISBLANK(Deltagarlista!$C32),"",IF(ISBLANK(Arrangörslista!O$98),"",IFERROR(VLOOKUP($F30,Arrangörslista!P$98:$AG$135,16,FALSE),"DNS")))))),IF(Deltagarlista!$K$3=2,
IF(ISBLANK(Deltagarlista!$C32),"",IF(ISBLANK(Arrangörslista!I$53),"",IF($GV30=AE$64," DNS ",IFERROR(VLOOKUP($F30,Arrangörslista!I$53:$AG$90,16,FALSE),"DNS")))),IF(ISBLANK(Deltagarlista!$C32),"",IF(ISBLANK(Arrangörslista!I$53),"",IFERROR(VLOOKUP($F30,Arrangörslista!I$53:$AG$90,16,FALSE),"DNS")))))</f>
        <v/>
      </c>
      <c r="AF30" s="5" t="str">
        <f>IF(Deltagarlista!$K$3=4,IF(ISBLANK(Deltagarlista!$C32),"",IF(ISBLANK(Arrangörslista!Q$98),"",IFERROR(VLOOKUP($F30,Arrangörslista!Q$98:$AG$135,16,FALSE),IF(ISBLANK(Deltagarlista!$C32),"",IF(ISBLANK(Arrangörslista!Q$98),"",IFERROR(VLOOKUP($F30,Arrangörslista!C$143:$AG$180,16,FALSE),"DNS")))))),IF(Deltagarlista!$K$3=2,
IF(ISBLANK(Deltagarlista!$C32),"",IF(ISBLANK(Arrangörslista!J$53),"",IF($GV30=AF$64," DNS ",IFERROR(VLOOKUP($F30,Arrangörslista!J$53:$AG$90,16,FALSE),"DNS")))),IF(ISBLANK(Deltagarlista!$C32),"",IF(ISBLANK(Arrangörslista!J$53),"",IFERROR(VLOOKUP($F30,Arrangörslista!J$53:$AG$90,16,FALSE),"DNS")))))</f>
        <v/>
      </c>
      <c r="AG30" s="5" t="str">
        <f>IF(Deltagarlista!$K$3=4,IF(ISBLANK(Deltagarlista!$C32),"",IF(ISBLANK(Arrangörslista!D$143),"",IFERROR(VLOOKUP($F30,Arrangörslista!D$143:$AG$180,16,FALSE),IF(ISBLANK(Deltagarlista!$C32),"",IF(ISBLANK(Arrangörslista!D$143),"",IFERROR(VLOOKUP($F30,Arrangörslista!E$143:$AG$180,16,FALSE),"DNS")))))),IF(Deltagarlista!$K$3=2,
IF(ISBLANK(Deltagarlista!$C32),"",IF(ISBLANK(Arrangörslista!K$53),"",IF($GV30=AG$64," DNS ",IFERROR(VLOOKUP($F30,Arrangörslista!K$53:$AG$90,16,FALSE),"DNS")))),IF(ISBLANK(Deltagarlista!$C32),"",IF(ISBLANK(Arrangörslista!K$53),"",IFERROR(VLOOKUP($F30,Arrangörslista!K$53:$AG$90,16,FALSE),"DNS")))))</f>
        <v/>
      </c>
      <c r="AH30" s="5" t="str">
        <f>IF(Deltagarlista!$K$3=4,IF(ISBLANK(Deltagarlista!$C32),"",IF(ISBLANK(Arrangörslista!F$143),"",IFERROR(VLOOKUP($F30,Arrangörslista!F$143:$AG$180,16,FALSE),IF(ISBLANK(Deltagarlista!$C32),"",IF(ISBLANK(Arrangörslista!F$143),"",IFERROR(VLOOKUP($F30,Arrangörslista!G$143:$AG$180,16,FALSE),"DNS")))))),IF(Deltagarlista!$K$3=2,
IF(ISBLANK(Deltagarlista!$C32),"",IF(ISBLANK(Arrangörslista!L$53),"",IF($GV30=AH$64," DNS ",IFERROR(VLOOKUP($F30,Arrangörslista!L$53:$AG$90,16,FALSE),"DNS")))),IF(ISBLANK(Deltagarlista!$C32),"",IF(ISBLANK(Arrangörslista!L$53),"",IFERROR(VLOOKUP($F30,Arrangörslista!L$53:$AG$90,16,FALSE),"DNS")))))</f>
        <v/>
      </c>
      <c r="AI30" s="5" t="str">
        <f>IF(Deltagarlista!$K$3=4,IF(ISBLANK(Deltagarlista!$C32),"",IF(ISBLANK(Arrangörslista!H$143),"",IFERROR(VLOOKUP($F30,Arrangörslista!H$143:$AG$180,16,FALSE),IF(ISBLANK(Deltagarlista!$C32),"",IF(ISBLANK(Arrangörslista!H$143),"",IFERROR(VLOOKUP($F30,Arrangörslista!I$143:$AG$180,16,FALSE),"DNS")))))),IF(Deltagarlista!$K$3=2,
IF(ISBLANK(Deltagarlista!$C32),"",IF(ISBLANK(Arrangörslista!M$53),"",IF($GV30=AI$64," DNS ",IFERROR(VLOOKUP($F30,Arrangörslista!M$53:$AG$90,16,FALSE),"DNS")))),IF(ISBLANK(Deltagarlista!$C32),"",IF(ISBLANK(Arrangörslista!M$53),"",IFERROR(VLOOKUP($F30,Arrangörslista!M$53:$AG$90,16,FALSE),"DNS")))))</f>
        <v/>
      </c>
      <c r="AJ30" s="5" t="str">
        <f>IF(Deltagarlista!$K$3=4,IF(ISBLANK(Deltagarlista!$C32),"",IF(ISBLANK(Arrangörslista!J$143),"",IFERROR(VLOOKUP($F30,Arrangörslista!J$143:$AG$180,16,FALSE),IF(ISBLANK(Deltagarlista!$C32),"",IF(ISBLANK(Arrangörslista!J$143),"",IFERROR(VLOOKUP($F30,Arrangörslista!K$143:$AG$180,16,FALSE),"DNS")))))),IF(Deltagarlista!$K$3=2,
IF(ISBLANK(Deltagarlista!$C32),"",IF(ISBLANK(Arrangörslista!N$53),"",IF($GV30=AJ$64," DNS ",IFERROR(VLOOKUP($F30,Arrangörslista!N$53:$AG$90,16,FALSE),"DNS")))),IF(ISBLANK(Deltagarlista!$C32),"",IF(ISBLANK(Arrangörslista!N$53),"",IFERROR(VLOOKUP($F30,Arrangörslista!N$53:$AG$90,16,FALSE),"DNS")))))</f>
        <v/>
      </c>
      <c r="AK30" s="5" t="str">
        <f>IF(Deltagarlista!$K$3=4,IF(ISBLANK(Deltagarlista!$C32),"",IF(ISBLANK(Arrangörslista!L$143),"",IFERROR(VLOOKUP($F30,Arrangörslista!L$143:$AG$180,16,FALSE),IF(ISBLANK(Deltagarlista!$C32),"",IF(ISBLANK(Arrangörslista!L$143),"",IFERROR(VLOOKUP($F30,Arrangörslista!M$143:$AG$180,16,FALSE),"DNS")))))),IF(Deltagarlista!$K$3=2,
IF(ISBLANK(Deltagarlista!$C32),"",IF(ISBLANK(Arrangörslista!O$53),"",IF($GV30=AK$64," DNS ",IFERROR(VLOOKUP($F30,Arrangörslista!O$53:$AG$90,16,FALSE),"DNS")))),IF(ISBLANK(Deltagarlista!$C32),"",IF(ISBLANK(Arrangörslista!O$53),"",IFERROR(VLOOKUP($F30,Arrangörslista!O$53:$AG$90,16,FALSE),"DNS")))))</f>
        <v/>
      </c>
      <c r="AL30" s="5" t="str">
        <f>IF(Deltagarlista!$K$3=4,IF(ISBLANK(Deltagarlista!$C32),"",IF(ISBLANK(Arrangörslista!N$143),"",IFERROR(VLOOKUP($F30,Arrangörslista!N$143:$AG$180,16,FALSE),IF(ISBLANK(Deltagarlista!$C32),"",IF(ISBLANK(Arrangörslista!N$143),"",IFERROR(VLOOKUP($F30,Arrangörslista!O$143:$AG$180,16,FALSE),"DNS")))))),IF(Deltagarlista!$K$3=2,
IF(ISBLANK(Deltagarlista!$C32),"",IF(ISBLANK(Arrangörslista!P$53),"",IF($GV30=AL$64," DNS ",IFERROR(VLOOKUP($F30,Arrangörslista!P$53:$AG$90,16,FALSE),"DNS")))),IF(ISBLANK(Deltagarlista!$C32),"",IF(ISBLANK(Arrangörslista!P$53),"",IFERROR(VLOOKUP($F30,Arrangörslista!P$53:$AG$90,16,FALSE),"DNS")))))</f>
        <v/>
      </c>
      <c r="AM30" s="5" t="str">
        <f>IF(Deltagarlista!$K$3=4,IF(ISBLANK(Deltagarlista!$C32),"",IF(ISBLANK(Arrangörslista!P$143),"",IFERROR(VLOOKUP($F30,Arrangörslista!P$143:$AG$180,16,FALSE),IF(ISBLANK(Deltagarlista!$C32),"",IF(ISBLANK(Arrangörslista!P$143),"",IFERROR(VLOOKUP($F30,Arrangörslista!Q$143:$AG$180,16,FALSE),"DNS")))))),IF(Deltagarlista!$K$3=2,
IF(ISBLANK(Deltagarlista!$C32),"",IF(ISBLANK(Arrangörslista!Q$53),"",IF($GV30=AM$64," DNS ",IFERROR(VLOOKUP($F30,Arrangörslista!Q$53:$AG$90,16,FALSE),"DNS")))),IF(ISBLANK(Deltagarlista!$C32),"",IF(ISBLANK(Arrangörslista!Q$53),"",IFERROR(VLOOKUP($F30,Arrangörslista!Q$53:$AG$90,16,FALSE),"DNS")))))</f>
        <v/>
      </c>
      <c r="AN30" s="5" t="str">
        <f>IF(Deltagarlista!$K$3=2,
IF(ISBLANK(Deltagarlista!$C32),"",IF(ISBLANK(Arrangörslista!C$98),"",IF($GV30=AN$64," DNS ",IFERROR(VLOOKUP($F30,Arrangörslista!C$98:$AG$135,16,FALSE), "DNS")))), IF(Deltagarlista!$K$3=1,IF(ISBLANK(Deltagarlista!$C32),"",IF(ISBLANK(Arrangörslista!C$98),"",IFERROR(VLOOKUP($F30,Arrangörslista!C$98:$AG$135,16,FALSE), "DNS"))),""))</f>
        <v/>
      </c>
      <c r="AO30" s="5" t="str">
        <f>IF(Deltagarlista!$K$3=2,
IF(ISBLANK(Deltagarlista!$C32),"",IF(ISBLANK(Arrangörslista!D$98),"",IF($GV30=AO$64," DNS ",IFERROR(VLOOKUP($F30,Arrangörslista!D$98:$AG$135,16,FALSE), "DNS")))), IF(Deltagarlista!$K$3=1,IF(ISBLANK(Deltagarlista!$C32),"",IF(ISBLANK(Arrangörslista!D$98),"",IFERROR(VLOOKUP($F30,Arrangörslista!D$98:$AG$135,16,FALSE), "DNS"))),""))</f>
        <v/>
      </c>
      <c r="AP30" s="5" t="str">
        <f>IF(Deltagarlista!$K$3=2,
IF(ISBLANK(Deltagarlista!$C32),"",IF(ISBLANK(Arrangörslista!E$98),"",IF($GV30=AP$64," DNS ",IFERROR(VLOOKUP($F30,Arrangörslista!E$98:$AG$135,16,FALSE), "DNS")))), IF(Deltagarlista!$K$3=1,IF(ISBLANK(Deltagarlista!$C32),"",IF(ISBLANK(Arrangörslista!E$98),"",IFERROR(VLOOKUP($F30,Arrangörslista!E$98:$AG$135,16,FALSE), "DNS"))),""))</f>
        <v/>
      </c>
      <c r="AQ30" s="5" t="str">
        <f>IF(Deltagarlista!$K$3=2,
IF(ISBLANK(Deltagarlista!$C32),"",IF(ISBLANK(Arrangörslista!F$98),"",IF($GV30=AQ$64," DNS ",IFERROR(VLOOKUP($F30,Arrangörslista!F$98:$AG$135,16,FALSE), "DNS")))), IF(Deltagarlista!$K$3=1,IF(ISBLANK(Deltagarlista!$C32),"",IF(ISBLANK(Arrangörslista!F$98),"",IFERROR(VLOOKUP($F30,Arrangörslista!F$98:$AG$135,16,FALSE), "DNS"))),""))</f>
        <v/>
      </c>
      <c r="AR30" s="5" t="str">
        <f>IF(Deltagarlista!$K$3=2,
IF(ISBLANK(Deltagarlista!$C32),"",IF(ISBLANK(Arrangörslista!G$98),"",IF($GV30=AR$64," DNS ",IFERROR(VLOOKUP($F30,Arrangörslista!G$98:$AG$135,16,FALSE), "DNS")))), IF(Deltagarlista!$K$3=1,IF(ISBLANK(Deltagarlista!$C32),"",IF(ISBLANK(Arrangörslista!G$98),"",IFERROR(VLOOKUP($F30,Arrangörslista!G$98:$AG$135,16,FALSE), "DNS"))),""))</f>
        <v/>
      </c>
      <c r="AS30" s="5" t="str">
        <f>IF(Deltagarlista!$K$3=2,
IF(ISBLANK(Deltagarlista!$C32),"",IF(ISBLANK(Arrangörslista!H$98),"",IF($GV30=AS$64," DNS ",IFERROR(VLOOKUP($F30,Arrangörslista!H$98:$AG$135,16,FALSE), "DNS")))), IF(Deltagarlista!$K$3=1,IF(ISBLANK(Deltagarlista!$C32),"",IF(ISBLANK(Arrangörslista!H$98),"",IFERROR(VLOOKUP($F30,Arrangörslista!H$98:$AG$135,16,FALSE), "DNS"))),""))</f>
        <v/>
      </c>
      <c r="AT30" s="5" t="str">
        <f>IF(Deltagarlista!$K$3=2,
IF(ISBLANK(Deltagarlista!$C32),"",IF(ISBLANK(Arrangörslista!I$98),"",IF($GV30=AT$64," DNS ",IFERROR(VLOOKUP($F30,Arrangörslista!I$98:$AG$135,16,FALSE), "DNS")))), IF(Deltagarlista!$K$3=1,IF(ISBLANK(Deltagarlista!$C32),"",IF(ISBLANK(Arrangörslista!I$98),"",IFERROR(VLOOKUP($F30,Arrangörslista!I$98:$AG$135,16,FALSE), "DNS"))),""))</f>
        <v/>
      </c>
      <c r="AU30" s="5" t="str">
        <f>IF(Deltagarlista!$K$3=2,
IF(ISBLANK(Deltagarlista!$C32),"",IF(ISBLANK(Arrangörslista!J$98),"",IF($GV30=AU$64," DNS ",IFERROR(VLOOKUP($F30,Arrangörslista!J$98:$AG$135,16,FALSE), "DNS")))), IF(Deltagarlista!$K$3=1,IF(ISBLANK(Deltagarlista!$C32),"",IF(ISBLANK(Arrangörslista!J$98),"",IFERROR(VLOOKUP($F30,Arrangörslista!J$98:$AG$135,16,FALSE), "DNS"))),""))</f>
        <v/>
      </c>
      <c r="AV30" s="5" t="str">
        <f>IF(Deltagarlista!$K$3=2,
IF(ISBLANK(Deltagarlista!$C32),"",IF(ISBLANK(Arrangörslista!K$98),"",IF($GV30=AV$64," DNS ",IFERROR(VLOOKUP($F30,Arrangörslista!K$98:$AG$135,16,FALSE), "DNS")))), IF(Deltagarlista!$K$3=1,IF(ISBLANK(Deltagarlista!$C32),"",IF(ISBLANK(Arrangörslista!K$98),"",IFERROR(VLOOKUP($F30,Arrangörslista!K$98:$AG$135,16,FALSE), "DNS"))),""))</f>
        <v/>
      </c>
      <c r="AW30" s="5" t="str">
        <f>IF(Deltagarlista!$K$3=2,
IF(ISBLANK(Deltagarlista!$C32),"",IF(ISBLANK(Arrangörslista!L$98),"",IF($GV30=AW$64," DNS ",IFERROR(VLOOKUP($F30,Arrangörslista!L$98:$AG$135,16,FALSE), "DNS")))), IF(Deltagarlista!$K$3=1,IF(ISBLANK(Deltagarlista!$C32),"",IF(ISBLANK(Arrangörslista!L$98),"",IFERROR(VLOOKUP($F30,Arrangörslista!L$98:$AG$135,16,FALSE), "DNS"))),""))</f>
        <v/>
      </c>
      <c r="AX30" s="5" t="str">
        <f>IF(Deltagarlista!$K$3=2,
IF(ISBLANK(Deltagarlista!$C32),"",IF(ISBLANK(Arrangörslista!M$98),"",IF($GV30=AX$64," DNS ",IFERROR(VLOOKUP($F30,Arrangörslista!M$98:$AG$135,16,FALSE), "DNS")))), IF(Deltagarlista!$K$3=1,IF(ISBLANK(Deltagarlista!$C32),"",IF(ISBLANK(Arrangörslista!M$98),"",IFERROR(VLOOKUP($F30,Arrangörslista!M$98:$AG$135,16,FALSE), "DNS"))),""))</f>
        <v/>
      </c>
      <c r="AY30" s="5" t="str">
        <f>IF(Deltagarlista!$K$3=2,
IF(ISBLANK(Deltagarlista!$C32),"",IF(ISBLANK(Arrangörslista!N$98),"",IF($GV30=AY$64," DNS ",IFERROR(VLOOKUP($F30,Arrangörslista!N$98:$AG$135,16,FALSE), "DNS")))), IF(Deltagarlista!$K$3=1,IF(ISBLANK(Deltagarlista!$C32),"",IF(ISBLANK(Arrangörslista!N$98),"",IFERROR(VLOOKUP($F30,Arrangörslista!N$98:$AG$135,16,FALSE), "DNS"))),""))</f>
        <v/>
      </c>
      <c r="AZ30" s="5" t="str">
        <f>IF(Deltagarlista!$K$3=2,
IF(ISBLANK(Deltagarlista!$C32),"",IF(ISBLANK(Arrangörslista!O$98),"",IF($GV30=AZ$64," DNS ",IFERROR(VLOOKUP($F30,Arrangörslista!O$98:$AG$135,16,FALSE), "DNS")))), IF(Deltagarlista!$K$3=1,IF(ISBLANK(Deltagarlista!$C32),"",IF(ISBLANK(Arrangörslista!O$98),"",IFERROR(VLOOKUP($F30,Arrangörslista!O$98:$AG$135,16,FALSE), "DNS"))),""))</f>
        <v/>
      </c>
      <c r="BA30" s="5" t="str">
        <f>IF(Deltagarlista!$K$3=2,
IF(ISBLANK(Deltagarlista!$C32),"",IF(ISBLANK(Arrangörslista!P$98),"",IF($GV30=BA$64," DNS ",IFERROR(VLOOKUP($F30,Arrangörslista!P$98:$AG$135,16,FALSE), "DNS")))), IF(Deltagarlista!$K$3=1,IF(ISBLANK(Deltagarlista!$C32),"",IF(ISBLANK(Arrangörslista!P$98),"",IFERROR(VLOOKUP($F30,Arrangörslista!P$98:$AG$135,16,FALSE), "DNS"))),""))</f>
        <v/>
      </c>
      <c r="BB30" s="5" t="str">
        <f>IF(Deltagarlista!$K$3=2,
IF(ISBLANK(Deltagarlista!$C32),"",IF(ISBLANK(Arrangörslista!Q$98),"",IF($GV30=BB$64," DNS ",IFERROR(VLOOKUP($F30,Arrangörslista!Q$98:$AG$135,16,FALSE), "DNS")))), IF(Deltagarlista!$K$3=1,IF(ISBLANK(Deltagarlista!$C32),"",IF(ISBLANK(Arrangörslista!Q$98),"",IFERROR(VLOOKUP($F30,Arrangörslista!Q$98:$AG$135,16,FALSE), "DNS"))),""))</f>
        <v/>
      </c>
      <c r="BC30" s="5" t="str">
        <f>IF(Deltagarlista!$K$3=2,
IF(ISBLANK(Deltagarlista!$C32),"",IF(ISBLANK(Arrangörslista!C$143),"",IF($GV30=BC$64," DNS ",IFERROR(VLOOKUP($F30,Arrangörslista!C$143:$AG$180,16,FALSE), "DNS")))), IF(Deltagarlista!$K$3=1,IF(ISBLANK(Deltagarlista!$C32),"",IF(ISBLANK(Arrangörslista!C$143),"",IFERROR(VLOOKUP($F30,Arrangörslista!C$143:$AG$180,16,FALSE), "DNS"))),""))</f>
        <v/>
      </c>
      <c r="BD30" s="5" t="str">
        <f>IF(Deltagarlista!$K$3=2,
IF(ISBLANK(Deltagarlista!$C32),"",IF(ISBLANK(Arrangörslista!D$143),"",IF($GV30=BD$64," DNS ",IFERROR(VLOOKUP($F30,Arrangörslista!D$143:$AG$180,16,FALSE), "DNS")))), IF(Deltagarlista!$K$3=1,IF(ISBLANK(Deltagarlista!$C32),"",IF(ISBLANK(Arrangörslista!D$143),"",IFERROR(VLOOKUP($F30,Arrangörslista!D$143:$AG$180,16,FALSE), "DNS"))),""))</f>
        <v/>
      </c>
      <c r="BE30" s="5" t="str">
        <f>IF(Deltagarlista!$K$3=2,
IF(ISBLANK(Deltagarlista!$C32),"",IF(ISBLANK(Arrangörslista!E$143),"",IF($GV30=BE$64," DNS ",IFERROR(VLOOKUP($F30,Arrangörslista!E$143:$AG$180,16,FALSE), "DNS")))), IF(Deltagarlista!$K$3=1,IF(ISBLANK(Deltagarlista!$C32),"",IF(ISBLANK(Arrangörslista!E$143),"",IFERROR(VLOOKUP($F30,Arrangörslista!E$143:$AG$180,16,FALSE), "DNS"))),""))</f>
        <v/>
      </c>
      <c r="BF30" s="5" t="str">
        <f>IF(Deltagarlista!$K$3=2,
IF(ISBLANK(Deltagarlista!$C32),"",IF(ISBLANK(Arrangörslista!F$143),"",IF($GV30=BF$64," DNS ",IFERROR(VLOOKUP($F30,Arrangörslista!F$143:$AG$180,16,FALSE), "DNS")))), IF(Deltagarlista!$K$3=1,IF(ISBLANK(Deltagarlista!$C32),"",IF(ISBLANK(Arrangörslista!F$143),"",IFERROR(VLOOKUP($F30,Arrangörslista!F$143:$AG$180,16,FALSE), "DNS"))),""))</f>
        <v/>
      </c>
      <c r="BG30" s="5" t="str">
        <f>IF(Deltagarlista!$K$3=2,
IF(ISBLANK(Deltagarlista!$C32),"",IF(ISBLANK(Arrangörslista!G$143),"",IF($GV30=BG$64," DNS ",IFERROR(VLOOKUP($F30,Arrangörslista!G$143:$AG$180,16,FALSE), "DNS")))), IF(Deltagarlista!$K$3=1,IF(ISBLANK(Deltagarlista!$C32),"",IF(ISBLANK(Arrangörslista!G$143),"",IFERROR(VLOOKUP($F30,Arrangörslista!G$143:$AG$180,16,FALSE), "DNS"))),""))</f>
        <v/>
      </c>
      <c r="BH30" s="5" t="str">
        <f>IF(Deltagarlista!$K$3=2,
IF(ISBLANK(Deltagarlista!$C32),"",IF(ISBLANK(Arrangörslista!H$143),"",IF($GV30=BH$64," DNS ",IFERROR(VLOOKUP($F30,Arrangörslista!H$143:$AG$180,16,FALSE), "DNS")))), IF(Deltagarlista!$K$3=1,IF(ISBLANK(Deltagarlista!$C32),"",IF(ISBLANK(Arrangörslista!H$143),"",IFERROR(VLOOKUP($F30,Arrangörslista!H$143:$AG$180,16,FALSE), "DNS"))),""))</f>
        <v/>
      </c>
      <c r="BI30" s="5" t="str">
        <f>IF(Deltagarlista!$K$3=2,
IF(ISBLANK(Deltagarlista!$C32),"",IF(ISBLANK(Arrangörslista!I$143),"",IF($GV30=BI$64," DNS ",IFERROR(VLOOKUP($F30,Arrangörslista!I$143:$AG$180,16,FALSE), "DNS")))), IF(Deltagarlista!$K$3=1,IF(ISBLANK(Deltagarlista!$C32),"",IF(ISBLANK(Arrangörslista!I$143),"",IFERROR(VLOOKUP($F30,Arrangörslista!I$143:$AG$180,16,FALSE), "DNS"))),""))</f>
        <v/>
      </c>
      <c r="BJ30" s="5" t="str">
        <f>IF(Deltagarlista!$K$3=2,
IF(ISBLANK(Deltagarlista!$C32),"",IF(ISBLANK(Arrangörslista!J$143),"",IF($GV30=BJ$64," DNS ",IFERROR(VLOOKUP($F30,Arrangörslista!J$143:$AG$180,16,FALSE), "DNS")))), IF(Deltagarlista!$K$3=1,IF(ISBLANK(Deltagarlista!$C32),"",IF(ISBLANK(Arrangörslista!J$143),"",IFERROR(VLOOKUP($F30,Arrangörslista!J$143:$AG$180,16,FALSE), "DNS"))),""))</f>
        <v/>
      </c>
      <c r="BK30" s="5" t="str">
        <f>IF(Deltagarlista!$K$3=2,
IF(ISBLANK(Deltagarlista!$C32),"",IF(ISBLANK(Arrangörslista!K$143),"",IF($GV30=BK$64," DNS ",IFERROR(VLOOKUP($F30,Arrangörslista!K$143:$AG$180,16,FALSE), "DNS")))), IF(Deltagarlista!$K$3=1,IF(ISBLANK(Deltagarlista!$C32),"",IF(ISBLANK(Arrangörslista!K$143),"",IFERROR(VLOOKUP($F30,Arrangörslista!K$143:$AG$180,16,FALSE), "DNS"))),""))</f>
        <v/>
      </c>
      <c r="BL30" s="5" t="str">
        <f>IF(Deltagarlista!$K$3=2,
IF(ISBLANK(Deltagarlista!$C32),"",IF(ISBLANK(Arrangörslista!L$143),"",IF($GV30=BL$64," DNS ",IFERROR(VLOOKUP($F30,Arrangörslista!L$143:$AG$180,16,FALSE), "DNS")))), IF(Deltagarlista!$K$3=1,IF(ISBLANK(Deltagarlista!$C32),"",IF(ISBLANK(Arrangörslista!L$143),"",IFERROR(VLOOKUP($F30,Arrangörslista!L$143:$AG$180,16,FALSE), "DNS"))),""))</f>
        <v/>
      </c>
      <c r="BM30" s="5" t="str">
        <f>IF(Deltagarlista!$K$3=2,
IF(ISBLANK(Deltagarlista!$C32),"",IF(ISBLANK(Arrangörslista!M$143),"",IF($GV30=BM$64," DNS ",IFERROR(VLOOKUP($F30,Arrangörslista!M$143:$AG$180,16,FALSE), "DNS")))), IF(Deltagarlista!$K$3=1,IF(ISBLANK(Deltagarlista!$C32),"",IF(ISBLANK(Arrangörslista!M$143),"",IFERROR(VLOOKUP($F30,Arrangörslista!M$143:$AG$180,16,FALSE), "DNS"))),""))</f>
        <v/>
      </c>
      <c r="BN30" s="5" t="str">
        <f>IF(Deltagarlista!$K$3=2,
IF(ISBLANK(Deltagarlista!$C32),"",IF(ISBLANK(Arrangörslista!N$143),"",IF($GV30=BN$64," DNS ",IFERROR(VLOOKUP($F30,Arrangörslista!N$143:$AG$180,16,FALSE), "DNS")))), IF(Deltagarlista!$K$3=1,IF(ISBLANK(Deltagarlista!$C32),"",IF(ISBLANK(Arrangörslista!N$143),"",IFERROR(VLOOKUP($F30,Arrangörslista!N$143:$AG$180,16,FALSE), "DNS"))),""))</f>
        <v/>
      </c>
      <c r="BO30" s="5" t="str">
        <f>IF(Deltagarlista!$K$3=2,
IF(ISBLANK(Deltagarlista!$C32),"",IF(ISBLANK(Arrangörslista!O$143),"",IF($GV30=BO$64," DNS ",IFERROR(VLOOKUP($F30,Arrangörslista!O$143:$AG$180,16,FALSE), "DNS")))), IF(Deltagarlista!$K$3=1,IF(ISBLANK(Deltagarlista!$C32),"",IF(ISBLANK(Arrangörslista!O$143),"",IFERROR(VLOOKUP($F30,Arrangörslista!O$143:$AG$180,16,FALSE), "DNS"))),""))</f>
        <v/>
      </c>
      <c r="BP30" s="5" t="str">
        <f>IF(Deltagarlista!$K$3=2,
IF(ISBLANK(Deltagarlista!$C32),"",IF(ISBLANK(Arrangörslista!P$143),"",IF($GV30=BP$64," DNS ",IFERROR(VLOOKUP($F30,Arrangörslista!P$143:$AG$180,16,FALSE), "DNS")))), IF(Deltagarlista!$K$3=1,IF(ISBLANK(Deltagarlista!$C32),"",IF(ISBLANK(Arrangörslista!P$143),"",IFERROR(VLOOKUP($F30,Arrangörslista!P$143:$AG$180,16,FALSE), "DNS"))),""))</f>
        <v/>
      </c>
      <c r="BQ30" s="80" t="str">
        <f>IF(Deltagarlista!$K$3=2,
IF(ISBLANK(Deltagarlista!$C32),"",IF(ISBLANK(Arrangörslista!Q$143),"",IF($GV30=BQ$64," DNS ",IFERROR(VLOOKUP($F30,Arrangörslista!Q$143:$AG$180,16,FALSE), "DNS")))), IF(Deltagarlista!$K$3=1,IF(ISBLANK(Deltagarlista!$C32),"",IF(ISBLANK(Arrangörslista!Q$143),"",IFERROR(VLOOKUP($F30,Arrangörslista!Q$143:$AG$180,16,FALSE), "DNS"))),""))</f>
        <v/>
      </c>
      <c r="BR30" s="51"/>
      <c r="BS30" s="51"/>
      <c r="BT30" s="51"/>
      <c r="BU30" s="71">
        <f>SUM(BV30:EC30)</f>
        <v>0</v>
      </c>
      <c r="BV30" s="61">
        <f>IF(J30="",0,IF(OR(J30="DNF",J30="OCS",J30="DSQ",J30="DNS",J30=" DNS "),$BW$3+1,J30))</f>
        <v>0</v>
      </c>
      <c r="BW30" s="61">
        <f>IF(K30="",0,IF(OR(K30="DNF",K30="OCS",K30="DSQ",K30="DNS",K30=" DNS "),$BW$3+1,K30))</f>
        <v>0</v>
      </c>
      <c r="BX30" s="61">
        <f>IF(L30="",0,IF(OR(L30="DNF",L30="OCS",L30="DSQ",L30="DNS",L30=" DNS "),$BW$3+1,L30))</f>
        <v>0</v>
      </c>
      <c r="BY30" s="61">
        <f>IF(M30="",0,IF(OR(M30="DNF",M30="OCS",M30="DSQ",M30="DNS",M30=" DNS "),$BW$3+1,M30))</f>
        <v>0</v>
      </c>
      <c r="BZ30" s="61">
        <f>IF(N30="",0,IF(OR(N30="DNF",N30="OCS",N30="DSQ",N30="DNS",N30=" DNS "),$BW$3+1,N30))</f>
        <v>0</v>
      </c>
      <c r="CA30" s="61">
        <f>IF(O30="",0,IF(OR(O30="DNF",O30="OCS",O30="DSQ",O30="DNS",O30=" DNS "),$BW$3+1,O30))</f>
        <v>0</v>
      </c>
      <c r="CB30" s="61">
        <f>IF(P30="",0,IF(OR(P30="DNF",P30="OCS",P30="DSQ",P30="DNS",P30=" DNS "),$BW$3+1,P30))</f>
        <v>0</v>
      </c>
      <c r="CC30" s="61">
        <f>IF(Q30="",0,IF(OR(Q30="DNF",Q30="OCS",Q30="DSQ",Q30="DNS",Q30=" DNS "),$BW$3+1,Q30))</f>
        <v>0</v>
      </c>
      <c r="CD30" s="61">
        <f>IF(R30="",0,IF(OR(R30="DNF",R30="OCS",R30="DSQ",R30="DNS",R30=" DNS "),$BW$3+1,R30))</f>
        <v>0</v>
      </c>
      <c r="CE30" s="61">
        <f>IF(S30="",0,IF(OR(S30="DNF",S30="OCS",S30="DSQ",S30="DNS",S30=" DNS "),$BW$3+1,S30))</f>
        <v>0</v>
      </c>
      <c r="CF30" s="61">
        <f>IF(T30="",0,IF(OR(T30="DNF",T30="OCS",T30="DSQ",T30="DNS",T30=" DNS "),$BW$3+1,T30))</f>
        <v>0</v>
      </c>
      <c r="CG30" s="61">
        <f>IF(U30="",0,IF(OR(U30="DNF",U30="OCS",U30="DSQ",U30="DNS",U30=" DNS "),$BW$3+1,U30))</f>
        <v>0</v>
      </c>
      <c r="CH30" s="61">
        <f>IF(V30="",0,IF(OR(V30="DNF",V30="OCS",V30="DSQ",V30="DNS",V30=" DNS "),$BW$3+1,V30))</f>
        <v>0</v>
      </c>
      <c r="CI30" s="61">
        <f>IF(W30="",0,IF(OR(W30="DNF",W30="OCS",W30="DSQ",W30="DNS",W30=" DNS "),$BW$3+1,W30))</f>
        <v>0</v>
      </c>
      <c r="CJ30" s="61">
        <f>IF(X30="",0,IF(OR(X30="DNF",X30="OCS",X30="DSQ",X30="DNS",X30=" DNS "),$BW$3+1,X30))</f>
        <v>0</v>
      </c>
      <c r="CK30" s="61">
        <f>IF(Y30="",0,IF(OR(Y30="DNF",Y30="OCS",Y30="DSQ",Y30="DNS",Y30=" DNS "),$BW$3+1,Y30))</f>
        <v>0</v>
      </c>
      <c r="CL30" s="61">
        <f>IF(Z30="",0,IF(OR(Z30="DNF",Z30="OCS",Z30="DSQ",Z30="DNS",Z30=" DNS "),$BW$3+1,Z30))</f>
        <v>0</v>
      </c>
      <c r="CM30" s="61">
        <f>IF(AA30="",0,IF(OR(AA30="DNF",AA30="OCS",AA30="DSQ",AA30="DNS",AA30=" DNS "),$BW$3+1,AA30))</f>
        <v>0</v>
      </c>
      <c r="CN30" s="61">
        <f>IF(AB30="",0,IF(OR(AB30="DNF",AB30="OCS",AB30="DSQ",AB30="DNS",AB30=" DNS "),$BW$3+1,AB30))</f>
        <v>0</v>
      </c>
      <c r="CO30" s="61">
        <f>IF(AC30="",0,IF(OR(AC30="DNF",AC30="OCS",AC30="DSQ",AC30="DNS",AC30=" DNS "),$BW$3+1,AC30))</f>
        <v>0</v>
      </c>
      <c r="CP30" s="61">
        <f>IF(AD30="",0,IF(OR(AD30="DNF",AD30="OCS",AD30="DSQ",AD30="DNS",AD30=" DNS "),$BW$3+1,AD30))</f>
        <v>0</v>
      </c>
      <c r="CQ30" s="61">
        <f>IF(AE30="",0,IF(OR(AE30="DNF",AE30="OCS",AE30="DSQ",AE30="DNS",AE30=" DNS "),$BW$3+1,AE30))</f>
        <v>0</v>
      </c>
      <c r="CR30" s="61">
        <f>IF(AF30="",0,IF(OR(AF30="DNF",AF30="OCS",AF30="DSQ",AF30="DNS",AF30=" DNS "),$BW$3+1,AF30))</f>
        <v>0</v>
      </c>
      <c r="CS30" s="61">
        <f>IF(AG30="",0,IF(OR(AG30="DNF",AG30="OCS",AG30="DSQ",AG30="DNS",AG30=" DNS "),$BW$3+1,AG30))</f>
        <v>0</v>
      </c>
      <c r="CT30" s="61">
        <f>IF(AH30="",0,IF(OR(AH30="DNF",AH30="OCS",AH30="DSQ",AH30="DNS",AH30=" DNS "),$BW$3+1,AH30))</f>
        <v>0</v>
      </c>
      <c r="CU30" s="61">
        <f>IF(AI30="",0,IF(OR(AI30="DNF",AI30="OCS",AI30="DSQ",AI30="DNS",AI30=" DNS "),$BW$3+1,AI30))</f>
        <v>0</v>
      </c>
      <c r="CV30" s="61">
        <f>IF(AJ30="",0,IF(OR(AJ30="DNF",AJ30="OCS",AJ30="DSQ",AJ30="DNS",AJ30=" DNS "),$BW$3+1,AJ30))</f>
        <v>0</v>
      </c>
      <c r="CW30" s="61">
        <f>IF(AK30="",0,IF(OR(AK30="DNF",AK30="OCS",AK30="DSQ",AK30="DNS",AK30=" DNS "),$BW$3+1,AK30))</f>
        <v>0</v>
      </c>
      <c r="CX30" s="61">
        <f>IF(AL30="",0,IF(OR(AL30="DNF",AL30="OCS",AL30="DSQ",AL30="DNS",AL30=" DNS "),$BW$3+1,AL30))</f>
        <v>0</v>
      </c>
      <c r="CY30" s="61">
        <f>IF(AM30="",0,IF(OR(AM30="DNF",AM30="OCS",AM30="DSQ",AM30="DNS",AM30=" DNS "),$BW$3+1,AM30))</f>
        <v>0</v>
      </c>
      <c r="CZ30" s="61">
        <f>IF(AN30="",0,IF(OR(AN30="DNF",AN30="OCS",AN30="DSQ",AN30="DNS",AN30=" DNS "),$BW$3+1,AN30))</f>
        <v>0</v>
      </c>
      <c r="DA30" s="61">
        <f>IF(AO30="",0,IF(OR(AO30="DNF",AO30="OCS",AO30="DSQ",AO30="DNS",AO30=" DNS "),$BW$3+1,AO30))</f>
        <v>0</v>
      </c>
      <c r="DB30" s="61">
        <f>IF(AP30="",0,IF(OR(AP30="DNF",AP30="OCS",AP30="DSQ",AP30="DNS",AP30=" DNS "),$BW$3+1,AP30))</f>
        <v>0</v>
      </c>
      <c r="DC30" s="61">
        <f>IF(AQ30="",0,IF(OR(AQ30="DNF",AQ30="OCS",AQ30="DSQ",AQ30="DNS",AQ30=" DNS "),$BW$3+1,AQ30))</f>
        <v>0</v>
      </c>
      <c r="DD30" s="61">
        <f>IF(AR30="",0,IF(OR(AR30="DNF",AR30="OCS",AR30="DSQ",AR30="DNS",AR30=" DNS "),$BW$3+1,AR30))</f>
        <v>0</v>
      </c>
      <c r="DE30" s="61">
        <f>IF(AS30="",0,IF(OR(AS30="DNF",AS30="OCS",AS30="DSQ",AS30="DNS",AS30=" DNS "),$BW$3+1,AS30))</f>
        <v>0</v>
      </c>
      <c r="DF30" s="61">
        <f>IF(AT30="",0,IF(OR(AT30="DNF",AT30="OCS",AT30="DSQ",AT30="DNS",AT30=" DNS "),$BW$3+1,AT30))</f>
        <v>0</v>
      </c>
      <c r="DG30" s="61">
        <f>IF(AU30="",0,IF(OR(AU30="DNF",AU30="OCS",AU30="DSQ",AU30="DNS",AU30=" DNS "),$BW$3+1,AU30))</f>
        <v>0</v>
      </c>
      <c r="DH30" s="61">
        <f>IF(AV30="",0,IF(OR(AV30="DNF",AV30="OCS",AV30="DSQ",AV30="DNS",AV30=" DNS "),$BW$3+1,AV30))</f>
        <v>0</v>
      </c>
      <c r="DI30" s="61">
        <f>IF(AW30="",0,IF(OR(AW30="DNF",AW30="OCS",AW30="DSQ",AW30="DNS",AW30=" DNS "),$BW$3+1,AW30))</f>
        <v>0</v>
      </c>
      <c r="DJ30" s="61">
        <f>IF(AX30="",0,IF(OR(AX30="DNF",AX30="OCS",AX30="DSQ",AX30="DNS",AX30=" DNS "),$BW$3+1,AX30))</f>
        <v>0</v>
      </c>
      <c r="DK30" s="61">
        <f>IF(AY30="",0,IF(OR(AY30="DNF",AY30="OCS",AY30="DSQ",AY30="DNS",AY30=" DNS "),$BW$3+1,AY30))</f>
        <v>0</v>
      </c>
      <c r="DL30" s="61">
        <f>IF(AZ30="",0,IF(OR(AZ30="DNF",AZ30="OCS",AZ30="DSQ",AZ30="DNS",AZ30=" DNS "),$BW$3+1,AZ30))</f>
        <v>0</v>
      </c>
      <c r="DM30" s="61">
        <f>IF(BA30="",0,IF(OR(BA30="DNF",BA30="OCS",BA30="DSQ",BA30="DNS",BA30=" DNS "),$BW$3+1,BA30))</f>
        <v>0</v>
      </c>
      <c r="DN30" s="61">
        <f>IF(BB30="",0,IF(OR(BB30="DNF",BB30="OCS",BB30="DSQ",BB30="DNS",BB30=" DNS "),$BW$3+1,BB30))</f>
        <v>0</v>
      </c>
      <c r="DO30" s="61">
        <f>IF(BC30="",0,IF(OR(BC30="DNF",BC30="OCS",BC30="DSQ",BC30="DNS",BC30=" DNS "),$BW$3+1,BC30))</f>
        <v>0</v>
      </c>
      <c r="DP30" s="61">
        <f>IF(BD30="",0,IF(OR(BD30="DNF",BD30="OCS",BD30="DSQ",BD30="DNS",BD30=" DNS "),$BW$3+1,BD30))</f>
        <v>0</v>
      </c>
      <c r="DQ30" s="61">
        <f>IF(BE30="",0,IF(OR(BE30="DNF",BE30="OCS",BE30="DSQ",BE30="DNS",BE30=" DNS "),$BW$3+1,BE30))</f>
        <v>0</v>
      </c>
      <c r="DR30" s="61">
        <f>IF(BF30="",0,IF(OR(BF30="DNF",BF30="OCS",BF30="DSQ",BF30="DNS",BF30=" DNS "),$BW$3+1,BF30))</f>
        <v>0</v>
      </c>
      <c r="DS30" s="61">
        <f>IF(BG30="",0,IF(OR(BG30="DNF",BG30="OCS",BG30="DSQ",BG30="DNS",BG30=" DNS "),$BW$3+1,BG30))</f>
        <v>0</v>
      </c>
      <c r="DT30" s="61">
        <f>IF(BH30="",0,IF(OR(BH30="DNF",BH30="OCS",BH30="DSQ",BH30="DNS",BH30=" DNS "),$BW$3+1,BH30))</f>
        <v>0</v>
      </c>
      <c r="DU30" s="61">
        <f>IF(BI30="",0,IF(OR(BI30="DNF",BI30="OCS",BI30="DSQ",BI30="DNS",BI30=" DNS "),$BW$3+1,BI30))</f>
        <v>0</v>
      </c>
      <c r="DV30" s="61">
        <f>IF(BJ30="",0,IF(OR(BJ30="DNF",BJ30="OCS",BJ30="DSQ",BJ30="DNS",BJ30=" DNS "),$BW$3+1,BJ30))</f>
        <v>0</v>
      </c>
      <c r="DW30" s="61">
        <f>IF(BK30="",0,IF(OR(BK30="DNF",BK30="OCS",BK30="DSQ",BK30="DNS",BK30=" DNS "),$BW$3+1,BK30))</f>
        <v>0</v>
      </c>
      <c r="DX30" s="61">
        <f>IF(BL30="",0,IF(OR(BL30="DNF",BL30="OCS",BL30="DSQ",BL30="DNS",BL30=" DNS "),$BW$3+1,BL30))</f>
        <v>0</v>
      </c>
      <c r="DY30" s="61">
        <f>IF(BM30="",0,IF(OR(BM30="DNF",BM30="OCS",BM30="DSQ",BM30="DNS",BM30=" DNS "),$BW$3+1,BM30))</f>
        <v>0</v>
      </c>
      <c r="DZ30" s="61">
        <f>IF(BN30="",0,IF(OR(BN30="DNF",BN30="OCS",BN30="DSQ",BN30="DNS",BN30=" DNS "),$BW$3+1,BN30))</f>
        <v>0</v>
      </c>
      <c r="EA30" s="61">
        <f>IF(BO30="",0,IF(OR(BO30="DNF",BO30="OCS",BO30="DSQ",BO30="DNS",BO30=" DNS "),$BW$3+1,BO30))</f>
        <v>0</v>
      </c>
      <c r="EB30" s="61">
        <f>IF(BP30="",0,IF(OR(BP30="DNF",BP30="OCS",BP30="DSQ",BP30="DNS",BP30=" DNS "),$BW$3+1,BP30))</f>
        <v>0</v>
      </c>
      <c r="EC30" s="61">
        <f>IF(BQ30="",0,IF(OR(BQ30="DNF",BQ30="OCS",BQ30="DSQ",BQ30="DNS",BQ30=" DNS "),$BW$3+1,BQ30))</f>
        <v>0</v>
      </c>
      <c r="EE30" s="61">
        <f xml:space="preserve">
IF(OR(Deltagarlista!$K$3=3,Deltagarlista!$K$3=4),
IF(Arrangörslista!$U$5&lt;8,0,
IF(Arrangörslista!$U$5&lt;16,SUM(LARGE(BV30:CJ30,1)),
IF(Arrangörslista!$U$5&lt;24,SUM(LARGE(BV30:CR30,{1;2})),
IF(Arrangörslista!$U$5&lt;32,SUM(LARGE(BV30:CZ30,{1;2;3})),
IF(Arrangörslista!$U$5&lt;40,SUM(LARGE(BV30:DH30,{1;2;3;4})),
IF(Arrangörslista!$U$5&lt;48,SUM(LARGE(BV30:DP30,{1;2;3;4;5})),
IF(Arrangörslista!$U$5&lt;56,SUM(LARGE(BV30:DX30,{1;2;3;4;5;6})),
IF(Arrangörslista!$U$5&lt;64,SUM(LARGE(BV30:EC30,{1;2;3;4;5;6;7})),0)))))))),
IF(Deltagarlista!$K$3=2,
IF(Arrangörslista!$U$5&lt;4,LARGE(BV30:BX30,1),
IF(Arrangörslista!$U$5&lt;7,SUM(LARGE(BV30:CA30,{1;2;3})),
IF(Arrangörslista!$U$5&lt;10,SUM(LARGE(BV30:CD30,{1;2;3;4})),
IF(Arrangörslista!$U$5&lt;13,SUM(LARGE(BV30:CG30,{1;2;3;4;5;6})),
IF(Arrangörslista!$U$5&lt;16,SUM(LARGE(BV30:CJ30,{1;2;3;4;5;6;7})),
IF(Arrangörslista!$U$5&lt;19,SUM(LARGE(BV30:CM30,{1;2;3;4;5;6;7;8;9})),
IF(Arrangörslista!$U$5&lt;22,SUM(LARGE(BV30:CP30,{1;2;3;4;5;6;7;8;9;10})),
IF(Arrangörslista!$U$5&lt;25,SUM(LARGE(BV30:CS30,{1;2;3;4;5;6;7;8;9;10;11;12})),
IF(Arrangörslista!$U$5&lt;28,SUM(LARGE(BV30:CV30,{1;2;3;4;5;6;7;8;9;10;11;12;13})),
IF(Arrangörslista!$U$5&lt;31,SUM(LARGE(BV30:CY30,{1;2;3;4;5;6;7;8;9;10;11;12;13;14;15})),
IF(Arrangörslista!$U$5&lt;34,SUM(LARGE(BV30:DB30,{1;2;3;4;5;6;7;8;9;10;11;12;13;14;15;16})),
IF(Arrangörslista!$U$5&lt;37,SUM(LARGE(BV30:DE30,{1;2;3;4;5;6;7;8;9;10;11;12;13;14;15;16;17;18})),
IF(Arrangörslista!$U$5&lt;40,SUM(LARGE(BV30:DH30,{1;2;3;4;5;6;7;8;9;10;11;12;13;14;15;16;17;18;19})),
IF(Arrangörslista!$U$5&lt;43,SUM(LARGE(BV30:DK30,{1;2;3;4;5;6;7;8;9;10;11;12;13;14;15;16;17;18;19;20;21})),
IF(Arrangörslista!$U$5&lt;46,SUM(LARGE(BV30:DN30,{1;2;3;4;5;6;7;8;9;10;11;12;13;14;15;16;17;18;19;20;21;22})),
IF(Arrangörslista!$U$5&lt;49,SUM(LARGE(BV30:DQ30,{1;2;3;4;5;6;7;8;9;10;11;12;13;14;15;16;17;18;19;20;21;22;23;24})),
IF(Arrangörslista!$U$5&lt;52,SUM(LARGE(BV30:DT30,{1;2;3;4;5;6;7;8;9;10;11;12;13;14;15;16;17;18;19;20;21;22;23;24;25})),
IF(Arrangörslista!$U$5&lt;55,SUM(LARGE(BV30:DW30,{1;2;3;4;5;6;7;8;9;10;11;12;13;14;15;16;17;18;19;20;21;22;23;24;25;26;27})),
IF(Arrangörslista!$U$5&lt;58,SUM(LARGE(BV30:DZ30,{1;2;3;4;5;6;7;8;9;10;11;12;13;14;15;16;17;18;19;20;21;22;23;24;25;26;27;28})),
IF(Arrangörslista!$U$5&lt;61,SUM(LARGE(BV30:EC30,{1;2;3;4;5;6;7;8;9;10;11;12;13;14;15;16;17;18;19;20;21;22;23;24;25;26;27;28;29;30})),0)))))))))))))))))))),
IF(Arrangörslista!$U$5&lt;4,0,
IF(Arrangörslista!$U$5&lt;8,SUM(LARGE(BV30:CB30,1)),
IF(Arrangörslista!$U$5&lt;12,SUM(LARGE(BV30:CF30,{1;2})),
IF(Arrangörslista!$U$5&lt;16,SUM(LARGE(BV30:CJ30,{1;2;3})),
IF(Arrangörslista!$U$5&lt;20,SUM(LARGE(BV30:CN30,{1;2;3;4})),
IF(Arrangörslista!$U$5&lt;24,SUM(LARGE(BV30:CR30,{1;2;3;4;5})),
IF(Arrangörslista!$U$5&lt;28,SUM(LARGE(BV30:CV30,{1;2;3;4;5;6})),
IF(Arrangörslista!$U$5&lt;32,SUM(LARGE(BV30:CZ30,{1;2;3;4;5;6;7})),
IF(Arrangörslista!$U$5&lt;36,SUM(LARGE(BV30:DD30,{1;2;3;4;5;6;7;8})),
IF(Arrangörslista!$U$5&lt;40,SUM(LARGE(BV30:DH30,{1;2;3;4;5;6;7;8;9})),
IF(Arrangörslista!$U$5&lt;44,SUM(LARGE(BV30:DL30,{1;2;3;4;5;6;7;8;9;10})),
IF(Arrangörslista!$U$5&lt;48,SUM(LARGE(BV30:DP30,{1;2;3;4;5;6;7;8;9;10;11})),
IF(Arrangörslista!$U$5&lt;52,SUM(LARGE(BV30:DT30,{1;2;3;4;5;6;7;8;9;10;11;12})),
IF(Arrangörslista!$U$5&lt;56,SUM(LARGE(BV30:DX30,{1;2;3;4;5;6;7;8;9;10;11;12;13})),
IF(Arrangörslista!$U$5&lt;60,SUM(LARGE(BV30:EB30,{1;2;3;4;5;6;7;8;9;10;11;12;13;14})),
IF(Arrangörslista!$U$5=60,SUM(LARGE(BV30:EC30,{1;2;3;4;5;6;7;8;9;10;11;12;13;14;15})),0))))))))))))))))))</f>
        <v>0</v>
      </c>
      <c r="EG30" s="67">
        <f>IF(F30="",,1)</f>
        <v>0</v>
      </c>
      <c r="EH30" s="61"/>
      <c r="EI30" s="61"/>
      <c r="EK30" s="62">
        <f>SMALL($J93:$BQ93,1)</f>
        <v>61</v>
      </c>
      <c r="EL30" s="62">
        <f>SMALL($J93:$BQ93,2)</f>
        <v>61</v>
      </c>
      <c r="EM30" s="62">
        <f>SMALL($J93:$BQ93,3)</f>
        <v>61</v>
      </c>
      <c r="EN30" s="62">
        <f>SMALL($J93:$BQ93,4)</f>
        <v>61</v>
      </c>
      <c r="EO30" s="62">
        <f>SMALL($J93:$BQ93,5)</f>
        <v>61</v>
      </c>
      <c r="EP30" s="62">
        <f>SMALL($J93:$BQ93,6)</f>
        <v>61</v>
      </c>
      <c r="EQ30" s="62">
        <f>SMALL($J93:$BQ93,7)</f>
        <v>61</v>
      </c>
      <c r="ER30" s="62">
        <f>SMALL($J93:$BQ93,8)</f>
        <v>61</v>
      </c>
      <c r="ES30" s="62">
        <f>SMALL($J93:$BQ93,9)</f>
        <v>61</v>
      </c>
      <c r="ET30" s="62">
        <f>SMALL($J93:$BQ93,10)</f>
        <v>61</v>
      </c>
      <c r="EU30" s="62">
        <f>SMALL($J93:$BQ93,11)</f>
        <v>61</v>
      </c>
      <c r="EV30" s="62">
        <f>SMALL($J93:$BQ93,12)</f>
        <v>61</v>
      </c>
      <c r="EW30" s="62">
        <f>SMALL($J93:$BQ93,13)</f>
        <v>61</v>
      </c>
      <c r="EX30" s="62">
        <f>SMALL($J93:$BQ93,14)</f>
        <v>61</v>
      </c>
      <c r="EY30" s="62">
        <f>SMALL($J93:$BQ93,15)</f>
        <v>61</v>
      </c>
      <c r="EZ30" s="62">
        <f>SMALL($J93:$BQ93,16)</f>
        <v>61</v>
      </c>
      <c r="FA30" s="62">
        <f>SMALL($J93:$BQ93,17)</f>
        <v>61</v>
      </c>
      <c r="FB30" s="62">
        <f>SMALL($J93:$BQ93,18)</f>
        <v>61</v>
      </c>
      <c r="FC30" s="62">
        <f>SMALL($J93:$BQ93,19)</f>
        <v>61</v>
      </c>
      <c r="FD30" s="62">
        <f>SMALL($J93:$BQ93,20)</f>
        <v>61</v>
      </c>
      <c r="FE30" s="62">
        <f>SMALL($J93:$BQ93,21)</f>
        <v>61</v>
      </c>
      <c r="FF30" s="62">
        <f>SMALL($J93:$BQ93,22)</f>
        <v>61</v>
      </c>
      <c r="FG30" s="62">
        <f>SMALL($J93:$BQ93,23)</f>
        <v>61</v>
      </c>
      <c r="FH30" s="62">
        <f>SMALL($J93:$BQ93,24)</f>
        <v>61</v>
      </c>
      <c r="FI30" s="62">
        <f>SMALL($J93:$BQ93,25)</f>
        <v>61</v>
      </c>
      <c r="FJ30" s="62">
        <f>SMALL($J93:$BQ93,26)</f>
        <v>61</v>
      </c>
      <c r="FK30" s="62">
        <f>SMALL($J93:$BQ93,27)</f>
        <v>61</v>
      </c>
      <c r="FL30" s="62">
        <f>SMALL($J93:$BQ93,28)</f>
        <v>61</v>
      </c>
      <c r="FM30" s="62">
        <f>SMALL($J93:$BQ93,29)</f>
        <v>61</v>
      </c>
      <c r="FN30" s="62">
        <f>SMALL($J93:$BQ93,30)</f>
        <v>61</v>
      </c>
      <c r="FO30" s="62">
        <f>SMALL($J93:$BQ93,31)</f>
        <v>61</v>
      </c>
      <c r="FP30" s="62">
        <f>SMALL($J93:$BQ93,32)</f>
        <v>61</v>
      </c>
      <c r="FQ30" s="62">
        <f>SMALL($J93:$BQ93,33)</f>
        <v>61</v>
      </c>
      <c r="FR30" s="62">
        <f>SMALL($J93:$BQ93,34)</f>
        <v>61</v>
      </c>
      <c r="FS30" s="62">
        <f>SMALL($J93:$BQ93,35)</f>
        <v>61</v>
      </c>
      <c r="FT30" s="62">
        <f>SMALL($J93:$BQ93,36)</f>
        <v>61</v>
      </c>
      <c r="FU30" s="62">
        <f>SMALL($J93:$BQ93,37)</f>
        <v>61</v>
      </c>
      <c r="FV30" s="62">
        <f>SMALL($J93:$BQ93,38)</f>
        <v>61</v>
      </c>
      <c r="FW30" s="62">
        <f>SMALL($J93:$BQ93,39)</f>
        <v>61</v>
      </c>
      <c r="FX30" s="62">
        <f>SMALL($J93:$BQ93,40)</f>
        <v>61</v>
      </c>
      <c r="FY30" s="62">
        <f>SMALL($J93:$BQ93,41)</f>
        <v>61</v>
      </c>
      <c r="FZ30" s="62">
        <f>SMALL($J93:$BQ93,42)</f>
        <v>61</v>
      </c>
      <c r="GA30" s="62">
        <f>SMALL($J93:$BQ93,43)</f>
        <v>61</v>
      </c>
      <c r="GB30" s="62">
        <f>SMALL($J93:$BQ93,44)</f>
        <v>61</v>
      </c>
      <c r="GC30" s="62">
        <f>SMALL($J93:$BQ93,45)</f>
        <v>61</v>
      </c>
      <c r="GD30" s="62">
        <f>SMALL($J93:$BQ93,46)</f>
        <v>61</v>
      </c>
      <c r="GE30" s="62">
        <f>SMALL($J93:$BQ93,47)</f>
        <v>61</v>
      </c>
      <c r="GF30" s="62">
        <f>SMALL($J93:$BQ93,48)</f>
        <v>61</v>
      </c>
      <c r="GG30" s="62">
        <f>SMALL($J93:$BQ93,49)</f>
        <v>61</v>
      </c>
      <c r="GH30" s="62">
        <f>SMALL($J93:$BQ93,50)</f>
        <v>61</v>
      </c>
      <c r="GI30" s="62">
        <f>SMALL($J93:$BQ93,51)</f>
        <v>61</v>
      </c>
      <c r="GJ30" s="62">
        <f>SMALL($J93:$BQ93,52)</f>
        <v>61</v>
      </c>
      <c r="GK30" s="62">
        <f>SMALL($J93:$BQ93,53)</f>
        <v>61</v>
      </c>
      <c r="GL30" s="62">
        <f>SMALL($J93:$BQ93,54)</f>
        <v>61</v>
      </c>
      <c r="GM30" s="62">
        <f>SMALL($J93:$BQ93,55)</f>
        <v>61</v>
      </c>
      <c r="GN30" s="62">
        <f>SMALL($J93:$BQ93,56)</f>
        <v>61</v>
      </c>
      <c r="GO30" s="62">
        <f>SMALL($J93:$BQ93,57)</f>
        <v>61</v>
      </c>
      <c r="GP30" s="62">
        <f>SMALL($J93:$BQ93,58)</f>
        <v>61</v>
      </c>
      <c r="GQ30" s="62">
        <f>SMALL($J93:$BQ93,59)</f>
        <v>61</v>
      </c>
      <c r="GR30" s="62">
        <f>SMALL($J93:$BQ93,60)</f>
        <v>61</v>
      </c>
      <c r="GT30" s="62">
        <f>IF(Deltagarlista!$K$3=2,
IF(GW30="1",
      IF(Arrangörslista!$U$5=1,J93,
IF(Arrangörslista!$U$5=2,K93,
IF(Arrangörslista!$U$5=3,L93,
IF(Arrangörslista!$U$5=4,M93,
IF(Arrangörslista!$U$5=5,N93,
IF(Arrangörslista!$U$5=6,O93,
IF(Arrangörslista!$U$5=7,P93,
IF(Arrangörslista!$U$5=8,Q93,
IF(Arrangörslista!$U$5=9,R93,
IF(Arrangörslista!$U$5=10,S93,
IF(Arrangörslista!$U$5=11,T93,
IF(Arrangörslista!$U$5=12,U93,
IF(Arrangörslista!$U$5=13,V93,
IF(Arrangörslista!$U$5=14,W93,
IF(Arrangörslista!$U$5=15,X93,
IF(Arrangörslista!$U$5=16,Y93,IF(Arrangörslista!$U$5=17,Z93,IF(Arrangörslista!$U$5=18,AA93,IF(Arrangörslista!$U$5=19,AB93,IF(Arrangörslista!$U$5=20,AC93,IF(Arrangörslista!$U$5=21,AD93,IF(Arrangörslista!$U$5=22,AE93,IF(Arrangörslista!$U$5=23,AF93, IF(Arrangörslista!$U$5=24,AG93, IF(Arrangörslista!$U$5=25,AH93, IF(Arrangörslista!$U$5=26,AI93, IF(Arrangörslista!$U$5=27,AJ93, IF(Arrangörslista!$U$5=28,AK93, IF(Arrangörslista!$U$5=29,AL93, IF(Arrangörslista!$U$5=30,AM93, IF(Arrangörslista!$U$5=31,AN93, IF(Arrangörslista!$U$5=32,AO93, IF(Arrangörslista!$U$5=33,AP93, IF(Arrangörslista!$U$5=34,AQ93, IF(Arrangörslista!$U$5=35,AR93, IF(Arrangörslista!$U$5=36,AS93, IF(Arrangörslista!$U$5=37,AT93, IF(Arrangörslista!$U$5=38,AU93, IF(Arrangörslista!$U$5=39,AV93, IF(Arrangörslista!$U$5=40,AW93, IF(Arrangörslista!$U$5=41,AX93, IF(Arrangörslista!$U$5=42,AY93, IF(Arrangörslista!$U$5=43,AZ93, IF(Arrangörslista!$U$5=44,BA93, IF(Arrangörslista!$U$5=45,BB93, IF(Arrangörslista!$U$5=46,BC93, IF(Arrangörslista!$U$5=47,BD93, IF(Arrangörslista!$U$5=48,BE93, IF(Arrangörslista!$U$5=49,BF93, IF(Arrangörslista!$U$5=50,BG93, IF(Arrangörslista!$U$5=51,BH93, IF(Arrangörslista!$U$5=52,BI93, IF(Arrangörslista!$U$5=53,BJ93, IF(Arrangörslista!$U$5=54,BK93, IF(Arrangörslista!$U$5=55,BL93, IF(Arrangörslista!$U$5=56,BM93, IF(Arrangörslista!$U$5=57,BN93, IF(Arrangörslista!$U$5=58,BO93, IF(Arrangörslista!$U$5=59,BP93, IF(Arrangörslista!$U$5=60,BQ93,0))))))))))))))))))))))))))))))))))))))))))))))))))))))))))))),IF(Deltagarlista!$K$3=4, IF(Arrangörslista!$U$5=1,J93,
IF(Arrangörslista!$U$5=2,J93,
IF(Arrangörslista!$U$5=3,K93,
IF(Arrangörslista!$U$5=4,K93,
IF(Arrangörslista!$U$5=5,L93,
IF(Arrangörslista!$U$5=6,L93,
IF(Arrangörslista!$U$5=7,M93,
IF(Arrangörslista!$U$5=8,M93,
IF(Arrangörslista!$U$5=9,N93,
IF(Arrangörslista!$U$5=10,N93,
IF(Arrangörslista!$U$5=11,O93,
IF(Arrangörslista!$U$5=12,O93,
IF(Arrangörslista!$U$5=13,P93,
IF(Arrangörslista!$U$5=14,P93,
IF(Arrangörslista!$U$5=15,Q93,
IF(Arrangörslista!$U$5=16,Q93,
IF(Arrangörslista!$U$5=17,R93,
IF(Arrangörslista!$U$5=18,R93,
IF(Arrangörslista!$U$5=19,S93,
IF(Arrangörslista!$U$5=20,S93,
IF(Arrangörslista!$U$5=21,T93,
IF(Arrangörslista!$U$5=22,T93,IF(Arrangörslista!$U$5=23,U93, IF(Arrangörslista!$U$5=24,U93, IF(Arrangörslista!$U$5=25,V93, IF(Arrangörslista!$U$5=26,V93, IF(Arrangörslista!$U$5=27,W93, IF(Arrangörslista!$U$5=28,W93, IF(Arrangörslista!$U$5=29,X93, IF(Arrangörslista!$U$5=30,X93, IF(Arrangörslista!$U$5=31,X93, IF(Arrangörslista!$U$5=32,Y93, IF(Arrangörslista!$U$5=33,AO93, IF(Arrangörslista!$U$5=34,Y93, IF(Arrangörslista!$U$5=35,Z93, IF(Arrangörslista!$U$5=36,AR93, IF(Arrangörslista!$U$5=37,Z93, IF(Arrangörslista!$U$5=38,AA93, IF(Arrangörslista!$U$5=39,AU93, IF(Arrangörslista!$U$5=40,AA93, IF(Arrangörslista!$U$5=41,AB93, IF(Arrangörslista!$U$5=42,AX93, IF(Arrangörslista!$U$5=43,AB93, IF(Arrangörslista!$U$5=44,AC93, IF(Arrangörslista!$U$5=45,BA93, IF(Arrangörslista!$U$5=46,AC93, IF(Arrangörslista!$U$5=47,AD93, IF(Arrangörslista!$U$5=48,BD93, IF(Arrangörslista!$U$5=49,AD93, IF(Arrangörslista!$U$5=50,AE93, IF(Arrangörslista!$U$5=51,BG93, IF(Arrangörslista!$U$5=52,AE93, IF(Arrangörslista!$U$5=53,AF93, IF(Arrangörslista!$U$5=54,BJ93, IF(Arrangörslista!$U$5=55,AF93, IF(Arrangörslista!$U$5=56,AG93, IF(Arrangörslista!$U$5=57,BM93, IF(Arrangörslista!$U$5=58,AG93, IF(Arrangörslista!$U$5=59,AH93, IF(Arrangörslista!$U$5=60,AH93,0)))))))))))))))))))))))))))))))))))))))))))))))))))))))))))),IF(Arrangörslista!$U$5=1,J93,
IF(Arrangörslista!$U$5=2,K93,
IF(Arrangörslista!$U$5=3,L93,
IF(Arrangörslista!$U$5=4,M93,
IF(Arrangörslista!$U$5=5,N93,
IF(Arrangörslista!$U$5=6,O93,
IF(Arrangörslista!$U$5=7,P93,
IF(Arrangörslista!$U$5=8,Q93,
IF(Arrangörslista!$U$5=9,R93,
IF(Arrangörslista!$U$5=10,S93,
IF(Arrangörslista!$U$5=11,T93,
IF(Arrangörslista!$U$5=12,U93,
IF(Arrangörslista!$U$5=13,V93,
IF(Arrangörslista!$U$5=14,W93,
IF(Arrangörslista!$U$5=15,X93,
IF(Arrangörslista!$U$5=16,Y93,IF(Arrangörslista!$U$5=17,Z93,IF(Arrangörslista!$U$5=18,AA93,IF(Arrangörslista!$U$5=19,AB93,IF(Arrangörslista!$U$5=20,AC93,IF(Arrangörslista!$U$5=21,AD93,IF(Arrangörslista!$U$5=22,AE93,IF(Arrangörslista!$U$5=23,AF93, IF(Arrangörslista!$U$5=24,AG93, IF(Arrangörslista!$U$5=25,AH93, IF(Arrangörslista!$U$5=26,AI93, IF(Arrangörslista!$U$5=27,AJ93, IF(Arrangörslista!$U$5=28,AK93, IF(Arrangörslista!$U$5=29,AL93, IF(Arrangörslista!$U$5=30,AM93, IF(Arrangörslista!$U$5=31,AN93, IF(Arrangörslista!$U$5=32,AO93, IF(Arrangörslista!$U$5=33,AP93, IF(Arrangörslista!$U$5=34,AQ93, IF(Arrangörslista!$U$5=35,AR93, IF(Arrangörslista!$U$5=36,AS93, IF(Arrangörslista!$U$5=37,AT93, IF(Arrangörslista!$U$5=38,AU93, IF(Arrangörslista!$U$5=39,AV93, IF(Arrangörslista!$U$5=40,AW93, IF(Arrangörslista!$U$5=41,AX93, IF(Arrangörslista!$U$5=42,AY93, IF(Arrangörslista!$U$5=43,AZ93, IF(Arrangörslista!$U$5=44,BA93, IF(Arrangörslista!$U$5=45,BB93, IF(Arrangörslista!$U$5=46,BC93, IF(Arrangörslista!$U$5=47,BD93, IF(Arrangörslista!$U$5=48,BE93, IF(Arrangörslista!$U$5=49,BF93, IF(Arrangörslista!$U$5=50,BG93, IF(Arrangörslista!$U$5=51,BH93, IF(Arrangörslista!$U$5=52,BI93, IF(Arrangörslista!$U$5=53,BJ93, IF(Arrangörslista!$U$5=54,BK93, IF(Arrangörslista!$U$5=55,BL93, IF(Arrangörslista!$U$5=56,BM93, IF(Arrangörslista!$U$5=57,BN93, IF(Arrangörslista!$U$5=58,BO93, IF(Arrangörslista!$U$5=59,BP93, IF(Arrangörslista!$U$5=60,BQ93,0))))))))))))))))))))))))))))))))))))))))))))))))))))))))))))
))</f>
        <v>0</v>
      </c>
      <c r="GV30" s="65" t="str">
        <f>IFERROR(IF(VLOOKUP(F30,Deltagarlista!$E$5:$I$64,5,FALSE)="Grön","Gr",IF(VLOOKUP(F30,Deltagarlista!$E$5:$I$64,5,FALSE)="Röd","R",IF(VLOOKUP(F30,Deltagarlista!$E$5:$I$64,5,FALSE)="Blå","B","Gu"))),"")</f>
        <v/>
      </c>
      <c r="GW30" s="62" t="str">
        <f t="shared" si="1"/>
        <v/>
      </c>
    </row>
    <row r="31" spans="2:205" ht="15.75" customHeight="1" x14ac:dyDescent="0.3">
      <c r="B31" s="23" t="str">
        <f>IF($BW$3&gt;27,28,"")</f>
        <v/>
      </c>
      <c r="C31" s="92" t="str">
        <f>IF(ISBLANK(Deltagarlista!C41),"",Deltagarlista!C41)</f>
        <v/>
      </c>
      <c r="D31" s="109" t="str">
        <f>CONCATENATE(IF(AND(Deltagarlista!H41="GM",Deltagarlista!$S$14=TRUE),"GM   ",""), IF(OR(Deltagarlista!$K$3=4,Deltagarlista!$K$3=2),Deltagarlista!I41,""))</f>
        <v/>
      </c>
      <c r="E31" s="8" t="str">
        <f>IF(ISBLANK(Deltagarlista!D41),"",Deltagarlista!D41)</f>
        <v/>
      </c>
      <c r="F31" s="8" t="str">
        <f>IF(ISBLANK(Deltagarlista!E41),"",Deltagarlista!E41)</f>
        <v/>
      </c>
      <c r="G31" s="95" t="str">
        <f>IF(ISBLANK(Deltagarlista!F41),"",Deltagarlista!F41)</f>
        <v/>
      </c>
      <c r="H31" s="72" t="str">
        <f>IF(ISBLANK(Deltagarlista!C41),"",BU31-EE31)</f>
        <v/>
      </c>
      <c r="I31" s="13" t="str">
        <f>IF(ISBLANK(Deltagarlista!C41),"",IF(AND(Deltagarlista!$K$3=2,Deltagarlista!$L$3&lt;37),SUM(SUM(BV31:EC31)-(ROUNDDOWN(Arrangörslista!$U$5/3,1))*($BW$3+1)),SUM(BV31:EC31)))</f>
        <v/>
      </c>
      <c r="J31" s="79" t="str">
        <f>IF(Deltagarlista!$K$3=4,IF(ISBLANK(Deltagarlista!$C41),"",IF(ISBLANK(Arrangörslista!C$8),"",IFERROR(VLOOKUP($F31,Arrangörslista!C$8:$AG$45,16,FALSE),IF(ISBLANK(Deltagarlista!$C41),"",IF(ISBLANK(Arrangörslista!C$8),"",IFERROR(VLOOKUP($F31,Arrangörslista!D$8:$AG$45,16,FALSE),"DNS")))))),IF(Deltagarlista!$K$3=2,
IF(ISBLANK(Deltagarlista!$C41),"",IF(ISBLANK(Arrangörslista!C$8),"",IF($GV31=J$64," DNS ",IFERROR(VLOOKUP($F31,Arrangörslista!C$8:$AG$45,16,FALSE),"DNS")))),IF(ISBLANK(Deltagarlista!$C41),"",IF(ISBLANK(Arrangörslista!C$8),"",IFERROR(VLOOKUP($F31,Arrangörslista!C$8:$AG$45,16,FALSE),"DNS")))))</f>
        <v/>
      </c>
      <c r="K31" s="5" t="str">
        <f>IF(Deltagarlista!$K$3=4,IF(ISBLANK(Deltagarlista!$C41),"",IF(ISBLANK(Arrangörslista!E$8),"",IFERROR(VLOOKUP($F31,Arrangörslista!E$8:$AG$45,16,FALSE),IF(ISBLANK(Deltagarlista!$C41),"",IF(ISBLANK(Arrangörslista!E$8),"",IFERROR(VLOOKUP($F31,Arrangörslista!F$8:$AG$45,16,FALSE),"DNS")))))),IF(Deltagarlista!$K$3=2,
IF(ISBLANK(Deltagarlista!$C41),"",IF(ISBLANK(Arrangörslista!D$8),"",IF($GV31=K$64," DNS ",IFERROR(VLOOKUP($F31,Arrangörslista!D$8:$AG$45,16,FALSE),"DNS")))),IF(ISBLANK(Deltagarlista!$C41),"",IF(ISBLANK(Arrangörslista!D$8),"",IFERROR(VLOOKUP($F31,Arrangörslista!D$8:$AG$45,16,FALSE),"DNS")))))</f>
        <v/>
      </c>
      <c r="L31" s="5" t="str">
        <f>IF(Deltagarlista!$K$3=4,IF(ISBLANK(Deltagarlista!$C41),"",IF(ISBLANK(Arrangörslista!G$8),"",IFERROR(VLOOKUP($F31,Arrangörslista!G$8:$AG$45,16,FALSE),IF(ISBLANK(Deltagarlista!$C41),"",IF(ISBLANK(Arrangörslista!G$8),"",IFERROR(VLOOKUP($F31,Arrangörslista!H$8:$AG$45,16,FALSE),"DNS")))))),IF(Deltagarlista!$K$3=2,
IF(ISBLANK(Deltagarlista!$C41),"",IF(ISBLANK(Arrangörslista!E$8),"",IF($GV31=L$64," DNS ",IFERROR(VLOOKUP($F31,Arrangörslista!E$8:$AG$45,16,FALSE),"DNS")))),IF(ISBLANK(Deltagarlista!$C41),"",IF(ISBLANK(Arrangörslista!E$8),"",IFERROR(VLOOKUP($F31,Arrangörslista!E$8:$AG$45,16,FALSE),"DNS")))))</f>
        <v/>
      </c>
      <c r="M31" s="5" t="str">
        <f>IF(Deltagarlista!$K$3=4,IF(ISBLANK(Deltagarlista!$C41),"",IF(ISBLANK(Arrangörslista!I$8),"",IFERROR(VLOOKUP($F31,Arrangörslista!I$8:$AG$45,16,FALSE),IF(ISBLANK(Deltagarlista!$C41),"",IF(ISBLANK(Arrangörslista!I$8),"",IFERROR(VLOOKUP($F31,Arrangörslista!J$8:$AG$45,16,FALSE),"DNS")))))),IF(Deltagarlista!$K$3=2,
IF(ISBLANK(Deltagarlista!$C41),"",IF(ISBLANK(Arrangörslista!F$8),"",IF($GV31=M$64," DNS ",IFERROR(VLOOKUP($F31,Arrangörslista!F$8:$AG$45,16,FALSE),"DNS")))),IF(ISBLANK(Deltagarlista!$C41),"",IF(ISBLANK(Arrangörslista!F$8),"",IFERROR(VLOOKUP($F31,Arrangörslista!F$8:$AG$45,16,FALSE),"DNS")))))</f>
        <v/>
      </c>
      <c r="N31" s="5" t="str">
        <f>IF(Deltagarlista!$K$3=4,IF(ISBLANK(Deltagarlista!$C41),"",IF(ISBLANK(Arrangörslista!K$8),"",IFERROR(VLOOKUP($F31,Arrangörslista!K$8:$AG$45,16,FALSE),IF(ISBLANK(Deltagarlista!$C41),"",IF(ISBLANK(Arrangörslista!K$8),"",IFERROR(VLOOKUP($F31,Arrangörslista!L$8:$AG$45,16,FALSE),"DNS")))))),IF(Deltagarlista!$K$3=2,
IF(ISBLANK(Deltagarlista!$C41),"",IF(ISBLANK(Arrangörslista!G$8),"",IF($GV31=N$64," DNS ",IFERROR(VLOOKUP($F31,Arrangörslista!G$8:$AG$45,16,FALSE),"DNS")))),IF(ISBLANK(Deltagarlista!$C41),"",IF(ISBLANK(Arrangörslista!G$8),"",IFERROR(VLOOKUP($F31,Arrangörslista!G$8:$AG$45,16,FALSE),"DNS")))))</f>
        <v/>
      </c>
      <c r="O31" s="5" t="str">
        <f>IF(Deltagarlista!$K$3=4,IF(ISBLANK(Deltagarlista!$C41),"",IF(ISBLANK(Arrangörslista!M$8),"",IFERROR(VLOOKUP($F31,Arrangörslista!M$8:$AG$45,16,FALSE),IF(ISBLANK(Deltagarlista!$C41),"",IF(ISBLANK(Arrangörslista!M$8),"",IFERROR(VLOOKUP($F31,Arrangörslista!N$8:$AG$45,16,FALSE),"DNS")))))),IF(Deltagarlista!$K$3=2,
IF(ISBLANK(Deltagarlista!$C41),"",IF(ISBLANK(Arrangörslista!H$8),"",IF($GV31=O$64," DNS ",IFERROR(VLOOKUP($F31,Arrangörslista!H$8:$AG$45,16,FALSE),"DNS")))),IF(ISBLANK(Deltagarlista!$C41),"",IF(ISBLANK(Arrangörslista!H$8),"",IFERROR(VLOOKUP($F31,Arrangörslista!H$8:$AG$45,16,FALSE),"DNS")))))</f>
        <v/>
      </c>
      <c r="P31" s="5" t="str">
        <f>IF(Deltagarlista!$K$3=4,IF(ISBLANK(Deltagarlista!$C41),"",IF(ISBLANK(Arrangörslista!O$8),"",IFERROR(VLOOKUP($F31,Arrangörslista!O$8:$AG$45,16,FALSE),IF(ISBLANK(Deltagarlista!$C41),"",IF(ISBLANK(Arrangörslista!O$8),"",IFERROR(VLOOKUP($F31,Arrangörslista!P$8:$AG$45,16,FALSE),"DNS")))))),IF(Deltagarlista!$K$3=2,
IF(ISBLANK(Deltagarlista!$C41),"",IF(ISBLANK(Arrangörslista!I$8),"",IF($GV31=P$64," DNS ",IFERROR(VLOOKUP($F31,Arrangörslista!I$8:$AG$45,16,FALSE),"DNS")))),IF(ISBLANK(Deltagarlista!$C41),"",IF(ISBLANK(Arrangörslista!I$8),"",IFERROR(VLOOKUP($F31,Arrangörslista!I$8:$AG$45,16,FALSE),"DNS")))))</f>
        <v/>
      </c>
      <c r="Q31" s="5" t="str">
        <f>IF(Deltagarlista!$K$3=4,IF(ISBLANK(Deltagarlista!$C41),"",IF(ISBLANK(Arrangörslista!Q$8),"",IFERROR(VLOOKUP($F31,Arrangörslista!Q$8:$AG$45,16,FALSE),IF(ISBLANK(Deltagarlista!$C41),"",IF(ISBLANK(Arrangörslista!Q$8),"",IFERROR(VLOOKUP($F31,Arrangörslista!C$53:$AG$90,16,FALSE),"DNS")))))),IF(Deltagarlista!$K$3=2,
IF(ISBLANK(Deltagarlista!$C41),"",IF(ISBLANK(Arrangörslista!J$8),"",IF($GV31=Q$64," DNS ",IFERROR(VLOOKUP($F31,Arrangörslista!J$8:$AG$45,16,FALSE),"DNS")))),IF(ISBLANK(Deltagarlista!$C41),"",IF(ISBLANK(Arrangörslista!J$8),"",IFERROR(VLOOKUP($F31,Arrangörslista!J$8:$AG$45,16,FALSE),"DNS")))))</f>
        <v/>
      </c>
      <c r="R31" s="5" t="str">
        <f>IF(Deltagarlista!$K$3=4,IF(ISBLANK(Deltagarlista!$C41),"",IF(ISBLANK(Arrangörslista!D$53),"",IFERROR(VLOOKUP($F31,Arrangörslista!D$53:$AG$90,16,FALSE),IF(ISBLANK(Deltagarlista!$C41),"",IF(ISBLANK(Arrangörslista!D$53),"",IFERROR(VLOOKUP($F31,Arrangörslista!E$53:$AG$90,16,FALSE),"DNS")))))),IF(Deltagarlista!$K$3=2,
IF(ISBLANK(Deltagarlista!$C41),"",IF(ISBLANK(Arrangörslista!K$8),"",IF($GV31=R$64," DNS ",IFERROR(VLOOKUP($F31,Arrangörslista!K$8:$AG$45,16,FALSE),"DNS")))),IF(ISBLANK(Deltagarlista!$C41),"",IF(ISBLANK(Arrangörslista!K$8),"",IFERROR(VLOOKUP($F31,Arrangörslista!K$8:$AG$45,16,FALSE),"DNS")))))</f>
        <v/>
      </c>
      <c r="S31" s="5" t="str">
        <f>IF(Deltagarlista!$K$3=4,IF(ISBLANK(Deltagarlista!$C41),"",IF(ISBLANK(Arrangörslista!F$53),"",IFERROR(VLOOKUP($F31,Arrangörslista!F$53:$AG$90,16,FALSE),IF(ISBLANK(Deltagarlista!$C41),"",IF(ISBLANK(Arrangörslista!F$53),"",IFERROR(VLOOKUP($F31,Arrangörslista!G$53:$AG$90,16,FALSE),"DNS")))))),IF(Deltagarlista!$K$3=2,
IF(ISBLANK(Deltagarlista!$C41),"",IF(ISBLANK(Arrangörslista!L$8),"",IF($GV31=S$64," DNS ",IFERROR(VLOOKUP($F31,Arrangörslista!L$8:$AG$45,16,FALSE),"DNS")))),IF(ISBLANK(Deltagarlista!$C41),"",IF(ISBLANK(Arrangörslista!L$8),"",IFERROR(VLOOKUP($F31,Arrangörslista!L$8:$AG$45,16,FALSE),"DNS")))))</f>
        <v/>
      </c>
      <c r="T31" s="5" t="str">
        <f>IF(Deltagarlista!$K$3=4,IF(ISBLANK(Deltagarlista!$C41),"",IF(ISBLANK(Arrangörslista!H$53),"",IFERROR(VLOOKUP($F31,Arrangörslista!H$53:$AG$90,16,FALSE),IF(ISBLANK(Deltagarlista!$C41),"",IF(ISBLANK(Arrangörslista!H$53),"",IFERROR(VLOOKUP($F31,Arrangörslista!I$53:$AG$90,16,FALSE),"DNS")))))),IF(Deltagarlista!$K$3=2,
IF(ISBLANK(Deltagarlista!$C41),"",IF(ISBLANK(Arrangörslista!M$8),"",IF($GV31=T$64," DNS ",IFERROR(VLOOKUP($F31,Arrangörslista!M$8:$AG$45,16,FALSE),"DNS")))),IF(ISBLANK(Deltagarlista!$C41),"",IF(ISBLANK(Arrangörslista!M$8),"",IFERROR(VLOOKUP($F31,Arrangörslista!M$8:$AG$45,16,FALSE),"DNS")))))</f>
        <v/>
      </c>
      <c r="U31" s="5" t="str">
        <f>IF(Deltagarlista!$K$3=4,IF(ISBLANK(Deltagarlista!$C41),"",IF(ISBLANK(Arrangörslista!J$53),"",IFERROR(VLOOKUP($F31,Arrangörslista!J$53:$AG$90,16,FALSE),IF(ISBLANK(Deltagarlista!$C41),"",IF(ISBLANK(Arrangörslista!J$53),"",IFERROR(VLOOKUP($F31,Arrangörslista!K$53:$AG$90,16,FALSE),"DNS")))))),IF(Deltagarlista!$K$3=2,
IF(ISBLANK(Deltagarlista!$C41),"",IF(ISBLANK(Arrangörslista!N$8),"",IF($GV31=U$64," DNS ",IFERROR(VLOOKUP($F31,Arrangörslista!N$8:$AG$45,16,FALSE),"DNS")))),IF(ISBLANK(Deltagarlista!$C41),"",IF(ISBLANK(Arrangörslista!N$8),"",IFERROR(VLOOKUP($F31,Arrangörslista!N$8:$AG$45,16,FALSE),"DNS")))))</f>
        <v/>
      </c>
      <c r="V31" s="5" t="str">
        <f>IF(Deltagarlista!$K$3=4,IF(ISBLANK(Deltagarlista!$C41),"",IF(ISBLANK(Arrangörslista!L$53),"",IFERROR(VLOOKUP($F31,Arrangörslista!L$53:$AG$90,16,FALSE),IF(ISBLANK(Deltagarlista!$C41),"",IF(ISBLANK(Arrangörslista!L$53),"",IFERROR(VLOOKUP($F31,Arrangörslista!M$53:$AG$90,16,FALSE),"DNS")))))),IF(Deltagarlista!$K$3=2,
IF(ISBLANK(Deltagarlista!$C41),"",IF(ISBLANK(Arrangörslista!O$8),"",IF($GV31=V$64," DNS ",IFERROR(VLOOKUP($F31,Arrangörslista!O$8:$AG$45,16,FALSE),"DNS")))),IF(ISBLANK(Deltagarlista!$C41),"",IF(ISBLANK(Arrangörslista!O$8),"",IFERROR(VLOOKUP($F31,Arrangörslista!O$8:$AG$45,16,FALSE),"DNS")))))</f>
        <v/>
      </c>
      <c r="W31" s="5" t="str">
        <f>IF(Deltagarlista!$K$3=4,IF(ISBLANK(Deltagarlista!$C41),"",IF(ISBLANK(Arrangörslista!N$53),"",IFERROR(VLOOKUP($F31,Arrangörslista!N$53:$AG$90,16,FALSE),IF(ISBLANK(Deltagarlista!$C41),"",IF(ISBLANK(Arrangörslista!N$53),"",IFERROR(VLOOKUP($F31,Arrangörslista!O$53:$AG$90,16,FALSE),"DNS")))))),IF(Deltagarlista!$K$3=2,
IF(ISBLANK(Deltagarlista!$C41),"",IF(ISBLANK(Arrangörslista!P$8),"",IF($GV31=W$64," DNS ",IFERROR(VLOOKUP($F31,Arrangörslista!P$8:$AG$45,16,FALSE),"DNS")))),IF(ISBLANK(Deltagarlista!$C41),"",IF(ISBLANK(Arrangörslista!P$8),"",IFERROR(VLOOKUP($F31,Arrangörslista!P$8:$AG$45,16,FALSE),"DNS")))))</f>
        <v/>
      </c>
      <c r="X31" s="5" t="str">
        <f>IF(Deltagarlista!$K$3=4,IF(ISBLANK(Deltagarlista!$C41),"",IF(ISBLANK(Arrangörslista!P$53),"",IFERROR(VLOOKUP($F31,Arrangörslista!P$53:$AG$90,16,FALSE),IF(ISBLANK(Deltagarlista!$C41),"",IF(ISBLANK(Arrangörslista!P$53),"",IFERROR(VLOOKUP($F31,Arrangörslista!Q$53:$AG$90,16,FALSE),"DNS")))))),IF(Deltagarlista!$K$3=2,
IF(ISBLANK(Deltagarlista!$C41),"",IF(ISBLANK(Arrangörslista!Q$8),"",IF($GV31=X$64," DNS ",IFERROR(VLOOKUP($F31,Arrangörslista!Q$8:$AG$45,16,FALSE),"DNS")))),IF(ISBLANK(Deltagarlista!$C41),"",IF(ISBLANK(Arrangörslista!Q$8),"",IFERROR(VLOOKUP($F31,Arrangörslista!Q$8:$AG$45,16,FALSE),"DNS")))))</f>
        <v/>
      </c>
      <c r="Y31" s="5" t="str">
        <f>IF(Deltagarlista!$K$3=4,IF(ISBLANK(Deltagarlista!$C41),"",IF(ISBLANK(Arrangörslista!C$98),"",IFERROR(VLOOKUP($F31,Arrangörslista!C$98:$AG$135,16,FALSE),IF(ISBLANK(Deltagarlista!$C41),"",IF(ISBLANK(Arrangörslista!C$98),"",IFERROR(VLOOKUP($F31,Arrangörslista!D$98:$AG$135,16,FALSE),"DNS")))))),IF(Deltagarlista!$K$3=2,
IF(ISBLANK(Deltagarlista!$C41),"",IF(ISBLANK(Arrangörslista!C$53),"",IF($GV31=Y$64," DNS ",IFERROR(VLOOKUP($F31,Arrangörslista!C$53:$AG$90,16,FALSE),"DNS")))),IF(ISBLANK(Deltagarlista!$C41),"",IF(ISBLANK(Arrangörslista!C$53),"",IFERROR(VLOOKUP($F31,Arrangörslista!C$53:$AG$90,16,FALSE),"DNS")))))</f>
        <v/>
      </c>
      <c r="Z31" s="5" t="str">
        <f>IF(Deltagarlista!$K$3=4,IF(ISBLANK(Deltagarlista!$C41),"",IF(ISBLANK(Arrangörslista!E$98),"",IFERROR(VLOOKUP($F31,Arrangörslista!E$98:$AG$135,16,FALSE),IF(ISBLANK(Deltagarlista!$C41),"",IF(ISBLANK(Arrangörslista!E$98),"",IFERROR(VLOOKUP($F31,Arrangörslista!F$98:$AG$135,16,FALSE),"DNS")))))),IF(Deltagarlista!$K$3=2,
IF(ISBLANK(Deltagarlista!$C41),"",IF(ISBLANK(Arrangörslista!D$53),"",IF($GV31=Z$64," DNS ",IFERROR(VLOOKUP($F31,Arrangörslista!D$53:$AG$90,16,FALSE),"DNS")))),IF(ISBLANK(Deltagarlista!$C41),"",IF(ISBLANK(Arrangörslista!D$53),"",IFERROR(VLOOKUP($F31,Arrangörslista!D$53:$AG$90,16,FALSE),"DNS")))))</f>
        <v/>
      </c>
      <c r="AA31" s="5" t="str">
        <f>IF(Deltagarlista!$K$3=4,IF(ISBLANK(Deltagarlista!$C41),"",IF(ISBLANK(Arrangörslista!G$98),"",IFERROR(VLOOKUP($F31,Arrangörslista!G$98:$AG$135,16,FALSE),IF(ISBLANK(Deltagarlista!$C41),"",IF(ISBLANK(Arrangörslista!G$98),"",IFERROR(VLOOKUP($F31,Arrangörslista!H$98:$AG$135,16,FALSE),"DNS")))))),IF(Deltagarlista!$K$3=2,
IF(ISBLANK(Deltagarlista!$C41),"",IF(ISBLANK(Arrangörslista!E$53),"",IF($GV31=AA$64," DNS ",IFERROR(VLOOKUP($F31,Arrangörslista!E$53:$AG$90,16,FALSE),"DNS")))),IF(ISBLANK(Deltagarlista!$C41),"",IF(ISBLANK(Arrangörslista!E$53),"",IFERROR(VLOOKUP($F31,Arrangörslista!E$53:$AG$90,16,FALSE),"DNS")))))</f>
        <v/>
      </c>
      <c r="AB31" s="5" t="str">
        <f>IF(Deltagarlista!$K$3=4,IF(ISBLANK(Deltagarlista!$C41),"",IF(ISBLANK(Arrangörslista!I$98),"",IFERROR(VLOOKUP($F31,Arrangörslista!I$98:$AG$135,16,FALSE),IF(ISBLANK(Deltagarlista!$C41),"",IF(ISBLANK(Arrangörslista!I$98),"",IFERROR(VLOOKUP($F31,Arrangörslista!J$98:$AG$135,16,FALSE),"DNS")))))),IF(Deltagarlista!$K$3=2,
IF(ISBLANK(Deltagarlista!$C41),"",IF(ISBLANK(Arrangörslista!F$53),"",IF($GV31=AB$64," DNS ",IFERROR(VLOOKUP($F31,Arrangörslista!F$53:$AG$90,16,FALSE),"DNS")))),IF(ISBLANK(Deltagarlista!$C41),"",IF(ISBLANK(Arrangörslista!F$53),"",IFERROR(VLOOKUP($F31,Arrangörslista!F$53:$AG$90,16,FALSE),"DNS")))))</f>
        <v/>
      </c>
      <c r="AC31" s="5" t="str">
        <f>IF(Deltagarlista!$K$3=4,IF(ISBLANK(Deltagarlista!$C41),"",IF(ISBLANK(Arrangörslista!K$98),"",IFERROR(VLOOKUP($F31,Arrangörslista!K$98:$AG$135,16,FALSE),IF(ISBLANK(Deltagarlista!$C41),"",IF(ISBLANK(Arrangörslista!K$98),"",IFERROR(VLOOKUP($F31,Arrangörslista!L$98:$AG$135,16,FALSE),"DNS")))))),IF(Deltagarlista!$K$3=2,
IF(ISBLANK(Deltagarlista!$C41),"",IF(ISBLANK(Arrangörslista!G$53),"",IF($GV31=AC$64," DNS ",IFERROR(VLOOKUP($F31,Arrangörslista!G$53:$AG$90,16,FALSE),"DNS")))),IF(ISBLANK(Deltagarlista!$C41),"",IF(ISBLANK(Arrangörslista!G$53),"",IFERROR(VLOOKUP($F31,Arrangörslista!G$53:$AG$90,16,FALSE),"DNS")))))</f>
        <v/>
      </c>
      <c r="AD31" s="5" t="str">
        <f>IF(Deltagarlista!$K$3=4,IF(ISBLANK(Deltagarlista!$C41),"",IF(ISBLANK(Arrangörslista!M$98),"",IFERROR(VLOOKUP($F31,Arrangörslista!M$98:$AG$135,16,FALSE),IF(ISBLANK(Deltagarlista!$C41),"",IF(ISBLANK(Arrangörslista!M$98),"",IFERROR(VLOOKUP($F31,Arrangörslista!N$98:$AG$135,16,FALSE),"DNS")))))),IF(Deltagarlista!$K$3=2,
IF(ISBLANK(Deltagarlista!$C41),"",IF(ISBLANK(Arrangörslista!H$53),"",IF($GV31=AD$64," DNS ",IFERROR(VLOOKUP($F31,Arrangörslista!H$53:$AG$90,16,FALSE),"DNS")))),IF(ISBLANK(Deltagarlista!$C41),"",IF(ISBLANK(Arrangörslista!H$53),"",IFERROR(VLOOKUP($F31,Arrangörslista!H$53:$AG$90,16,FALSE),"DNS")))))</f>
        <v/>
      </c>
      <c r="AE31" s="5" t="str">
        <f>IF(Deltagarlista!$K$3=4,IF(ISBLANK(Deltagarlista!$C41),"",IF(ISBLANK(Arrangörslista!O$98),"",IFERROR(VLOOKUP($F31,Arrangörslista!O$98:$AG$135,16,FALSE),IF(ISBLANK(Deltagarlista!$C41),"",IF(ISBLANK(Arrangörslista!O$98),"",IFERROR(VLOOKUP($F31,Arrangörslista!P$98:$AG$135,16,FALSE),"DNS")))))),IF(Deltagarlista!$K$3=2,
IF(ISBLANK(Deltagarlista!$C41),"",IF(ISBLANK(Arrangörslista!I$53),"",IF($GV31=AE$64," DNS ",IFERROR(VLOOKUP($F31,Arrangörslista!I$53:$AG$90,16,FALSE),"DNS")))),IF(ISBLANK(Deltagarlista!$C41),"",IF(ISBLANK(Arrangörslista!I$53),"",IFERROR(VLOOKUP($F31,Arrangörslista!I$53:$AG$90,16,FALSE),"DNS")))))</f>
        <v/>
      </c>
      <c r="AF31" s="5" t="str">
        <f>IF(Deltagarlista!$K$3=4,IF(ISBLANK(Deltagarlista!$C41),"",IF(ISBLANK(Arrangörslista!Q$98),"",IFERROR(VLOOKUP($F31,Arrangörslista!Q$98:$AG$135,16,FALSE),IF(ISBLANK(Deltagarlista!$C41),"",IF(ISBLANK(Arrangörslista!Q$98),"",IFERROR(VLOOKUP($F31,Arrangörslista!C$143:$AG$180,16,FALSE),"DNS")))))),IF(Deltagarlista!$K$3=2,
IF(ISBLANK(Deltagarlista!$C41),"",IF(ISBLANK(Arrangörslista!J$53),"",IF($GV31=AF$64," DNS ",IFERROR(VLOOKUP($F31,Arrangörslista!J$53:$AG$90,16,FALSE),"DNS")))),IF(ISBLANK(Deltagarlista!$C41),"",IF(ISBLANK(Arrangörslista!J$53),"",IFERROR(VLOOKUP($F31,Arrangörslista!J$53:$AG$90,16,FALSE),"DNS")))))</f>
        <v/>
      </c>
      <c r="AG31" s="5" t="str">
        <f>IF(Deltagarlista!$K$3=4,IF(ISBLANK(Deltagarlista!$C41),"",IF(ISBLANK(Arrangörslista!D$143),"",IFERROR(VLOOKUP($F31,Arrangörslista!D$143:$AG$180,16,FALSE),IF(ISBLANK(Deltagarlista!$C41),"",IF(ISBLANK(Arrangörslista!D$143),"",IFERROR(VLOOKUP($F31,Arrangörslista!E$143:$AG$180,16,FALSE),"DNS")))))),IF(Deltagarlista!$K$3=2,
IF(ISBLANK(Deltagarlista!$C41),"",IF(ISBLANK(Arrangörslista!K$53),"",IF($GV31=AG$64," DNS ",IFERROR(VLOOKUP($F31,Arrangörslista!K$53:$AG$90,16,FALSE),"DNS")))),IF(ISBLANK(Deltagarlista!$C41),"",IF(ISBLANK(Arrangörslista!K$53),"",IFERROR(VLOOKUP($F31,Arrangörslista!K$53:$AG$90,16,FALSE),"DNS")))))</f>
        <v/>
      </c>
      <c r="AH31" s="5" t="str">
        <f>IF(Deltagarlista!$K$3=4,IF(ISBLANK(Deltagarlista!$C41),"",IF(ISBLANK(Arrangörslista!F$143),"",IFERROR(VLOOKUP($F31,Arrangörslista!F$143:$AG$180,16,FALSE),IF(ISBLANK(Deltagarlista!$C41),"",IF(ISBLANK(Arrangörslista!F$143),"",IFERROR(VLOOKUP($F31,Arrangörslista!G$143:$AG$180,16,FALSE),"DNS")))))),IF(Deltagarlista!$K$3=2,
IF(ISBLANK(Deltagarlista!$C41),"",IF(ISBLANK(Arrangörslista!L$53),"",IF($GV31=AH$64," DNS ",IFERROR(VLOOKUP($F31,Arrangörslista!L$53:$AG$90,16,FALSE),"DNS")))),IF(ISBLANK(Deltagarlista!$C41),"",IF(ISBLANK(Arrangörslista!L$53),"",IFERROR(VLOOKUP($F31,Arrangörslista!L$53:$AG$90,16,FALSE),"DNS")))))</f>
        <v/>
      </c>
      <c r="AI31" s="5" t="str">
        <f>IF(Deltagarlista!$K$3=4,IF(ISBLANK(Deltagarlista!$C41),"",IF(ISBLANK(Arrangörslista!H$143),"",IFERROR(VLOOKUP($F31,Arrangörslista!H$143:$AG$180,16,FALSE),IF(ISBLANK(Deltagarlista!$C41),"",IF(ISBLANK(Arrangörslista!H$143),"",IFERROR(VLOOKUP($F31,Arrangörslista!I$143:$AG$180,16,FALSE),"DNS")))))),IF(Deltagarlista!$K$3=2,
IF(ISBLANK(Deltagarlista!$C41),"",IF(ISBLANK(Arrangörslista!M$53),"",IF($GV31=AI$64," DNS ",IFERROR(VLOOKUP($F31,Arrangörslista!M$53:$AG$90,16,FALSE),"DNS")))),IF(ISBLANK(Deltagarlista!$C41),"",IF(ISBLANK(Arrangörslista!M$53),"",IFERROR(VLOOKUP($F31,Arrangörslista!M$53:$AG$90,16,FALSE),"DNS")))))</f>
        <v/>
      </c>
      <c r="AJ31" s="5" t="str">
        <f>IF(Deltagarlista!$K$3=4,IF(ISBLANK(Deltagarlista!$C41),"",IF(ISBLANK(Arrangörslista!J$143),"",IFERROR(VLOOKUP($F31,Arrangörslista!J$143:$AG$180,16,FALSE),IF(ISBLANK(Deltagarlista!$C41),"",IF(ISBLANK(Arrangörslista!J$143),"",IFERROR(VLOOKUP($F31,Arrangörslista!K$143:$AG$180,16,FALSE),"DNS")))))),IF(Deltagarlista!$K$3=2,
IF(ISBLANK(Deltagarlista!$C41),"",IF(ISBLANK(Arrangörslista!N$53),"",IF($GV31=AJ$64," DNS ",IFERROR(VLOOKUP($F31,Arrangörslista!N$53:$AG$90,16,FALSE),"DNS")))),IF(ISBLANK(Deltagarlista!$C41),"",IF(ISBLANK(Arrangörslista!N$53),"",IFERROR(VLOOKUP($F31,Arrangörslista!N$53:$AG$90,16,FALSE),"DNS")))))</f>
        <v/>
      </c>
      <c r="AK31" s="5" t="str">
        <f>IF(Deltagarlista!$K$3=4,IF(ISBLANK(Deltagarlista!$C41),"",IF(ISBLANK(Arrangörslista!L$143),"",IFERROR(VLOOKUP($F31,Arrangörslista!L$143:$AG$180,16,FALSE),IF(ISBLANK(Deltagarlista!$C41),"",IF(ISBLANK(Arrangörslista!L$143),"",IFERROR(VLOOKUP($F31,Arrangörslista!M$143:$AG$180,16,FALSE),"DNS")))))),IF(Deltagarlista!$K$3=2,
IF(ISBLANK(Deltagarlista!$C41),"",IF(ISBLANK(Arrangörslista!O$53),"",IF($GV31=AK$64," DNS ",IFERROR(VLOOKUP($F31,Arrangörslista!O$53:$AG$90,16,FALSE),"DNS")))),IF(ISBLANK(Deltagarlista!$C41),"",IF(ISBLANK(Arrangörslista!O$53),"",IFERROR(VLOOKUP($F31,Arrangörslista!O$53:$AG$90,16,FALSE),"DNS")))))</f>
        <v/>
      </c>
      <c r="AL31" s="5" t="str">
        <f>IF(Deltagarlista!$K$3=4,IF(ISBLANK(Deltagarlista!$C41),"",IF(ISBLANK(Arrangörslista!N$143),"",IFERROR(VLOOKUP($F31,Arrangörslista!N$143:$AG$180,16,FALSE),IF(ISBLANK(Deltagarlista!$C41),"",IF(ISBLANK(Arrangörslista!N$143),"",IFERROR(VLOOKUP($F31,Arrangörslista!O$143:$AG$180,16,FALSE),"DNS")))))),IF(Deltagarlista!$K$3=2,
IF(ISBLANK(Deltagarlista!$C41),"",IF(ISBLANK(Arrangörslista!P$53),"",IF($GV31=AL$64," DNS ",IFERROR(VLOOKUP($F31,Arrangörslista!P$53:$AG$90,16,FALSE),"DNS")))),IF(ISBLANK(Deltagarlista!$C41),"",IF(ISBLANK(Arrangörslista!P$53),"",IFERROR(VLOOKUP($F31,Arrangörslista!P$53:$AG$90,16,FALSE),"DNS")))))</f>
        <v/>
      </c>
      <c r="AM31" s="5" t="str">
        <f>IF(Deltagarlista!$K$3=4,IF(ISBLANK(Deltagarlista!$C41),"",IF(ISBLANK(Arrangörslista!P$143),"",IFERROR(VLOOKUP($F31,Arrangörslista!P$143:$AG$180,16,FALSE),IF(ISBLANK(Deltagarlista!$C41),"",IF(ISBLANK(Arrangörslista!P$143),"",IFERROR(VLOOKUP($F31,Arrangörslista!Q$143:$AG$180,16,FALSE),"DNS")))))),IF(Deltagarlista!$K$3=2,
IF(ISBLANK(Deltagarlista!$C41),"",IF(ISBLANK(Arrangörslista!Q$53),"",IF($GV31=AM$64," DNS ",IFERROR(VLOOKUP($F31,Arrangörslista!Q$53:$AG$90,16,FALSE),"DNS")))),IF(ISBLANK(Deltagarlista!$C41),"",IF(ISBLANK(Arrangörslista!Q$53),"",IFERROR(VLOOKUP($F31,Arrangörslista!Q$53:$AG$90,16,FALSE),"DNS")))))</f>
        <v/>
      </c>
      <c r="AN31" s="5" t="str">
        <f>IF(Deltagarlista!$K$3=2,
IF(ISBLANK(Deltagarlista!$C41),"",IF(ISBLANK(Arrangörslista!C$98),"",IF($GV31=AN$64," DNS ",IFERROR(VLOOKUP($F31,Arrangörslista!C$98:$AG$135,16,FALSE), "DNS")))), IF(Deltagarlista!$K$3=1,IF(ISBLANK(Deltagarlista!$C41),"",IF(ISBLANK(Arrangörslista!C$98),"",IFERROR(VLOOKUP($F31,Arrangörslista!C$98:$AG$135,16,FALSE), "DNS"))),""))</f>
        <v/>
      </c>
      <c r="AO31" s="5" t="str">
        <f>IF(Deltagarlista!$K$3=2,
IF(ISBLANK(Deltagarlista!$C41),"",IF(ISBLANK(Arrangörslista!D$98),"",IF($GV31=AO$64," DNS ",IFERROR(VLOOKUP($F31,Arrangörslista!D$98:$AG$135,16,FALSE), "DNS")))), IF(Deltagarlista!$K$3=1,IF(ISBLANK(Deltagarlista!$C41),"",IF(ISBLANK(Arrangörslista!D$98),"",IFERROR(VLOOKUP($F31,Arrangörslista!D$98:$AG$135,16,FALSE), "DNS"))),""))</f>
        <v/>
      </c>
      <c r="AP31" s="5" t="str">
        <f>IF(Deltagarlista!$K$3=2,
IF(ISBLANK(Deltagarlista!$C41),"",IF(ISBLANK(Arrangörslista!E$98),"",IF($GV31=AP$64," DNS ",IFERROR(VLOOKUP($F31,Arrangörslista!E$98:$AG$135,16,FALSE), "DNS")))), IF(Deltagarlista!$K$3=1,IF(ISBLANK(Deltagarlista!$C41),"",IF(ISBLANK(Arrangörslista!E$98),"",IFERROR(VLOOKUP($F31,Arrangörslista!E$98:$AG$135,16,FALSE), "DNS"))),""))</f>
        <v/>
      </c>
      <c r="AQ31" s="5" t="str">
        <f>IF(Deltagarlista!$K$3=2,
IF(ISBLANK(Deltagarlista!$C41),"",IF(ISBLANK(Arrangörslista!F$98),"",IF($GV31=AQ$64," DNS ",IFERROR(VLOOKUP($F31,Arrangörslista!F$98:$AG$135,16,FALSE), "DNS")))), IF(Deltagarlista!$K$3=1,IF(ISBLANK(Deltagarlista!$C41),"",IF(ISBLANK(Arrangörslista!F$98),"",IFERROR(VLOOKUP($F31,Arrangörslista!F$98:$AG$135,16,FALSE), "DNS"))),""))</f>
        <v/>
      </c>
      <c r="AR31" s="5" t="str">
        <f>IF(Deltagarlista!$K$3=2,
IF(ISBLANK(Deltagarlista!$C41),"",IF(ISBLANK(Arrangörslista!G$98),"",IF($GV31=AR$64," DNS ",IFERROR(VLOOKUP($F31,Arrangörslista!G$98:$AG$135,16,FALSE), "DNS")))), IF(Deltagarlista!$K$3=1,IF(ISBLANK(Deltagarlista!$C41),"",IF(ISBLANK(Arrangörslista!G$98),"",IFERROR(VLOOKUP($F31,Arrangörslista!G$98:$AG$135,16,FALSE), "DNS"))),""))</f>
        <v/>
      </c>
      <c r="AS31" s="5" t="str">
        <f>IF(Deltagarlista!$K$3=2,
IF(ISBLANK(Deltagarlista!$C41),"",IF(ISBLANK(Arrangörslista!H$98),"",IF($GV31=AS$64," DNS ",IFERROR(VLOOKUP($F31,Arrangörslista!H$98:$AG$135,16,FALSE), "DNS")))), IF(Deltagarlista!$K$3=1,IF(ISBLANK(Deltagarlista!$C41),"",IF(ISBLANK(Arrangörslista!H$98),"",IFERROR(VLOOKUP($F31,Arrangörslista!H$98:$AG$135,16,FALSE), "DNS"))),""))</f>
        <v/>
      </c>
      <c r="AT31" s="5" t="str">
        <f>IF(Deltagarlista!$K$3=2,
IF(ISBLANK(Deltagarlista!$C41),"",IF(ISBLANK(Arrangörslista!I$98),"",IF($GV31=AT$64," DNS ",IFERROR(VLOOKUP($F31,Arrangörslista!I$98:$AG$135,16,FALSE), "DNS")))), IF(Deltagarlista!$K$3=1,IF(ISBLANK(Deltagarlista!$C41),"",IF(ISBLANK(Arrangörslista!I$98),"",IFERROR(VLOOKUP($F31,Arrangörslista!I$98:$AG$135,16,FALSE), "DNS"))),""))</f>
        <v/>
      </c>
      <c r="AU31" s="5" t="str">
        <f>IF(Deltagarlista!$K$3=2,
IF(ISBLANK(Deltagarlista!$C41),"",IF(ISBLANK(Arrangörslista!J$98),"",IF($GV31=AU$64," DNS ",IFERROR(VLOOKUP($F31,Arrangörslista!J$98:$AG$135,16,FALSE), "DNS")))), IF(Deltagarlista!$K$3=1,IF(ISBLANK(Deltagarlista!$C41),"",IF(ISBLANK(Arrangörslista!J$98),"",IFERROR(VLOOKUP($F31,Arrangörslista!J$98:$AG$135,16,FALSE), "DNS"))),""))</f>
        <v/>
      </c>
      <c r="AV31" s="5" t="str">
        <f>IF(Deltagarlista!$K$3=2,
IF(ISBLANK(Deltagarlista!$C41),"",IF(ISBLANK(Arrangörslista!K$98),"",IF($GV31=AV$64," DNS ",IFERROR(VLOOKUP($F31,Arrangörslista!K$98:$AG$135,16,FALSE), "DNS")))), IF(Deltagarlista!$K$3=1,IF(ISBLANK(Deltagarlista!$C41),"",IF(ISBLANK(Arrangörslista!K$98),"",IFERROR(VLOOKUP($F31,Arrangörslista!K$98:$AG$135,16,FALSE), "DNS"))),""))</f>
        <v/>
      </c>
      <c r="AW31" s="5" t="str">
        <f>IF(Deltagarlista!$K$3=2,
IF(ISBLANK(Deltagarlista!$C41),"",IF(ISBLANK(Arrangörslista!L$98),"",IF($GV31=AW$64," DNS ",IFERROR(VLOOKUP($F31,Arrangörslista!L$98:$AG$135,16,FALSE), "DNS")))), IF(Deltagarlista!$K$3=1,IF(ISBLANK(Deltagarlista!$C41),"",IF(ISBLANK(Arrangörslista!L$98),"",IFERROR(VLOOKUP($F31,Arrangörslista!L$98:$AG$135,16,FALSE), "DNS"))),""))</f>
        <v/>
      </c>
      <c r="AX31" s="5" t="str">
        <f>IF(Deltagarlista!$K$3=2,
IF(ISBLANK(Deltagarlista!$C41),"",IF(ISBLANK(Arrangörslista!M$98),"",IF($GV31=AX$64," DNS ",IFERROR(VLOOKUP($F31,Arrangörslista!M$98:$AG$135,16,FALSE), "DNS")))), IF(Deltagarlista!$K$3=1,IF(ISBLANK(Deltagarlista!$C41),"",IF(ISBLANK(Arrangörslista!M$98),"",IFERROR(VLOOKUP($F31,Arrangörslista!M$98:$AG$135,16,FALSE), "DNS"))),""))</f>
        <v/>
      </c>
      <c r="AY31" s="5" t="str">
        <f>IF(Deltagarlista!$K$3=2,
IF(ISBLANK(Deltagarlista!$C41),"",IF(ISBLANK(Arrangörslista!N$98),"",IF($GV31=AY$64," DNS ",IFERROR(VLOOKUP($F31,Arrangörslista!N$98:$AG$135,16,FALSE), "DNS")))), IF(Deltagarlista!$K$3=1,IF(ISBLANK(Deltagarlista!$C41),"",IF(ISBLANK(Arrangörslista!N$98),"",IFERROR(VLOOKUP($F31,Arrangörslista!N$98:$AG$135,16,FALSE), "DNS"))),""))</f>
        <v/>
      </c>
      <c r="AZ31" s="5" t="str">
        <f>IF(Deltagarlista!$K$3=2,
IF(ISBLANK(Deltagarlista!$C41),"",IF(ISBLANK(Arrangörslista!O$98),"",IF($GV31=AZ$64," DNS ",IFERROR(VLOOKUP($F31,Arrangörslista!O$98:$AG$135,16,FALSE), "DNS")))), IF(Deltagarlista!$K$3=1,IF(ISBLANK(Deltagarlista!$C41),"",IF(ISBLANK(Arrangörslista!O$98),"",IFERROR(VLOOKUP($F31,Arrangörslista!O$98:$AG$135,16,FALSE), "DNS"))),""))</f>
        <v/>
      </c>
      <c r="BA31" s="5" t="str">
        <f>IF(Deltagarlista!$K$3=2,
IF(ISBLANK(Deltagarlista!$C41),"",IF(ISBLANK(Arrangörslista!P$98),"",IF($GV31=BA$64," DNS ",IFERROR(VLOOKUP($F31,Arrangörslista!P$98:$AG$135,16,FALSE), "DNS")))), IF(Deltagarlista!$K$3=1,IF(ISBLANK(Deltagarlista!$C41),"",IF(ISBLANK(Arrangörslista!P$98),"",IFERROR(VLOOKUP($F31,Arrangörslista!P$98:$AG$135,16,FALSE), "DNS"))),""))</f>
        <v/>
      </c>
      <c r="BB31" s="5" t="str">
        <f>IF(Deltagarlista!$K$3=2,
IF(ISBLANK(Deltagarlista!$C41),"",IF(ISBLANK(Arrangörslista!Q$98),"",IF($GV31=BB$64," DNS ",IFERROR(VLOOKUP($F31,Arrangörslista!Q$98:$AG$135,16,FALSE), "DNS")))), IF(Deltagarlista!$K$3=1,IF(ISBLANK(Deltagarlista!$C41),"",IF(ISBLANK(Arrangörslista!Q$98),"",IFERROR(VLOOKUP($F31,Arrangörslista!Q$98:$AG$135,16,FALSE), "DNS"))),""))</f>
        <v/>
      </c>
      <c r="BC31" s="5" t="str">
        <f>IF(Deltagarlista!$K$3=2,
IF(ISBLANK(Deltagarlista!$C41),"",IF(ISBLANK(Arrangörslista!C$143),"",IF($GV31=BC$64," DNS ",IFERROR(VLOOKUP($F31,Arrangörslista!C$143:$AG$180,16,FALSE), "DNS")))), IF(Deltagarlista!$K$3=1,IF(ISBLANK(Deltagarlista!$C41),"",IF(ISBLANK(Arrangörslista!C$143),"",IFERROR(VLOOKUP($F31,Arrangörslista!C$143:$AG$180,16,FALSE), "DNS"))),""))</f>
        <v/>
      </c>
      <c r="BD31" s="5" t="str">
        <f>IF(Deltagarlista!$K$3=2,
IF(ISBLANK(Deltagarlista!$C41),"",IF(ISBLANK(Arrangörslista!D$143),"",IF($GV31=BD$64," DNS ",IFERROR(VLOOKUP($F31,Arrangörslista!D$143:$AG$180,16,FALSE), "DNS")))), IF(Deltagarlista!$K$3=1,IF(ISBLANK(Deltagarlista!$C41),"",IF(ISBLANK(Arrangörslista!D$143),"",IFERROR(VLOOKUP($F31,Arrangörslista!D$143:$AG$180,16,FALSE), "DNS"))),""))</f>
        <v/>
      </c>
      <c r="BE31" s="5" t="str">
        <f>IF(Deltagarlista!$K$3=2,
IF(ISBLANK(Deltagarlista!$C41),"",IF(ISBLANK(Arrangörslista!E$143),"",IF($GV31=BE$64," DNS ",IFERROR(VLOOKUP($F31,Arrangörslista!E$143:$AG$180,16,FALSE), "DNS")))), IF(Deltagarlista!$K$3=1,IF(ISBLANK(Deltagarlista!$C41),"",IF(ISBLANK(Arrangörslista!E$143),"",IFERROR(VLOOKUP($F31,Arrangörslista!E$143:$AG$180,16,FALSE), "DNS"))),""))</f>
        <v/>
      </c>
      <c r="BF31" s="5" t="str">
        <f>IF(Deltagarlista!$K$3=2,
IF(ISBLANK(Deltagarlista!$C41),"",IF(ISBLANK(Arrangörslista!F$143),"",IF($GV31=BF$64," DNS ",IFERROR(VLOOKUP($F31,Arrangörslista!F$143:$AG$180,16,FALSE), "DNS")))), IF(Deltagarlista!$K$3=1,IF(ISBLANK(Deltagarlista!$C41),"",IF(ISBLANK(Arrangörslista!F$143),"",IFERROR(VLOOKUP($F31,Arrangörslista!F$143:$AG$180,16,FALSE), "DNS"))),""))</f>
        <v/>
      </c>
      <c r="BG31" s="5" t="str">
        <f>IF(Deltagarlista!$K$3=2,
IF(ISBLANK(Deltagarlista!$C41),"",IF(ISBLANK(Arrangörslista!G$143),"",IF($GV31=BG$64," DNS ",IFERROR(VLOOKUP($F31,Arrangörslista!G$143:$AG$180,16,FALSE), "DNS")))), IF(Deltagarlista!$K$3=1,IF(ISBLANK(Deltagarlista!$C41),"",IF(ISBLANK(Arrangörslista!G$143),"",IFERROR(VLOOKUP($F31,Arrangörslista!G$143:$AG$180,16,FALSE), "DNS"))),""))</f>
        <v/>
      </c>
      <c r="BH31" s="5" t="str">
        <f>IF(Deltagarlista!$K$3=2,
IF(ISBLANK(Deltagarlista!$C41),"",IF(ISBLANK(Arrangörslista!H$143),"",IF($GV31=BH$64," DNS ",IFERROR(VLOOKUP($F31,Arrangörslista!H$143:$AG$180,16,FALSE), "DNS")))), IF(Deltagarlista!$K$3=1,IF(ISBLANK(Deltagarlista!$C41),"",IF(ISBLANK(Arrangörslista!H$143),"",IFERROR(VLOOKUP($F31,Arrangörslista!H$143:$AG$180,16,FALSE), "DNS"))),""))</f>
        <v/>
      </c>
      <c r="BI31" s="5" t="str">
        <f>IF(Deltagarlista!$K$3=2,
IF(ISBLANK(Deltagarlista!$C41),"",IF(ISBLANK(Arrangörslista!I$143),"",IF($GV31=BI$64," DNS ",IFERROR(VLOOKUP($F31,Arrangörslista!I$143:$AG$180,16,FALSE), "DNS")))), IF(Deltagarlista!$K$3=1,IF(ISBLANK(Deltagarlista!$C41),"",IF(ISBLANK(Arrangörslista!I$143),"",IFERROR(VLOOKUP($F31,Arrangörslista!I$143:$AG$180,16,FALSE), "DNS"))),""))</f>
        <v/>
      </c>
      <c r="BJ31" s="5" t="str">
        <f>IF(Deltagarlista!$K$3=2,
IF(ISBLANK(Deltagarlista!$C41),"",IF(ISBLANK(Arrangörslista!J$143),"",IF($GV31=BJ$64," DNS ",IFERROR(VLOOKUP($F31,Arrangörslista!J$143:$AG$180,16,FALSE), "DNS")))), IF(Deltagarlista!$K$3=1,IF(ISBLANK(Deltagarlista!$C41),"",IF(ISBLANK(Arrangörslista!J$143),"",IFERROR(VLOOKUP($F31,Arrangörslista!J$143:$AG$180,16,FALSE), "DNS"))),""))</f>
        <v/>
      </c>
      <c r="BK31" s="5" t="str">
        <f>IF(Deltagarlista!$K$3=2,
IF(ISBLANK(Deltagarlista!$C41),"",IF(ISBLANK(Arrangörslista!K$143),"",IF($GV31=BK$64," DNS ",IFERROR(VLOOKUP($F31,Arrangörslista!K$143:$AG$180,16,FALSE), "DNS")))), IF(Deltagarlista!$K$3=1,IF(ISBLANK(Deltagarlista!$C41),"",IF(ISBLANK(Arrangörslista!K$143),"",IFERROR(VLOOKUP($F31,Arrangörslista!K$143:$AG$180,16,FALSE), "DNS"))),""))</f>
        <v/>
      </c>
      <c r="BL31" s="5" t="str">
        <f>IF(Deltagarlista!$K$3=2,
IF(ISBLANK(Deltagarlista!$C41),"",IF(ISBLANK(Arrangörslista!L$143),"",IF($GV31=BL$64," DNS ",IFERROR(VLOOKUP($F31,Arrangörslista!L$143:$AG$180,16,FALSE), "DNS")))), IF(Deltagarlista!$K$3=1,IF(ISBLANK(Deltagarlista!$C41),"",IF(ISBLANK(Arrangörslista!L$143),"",IFERROR(VLOOKUP($F31,Arrangörslista!L$143:$AG$180,16,FALSE), "DNS"))),""))</f>
        <v/>
      </c>
      <c r="BM31" s="5" t="str">
        <f>IF(Deltagarlista!$K$3=2,
IF(ISBLANK(Deltagarlista!$C41),"",IF(ISBLANK(Arrangörslista!M$143),"",IF($GV31=BM$64," DNS ",IFERROR(VLOOKUP($F31,Arrangörslista!M$143:$AG$180,16,FALSE), "DNS")))), IF(Deltagarlista!$K$3=1,IF(ISBLANK(Deltagarlista!$C41),"",IF(ISBLANK(Arrangörslista!M$143),"",IFERROR(VLOOKUP($F31,Arrangörslista!M$143:$AG$180,16,FALSE), "DNS"))),""))</f>
        <v/>
      </c>
      <c r="BN31" s="5" t="str">
        <f>IF(Deltagarlista!$K$3=2,
IF(ISBLANK(Deltagarlista!$C41),"",IF(ISBLANK(Arrangörslista!N$143),"",IF($GV31=BN$64," DNS ",IFERROR(VLOOKUP($F31,Arrangörslista!N$143:$AG$180,16,FALSE), "DNS")))), IF(Deltagarlista!$K$3=1,IF(ISBLANK(Deltagarlista!$C41),"",IF(ISBLANK(Arrangörslista!N$143),"",IFERROR(VLOOKUP($F31,Arrangörslista!N$143:$AG$180,16,FALSE), "DNS"))),""))</f>
        <v/>
      </c>
      <c r="BO31" s="5" t="str">
        <f>IF(Deltagarlista!$K$3=2,
IF(ISBLANK(Deltagarlista!$C41),"",IF(ISBLANK(Arrangörslista!O$143),"",IF($GV31=BO$64," DNS ",IFERROR(VLOOKUP($F31,Arrangörslista!O$143:$AG$180,16,FALSE), "DNS")))), IF(Deltagarlista!$K$3=1,IF(ISBLANK(Deltagarlista!$C41),"",IF(ISBLANK(Arrangörslista!O$143),"",IFERROR(VLOOKUP($F31,Arrangörslista!O$143:$AG$180,16,FALSE), "DNS"))),""))</f>
        <v/>
      </c>
      <c r="BP31" s="5" t="str">
        <f>IF(Deltagarlista!$K$3=2,
IF(ISBLANK(Deltagarlista!$C41),"",IF(ISBLANK(Arrangörslista!P$143),"",IF($GV31=BP$64," DNS ",IFERROR(VLOOKUP($F31,Arrangörslista!P$143:$AG$180,16,FALSE), "DNS")))), IF(Deltagarlista!$K$3=1,IF(ISBLANK(Deltagarlista!$C41),"",IF(ISBLANK(Arrangörslista!P$143),"",IFERROR(VLOOKUP($F31,Arrangörslista!P$143:$AG$180,16,FALSE), "DNS"))),""))</f>
        <v/>
      </c>
      <c r="BQ31" s="80" t="str">
        <f>IF(Deltagarlista!$K$3=2,
IF(ISBLANK(Deltagarlista!$C41),"",IF(ISBLANK(Arrangörslista!Q$143),"",IF($GV31=BQ$64," DNS ",IFERROR(VLOOKUP($F31,Arrangörslista!Q$143:$AG$180,16,FALSE), "DNS")))), IF(Deltagarlista!$K$3=1,IF(ISBLANK(Deltagarlista!$C41),"",IF(ISBLANK(Arrangörslista!Q$143),"",IFERROR(VLOOKUP($F31,Arrangörslista!Q$143:$AG$180,16,FALSE), "DNS"))),""))</f>
        <v/>
      </c>
      <c r="BR31" s="51"/>
      <c r="BS31" s="51"/>
      <c r="BT31" s="51"/>
      <c r="BU31" s="71">
        <f>SUM(BV31:EC31)</f>
        <v>0</v>
      </c>
      <c r="BV31" s="61">
        <f>IF(J31="",0,IF(OR(J31="DNF",J31="OCS",J31="DSQ",J31="DNS",J31=" DNS "),$BW$3+1,J31))</f>
        <v>0</v>
      </c>
      <c r="BW31" s="61">
        <f>IF(K31="",0,IF(OR(K31="DNF",K31="OCS",K31="DSQ",K31="DNS",K31=" DNS "),$BW$3+1,K31))</f>
        <v>0</v>
      </c>
      <c r="BX31" s="61">
        <f>IF(L31="",0,IF(OR(L31="DNF",L31="OCS",L31="DSQ",L31="DNS",L31=" DNS "),$BW$3+1,L31))</f>
        <v>0</v>
      </c>
      <c r="BY31" s="61">
        <f>IF(M31="",0,IF(OR(M31="DNF",M31="OCS",M31="DSQ",M31="DNS",M31=" DNS "),$BW$3+1,M31))</f>
        <v>0</v>
      </c>
      <c r="BZ31" s="61">
        <f>IF(N31="",0,IF(OR(N31="DNF",N31="OCS",N31="DSQ",N31="DNS",N31=" DNS "),$BW$3+1,N31))</f>
        <v>0</v>
      </c>
      <c r="CA31" s="61">
        <f>IF(O31="",0,IF(OR(O31="DNF",O31="OCS",O31="DSQ",O31="DNS",O31=" DNS "),$BW$3+1,O31))</f>
        <v>0</v>
      </c>
      <c r="CB31" s="61">
        <f>IF(P31="",0,IF(OR(P31="DNF",P31="OCS",P31="DSQ",P31="DNS",P31=" DNS "),$BW$3+1,P31))</f>
        <v>0</v>
      </c>
      <c r="CC31" s="61">
        <f>IF(Q31="",0,IF(OR(Q31="DNF",Q31="OCS",Q31="DSQ",Q31="DNS",Q31=" DNS "),$BW$3+1,Q31))</f>
        <v>0</v>
      </c>
      <c r="CD31" s="61">
        <f>IF(R31="",0,IF(OR(R31="DNF",R31="OCS",R31="DSQ",R31="DNS",R31=" DNS "),$BW$3+1,R31))</f>
        <v>0</v>
      </c>
      <c r="CE31" s="61">
        <f>IF(S31="",0,IF(OR(S31="DNF",S31="OCS",S31="DSQ",S31="DNS",S31=" DNS "),$BW$3+1,S31))</f>
        <v>0</v>
      </c>
      <c r="CF31" s="61">
        <f>IF(T31="",0,IF(OR(T31="DNF",T31="OCS",T31="DSQ",T31="DNS",T31=" DNS "),$BW$3+1,T31))</f>
        <v>0</v>
      </c>
      <c r="CG31" s="61">
        <f>IF(U31="",0,IF(OR(U31="DNF",U31="OCS",U31="DSQ",U31="DNS",U31=" DNS "),$BW$3+1,U31))</f>
        <v>0</v>
      </c>
      <c r="CH31" s="61">
        <f>IF(V31="",0,IF(OR(V31="DNF",V31="OCS",V31="DSQ",V31="DNS",V31=" DNS "),$BW$3+1,V31))</f>
        <v>0</v>
      </c>
      <c r="CI31" s="61">
        <f>IF(W31="",0,IF(OR(W31="DNF",W31="OCS",W31="DSQ",W31="DNS",W31=" DNS "),$BW$3+1,W31))</f>
        <v>0</v>
      </c>
      <c r="CJ31" s="61">
        <f>IF(X31="",0,IF(OR(X31="DNF",X31="OCS",X31="DSQ",X31="DNS",X31=" DNS "),$BW$3+1,X31))</f>
        <v>0</v>
      </c>
      <c r="CK31" s="61">
        <f>IF(Y31="",0,IF(OR(Y31="DNF",Y31="OCS",Y31="DSQ",Y31="DNS",Y31=" DNS "),$BW$3+1,Y31))</f>
        <v>0</v>
      </c>
      <c r="CL31" s="61">
        <f>IF(Z31="",0,IF(OR(Z31="DNF",Z31="OCS",Z31="DSQ",Z31="DNS",Z31=" DNS "),$BW$3+1,Z31))</f>
        <v>0</v>
      </c>
      <c r="CM31" s="61">
        <f>IF(AA31="",0,IF(OR(AA31="DNF",AA31="OCS",AA31="DSQ",AA31="DNS",AA31=" DNS "),$BW$3+1,AA31))</f>
        <v>0</v>
      </c>
      <c r="CN31" s="61">
        <f>IF(AB31="",0,IF(OR(AB31="DNF",AB31="OCS",AB31="DSQ",AB31="DNS",AB31=" DNS "),$BW$3+1,AB31))</f>
        <v>0</v>
      </c>
      <c r="CO31" s="61">
        <f>IF(AC31="",0,IF(OR(AC31="DNF",AC31="OCS",AC31="DSQ",AC31="DNS",AC31=" DNS "),$BW$3+1,AC31))</f>
        <v>0</v>
      </c>
      <c r="CP31" s="61">
        <f>IF(AD31="",0,IF(OR(AD31="DNF",AD31="OCS",AD31="DSQ",AD31="DNS",AD31=" DNS "),$BW$3+1,AD31))</f>
        <v>0</v>
      </c>
      <c r="CQ31" s="61">
        <f>IF(AE31="",0,IF(OR(AE31="DNF",AE31="OCS",AE31="DSQ",AE31="DNS",AE31=" DNS "),$BW$3+1,AE31))</f>
        <v>0</v>
      </c>
      <c r="CR31" s="61">
        <f>IF(AF31="",0,IF(OR(AF31="DNF",AF31="OCS",AF31="DSQ",AF31="DNS",AF31=" DNS "),$BW$3+1,AF31))</f>
        <v>0</v>
      </c>
      <c r="CS31" s="61">
        <f>IF(AG31="",0,IF(OR(AG31="DNF",AG31="OCS",AG31="DSQ",AG31="DNS",AG31=" DNS "),$BW$3+1,AG31))</f>
        <v>0</v>
      </c>
      <c r="CT31" s="61">
        <f>IF(AH31="",0,IF(OR(AH31="DNF",AH31="OCS",AH31="DSQ",AH31="DNS",AH31=" DNS "),$BW$3+1,AH31))</f>
        <v>0</v>
      </c>
      <c r="CU31" s="61">
        <f>IF(AI31="",0,IF(OR(AI31="DNF",AI31="OCS",AI31="DSQ",AI31="DNS",AI31=" DNS "),$BW$3+1,AI31))</f>
        <v>0</v>
      </c>
      <c r="CV31" s="61">
        <f>IF(AJ31="",0,IF(OR(AJ31="DNF",AJ31="OCS",AJ31="DSQ",AJ31="DNS",AJ31=" DNS "),$BW$3+1,AJ31))</f>
        <v>0</v>
      </c>
      <c r="CW31" s="61">
        <f>IF(AK31="",0,IF(OR(AK31="DNF",AK31="OCS",AK31="DSQ",AK31="DNS",AK31=" DNS "),$BW$3+1,AK31))</f>
        <v>0</v>
      </c>
      <c r="CX31" s="61">
        <f>IF(AL31="",0,IF(OR(AL31="DNF",AL31="OCS",AL31="DSQ",AL31="DNS",AL31=" DNS "),$BW$3+1,AL31))</f>
        <v>0</v>
      </c>
      <c r="CY31" s="61">
        <f>IF(AM31="",0,IF(OR(AM31="DNF",AM31="OCS",AM31="DSQ",AM31="DNS",AM31=" DNS "),$BW$3+1,AM31))</f>
        <v>0</v>
      </c>
      <c r="CZ31" s="61">
        <f>IF(AN31="",0,IF(OR(AN31="DNF",AN31="OCS",AN31="DSQ",AN31="DNS",AN31=" DNS "),$BW$3+1,AN31))</f>
        <v>0</v>
      </c>
      <c r="DA31" s="61">
        <f>IF(AO31="",0,IF(OR(AO31="DNF",AO31="OCS",AO31="DSQ",AO31="DNS",AO31=" DNS "),$BW$3+1,AO31))</f>
        <v>0</v>
      </c>
      <c r="DB31" s="61">
        <f>IF(AP31="",0,IF(OR(AP31="DNF",AP31="OCS",AP31="DSQ",AP31="DNS",AP31=" DNS "),$BW$3+1,AP31))</f>
        <v>0</v>
      </c>
      <c r="DC31" s="61">
        <f>IF(AQ31="",0,IF(OR(AQ31="DNF",AQ31="OCS",AQ31="DSQ",AQ31="DNS",AQ31=" DNS "),$BW$3+1,AQ31))</f>
        <v>0</v>
      </c>
      <c r="DD31" s="61">
        <f>IF(AR31="",0,IF(OR(AR31="DNF",AR31="OCS",AR31="DSQ",AR31="DNS",AR31=" DNS "),$BW$3+1,AR31))</f>
        <v>0</v>
      </c>
      <c r="DE31" s="61">
        <f>IF(AS31="",0,IF(OR(AS31="DNF",AS31="OCS",AS31="DSQ",AS31="DNS",AS31=" DNS "),$BW$3+1,AS31))</f>
        <v>0</v>
      </c>
      <c r="DF31" s="61">
        <f>IF(AT31="",0,IF(OR(AT31="DNF",AT31="OCS",AT31="DSQ",AT31="DNS",AT31=" DNS "),$BW$3+1,AT31))</f>
        <v>0</v>
      </c>
      <c r="DG31" s="61">
        <f>IF(AU31="",0,IF(OR(AU31="DNF",AU31="OCS",AU31="DSQ",AU31="DNS",AU31=" DNS "),$BW$3+1,AU31))</f>
        <v>0</v>
      </c>
      <c r="DH31" s="61">
        <f>IF(AV31="",0,IF(OR(AV31="DNF",AV31="OCS",AV31="DSQ",AV31="DNS",AV31=" DNS "),$BW$3+1,AV31))</f>
        <v>0</v>
      </c>
      <c r="DI31" s="61">
        <f>IF(AW31="",0,IF(OR(AW31="DNF",AW31="OCS",AW31="DSQ",AW31="DNS",AW31=" DNS "),$BW$3+1,AW31))</f>
        <v>0</v>
      </c>
      <c r="DJ31" s="61">
        <f>IF(AX31="",0,IF(OR(AX31="DNF",AX31="OCS",AX31="DSQ",AX31="DNS",AX31=" DNS "),$BW$3+1,AX31))</f>
        <v>0</v>
      </c>
      <c r="DK31" s="61">
        <f>IF(AY31="",0,IF(OR(AY31="DNF",AY31="OCS",AY31="DSQ",AY31="DNS",AY31=" DNS "),$BW$3+1,AY31))</f>
        <v>0</v>
      </c>
      <c r="DL31" s="61">
        <f>IF(AZ31="",0,IF(OR(AZ31="DNF",AZ31="OCS",AZ31="DSQ",AZ31="DNS",AZ31=" DNS "),$BW$3+1,AZ31))</f>
        <v>0</v>
      </c>
      <c r="DM31" s="61">
        <f>IF(BA31="",0,IF(OR(BA31="DNF",BA31="OCS",BA31="DSQ",BA31="DNS",BA31=" DNS "),$BW$3+1,BA31))</f>
        <v>0</v>
      </c>
      <c r="DN31" s="61">
        <f>IF(BB31="",0,IF(OR(BB31="DNF",BB31="OCS",BB31="DSQ",BB31="DNS",BB31=" DNS "),$BW$3+1,BB31))</f>
        <v>0</v>
      </c>
      <c r="DO31" s="61">
        <f>IF(BC31="",0,IF(OR(BC31="DNF",BC31="OCS",BC31="DSQ",BC31="DNS",BC31=" DNS "),$BW$3+1,BC31))</f>
        <v>0</v>
      </c>
      <c r="DP31" s="61">
        <f>IF(BD31="",0,IF(OR(BD31="DNF",BD31="OCS",BD31="DSQ",BD31="DNS",BD31=" DNS "),$BW$3+1,BD31))</f>
        <v>0</v>
      </c>
      <c r="DQ31" s="61">
        <f>IF(BE31="",0,IF(OR(BE31="DNF",BE31="OCS",BE31="DSQ",BE31="DNS",BE31=" DNS "),$BW$3+1,BE31))</f>
        <v>0</v>
      </c>
      <c r="DR31" s="61">
        <f>IF(BF31="",0,IF(OR(BF31="DNF",BF31="OCS",BF31="DSQ",BF31="DNS",BF31=" DNS "),$BW$3+1,BF31))</f>
        <v>0</v>
      </c>
      <c r="DS31" s="61">
        <f>IF(BG31="",0,IF(OR(BG31="DNF",BG31="OCS",BG31="DSQ",BG31="DNS",BG31=" DNS "),$BW$3+1,BG31))</f>
        <v>0</v>
      </c>
      <c r="DT31" s="61">
        <f>IF(BH31="",0,IF(OR(BH31="DNF",BH31="OCS",BH31="DSQ",BH31="DNS",BH31=" DNS "),$BW$3+1,BH31))</f>
        <v>0</v>
      </c>
      <c r="DU31" s="61">
        <f>IF(BI31="",0,IF(OR(BI31="DNF",BI31="OCS",BI31="DSQ",BI31="DNS",BI31=" DNS "),$BW$3+1,BI31))</f>
        <v>0</v>
      </c>
      <c r="DV31" s="61">
        <f>IF(BJ31="",0,IF(OR(BJ31="DNF",BJ31="OCS",BJ31="DSQ",BJ31="DNS",BJ31=" DNS "),$BW$3+1,BJ31))</f>
        <v>0</v>
      </c>
      <c r="DW31" s="61">
        <f>IF(BK31="",0,IF(OR(BK31="DNF",BK31="OCS",BK31="DSQ",BK31="DNS",BK31=" DNS "),$BW$3+1,BK31))</f>
        <v>0</v>
      </c>
      <c r="DX31" s="61">
        <f>IF(BL31="",0,IF(OR(BL31="DNF",BL31="OCS",BL31="DSQ",BL31="DNS",BL31=" DNS "),$BW$3+1,BL31))</f>
        <v>0</v>
      </c>
      <c r="DY31" s="61">
        <f>IF(BM31="",0,IF(OR(BM31="DNF",BM31="OCS",BM31="DSQ",BM31="DNS",BM31=" DNS "),$BW$3+1,BM31))</f>
        <v>0</v>
      </c>
      <c r="DZ31" s="61">
        <f>IF(BN31="",0,IF(OR(BN31="DNF",BN31="OCS",BN31="DSQ",BN31="DNS",BN31=" DNS "),$BW$3+1,BN31))</f>
        <v>0</v>
      </c>
      <c r="EA31" s="61">
        <f>IF(BO31="",0,IF(OR(BO31="DNF",BO31="OCS",BO31="DSQ",BO31="DNS",BO31=" DNS "),$BW$3+1,BO31))</f>
        <v>0</v>
      </c>
      <c r="EB31" s="61">
        <f>IF(BP31="",0,IF(OR(BP31="DNF",BP31="OCS",BP31="DSQ",BP31="DNS",BP31=" DNS "),$BW$3+1,BP31))</f>
        <v>0</v>
      </c>
      <c r="EC31" s="61">
        <f>IF(BQ31="",0,IF(OR(BQ31="DNF",BQ31="OCS",BQ31="DSQ",BQ31="DNS",BQ31=" DNS "),$BW$3+1,BQ31))</f>
        <v>0</v>
      </c>
      <c r="EE31" s="61">
        <f xml:space="preserve">
IF(OR(Deltagarlista!$K$3=3,Deltagarlista!$K$3=4),
IF(Arrangörslista!$U$5&lt;8,0,
IF(Arrangörslista!$U$5&lt;16,SUM(LARGE(BV31:CJ31,1)),
IF(Arrangörslista!$U$5&lt;24,SUM(LARGE(BV31:CR31,{1;2})),
IF(Arrangörslista!$U$5&lt;32,SUM(LARGE(BV31:CZ31,{1;2;3})),
IF(Arrangörslista!$U$5&lt;40,SUM(LARGE(BV31:DH31,{1;2;3;4})),
IF(Arrangörslista!$U$5&lt;48,SUM(LARGE(BV31:DP31,{1;2;3;4;5})),
IF(Arrangörslista!$U$5&lt;56,SUM(LARGE(BV31:DX31,{1;2;3;4;5;6})),
IF(Arrangörslista!$U$5&lt;64,SUM(LARGE(BV31:EC31,{1;2;3;4;5;6;7})),0)))))))),
IF(Deltagarlista!$K$3=2,
IF(Arrangörslista!$U$5&lt;4,LARGE(BV31:BX31,1),
IF(Arrangörslista!$U$5&lt;7,SUM(LARGE(BV31:CA31,{1;2;3})),
IF(Arrangörslista!$U$5&lt;10,SUM(LARGE(BV31:CD31,{1;2;3;4})),
IF(Arrangörslista!$U$5&lt;13,SUM(LARGE(BV31:CG31,{1;2;3;4;5;6})),
IF(Arrangörslista!$U$5&lt;16,SUM(LARGE(BV31:CJ31,{1;2;3;4;5;6;7})),
IF(Arrangörslista!$U$5&lt;19,SUM(LARGE(BV31:CM31,{1;2;3;4;5;6;7;8;9})),
IF(Arrangörslista!$U$5&lt;22,SUM(LARGE(BV31:CP31,{1;2;3;4;5;6;7;8;9;10})),
IF(Arrangörslista!$U$5&lt;25,SUM(LARGE(BV31:CS31,{1;2;3;4;5;6;7;8;9;10;11;12})),
IF(Arrangörslista!$U$5&lt;28,SUM(LARGE(BV31:CV31,{1;2;3;4;5;6;7;8;9;10;11;12;13})),
IF(Arrangörslista!$U$5&lt;31,SUM(LARGE(BV31:CY31,{1;2;3;4;5;6;7;8;9;10;11;12;13;14;15})),
IF(Arrangörslista!$U$5&lt;34,SUM(LARGE(BV31:DB31,{1;2;3;4;5;6;7;8;9;10;11;12;13;14;15;16})),
IF(Arrangörslista!$U$5&lt;37,SUM(LARGE(BV31:DE31,{1;2;3;4;5;6;7;8;9;10;11;12;13;14;15;16;17;18})),
IF(Arrangörslista!$U$5&lt;40,SUM(LARGE(BV31:DH31,{1;2;3;4;5;6;7;8;9;10;11;12;13;14;15;16;17;18;19})),
IF(Arrangörslista!$U$5&lt;43,SUM(LARGE(BV31:DK31,{1;2;3;4;5;6;7;8;9;10;11;12;13;14;15;16;17;18;19;20;21})),
IF(Arrangörslista!$U$5&lt;46,SUM(LARGE(BV31:DN31,{1;2;3;4;5;6;7;8;9;10;11;12;13;14;15;16;17;18;19;20;21;22})),
IF(Arrangörslista!$U$5&lt;49,SUM(LARGE(BV31:DQ31,{1;2;3;4;5;6;7;8;9;10;11;12;13;14;15;16;17;18;19;20;21;22;23;24})),
IF(Arrangörslista!$U$5&lt;52,SUM(LARGE(BV31:DT31,{1;2;3;4;5;6;7;8;9;10;11;12;13;14;15;16;17;18;19;20;21;22;23;24;25})),
IF(Arrangörslista!$U$5&lt;55,SUM(LARGE(BV31:DW31,{1;2;3;4;5;6;7;8;9;10;11;12;13;14;15;16;17;18;19;20;21;22;23;24;25;26;27})),
IF(Arrangörslista!$U$5&lt;58,SUM(LARGE(BV31:DZ31,{1;2;3;4;5;6;7;8;9;10;11;12;13;14;15;16;17;18;19;20;21;22;23;24;25;26;27;28})),
IF(Arrangörslista!$U$5&lt;61,SUM(LARGE(BV31:EC31,{1;2;3;4;5;6;7;8;9;10;11;12;13;14;15;16;17;18;19;20;21;22;23;24;25;26;27;28;29;30})),0)))))))))))))))))))),
IF(Arrangörslista!$U$5&lt;4,0,
IF(Arrangörslista!$U$5&lt;8,SUM(LARGE(BV31:CB31,1)),
IF(Arrangörslista!$U$5&lt;12,SUM(LARGE(BV31:CF31,{1;2})),
IF(Arrangörslista!$U$5&lt;16,SUM(LARGE(BV31:CJ31,{1;2;3})),
IF(Arrangörslista!$U$5&lt;20,SUM(LARGE(BV31:CN31,{1;2;3;4})),
IF(Arrangörslista!$U$5&lt;24,SUM(LARGE(BV31:CR31,{1;2;3;4;5})),
IF(Arrangörslista!$U$5&lt;28,SUM(LARGE(BV31:CV31,{1;2;3;4;5;6})),
IF(Arrangörslista!$U$5&lt;32,SUM(LARGE(BV31:CZ31,{1;2;3;4;5;6;7})),
IF(Arrangörslista!$U$5&lt;36,SUM(LARGE(BV31:DD31,{1;2;3;4;5;6;7;8})),
IF(Arrangörslista!$U$5&lt;40,SUM(LARGE(BV31:DH31,{1;2;3;4;5;6;7;8;9})),
IF(Arrangörslista!$U$5&lt;44,SUM(LARGE(BV31:DL31,{1;2;3;4;5;6;7;8;9;10})),
IF(Arrangörslista!$U$5&lt;48,SUM(LARGE(BV31:DP31,{1;2;3;4;5;6;7;8;9;10;11})),
IF(Arrangörslista!$U$5&lt;52,SUM(LARGE(BV31:DT31,{1;2;3;4;5;6;7;8;9;10;11;12})),
IF(Arrangörslista!$U$5&lt;56,SUM(LARGE(BV31:DX31,{1;2;3;4;5;6;7;8;9;10;11;12;13})),
IF(Arrangörslista!$U$5&lt;60,SUM(LARGE(BV31:EB31,{1;2;3;4;5;6;7;8;9;10;11;12;13;14})),
IF(Arrangörslista!$U$5=60,SUM(LARGE(BV31:EC31,{1;2;3;4;5;6;7;8;9;10;11;12;13;14;15})),0))))))))))))))))))</f>
        <v>0</v>
      </c>
      <c r="EG31" s="67">
        <f>IF(F31="",,1)</f>
        <v>0</v>
      </c>
      <c r="EH31" s="61"/>
      <c r="EI31" s="61"/>
      <c r="EK31" s="62">
        <f>SMALL($J94:$BQ94,1)</f>
        <v>61</v>
      </c>
      <c r="EL31" s="62">
        <f>SMALL($J94:$BQ94,2)</f>
        <v>61</v>
      </c>
      <c r="EM31" s="62">
        <f>SMALL($J94:$BQ94,3)</f>
        <v>61</v>
      </c>
      <c r="EN31" s="62">
        <f>SMALL($J94:$BQ94,4)</f>
        <v>61</v>
      </c>
      <c r="EO31" s="62">
        <f>SMALL($J94:$BQ94,5)</f>
        <v>61</v>
      </c>
      <c r="EP31" s="62">
        <f>SMALL($J94:$BQ94,6)</f>
        <v>61</v>
      </c>
      <c r="EQ31" s="62">
        <f>SMALL($J94:$BQ94,7)</f>
        <v>61</v>
      </c>
      <c r="ER31" s="62">
        <f>SMALL($J94:$BQ94,8)</f>
        <v>61</v>
      </c>
      <c r="ES31" s="62">
        <f>SMALL($J94:$BQ94,9)</f>
        <v>61</v>
      </c>
      <c r="ET31" s="62">
        <f>SMALL($J94:$BQ94,10)</f>
        <v>61</v>
      </c>
      <c r="EU31" s="62">
        <f>SMALL($J94:$BQ94,11)</f>
        <v>61</v>
      </c>
      <c r="EV31" s="62">
        <f>SMALL($J94:$BQ94,12)</f>
        <v>61</v>
      </c>
      <c r="EW31" s="62">
        <f>SMALL($J94:$BQ94,13)</f>
        <v>61</v>
      </c>
      <c r="EX31" s="62">
        <f>SMALL($J94:$BQ94,14)</f>
        <v>61</v>
      </c>
      <c r="EY31" s="62">
        <f>SMALL($J94:$BQ94,15)</f>
        <v>61</v>
      </c>
      <c r="EZ31" s="62">
        <f>SMALL($J94:$BQ94,16)</f>
        <v>61</v>
      </c>
      <c r="FA31" s="62">
        <f>SMALL($J94:$BQ94,17)</f>
        <v>61</v>
      </c>
      <c r="FB31" s="62">
        <f>SMALL($J94:$BQ94,18)</f>
        <v>61</v>
      </c>
      <c r="FC31" s="62">
        <f>SMALL($J94:$BQ94,19)</f>
        <v>61</v>
      </c>
      <c r="FD31" s="62">
        <f>SMALL($J94:$BQ94,20)</f>
        <v>61</v>
      </c>
      <c r="FE31" s="62">
        <f>SMALL($J94:$BQ94,21)</f>
        <v>61</v>
      </c>
      <c r="FF31" s="62">
        <f>SMALL($J94:$BQ94,22)</f>
        <v>61</v>
      </c>
      <c r="FG31" s="62">
        <f>SMALL($J94:$BQ94,23)</f>
        <v>61</v>
      </c>
      <c r="FH31" s="62">
        <f>SMALL($J94:$BQ94,24)</f>
        <v>61</v>
      </c>
      <c r="FI31" s="62">
        <f>SMALL($J94:$BQ94,25)</f>
        <v>61</v>
      </c>
      <c r="FJ31" s="62">
        <f>SMALL($J94:$BQ94,26)</f>
        <v>61</v>
      </c>
      <c r="FK31" s="62">
        <f>SMALL($J94:$BQ94,27)</f>
        <v>61</v>
      </c>
      <c r="FL31" s="62">
        <f>SMALL($J94:$BQ94,28)</f>
        <v>61</v>
      </c>
      <c r="FM31" s="62">
        <f>SMALL($J94:$BQ94,29)</f>
        <v>61</v>
      </c>
      <c r="FN31" s="62">
        <f>SMALL($J94:$BQ94,30)</f>
        <v>61</v>
      </c>
      <c r="FO31" s="62">
        <f>SMALL($J94:$BQ94,31)</f>
        <v>61</v>
      </c>
      <c r="FP31" s="62">
        <f>SMALL($J94:$BQ94,32)</f>
        <v>61</v>
      </c>
      <c r="FQ31" s="62">
        <f>SMALL($J94:$BQ94,33)</f>
        <v>61</v>
      </c>
      <c r="FR31" s="62">
        <f>SMALL($J94:$BQ94,34)</f>
        <v>61</v>
      </c>
      <c r="FS31" s="62">
        <f>SMALL($J94:$BQ94,35)</f>
        <v>61</v>
      </c>
      <c r="FT31" s="62">
        <f>SMALL($J94:$BQ94,36)</f>
        <v>61</v>
      </c>
      <c r="FU31" s="62">
        <f>SMALL($J94:$BQ94,37)</f>
        <v>61</v>
      </c>
      <c r="FV31" s="62">
        <f>SMALL($J94:$BQ94,38)</f>
        <v>61</v>
      </c>
      <c r="FW31" s="62">
        <f>SMALL($J94:$BQ94,39)</f>
        <v>61</v>
      </c>
      <c r="FX31" s="62">
        <f>SMALL($J94:$BQ94,40)</f>
        <v>61</v>
      </c>
      <c r="FY31" s="62">
        <f>SMALL($J94:$BQ94,41)</f>
        <v>61</v>
      </c>
      <c r="FZ31" s="62">
        <f>SMALL($J94:$BQ94,42)</f>
        <v>61</v>
      </c>
      <c r="GA31" s="62">
        <f>SMALL($J94:$BQ94,43)</f>
        <v>61</v>
      </c>
      <c r="GB31" s="62">
        <f>SMALL($J94:$BQ94,44)</f>
        <v>61</v>
      </c>
      <c r="GC31" s="62">
        <f>SMALL($J94:$BQ94,45)</f>
        <v>61</v>
      </c>
      <c r="GD31" s="62">
        <f>SMALL($J94:$BQ94,46)</f>
        <v>61</v>
      </c>
      <c r="GE31" s="62">
        <f>SMALL($J94:$BQ94,47)</f>
        <v>61</v>
      </c>
      <c r="GF31" s="62">
        <f>SMALL($J94:$BQ94,48)</f>
        <v>61</v>
      </c>
      <c r="GG31" s="62">
        <f>SMALL($J94:$BQ94,49)</f>
        <v>61</v>
      </c>
      <c r="GH31" s="62">
        <f>SMALL($J94:$BQ94,50)</f>
        <v>61</v>
      </c>
      <c r="GI31" s="62">
        <f>SMALL($J94:$BQ94,51)</f>
        <v>61</v>
      </c>
      <c r="GJ31" s="62">
        <f>SMALL($J94:$BQ94,52)</f>
        <v>61</v>
      </c>
      <c r="GK31" s="62">
        <f>SMALL($J94:$BQ94,53)</f>
        <v>61</v>
      </c>
      <c r="GL31" s="62">
        <f>SMALL($J94:$BQ94,54)</f>
        <v>61</v>
      </c>
      <c r="GM31" s="62">
        <f>SMALL($J94:$BQ94,55)</f>
        <v>61</v>
      </c>
      <c r="GN31" s="62">
        <f>SMALL($J94:$BQ94,56)</f>
        <v>61</v>
      </c>
      <c r="GO31" s="62">
        <f>SMALL($J94:$BQ94,57)</f>
        <v>61</v>
      </c>
      <c r="GP31" s="62">
        <f>SMALL($J94:$BQ94,58)</f>
        <v>61</v>
      </c>
      <c r="GQ31" s="62">
        <f>SMALL($J94:$BQ94,59)</f>
        <v>61</v>
      </c>
      <c r="GR31" s="62">
        <f>SMALL($J94:$BQ94,60)</f>
        <v>61</v>
      </c>
      <c r="GT31" s="62">
        <f>IF(Deltagarlista!$K$3=2,
IF(GW31="1",
      IF(Arrangörslista!$U$5=1,J94,
IF(Arrangörslista!$U$5=2,K94,
IF(Arrangörslista!$U$5=3,L94,
IF(Arrangörslista!$U$5=4,M94,
IF(Arrangörslista!$U$5=5,N94,
IF(Arrangörslista!$U$5=6,O94,
IF(Arrangörslista!$U$5=7,P94,
IF(Arrangörslista!$U$5=8,Q94,
IF(Arrangörslista!$U$5=9,R94,
IF(Arrangörslista!$U$5=10,S94,
IF(Arrangörslista!$U$5=11,T94,
IF(Arrangörslista!$U$5=12,U94,
IF(Arrangörslista!$U$5=13,V94,
IF(Arrangörslista!$U$5=14,W94,
IF(Arrangörslista!$U$5=15,X94,
IF(Arrangörslista!$U$5=16,Y94,IF(Arrangörslista!$U$5=17,Z94,IF(Arrangörslista!$U$5=18,AA94,IF(Arrangörslista!$U$5=19,AB94,IF(Arrangörslista!$U$5=20,AC94,IF(Arrangörslista!$U$5=21,AD94,IF(Arrangörslista!$U$5=22,AE94,IF(Arrangörslista!$U$5=23,AF94, IF(Arrangörslista!$U$5=24,AG94, IF(Arrangörslista!$U$5=25,AH94, IF(Arrangörslista!$U$5=26,AI94, IF(Arrangörslista!$U$5=27,AJ94, IF(Arrangörslista!$U$5=28,AK94, IF(Arrangörslista!$U$5=29,AL94, IF(Arrangörslista!$U$5=30,AM94, IF(Arrangörslista!$U$5=31,AN94, IF(Arrangörslista!$U$5=32,AO94, IF(Arrangörslista!$U$5=33,AP94, IF(Arrangörslista!$U$5=34,AQ94, IF(Arrangörslista!$U$5=35,AR94, IF(Arrangörslista!$U$5=36,AS94, IF(Arrangörslista!$U$5=37,AT94, IF(Arrangörslista!$U$5=38,AU94, IF(Arrangörslista!$U$5=39,AV94, IF(Arrangörslista!$U$5=40,AW94, IF(Arrangörslista!$U$5=41,AX94, IF(Arrangörslista!$U$5=42,AY94, IF(Arrangörslista!$U$5=43,AZ94, IF(Arrangörslista!$U$5=44,BA94, IF(Arrangörslista!$U$5=45,BB94, IF(Arrangörslista!$U$5=46,BC94, IF(Arrangörslista!$U$5=47,BD94, IF(Arrangörslista!$U$5=48,BE94, IF(Arrangörslista!$U$5=49,BF94, IF(Arrangörslista!$U$5=50,BG94, IF(Arrangörslista!$U$5=51,BH94, IF(Arrangörslista!$U$5=52,BI94, IF(Arrangörslista!$U$5=53,BJ94, IF(Arrangörslista!$U$5=54,BK94, IF(Arrangörslista!$U$5=55,BL94, IF(Arrangörslista!$U$5=56,BM94, IF(Arrangörslista!$U$5=57,BN94, IF(Arrangörslista!$U$5=58,BO94, IF(Arrangörslista!$U$5=59,BP94, IF(Arrangörslista!$U$5=60,BQ94,0))))))))))))))))))))))))))))))))))))))))))))))))))))))))))))),IF(Deltagarlista!$K$3=4, IF(Arrangörslista!$U$5=1,J94,
IF(Arrangörslista!$U$5=2,J94,
IF(Arrangörslista!$U$5=3,K94,
IF(Arrangörslista!$U$5=4,K94,
IF(Arrangörslista!$U$5=5,L94,
IF(Arrangörslista!$U$5=6,L94,
IF(Arrangörslista!$U$5=7,M94,
IF(Arrangörslista!$U$5=8,M94,
IF(Arrangörslista!$U$5=9,N94,
IF(Arrangörslista!$U$5=10,N94,
IF(Arrangörslista!$U$5=11,O94,
IF(Arrangörslista!$U$5=12,O94,
IF(Arrangörslista!$U$5=13,P94,
IF(Arrangörslista!$U$5=14,P94,
IF(Arrangörslista!$U$5=15,Q94,
IF(Arrangörslista!$U$5=16,Q94,
IF(Arrangörslista!$U$5=17,R94,
IF(Arrangörslista!$U$5=18,R94,
IF(Arrangörslista!$U$5=19,S94,
IF(Arrangörslista!$U$5=20,S94,
IF(Arrangörslista!$U$5=21,T94,
IF(Arrangörslista!$U$5=22,T94,IF(Arrangörslista!$U$5=23,U94, IF(Arrangörslista!$U$5=24,U94, IF(Arrangörslista!$U$5=25,V94, IF(Arrangörslista!$U$5=26,V94, IF(Arrangörslista!$U$5=27,W94, IF(Arrangörslista!$U$5=28,W94, IF(Arrangörslista!$U$5=29,X94, IF(Arrangörslista!$U$5=30,X94, IF(Arrangörslista!$U$5=31,X94, IF(Arrangörslista!$U$5=32,Y94, IF(Arrangörslista!$U$5=33,AO94, IF(Arrangörslista!$U$5=34,Y94, IF(Arrangörslista!$U$5=35,Z94, IF(Arrangörslista!$U$5=36,AR94, IF(Arrangörslista!$U$5=37,Z94, IF(Arrangörslista!$U$5=38,AA94, IF(Arrangörslista!$U$5=39,AU94, IF(Arrangörslista!$U$5=40,AA94, IF(Arrangörslista!$U$5=41,AB94, IF(Arrangörslista!$U$5=42,AX94, IF(Arrangörslista!$U$5=43,AB94, IF(Arrangörslista!$U$5=44,AC94, IF(Arrangörslista!$U$5=45,BA94, IF(Arrangörslista!$U$5=46,AC94, IF(Arrangörslista!$U$5=47,AD94, IF(Arrangörslista!$U$5=48,BD94, IF(Arrangörslista!$U$5=49,AD94, IF(Arrangörslista!$U$5=50,AE94, IF(Arrangörslista!$U$5=51,BG94, IF(Arrangörslista!$U$5=52,AE94, IF(Arrangörslista!$U$5=53,AF94, IF(Arrangörslista!$U$5=54,BJ94, IF(Arrangörslista!$U$5=55,AF94, IF(Arrangörslista!$U$5=56,AG94, IF(Arrangörslista!$U$5=57,BM94, IF(Arrangörslista!$U$5=58,AG94, IF(Arrangörslista!$U$5=59,AH94, IF(Arrangörslista!$U$5=60,AH94,0)))))))))))))))))))))))))))))))))))))))))))))))))))))))))))),IF(Arrangörslista!$U$5=1,J94,
IF(Arrangörslista!$U$5=2,K94,
IF(Arrangörslista!$U$5=3,L94,
IF(Arrangörslista!$U$5=4,M94,
IF(Arrangörslista!$U$5=5,N94,
IF(Arrangörslista!$U$5=6,O94,
IF(Arrangörslista!$U$5=7,P94,
IF(Arrangörslista!$U$5=8,Q94,
IF(Arrangörslista!$U$5=9,R94,
IF(Arrangörslista!$U$5=10,S94,
IF(Arrangörslista!$U$5=11,T94,
IF(Arrangörslista!$U$5=12,U94,
IF(Arrangörslista!$U$5=13,V94,
IF(Arrangörslista!$U$5=14,W94,
IF(Arrangörslista!$U$5=15,X94,
IF(Arrangörslista!$U$5=16,Y94,IF(Arrangörslista!$U$5=17,Z94,IF(Arrangörslista!$U$5=18,AA94,IF(Arrangörslista!$U$5=19,AB94,IF(Arrangörslista!$U$5=20,AC94,IF(Arrangörslista!$U$5=21,AD94,IF(Arrangörslista!$U$5=22,AE94,IF(Arrangörslista!$U$5=23,AF94, IF(Arrangörslista!$U$5=24,AG94, IF(Arrangörslista!$U$5=25,AH94, IF(Arrangörslista!$U$5=26,AI94, IF(Arrangörslista!$U$5=27,AJ94, IF(Arrangörslista!$U$5=28,AK94, IF(Arrangörslista!$U$5=29,AL94, IF(Arrangörslista!$U$5=30,AM94, IF(Arrangörslista!$U$5=31,AN94, IF(Arrangörslista!$U$5=32,AO94, IF(Arrangörslista!$U$5=33,AP94, IF(Arrangörslista!$U$5=34,AQ94, IF(Arrangörslista!$U$5=35,AR94, IF(Arrangörslista!$U$5=36,AS94, IF(Arrangörslista!$U$5=37,AT94, IF(Arrangörslista!$U$5=38,AU94, IF(Arrangörslista!$U$5=39,AV94, IF(Arrangörslista!$U$5=40,AW94, IF(Arrangörslista!$U$5=41,AX94, IF(Arrangörslista!$U$5=42,AY94, IF(Arrangörslista!$U$5=43,AZ94, IF(Arrangörslista!$U$5=44,BA94, IF(Arrangörslista!$U$5=45,BB94, IF(Arrangörslista!$U$5=46,BC94, IF(Arrangörslista!$U$5=47,BD94, IF(Arrangörslista!$U$5=48,BE94, IF(Arrangörslista!$U$5=49,BF94, IF(Arrangörslista!$U$5=50,BG94, IF(Arrangörslista!$U$5=51,BH94, IF(Arrangörslista!$U$5=52,BI94, IF(Arrangörslista!$U$5=53,BJ94, IF(Arrangörslista!$U$5=54,BK94, IF(Arrangörslista!$U$5=55,BL94, IF(Arrangörslista!$U$5=56,BM94, IF(Arrangörslista!$U$5=57,BN94, IF(Arrangörslista!$U$5=58,BO94, IF(Arrangörslista!$U$5=59,BP94, IF(Arrangörslista!$U$5=60,BQ94,0))))))))))))))))))))))))))))))))))))))))))))))))))))))))))))
))</f>
        <v>0</v>
      </c>
      <c r="GV31" s="65" t="str">
        <f>IFERROR(IF(VLOOKUP(F31,Deltagarlista!$E$5:$I$64,5,FALSE)="Grön","Gr",IF(VLOOKUP(F31,Deltagarlista!$E$5:$I$64,5,FALSE)="Röd","R",IF(VLOOKUP(F31,Deltagarlista!$E$5:$I$64,5,FALSE)="Blå","B","Gu"))),"")</f>
        <v/>
      </c>
      <c r="GW31" s="62" t="str">
        <f t="shared" si="1"/>
        <v/>
      </c>
    </row>
    <row r="32" spans="2:205" ht="15.75" customHeight="1" x14ac:dyDescent="0.3">
      <c r="B32" s="23" t="str">
        <f>IF($BW$3&gt;28,29,"")</f>
        <v/>
      </c>
      <c r="C32" s="92" t="str">
        <f>IF(ISBLANK(Deltagarlista!C39),"",Deltagarlista!C39)</f>
        <v/>
      </c>
      <c r="D32" s="109" t="str">
        <f>CONCATENATE(IF(AND(Deltagarlista!H39="GM",Deltagarlista!$S$14=TRUE),"GM   ",""), IF(OR(Deltagarlista!$K$3=4,Deltagarlista!$K$3=2),Deltagarlista!I39,""))</f>
        <v/>
      </c>
      <c r="E32" s="8" t="str">
        <f>IF(ISBLANK(Deltagarlista!D39),"",Deltagarlista!D39)</f>
        <v/>
      </c>
      <c r="F32" s="8" t="str">
        <f>IF(ISBLANK(Deltagarlista!E39),"",Deltagarlista!E39)</f>
        <v/>
      </c>
      <c r="G32" s="95" t="str">
        <f>IF(ISBLANK(Deltagarlista!F39),"",Deltagarlista!F39)</f>
        <v/>
      </c>
      <c r="H32" s="72" t="str">
        <f>IF(ISBLANK(Deltagarlista!C39),"",BU32-EE32)</f>
        <v/>
      </c>
      <c r="I32" s="13" t="str">
        <f>IF(ISBLANK(Deltagarlista!C39),"",IF(AND(Deltagarlista!$K$3=2,Deltagarlista!$L$3&lt;37),SUM(SUM(BV32:EC32)-(ROUNDDOWN(Arrangörslista!$U$5/3,1))*($BW$3+1)),SUM(BV32:EC32)))</f>
        <v/>
      </c>
      <c r="J32" s="79" t="str">
        <f>IF(Deltagarlista!$K$3=4,IF(ISBLANK(Deltagarlista!$C39),"",IF(ISBLANK(Arrangörslista!C$8),"",IFERROR(VLOOKUP($F32,Arrangörslista!C$8:$AG$45,16,FALSE),IF(ISBLANK(Deltagarlista!$C39),"",IF(ISBLANK(Arrangörslista!C$8),"",IFERROR(VLOOKUP($F32,Arrangörslista!D$8:$AG$45,16,FALSE),"DNS")))))),IF(Deltagarlista!$K$3=2,
IF(ISBLANK(Deltagarlista!$C39),"",IF(ISBLANK(Arrangörslista!C$8),"",IF($GV32=J$64," DNS ",IFERROR(VLOOKUP($F32,Arrangörslista!C$8:$AG$45,16,FALSE),"DNS")))),IF(ISBLANK(Deltagarlista!$C39),"",IF(ISBLANK(Arrangörslista!C$8),"",IFERROR(VLOOKUP($F32,Arrangörslista!C$8:$AG$45,16,FALSE),"DNS")))))</f>
        <v/>
      </c>
      <c r="K32" s="5" t="str">
        <f>IF(Deltagarlista!$K$3=4,IF(ISBLANK(Deltagarlista!$C39),"",IF(ISBLANK(Arrangörslista!E$8),"",IFERROR(VLOOKUP($F32,Arrangörslista!E$8:$AG$45,16,FALSE),IF(ISBLANK(Deltagarlista!$C39),"",IF(ISBLANK(Arrangörslista!E$8),"",IFERROR(VLOOKUP($F32,Arrangörslista!F$8:$AG$45,16,FALSE),"DNS")))))),IF(Deltagarlista!$K$3=2,
IF(ISBLANK(Deltagarlista!$C39),"",IF(ISBLANK(Arrangörslista!D$8),"",IF($GV32=K$64," DNS ",IFERROR(VLOOKUP($F32,Arrangörslista!D$8:$AG$45,16,FALSE),"DNS")))),IF(ISBLANK(Deltagarlista!$C39),"",IF(ISBLANK(Arrangörslista!D$8),"",IFERROR(VLOOKUP($F32,Arrangörslista!D$8:$AG$45,16,FALSE),"DNS")))))</f>
        <v/>
      </c>
      <c r="L32" s="5" t="str">
        <f>IF(Deltagarlista!$K$3=4,IF(ISBLANK(Deltagarlista!$C39),"",IF(ISBLANK(Arrangörslista!G$8),"",IFERROR(VLOOKUP($F32,Arrangörslista!G$8:$AG$45,16,FALSE),IF(ISBLANK(Deltagarlista!$C39),"",IF(ISBLANK(Arrangörslista!G$8),"",IFERROR(VLOOKUP($F32,Arrangörslista!H$8:$AG$45,16,FALSE),"DNS")))))),IF(Deltagarlista!$K$3=2,
IF(ISBLANK(Deltagarlista!$C39),"",IF(ISBLANK(Arrangörslista!E$8),"",IF($GV32=L$64," DNS ",IFERROR(VLOOKUP($F32,Arrangörslista!E$8:$AG$45,16,FALSE),"DNS")))),IF(ISBLANK(Deltagarlista!$C39),"",IF(ISBLANK(Arrangörslista!E$8),"",IFERROR(VLOOKUP($F32,Arrangörslista!E$8:$AG$45,16,FALSE),"DNS")))))</f>
        <v/>
      </c>
      <c r="M32" s="5" t="str">
        <f>IF(Deltagarlista!$K$3=4,IF(ISBLANK(Deltagarlista!$C39),"",IF(ISBLANK(Arrangörslista!I$8),"",IFERROR(VLOOKUP($F32,Arrangörslista!I$8:$AG$45,16,FALSE),IF(ISBLANK(Deltagarlista!$C39),"",IF(ISBLANK(Arrangörslista!I$8),"",IFERROR(VLOOKUP($F32,Arrangörslista!J$8:$AG$45,16,FALSE),"DNS")))))),IF(Deltagarlista!$K$3=2,
IF(ISBLANK(Deltagarlista!$C39),"",IF(ISBLANK(Arrangörslista!F$8),"",IF($GV32=M$64," DNS ",IFERROR(VLOOKUP($F32,Arrangörslista!F$8:$AG$45,16,FALSE),"DNS")))),IF(ISBLANK(Deltagarlista!$C39),"",IF(ISBLANK(Arrangörslista!F$8),"",IFERROR(VLOOKUP($F32,Arrangörslista!F$8:$AG$45,16,FALSE),"DNS")))))</f>
        <v/>
      </c>
      <c r="N32" s="5" t="str">
        <f>IF(Deltagarlista!$K$3=4,IF(ISBLANK(Deltagarlista!$C39),"",IF(ISBLANK(Arrangörslista!K$8),"",IFERROR(VLOOKUP($F32,Arrangörslista!K$8:$AG$45,16,FALSE),IF(ISBLANK(Deltagarlista!$C39),"",IF(ISBLANK(Arrangörslista!K$8),"",IFERROR(VLOOKUP($F32,Arrangörslista!L$8:$AG$45,16,FALSE),"DNS")))))),IF(Deltagarlista!$K$3=2,
IF(ISBLANK(Deltagarlista!$C39),"",IF(ISBLANK(Arrangörslista!G$8),"",IF($GV32=N$64," DNS ",IFERROR(VLOOKUP($F32,Arrangörslista!G$8:$AG$45,16,FALSE),"DNS")))),IF(ISBLANK(Deltagarlista!$C39),"",IF(ISBLANK(Arrangörslista!G$8),"",IFERROR(VLOOKUP($F32,Arrangörslista!G$8:$AG$45,16,FALSE),"DNS")))))</f>
        <v/>
      </c>
      <c r="O32" s="5" t="str">
        <f>IF(Deltagarlista!$K$3=4,IF(ISBLANK(Deltagarlista!$C39),"",IF(ISBLANK(Arrangörslista!M$8),"",IFERROR(VLOOKUP($F32,Arrangörslista!M$8:$AG$45,16,FALSE),IF(ISBLANK(Deltagarlista!$C39),"",IF(ISBLANK(Arrangörslista!M$8),"",IFERROR(VLOOKUP($F32,Arrangörslista!N$8:$AG$45,16,FALSE),"DNS")))))),IF(Deltagarlista!$K$3=2,
IF(ISBLANK(Deltagarlista!$C39),"",IF(ISBLANK(Arrangörslista!H$8),"",IF($GV32=O$64," DNS ",IFERROR(VLOOKUP($F32,Arrangörslista!H$8:$AG$45,16,FALSE),"DNS")))),IF(ISBLANK(Deltagarlista!$C39),"",IF(ISBLANK(Arrangörslista!H$8),"",IFERROR(VLOOKUP($F32,Arrangörslista!H$8:$AG$45,16,FALSE),"DNS")))))</f>
        <v/>
      </c>
      <c r="P32" s="5" t="str">
        <f>IF(Deltagarlista!$K$3=4,IF(ISBLANK(Deltagarlista!$C39),"",IF(ISBLANK(Arrangörslista!O$8),"",IFERROR(VLOOKUP($F32,Arrangörslista!O$8:$AG$45,16,FALSE),IF(ISBLANK(Deltagarlista!$C39),"",IF(ISBLANK(Arrangörslista!O$8),"",IFERROR(VLOOKUP($F32,Arrangörslista!P$8:$AG$45,16,FALSE),"DNS")))))),IF(Deltagarlista!$K$3=2,
IF(ISBLANK(Deltagarlista!$C39),"",IF(ISBLANK(Arrangörslista!I$8),"",IF($GV32=P$64," DNS ",IFERROR(VLOOKUP($F32,Arrangörslista!I$8:$AG$45,16,FALSE),"DNS")))),IF(ISBLANK(Deltagarlista!$C39),"",IF(ISBLANK(Arrangörslista!I$8),"",IFERROR(VLOOKUP($F32,Arrangörslista!I$8:$AG$45,16,FALSE),"DNS")))))</f>
        <v/>
      </c>
      <c r="Q32" s="5" t="str">
        <f>IF(Deltagarlista!$K$3=4,IF(ISBLANK(Deltagarlista!$C39),"",IF(ISBLANK(Arrangörslista!Q$8),"",IFERROR(VLOOKUP($F32,Arrangörslista!Q$8:$AG$45,16,FALSE),IF(ISBLANK(Deltagarlista!$C39),"",IF(ISBLANK(Arrangörslista!Q$8),"",IFERROR(VLOOKUP($F32,Arrangörslista!C$53:$AG$90,16,FALSE),"DNS")))))),IF(Deltagarlista!$K$3=2,
IF(ISBLANK(Deltagarlista!$C39),"",IF(ISBLANK(Arrangörslista!J$8),"",IF($GV32=Q$64," DNS ",IFERROR(VLOOKUP($F32,Arrangörslista!J$8:$AG$45,16,FALSE),"DNS")))),IF(ISBLANK(Deltagarlista!$C39),"",IF(ISBLANK(Arrangörslista!J$8),"",IFERROR(VLOOKUP($F32,Arrangörslista!J$8:$AG$45,16,FALSE),"DNS")))))</f>
        <v/>
      </c>
      <c r="R32" s="5" t="str">
        <f>IF(Deltagarlista!$K$3=4,IF(ISBLANK(Deltagarlista!$C39),"",IF(ISBLANK(Arrangörslista!D$53),"",IFERROR(VLOOKUP($F32,Arrangörslista!D$53:$AG$90,16,FALSE),IF(ISBLANK(Deltagarlista!$C39),"",IF(ISBLANK(Arrangörslista!D$53),"",IFERROR(VLOOKUP($F32,Arrangörslista!E$53:$AG$90,16,FALSE),"DNS")))))),IF(Deltagarlista!$K$3=2,
IF(ISBLANK(Deltagarlista!$C39),"",IF(ISBLANK(Arrangörslista!K$8),"",IF($GV32=R$64," DNS ",IFERROR(VLOOKUP($F32,Arrangörslista!K$8:$AG$45,16,FALSE),"DNS")))),IF(ISBLANK(Deltagarlista!$C39),"",IF(ISBLANK(Arrangörslista!K$8),"",IFERROR(VLOOKUP($F32,Arrangörslista!K$8:$AG$45,16,FALSE),"DNS")))))</f>
        <v/>
      </c>
      <c r="S32" s="5" t="str">
        <f>IF(Deltagarlista!$K$3=4,IF(ISBLANK(Deltagarlista!$C39),"",IF(ISBLANK(Arrangörslista!F$53),"",IFERROR(VLOOKUP($F32,Arrangörslista!F$53:$AG$90,16,FALSE),IF(ISBLANK(Deltagarlista!$C39),"",IF(ISBLANK(Arrangörslista!F$53),"",IFERROR(VLOOKUP($F32,Arrangörslista!G$53:$AG$90,16,FALSE),"DNS")))))),IF(Deltagarlista!$K$3=2,
IF(ISBLANK(Deltagarlista!$C39),"",IF(ISBLANK(Arrangörslista!L$8),"",IF($GV32=S$64," DNS ",IFERROR(VLOOKUP($F32,Arrangörslista!L$8:$AG$45,16,FALSE),"DNS")))),IF(ISBLANK(Deltagarlista!$C39),"",IF(ISBLANK(Arrangörslista!L$8),"",IFERROR(VLOOKUP($F32,Arrangörslista!L$8:$AG$45,16,FALSE),"DNS")))))</f>
        <v/>
      </c>
      <c r="T32" s="5" t="str">
        <f>IF(Deltagarlista!$K$3=4,IF(ISBLANK(Deltagarlista!$C39),"",IF(ISBLANK(Arrangörslista!H$53),"",IFERROR(VLOOKUP($F32,Arrangörslista!H$53:$AG$90,16,FALSE),IF(ISBLANK(Deltagarlista!$C39),"",IF(ISBLANK(Arrangörslista!H$53),"",IFERROR(VLOOKUP($F32,Arrangörslista!I$53:$AG$90,16,FALSE),"DNS")))))),IF(Deltagarlista!$K$3=2,
IF(ISBLANK(Deltagarlista!$C39),"",IF(ISBLANK(Arrangörslista!M$8),"",IF($GV32=T$64," DNS ",IFERROR(VLOOKUP($F32,Arrangörslista!M$8:$AG$45,16,FALSE),"DNS")))),IF(ISBLANK(Deltagarlista!$C39),"",IF(ISBLANK(Arrangörslista!M$8),"",IFERROR(VLOOKUP($F32,Arrangörslista!M$8:$AG$45,16,FALSE),"DNS")))))</f>
        <v/>
      </c>
      <c r="U32" s="5" t="str">
        <f>IF(Deltagarlista!$K$3=4,IF(ISBLANK(Deltagarlista!$C39),"",IF(ISBLANK(Arrangörslista!J$53),"",IFERROR(VLOOKUP($F32,Arrangörslista!J$53:$AG$90,16,FALSE),IF(ISBLANK(Deltagarlista!$C39),"",IF(ISBLANK(Arrangörslista!J$53),"",IFERROR(VLOOKUP($F32,Arrangörslista!K$53:$AG$90,16,FALSE),"DNS")))))),IF(Deltagarlista!$K$3=2,
IF(ISBLANK(Deltagarlista!$C39),"",IF(ISBLANK(Arrangörslista!N$8),"",IF($GV32=U$64," DNS ",IFERROR(VLOOKUP($F32,Arrangörslista!N$8:$AG$45,16,FALSE),"DNS")))),IF(ISBLANK(Deltagarlista!$C39),"",IF(ISBLANK(Arrangörslista!N$8),"",IFERROR(VLOOKUP($F32,Arrangörslista!N$8:$AG$45,16,FALSE),"DNS")))))</f>
        <v/>
      </c>
      <c r="V32" s="5" t="str">
        <f>IF(Deltagarlista!$K$3=4,IF(ISBLANK(Deltagarlista!$C39),"",IF(ISBLANK(Arrangörslista!L$53),"",IFERROR(VLOOKUP($F32,Arrangörslista!L$53:$AG$90,16,FALSE),IF(ISBLANK(Deltagarlista!$C39),"",IF(ISBLANK(Arrangörslista!L$53),"",IFERROR(VLOOKUP($F32,Arrangörslista!M$53:$AG$90,16,FALSE),"DNS")))))),IF(Deltagarlista!$K$3=2,
IF(ISBLANK(Deltagarlista!$C39),"",IF(ISBLANK(Arrangörslista!O$8),"",IF($GV32=V$64," DNS ",IFERROR(VLOOKUP($F32,Arrangörslista!O$8:$AG$45,16,FALSE),"DNS")))),IF(ISBLANK(Deltagarlista!$C39),"",IF(ISBLANK(Arrangörslista!O$8),"",IFERROR(VLOOKUP($F32,Arrangörslista!O$8:$AG$45,16,FALSE),"DNS")))))</f>
        <v/>
      </c>
      <c r="W32" s="5" t="str">
        <f>IF(Deltagarlista!$K$3=4,IF(ISBLANK(Deltagarlista!$C39),"",IF(ISBLANK(Arrangörslista!N$53),"",IFERROR(VLOOKUP($F32,Arrangörslista!N$53:$AG$90,16,FALSE),IF(ISBLANK(Deltagarlista!$C39),"",IF(ISBLANK(Arrangörslista!N$53),"",IFERROR(VLOOKUP($F32,Arrangörslista!O$53:$AG$90,16,FALSE),"DNS")))))),IF(Deltagarlista!$K$3=2,
IF(ISBLANK(Deltagarlista!$C39),"",IF(ISBLANK(Arrangörslista!P$8),"",IF($GV32=W$64," DNS ",IFERROR(VLOOKUP($F32,Arrangörslista!P$8:$AG$45,16,FALSE),"DNS")))),IF(ISBLANK(Deltagarlista!$C39),"",IF(ISBLANK(Arrangörslista!P$8),"",IFERROR(VLOOKUP($F32,Arrangörslista!P$8:$AG$45,16,FALSE),"DNS")))))</f>
        <v/>
      </c>
      <c r="X32" s="5" t="str">
        <f>IF(Deltagarlista!$K$3=4,IF(ISBLANK(Deltagarlista!$C39),"",IF(ISBLANK(Arrangörslista!P$53),"",IFERROR(VLOOKUP($F32,Arrangörslista!P$53:$AG$90,16,FALSE),IF(ISBLANK(Deltagarlista!$C39),"",IF(ISBLANK(Arrangörslista!P$53),"",IFERROR(VLOOKUP($F32,Arrangörslista!Q$53:$AG$90,16,FALSE),"DNS")))))),IF(Deltagarlista!$K$3=2,
IF(ISBLANK(Deltagarlista!$C39),"",IF(ISBLANK(Arrangörslista!Q$8),"",IF($GV32=X$64," DNS ",IFERROR(VLOOKUP($F32,Arrangörslista!Q$8:$AG$45,16,FALSE),"DNS")))),IF(ISBLANK(Deltagarlista!$C39),"",IF(ISBLANK(Arrangörslista!Q$8),"",IFERROR(VLOOKUP($F32,Arrangörslista!Q$8:$AG$45,16,FALSE),"DNS")))))</f>
        <v/>
      </c>
      <c r="Y32" s="5" t="str">
        <f>IF(Deltagarlista!$K$3=4,IF(ISBLANK(Deltagarlista!$C39),"",IF(ISBLANK(Arrangörslista!C$98),"",IFERROR(VLOOKUP($F32,Arrangörslista!C$98:$AG$135,16,FALSE),IF(ISBLANK(Deltagarlista!$C39),"",IF(ISBLANK(Arrangörslista!C$98),"",IFERROR(VLOOKUP($F32,Arrangörslista!D$98:$AG$135,16,FALSE),"DNS")))))),IF(Deltagarlista!$K$3=2,
IF(ISBLANK(Deltagarlista!$C39),"",IF(ISBLANK(Arrangörslista!C$53),"",IF($GV32=Y$64," DNS ",IFERROR(VLOOKUP($F32,Arrangörslista!C$53:$AG$90,16,FALSE),"DNS")))),IF(ISBLANK(Deltagarlista!$C39),"",IF(ISBLANK(Arrangörslista!C$53),"",IFERROR(VLOOKUP($F32,Arrangörslista!C$53:$AG$90,16,FALSE),"DNS")))))</f>
        <v/>
      </c>
      <c r="Z32" s="5" t="str">
        <f>IF(Deltagarlista!$K$3=4,IF(ISBLANK(Deltagarlista!$C39),"",IF(ISBLANK(Arrangörslista!E$98),"",IFERROR(VLOOKUP($F32,Arrangörslista!E$98:$AG$135,16,FALSE),IF(ISBLANK(Deltagarlista!$C39),"",IF(ISBLANK(Arrangörslista!E$98),"",IFERROR(VLOOKUP($F32,Arrangörslista!F$98:$AG$135,16,FALSE),"DNS")))))),IF(Deltagarlista!$K$3=2,
IF(ISBLANK(Deltagarlista!$C39),"",IF(ISBLANK(Arrangörslista!D$53),"",IF($GV32=Z$64," DNS ",IFERROR(VLOOKUP($F32,Arrangörslista!D$53:$AG$90,16,FALSE),"DNS")))),IF(ISBLANK(Deltagarlista!$C39),"",IF(ISBLANK(Arrangörslista!D$53),"",IFERROR(VLOOKUP($F32,Arrangörslista!D$53:$AG$90,16,FALSE),"DNS")))))</f>
        <v/>
      </c>
      <c r="AA32" s="5" t="str">
        <f>IF(Deltagarlista!$K$3=4,IF(ISBLANK(Deltagarlista!$C39),"",IF(ISBLANK(Arrangörslista!G$98),"",IFERROR(VLOOKUP($F32,Arrangörslista!G$98:$AG$135,16,FALSE),IF(ISBLANK(Deltagarlista!$C39),"",IF(ISBLANK(Arrangörslista!G$98),"",IFERROR(VLOOKUP($F32,Arrangörslista!H$98:$AG$135,16,FALSE),"DNS")))))),IF(Deltagarlista!$K$3=2,
IF(ISBLANK(Deltagarlista!$C39),"",IF(ISBLANK(Arrangörslista!E$53),"",IF($GV32=AA$64," DNS ",IFERROR(VLOOKUP($F32,Arrangörslista!E$53:$AG$90,16,FALSE),"DNS")))),IF(ISBLANK(Deltagarlista!$C39),"",IF(ISBLANK(Arrangörslista!E$53),"",IFERROR(VLOOKUP($F32,Arrangörslista!E$53:$AG$90,16,FALSE),"DNS")))))</f>
        <v/>
      </c>
      <c r="AB32" s="5" t="str">
        <f>IF(Deltagarlista!$K$3=4,IF(ISBLANK(Deltagarlista!$C39),"",IF(ISBLANK(Arrangörslista!I$98),"",IFERROR(VLOOKUP($F32,Arrangörslista!I$98:$AG$135,16,FALSE),IF(ISBLANK(Deltagarlista!$C39),"",IF(ISBLANK(Arrangörslista!I$98),"",IFERROR(VLOOKUP($F32,Arrangörslista!J$98:$AG$135,16,FALSE),"DNS")))))),IF(Deltagarlista!$K$3=2,
IF(ISBLANK(Deltagarlista!$C39),"",IF(ISBLANK(Arrangörslista!F$53),"",IF($GV32=AB$64," DNS ",IFERROR(VLOOKUP($F32,Arrangörslista!F$53:$AG$90,16,FALSE),"DNS")))),IF(ISBLANK(Deltagarlista!$C39),"",IF(ISBLANK(Arrangörslista!F$53),"",IFERROR(VLOOKUP($F32,Arrangörslista!F$53:$AG$90,16,FALSE),"DNS")))))</f>
        <v/>
      </c>
      <c r="AC32" s="5" t="str">
        <f>IF(Deltagarlista!$K$3=4,IF(ISBLANK(Deltagarlista!$C39),"",IF(ISBLANK(Arrangörslista!K$98),"",IFERROR(VLOOKUP($F32,Arrangörslista!K$98:$AG$135,16,FALSE),IF(ISBLANK(Deltagarlista!$C39),"",IF(ISBLANK(Arrangörslista!K$98),"",IFERROR(VLOOKUP($F32,Arrangörslista!L$98:$AG$135,16,FALSE),"DNS")))))),IF(Deltagarlista!$K$3=2,
IF(ISBLANK(Deltagarlista!$C39),"",IF(ISBLANK(Arrangörslista!G$53),"",IF($GV32=AC$64," DNS ",IFERROR(VLOOKUP($F32,Arrangörslista!G$53:$AG$90,16,FALSE),"DNS")))),IF(ISBLANK(Deltagarlista!$C39),"",IF(ISBLANK(Arrangörslista!G$53),"",IFERROR(VLOOKUP($F32,Arrangörslista!G$53:$AG$90,16,FALSE),"DNS")))))</f>
        <v/>
      </c>
      <c r="AD32" s="5" t="str">
        <f>IF(Deltagarlista!$K$3=4,IF(ISBLANK(Deltagarlista!$C39),"",IF(ISBLANK(Arrangörslista!M$98),"",IFERROR(VLOOKUP($F32,Arrangörslista!M$98:$AG$135,16,FALSE),IF(ISBLANK(Deltagarlista!$C39),"",IF(ISBLANK(Arrangörslista!M$98),"",IFERROR(VLOOKUP($F32,Arrangörslista!N$98:$AG$135,16,FALSE),"DNS")))))),IF(Deltagarlista!$K$3=2,
IF(ISBLANK(Deltagarlista!$C39),"",IF(ISBLANK(Arrangörslista!H$53),"",IF($GV32=AD$64," DNS ",IFERROR(VLOOKUP($F32,Arrangörslista!H$53:$AG$90,16,FALSE),"DNS")))),IF(ISBLANK(Deltagarlista!$C39),"",IF(ISBLANK(Arrangörslista!H$53),"",IFERROR(VLOOKUP($F32,Arrangörslista!H$53:$AG$90,16,FALSE),"DNS")))))</f>
        <v/>
      </c>
      <c r="AE32" s="5" t="str">
        <f>IF(Deltagarlista!$K$3=4,IF(ISBLANK(Deltagarlista!$C39),"",IF(ISBLANK(Arrangörslista!O$98),"",IFERROR(VLOOKUP($F32,Arrangörslista!O$98:$AG$135,16,FALSE),IF(ISBLANK(Deltagarlista!$C39),"",IF(ISBLANK(Arrangörslista!O$98),"",IFERROR(VLOOKUP($F32,Arrangörslista!P$98:$AG$135,16,FALSE),"DNS")))))),IF(Deltagarlista!$K$3=2,
IF(ISBLANK(Deltagarlista!$C39),"",IF(ISBLANK(Arrangörslista!I$53),"",IF($GV32=AE$64," DNS ",IFERROR(VLOOKUP($F32,Arrangörslista!I$53:$AG$90,16,FALSE),"DNS")))),IF(ISBLANK(Deltagarlista!$C39),"",IF(ISBLANK(Arrangörslista!I$53),"",IFERROR(VLOOKUP($F32,Arrangörslista!I$53:$AG$90,16,FALSE),"DNS")))))</f>
        <v/>
      </c>
      <c r="AF32" s="5" t="str">
        <f>IF(Deltagarlista!$K$3=4,IF(ISBLANK(Deltagarlista!$C39),"",IF(ISBLANK(Arrangörslista!Q$98),"",IFERROR(VLOOKUP($F32,Arrangörslista!Q$98:$AG$135,16,FALSE),IF(ISBLANK(Deltagarlista!$C39),"",IF(ISBLANK(Arrangörslista!Q$98),"",IFERROR(VLOOKUP($F32,Arrangörslista!C$143:$AG$180,16,FALSE),"DNS")))))),IF(Deltagarlista!$K$3=2,
IF(ISBLANK(Deltagarlista!$C39),"",IF(ISBLANK(Arrangörslista!J$53),"",IF($GV32=AF$64," DNS ",IFERROR(VLOOKUP($F32,Arrangörslista!J$53:$AG$90,16,FALSE),"DNS")))),IF(ISBLANK(Deltagarlista!$C39),"",IF(ISBLANK(Arrangörslista!J$53),"",IFERROR(VLOOKUP($F32,Arrangörslista!J$53:$AG$90,16,FALSE),"DNS")))))</f>
        <v/>
      </c>
      <c r="AG32" s="5" t="str">
        <f>IF(Deltagarlista!$K$3=4,IF(ISBLANK(Deltagarlista!$C39),"",IF(ISBLANK(Arrangörslista!D$143),"",IFERROR(VLOOKUP($F32,Arrangörslista!D$143:$AG$180,16,FALSE),IF(ISBLANK(Deltagarlista!$C39),"",IF(ISBLANK(Arrangörslista!D$143),"",IFERROR(VLOOKUP($F32,Arrangörslista!E$143:$AG$180,16,FALSE),"DNS")))))),IF(Deltagarlista!$K$3=2,
IF(ISBLANK(Deltagarlista!$C39),"",IF(ISBLANK(Arrangörslista!K$53),"",IF($GV32=AG$64," DNS ",IFERROR(VLOOKUP($F32,Arrangörslista!K$53:$AG$90,16,FALSE),"DNS")))),IF(ISBLANK(Deltagarlista!$C39),"",IF(ISBLANK(Arrangörslista!K$53),"",IFERROR(VLOOKUP($F32,Arrangörslista!K$53:$AG$90,16,FALSE),"DNS")))))</f>
        <v/>
      </c>
      <c r="AH32" s="5" t="str">
        <f>IF(Deltagarlista!$K$3=4,IF(ISBLANK(Deltagarlista!$C39),"",IF(ISBLANK(Arrangörslista!F$143),"",IFERROR(VLOOKUP($F32,Arrangörslista!F$143:$AG$180,16,FALSE),IF(ISBLANK(Deltagarlista!$C39),"",IF(ISBLANK(Arrangörslista!F$143),"",IFERROR(VLOOKUP($F32,Arrangörslista!G$143:$AG$180,16,FALSE),"DNS")))))),IF(Deltagarlista!$K$3=2,
IF(ISBLANK(Deltagarlista!$C39),"",IF(ISBLANK(Arrangörslista!L$53),"",IF($GV32=AH$64," DNS ",IFERROR(VLOOKUP($F32,Arrangörslista!L$53:$AG$90,16,FALSE),"DNS")))),IF(ISBLANK(Deltagarlista!$C39),"",IF(ISBLANK(Arrangörslista!L$53),"",IFERROR(VLOOKUP($F32,Arrangörslista!L$53:$AG$90,16,FALSE),"DNS")))))</f>
        <v/>
      </c>
      <c r="AI32" s="5" t="str">
        <f>IF(Deltagarlista!$K$3=4,IF(ISBLANK(Deltagarlista!$C39),"",IF(ISBLANK(Arrangörslista!H$143),"",IFERROR(VLOOKUP($F32,Arrangörslista!H$143:$AG$180,16,FALSE),IF(ISBLANK(Deltagarlista!$C39),"",IF(ISBLANK(Arrangörslista!H$143),"",IFERROR(VLOOKUP($F32,Arrangörslista!I$143:$AG$180,16,FALSE),"DNS")))))),IF(Deltagarlista!$K$3=2,
IF(ISBLANK(Deltagarlista!$C39),"",IF(ISBLANK(Arrangörslista!M$53),"",IF($GV32=AI$64," DNS ",IFERROR(VLOOKUP($F32,Arrangörslista!M$53:$AG$90,16,FALSE),"DNS")))),IF(ISBLANK(Deltagarlista!$C39),"",IF(ISBLANK(Arrangörslista!M$53),"",IFERROR(VLOOKUP($F32,Arrangörslista!M$53:$AG$90,16,FALSE),"DNS")))))</f>
        <v/>
      </c>
      <c r="AJ32" s="5" t="str">
        <f>IF(Deltagarlista!$K$3=4,IF(ISBLANK(Deltagarlista!$C39),"",IF(ISBLANK(Arrangörslista!J$143),"",IFERROR(VLOOKUP($F32,Arrangörslista!J$143:$AG$180,16,FALSE),IF(ISBLANK(Deltagarlista!$C39),"",IF(ISBLANK(Arrangörslista!J$143),"",IFERROR(VLOOKUP($F32,Arrangörslista!K$143:$AG$180,16,FALSE),"DNS")))))),IF(Deltagarlista!$K$3=2,
IF(ISBLANK(Deltagarlista!$C39),"",IF(ISBLANK(Arrangörslista!N$53),"",IF($GV32=AJ$64," DNS ",IFERROR(VLOOKUP($F32,Arrangörslista!N$53:$AG$90,16,FALSE),"DNS")))),IF(ISBLANK(Deltagarlista!$C39),"",IF(ISBLANK(Arrangörslista!N$53),"",IFERROR(VLOOKUP($F32,Arrangörslista!N$53:$AG$90,16,FALSE),"DNS")))))</f>
        <v/>
      </c>
      <c r="AK32" s="5" t="str">
        <f>IF(Deltagarlista!$K$3=4,IF(ISBLANK(Deltagarlista!$C39),"",IF(ISBLANK(Arrangörslista!L$143),"",IFERROR(VLOOKUP($F32,Arrangörslista!L$143:$AG$180,16,FALSE),IF(ISBLANK(Deltagarlista!$C39),"",IF(ISBLANK(Arrangörslista!L$143),"",IFERROR(VLOOKUP($F32,Arrangörslista!M$143:$AG$180,16,FALSE),"DNS")))))),IF(Deltagarlista!$K$3=2,
IF(ISBLANK(Deltagarlista!$C39),"",IF(ISBLANK(Arrangörslista!O$53),"",IF($GV32=AK$64," DNS ",IFERROR(VLOOKUP($F32,Arrangörslista!O$53:$AG$90,16,FALSE),"DNS")))),IF(ISBLANK(Deltagarlista!$C39),"",IF(ISBLANK(Arrangörslista!O$53),"",IFERROR(VLOOKUP($F32,Arrangörslista!O$53:$AG$90,16,FALSE),"DNS")))))</f>
        <v/>
      </c>
      <c r="AL32" s="5" t="str">
        <f>IF(Deltagarlista!$K$3=4,IF(ISBLANK(Deltagarlista!$C39),"",IF(ISBLANK(Arrangörslista!N$143),"",IFERROR(VLOOKUP($F32,Arrangörslista!N$143:$AG$180,16,FALSE),IF(ISBLANK(Deltagarlista!$C39),"",IF(ISBLANK(Arrangörslista!N$143),"",IFERROR(VLOOKUP($F32,Arrangörslista!O$143:$AG$180,16,FALSE),"DNS")))))),IF(Deltagarlista!$K$3=2,
IF(ISBLANK(Deltagarlista!$C39),"",IF(ISBLANK(Arrangörslista!P$53),"",IF($GV32=AL$64," DNS ",IFERROR(VLOOKUP($F32,Arrangörslista!P$53:$AG$90,16,FALSE),"DNS")))),IF(ISBLANK(Deltagarlista!$C39),"",IF(ISBLANK(Arrangörslista!P$53),"",IFERROR(VLOOKUP($F32,Arrangörslista!P$53:$AG$90,16,FALSE),"DNS")))))</f>
        <v/>
      </c>
      <c r="AM32" s="5" t="str">
        <f>IF(Deltagarlista!$K$3=4,IF(ISBLANK(Deltagarlista!$C39),"",IF(ISBLANK(Arrangörslista!P$143),"",IFERROR(VLOOKUP($F32,Arrangörslista!P$143:$AG$180,16,FALSE),IF(ISBLANK(Deltagarlista!$C39),"",IF(ISBLANK(Arrangörslista!P$143),"",IFERROR(VLOOKUP($F32,Arrangörslista!Q$143:$AG$180,16,FALSE),"DNS")))))),IF(Deltagarlista!$K$3=2,
IF(ISBLANK(Deltagarlista!$C39),"",IF(ISBLANK(Arrangörslista!Q$53),"",IF($GV32=AM$64," DNS ",IFERROR(VLOOKUP($F32,Arrangörslista!Q$53:$AG$90,16,FALSE),"DNS")))),IF(ISBLANK(Deltagarlista!$C39),"",IF(ISBLANK(Arrangörslista!Q$53),"",IFERROR(VLOOKUP($F32,Arrangörslista!Q$53:$AG$90,16,FALSE),"DNS")))))</f>
        <v/>
      </c>
      <c r="AN32" s="5" t="str">
        <f>IF(Deltagarlista!$K$3=2,
IF(ISBLANK(Deltagarlista!$C39),"",IF(ISBLANK(Arrangörslista!C$98),"",IF($GV32=AN$64," DNS ",IFERROR(VLOOKUP($F32,Arrangörslista!C$98:$AG$135,16,FALSE), "DNS")))), IF(Deltagarlista!$K$3=1,IF(ISBLANK(Deltagarlista!$C39),"",IF(ISBLANK(Arrangörslista!C$98),"",IFERROR(VLOOKUP($F32,Arrangörslista!C$98:$AG$135,16,FALSE), "DNS"))),""))</f>
        <v/>
      </c>
      <c r="AO32" s="5" t="str">
        <f>IF(Deltagarlista!$K$3=2,
IF(ISBLANK(Deltagarlista!$C39),"",IF(ISBLANK(Arrangörslista!D$98),"",IF($GV32=AO$64," DNS ",IFERROR(VLOOKUP($F32,Arrangörslista!D$98:$AG$135,16,FALSE), "DNS")))), IF(Deltagarlista!$K$3=1,IF(ISBLANK(Deltagarlista!$C39),"",IF(ISBLANK(Arrangörslista!D$98),"",IFERROR(VLOOKUP($F32,Arrangörslista!D$98:$AG$135,16,FALSE), "DNS"))),""))</f>
        <v/>
      </c>
      <c r="AP32" s="5" t="str">
        <f>IF(Deltagarlista!$K$3=2,
IF(ISBLANK(Deltagarlista!$C39),"",IF(ISBLANK(Arrangörslista!E$98),"",IF($GV32=AP$64," DNS ",IFERROR(VLOOKUP($F32,Arrangörslista!E$98:$AG$135,16,FALSE), "DNS")))), IF(Deltagarlista!$K$3=1,IF(ISBLANK(Deltagarlista!$C39),"",IF(ISBLANK(Arrangörslista!E$98),"",IFERROR(VLOOKUP($F32,Arrangörslista!E$98:$AG$135,16,FALSE), "DNS"))),""))</f>
        <v/>
      </c>
      <c r="AQ32" s="5" t="str">
        <f>IF(Deltagarlista!$K$3=2,
IF(ISBLANK(Deltagarlista!$C39),"",IF(ISBLANK(Arrangörslista!F$98),"",IF($GV32=AQ$64," DNS ",IFERROR(VLOOKUP($F32,Arrangörslista!F$98:$AG$135,16,FALSE), "DNS")))), IF(Deltagarlista!$K$3=1,IF(ISBLANK(Deltagarlista!$C39),"",IF(ISBLANK(Arrangörslista!F$98),"",IFERROR(VLOOKUP($F32,Arrangörslista!F$98:$AG$135,16,FALSE), "DNS"))),""))</f>
        <v/>
      </c>
      <c r="AR32" s="5" t="str">
        <f>IF(Deltagarlista!$K$3=2,
IF(ISBLANK(Deltagarlista!$C39),"",IF(ISBLANK(Arrangörslista!G$98),"",IF($GV32=AR$64," DNS ",IFERROR(VLOOKUP($F32,Arrangörslista!G$98:$AG$135,16,FALSE), "DNS")))), IF(Deltagarlista!$K$3=1,IF(ISBLANK(Deltagarlista!$C39),"",IF(ISBLANK(Arrangörslista!G$98),"",IFERROR(VLOOKUP($F32,Arrangörslista!G$98:$AG$135,16,FALSE), "DNS"))),""))</f>
        <v/>
      </c>
      <c r="AS32" s="5" t="str">
        <f>IF(Deltagarlista!$K$3=2,
IF(ISBLANK(Deltagarlista!$C39),"",IF(ISBLANK(Arrangörslista!H$98),"",IF($GV32=AS$64," DNS ",IFERROR(VLOOKUP($F32,Arrangörslista!H$98:$AG$135,16,FALSE), "DNS")))), IF(Deltagarlista!$K$3=1,IF(ISBLANK(Deltagarlista!$C39),"",IF(ISBLANK(Arrangörslista!H$98),"",IFERROR(VLOOKUP($F32,Arrangörslista!H$98:$AG$135,16,FALSE), "DNS"))),""))</f>
        <v/>
      </c>
      <c r="AT32" s="5" t="str">
        <f>IF(Deltagarlista!$K$3=2,
IF(ISBLANK(Deltagarlista!$C39),"",IF(ISBLANK(Arrangörslista!I$98),"",IF($GV32=AT$64," DNS ",IFERROR(VLOOKUP($F32,Arrangörslista!I$98:$AG$135,16,FALSE), "DNS")))), IF(Deltagarlista!$K$3=1,IF(ISBLANK(Deltagarlista!$C39),"",IF(ISBLANK(Arrangörslista!I$98),"",IFERROR(VLOOKUP($F32,Arrangörslista!I$98:$AG$135,16,FALSE), "DNS"))),""))</f>
        <v/>
      </c>
      <c r="AU32" s="5" t="str">
        <f>IF(Deltagarlista!$K$3=2,
IF(ISBLANK(Deltagarlista!$C39),"",IF(ISBLANK(Arrangörslista!J$98),"",IF($GV32=AU$64," DNS ",IFERROR(VLOOKUP($F32,Arrangörslista!J$98:$AG$135,16,FALSE), "DNS")))), IF(Deltagarlista!$K$3=1,IF(ISBLANK(Deltagarlista!$C39),"",IF(ISBLANK(Arrangörslista!J$98),"",IFERROR(VLOOKUP($F32,Arrangörslista!J$98:$AG$135,16,FALSE), "DNS"))),""))</f>
        <v/>
      </c>
      <c r="AV32" s="5" t="str">
        <f>IF(Deltagarlista!$K$3=2,
IF(ISBLANK(Deltagarlista!$C39),"",IF(ISBLANK(Arrangörslista!K$98),"",IF($GV32=AV$64," DNS ",IFERROR(VLOOKUP($F32,Arrangörslista!K$98:$AG$135,16,FALSE), "DNS")))), IF(Deltagarlista!$K$3=1,IF(ISBLANK(Deltagarlista!$C39),"",IF(ISBLANK(Arrangörslista!K$98),"",IFERROR(VLOOKUP($F32,Arrangörslista!K$98:$AG$135,16,FALSE), "DNS"))),""))</f>
        <v/>
      </c>
      <c r="AW32" s="5" t="str">
        <f>IF(Deltagarlista!$K$3=2,
IF(ISBLANK(Deltagarlista!$C39),"",IF(ISBLANK(Arrangörslista!L$98),"",IF($GV32=AW$64," DNS ",IFERROR(VLOOKUP($F32,Arrangörslista!L$98:$AG$135,16,FALSE), "DNS")))), IF(Deltagarlista!$K$3=1,IF(ISBLANK(Deltagarlista!$C39),"",IF(ISBLANK(Arrangörslista!L$98),"",IFERROR(VLOOKUP($F32,Arrangörslista!L$98:$AG$135,16,FALSE), "DNS"))),""))</f>
        <v/>
      </c>
      <c r="AX32" s="5" t="str">
        <f>IF(Deltagarlista!$K$3=2,
IF(ISBLANK(Deltagarlista!$C39),"",IF(ISBLANK(Arrangörslista!M$98),"",IF($GV32=AX$64," DNS ",IFERROR(VLOOKUP($F32,Arrangörslista!M$98:$AG$135,16,FALSE), "DNS")))), IF(Deltagarlista!$K$3=1,IF(ISBLANK(Deltagarlista!$C39),"",IF(ISBLANK(Arrangörslista!M$98),"",IFERROR(VLOOKUP($F32,Arrangörslista!M$98:$AG$135,16,FALSE), "DNS"))),""))</f>
        <v/>
      </c>
      <c r="AY32" s="5" t="str">
        <f>IF(Deltagarlista!$K$3=2,
IF(ISBLANK(Deltagarlista!$C39),"",IF(ISBLANK(Arrangörslista!N$98),"",IF($GV32=AY$64," DNS ",IFERROR(VLOOKUP($F32,Arrangörslista!N$98:$AG$135,16,FALSE), "DNS")))), IF(Deltagarlista!$K$3=1,IF(ISBLANK(Deltagarlista!$C39),"",IF(ISBLANK(Arrangörslista!N$98),"",IFERROR(VLOOKUP($F32,Arrangörslista!N$98:$AG$135,16,FALSE), "DNS"))),""))</f>
        <v/>
      </c>
      <c r="AZ32" s="5" t="str">
        <f>IF(Deltagarlista!$K$3=2,
IF(ISBLANK(Deltagarlista!$C39),"",IF(ISBLANK(Arrangörslista!O$98),"",IF($GV32=AZ$64," DNS ",IFERROR(VLOOKUP($F32,Arrangörslista!O$98:$AG$135,16,FALSE), "DNS")))), IF(Deltagarlista!$K$3=1,IF(ISBLANK(Deltagarlista!$C39),"",IF(ISBLANK(Arrangörslista!O$98),"",IFERROR(VLOOKUP($F32,Arrangörslista!O$98:$AG$135,16,FALSE), "DNS"))),""))</f>
        <v/>
      </c>
      <c r="BA32" s="5" t="str">
        <f>IF(Deltagarlista!$K$3=2,
IF(ISBLANK(Deltagarlista!$C39),"",IF(ISBLANK(Arrangörslista!P$98),"",IF($GV32=BA$64," DNS ",IFERROR(VLOOKUP($F32,Arrangörslista!P$98:$AG$135,16,FALSE), "DNS")))), IF(Deltagarlista!$K$3=1,IF(ISBLANK(Deltagarlista!$C39),"",IF(ISBLANK(Arrangörslista!P$98),"",IFERROR(VLOOKUP($F32,Arrangörslista!P$98:$AG$135,16,FALSE), "DNS"))),""))</f>
        <v/>
      </c>
      <c r="BB32" s="5" t="str">
        <f>IF(Deltagarlista!$K$3=2,
IF(ISBLANK(Deltagarlista!$C39),"",IF(ISBLANK(Arrangörslista!Q$98),"",IF($GV32=BB$64," DNS ",IFERROR(VLOOKUP($F32,Arrangörslista!Q$98:$AG$135,16,FALSE), "DNS")))), IF(Deltagarlista!$K$3=1,IF(ISBLANK(Deltagarlista!$C39),"",IF(ISBLANK(Arrangörslista!Q$98),"",IFERROR(VLOOKUP($F32,Arrangörslista!Q$98:$AG$135,16,FALSE), "DNS"))),""))</f>
        <v/>
      </c>
      <c r="BC32" s="5" t="str">
        <f>IF(Deltagarlista!$K$3=2,
IF(ISBLANK(Deltagarlista!$C39),"",IF(ISBLANK(Arrangörslista!C$143),"",IF($GV32=BC$64," DNS ",IFERROR(VLOOKUP($F32,Arrangörslista!C$143:$AG$180,16,FALSE), "DNS")))), IF(Deltagarlista!$K$3=1,IF(ISBLANK(Deltagarlista!$C39),"",IF(ISBLANK(Arrangörslista!C$143),"",IFERROR(VLOOKUP($F32,Arrangörslista!C$143:$AG$180,16,FALSE), "DNS"))),""))</f>
        <v/>
      </c>
      <c r="BD32" s="5" t="str">
        <f>IF(Deltagarlista!$K$3=2,
IF(ISBLANK(Deltagarlista!$C39),"",IF(ISBLANK(Arrangörslista!D$143),"",IF($GV32=BD$64," DNS ",IFERROR(VLOOKUP($F32,Arrangörslista!D$143:$AG$180,16,FALSE), "DNS")))), IF(Deltagarlista!$K$3=1,IF(ISBLANK(Deltagarlista!$C39),"",IF(ISBLANK(Arrangörslista!D$143),"",IFERROR(VLOOKUP($F32,Arrangörslista!D$143:$AG$180,16,FALSE), "DNS"))),""))</f>
        <v/>
      </c>
      <c r="BE32" s="5" t="str">
        <f>IF(Deltagarlista!$K$3=2,
IF(ISBLANK(Deltagarlista!$C39),"",IF(ISBLANK(Arrangörslista!E$143),"",IF($GV32=BE$64," DNS ",IFERROR(VLOOKUP($F32,Arrangörslista!E$143:$AG$180,16,FALSE), "DNS")))), IF(Deltagarlista!$K$3=1,IF(ISBLANK(Deltagarlista!$C39),"",IF(ISBLANK(Arrangörslista!E$143),"",IFERROR(VLOOKUP($F32,Arrangörslista!E$143:$AG$180,16,FALSE), "DNS"))),""))</f>
        <v/>
      </c>
      <c r="BF32" s="5" t="str">
        <f>IF(Deltagarlista!$K$3=2,
IF(ISBLANK(Deltagarlista!$C39),"",IF(ISBLANK(Arrangörslista!F$143),"",IF($GV32=BF$64," DNS ",IFERROR(VLOOKUP($F32,Arrangörslista!F$143:$AG$180,16,FALSE), "DNS")))), IF(Deltagarlista!$K$3=1,IF(ISBLANK(Deltagarlista!$C39),"",IF(ISBLANK(Arrangörslista!F$143),"",IFERROR(VLOOKUP($F32,Arrangörslista!F$143:$AG$180,16,FALSE), "DNS"))),""))</f>
        <v/>
      </c>
      <c r="BG32" s="5" t="str">
        <f>IF(Deltagarlista!$K$3=2,
IF(ISBLANK(Deltagarlista!$C39),"",IF(ISBLANK(Arrangörslista!G$143),"",IF($GV32=BG$64," DNS ",IFERROR(VLOOKUP($F32,Arrangörslista!G$143:$AG$180,16,FALSE), "DNS")))), IF(Deltagarlista!$K$3=1,IF(ISBLANK(Deltagarlista!$C39),"",IF(ISBLANK(Arrangörslista!G$143),"",IFERROR(VLOOKUP($F32,Arrangörslista!G$143:$AG$180,16,FALSE), "DNS"))),""))</f>
        <v/>
      </c>
      <c r="BH32" s="5" t="str">
        <f>IF(Deltagarlista!$K$3=2,
IF(ISBLANK(Deltagarlista!$C39),"",IF(ISBLANK(Arrangörslista!H$143),"",IF($GV32=BH$64," DNS ",IFERROR(VLOOKUP($F32,Arrangörslista!H$143:$AG$180,16,FALSE), "DNS")))), IF(Deltagarlista!$K$3=1,IF(ISBLANK(Deltagarlista!$C39),"",IF(ISBLANK(Arrangörslista!H$143),"",IFERROR(VLOOKUP($F32,Arrangörslista!H$143:$AG$180,16,FALSE), "DNS"))),""))</f>
        <v/>
      </c>
      <c r="BI32" s="5" t="str">
        <f>IF(Deltagarlista!$K$3=2,
IF(ISBLANK(Deltagarlista!$C39),"",IF(ISBLANK(Arrangörslista!I$143),"",IF($GV32=BI$64," DNS ",IFERROR(VLOOKUP($F32,Arrangörslista!I$143:$AG$180,16,FALSE), "DNS")))), IF(Deltagarlista!$K$3=1,IF(ISBLANK(Deltagarlista!$C39),"",IF(ISBLANK(Arrangörslista!I$143),"",IFERROR(VLOOKUP($F32,Arrangörslista!I$143:$AG$180,16,FALSE), "DNS"))),""))</f>
        <v/>
      </c>
      <c r="BJ32" s="5" t="str">
        <f>IF(Deltagarlista!$K$3=2,
IF(ISBLANK(Deltagarlista!$C39),"",IF(ISBLANK(Arrangörslista!J$143),"",IF($GV32=BJ$64," DNS ",IFERROR(VLOOKUP($F32,Arrangörslista!J$143:$AG$180,16,FALSE), "DNS")))), IF(Deltagarlista!$K$3=1,IF(ISBLANK(Deltagarlista!$C39),"",IF(ISBLANK(Arrangörslista!J$143),"",IFERROR(VLOOKUP($F32,Arrangörslista!J$143:$AG$180,16,FALSE), "DNS"))),""))</f>
        <v/>
      </c>
      <c r="BK32" s="5" t="str">
        <f>IF(Deltagarlista!$K$3=2,
IF(ISBLANK(Deltagarlista!$C39),"",IF(ISBLANK(Arrangörslista!K$143),"",IF($GV32=BK$64," DNS ",IFERROR(VLOOKUP($F32,Arrangörslista!K$143:$AG$180,16,FALSE), "DNS")))), IF(Deltagarlista!$K$3=1,IF(ISBLANK(Deltagarlista!$C39),"",IF(ISBLANK(Arrangörslista!K$143),"",IFERROR(VLOOKUP($F32,Arrangörslista!K$143:$AG$180,16,FALSE), "DNS"))),""))</f>
        <v/>
      </c>
      <c r="BL32" s="5" t="str">
        <f>IF(Deltagarlista!$K$3=2,
IF(ISBLANK(Deltagarlista!$C39),"",IF(ISBLANK(Arrangörslista!L$143),"",IF($GV32=BL$64," DNS ",IFERROR(VLOOKUP($F32,Arrangörslista!L$143:$AG$180,16,FALSE), "DNS")))), IF(Deltagarlista!$K$3=1,IF(ISBLANK(Deltagarlista!$C39),"",IF(ISBLANK(Arrangörslista!L$143),"",IFERROR(VLOOKUP($F32,Arrangörslista!L$143:$AG$180,16,FALSE), "DNS"))),""))</f>
        <v/>
      </c>
      <c r="BM32" s="5" t="str">
        <f>IF(Deltagarlista!$K$3=2,
IF(ISBLANK(Deltagarlista!$C39),"",IF(ISBLANK(Arrangörslista!M$143),"",IF($GV32=BM$64," DNS ",IFERROR(VLOOKUP($F32,Arrangörslista!M$143:$AG$180,16,FALSE), "DNS")))), IF(Deltagarlista!$K$3=1,IF(ISBLANK(Deltagarlista!$C39),"",IF(ISBLANK(Arrangörslista!M$143),"",IFERROR(VLOOKUP($F32,Arrangörslista!M$143:$AG$180,16,FALSE), "DNS"))),""))</f>
        <v/>
      </c>
      <c r="BN32" s="5" t="str">
        <f>IF(Deltagarlista!$K$3=2,
IF(ISBLANK(Deltagarlista!$C39),"",IF(ISBLANK(Arrangörslista!N$143),"",IF($GV32=BN$64," DNS ",IFERROR(VLOOKUP($F32,Arrangörslista!N$143:$AG$180,16,FALSE), "DNS")))), IF(Deltagarlista!$K$3=1,IF(ISBLANK(Deltagarlista!$C39),"",IF(ISBLANK(Arrangörslista!N$143),"",IFERROR(VLOOKUP($F32,Arrangörslista!N$143:$AG$180,16,FALSE), "DNS"))),""))</f>
        <v/>
      </c>
      <c r="BO32" s="5" t="str">
        <f>IF(Deltagarlista!$K$3=2,
IF(ISBLANK(Deltagarlista!$C39),"",IF(ISBLANK(Arrangörslista!O$143),"",IF($GV32=BO$64," DNS ",IFERROR(VLOOKUP($F32,Arrangörslista!O$143:$AG$180,16,FALSE), "DNS")))), IF(Deltagarlista!$K$3=1,IF(ISBLANK(Deltagarlista!$C39),"",IF(ISBLANK(Arrangörslista!O$143),"",IFERROR(VLOOKUP($F32,Arrangörslista!O$143:$AG$180,16,FALSE), "DNS"))),""))</f>
        <v/>
      </c>
      <c r="BP32" s="5" t="str">
        <f>IF(Deltagarlista!$K$3=2,
IF(ISBLANK(Deltagarlista!$C39),"",IF(ISBLANK(Arrangörslista!P$143),"",IF($GV32=BP$64," DNS ",IFERROR(VLOOKUP($F32,Arrangörslista!P$143:$AG$180,16,FALSE), "DNS")))), IF(Deltagarlista!$K$3=1,IF(ISBLANK(Deltagarlista!$C39),"",IF(ISBLANK(Arrangörslista!P$143),"",IFERROR(VLOOKUP($F32,Arrangörslista!P$143:$AG$180,16,FALSE), "DNS"))),""))</f>
        <v/>
      </c>
      <c r="BQ32" s="80" t="str">
        <f>IF(Deltagarlista!$K$3=2,
IF(ISBLANK(Deltagarlista!$C39),"",IF(ISBLANK(Arrangörslista!Q$143),"",IF($GV32=BQ$64," DNS ",IFERROR(VLOOKUP($F32,Arrangörslista!Q$143:$AG$180,16,FALSE), "DNS")))), IF(Deltagarlista!$K$3=1,IF(ISBLANK(Deltagarlista!$C39),"",IF(ISBLANK(Arrangörslista!Q$143),"",IFERROR(VLOOKUP($F32,Arrangörslista!Q$143:$AG$180,16,FALSE), "DNS"))),""))</f>
        <v/>
      </c>
      <c r="BR32" s="51"/>
      <c r="BS32" s="51"/>
      <c r="BT32" s="51"/>
      <c r="BU32" s="71">
        <f>SUM(BV32:EC32)</f>
        <v>0</v>
      </c>
      <c r="BV32" s="61">
        <f>IF(J32="",0,IF(OR(J32="DNF",J32="OCS",J32="DSQ",J32="DNS",J32=" DNS "),$BW$3+1,J32))</f>
        <v>0</v>
      </c>
      <c r="BW32" s="61">
        <f>IF(K32="",0,IF(OR(K32="DNF",K32="OCS",K32="DSQ",K32="DNS",K32=" DNS "),$BW$3+1,K32))</f>
        <v>0</v>
      </c>
      <c r="BX32" s="61">
        <f>IF(L32="",0,IF(OR(L32="DNF",L32="OCS",L32="DSQ",L32="DNS",L32=" DNS "),$BW$3+1,L32))</f>
        <v>0</v>
      </c>
      <c r="BY32" s="61">
        <f>IF(M32="",0,IF(OR(M32="DNF",M32="OCS",M32="DSQ",M32="DNS",M32=" DNS "),$BW$3+1,M32))</f>
        <v>0</v>
      </c>
      <c r="BZ32" s="61">
        <f>IF(N32="",0,IF(OR(N32="DNF",N32="OCS",N32="DSQ",N32="DNS",N32=" DNS "),$BW$3+1,N32))</f>
        <v>0</v>
      </c>
      <c r="CA32" s="61">
        <f>IF(O32="",0,IF(OR(O32="DNF",O32="OCS",O32="DSQ",O32="DNS",O32=" DNS "),$BW$3+1,O32))</f>
        <v>0</v>
      </c>
      <c r="CB32" s="61">
        <f>IF(P32="",0,IF(OR(P32="DNF",P32="OCS",P32="DSQ",P32="DNS",P32=" DNS "),$BW$3+1,P32))</f>
        <v>0</v>
      </c>
      <c r="CC32" s="61">
        <f>IF(Q32="",0,IF(OR(Q32="DNF",Q32="OCS",Q32="DSQ",Q32="DNS",Q32=" DNS "),$BW$3+1,Q32))</f>
        <v>0</v>
      </c>
      <c r="CD32" s="61">
        <f>IF(R32="",0,IF(OR(R32="DNF",R32="OCS",R32="DSQ",R32="DNS",R32=" DNS "),$BW$3+1,R32))</f>
        <v>0</v>
      </c>
      <c r="CE32" s="61">
        <f>IF(S32="",0,IF(OR(S32="DNF",S32="OCS",S32="DSQ",S32="DNS",S32=" DNS "),$BW$3+1,S32))</f>
        <v>0</v>
      </c>
      <c r="CF32" s="61">
        <f>IF(T32="",0,IF(OR(T32="DNF",T32="OCS",T32="DSQ",T32="DNS",T32=" DNS "),$BW$3+1,T32))</f>
        <v>0</v>
      </c>
      <c r="CG32" s="61">
        <f>IF(U32="",0,IF(OR(U32="DNF",U32="OCS",U32="DSQ",U32="DNS",U32=" DNS "),$BW$3+1,U32))</f>
        <v>0</v>
      </c>
      <c r="CH32" s="61">
        <f>IF(V32="",0,IF(OR(V32="DNF",V32="OCS",V32="DSQ",V32="DNS",V32=" DNS "),$BW$3+1,V32))</f>
        <v>0</v>
      </c>
      <c r="CI32" s="61">
        <f>IF(W32="",0,IF(OR(W32="DNF",W32="OCS",W32="DSQ",W32="DNS",W32=" DNS "),$BW$3+1,W32))</f>
        <v>0</v>
      </c>
      <c r="CJ32" s="61">
        <f>IF(X32="",0,IF(OR(X32="DNF",X32="OCS",X32="DSQ",X32="DNS",X32=" DNS "),$BW$3+1,X32))</f>
        <v>0</v>
      </c>
      <c r="CK32" s="61">
        <f>IF(Y32="",0,IF(OR(Y32="DNF",Y32="OCS",Y32="DSQ",Y32="DNS",Y32=" DNS "),$BW$3+1,Y32))</f>
        <v>0</v>
      </c>
      <c r="CL32" s="61">
        <f>IF(Z32="",0,IF(OR(Z32="DNF",Z32="OCS",Z32="DSQ",Z32="DNS",Z32=" DNS "),$BW$3+1,Z32))</f>
        <v>0</v>
      </c>
      <c r="CM32" s="61">
        <f>IF(AA32="",0,IF(OR(AA32="DNF",AA32="OCS",AA32="DSQ",AA32="DNS",AA32=" DNS "),$BW$3+1,AA32))</f>
        <v>0</v>
      </c>
      <c r="CN32" s="61">
        <f>IF(AB32="",0,IF(OR(AB32="DNF",AB32="OCS",AB32="DSQ",AB32="DNS",AB32=" DNS "),$BW$3+1,AB32))</f>
        <v>0</v>
      </c>
      <c r="CO32" s="61">
        <f>IF(AC32="",0,IF(OR(AC32="DNF",AC32="OCS",AC32="DSQ",AC32="DNS",AC32=" DNS "),$BW$3+1,AC32))</f>
        <v>0</v>
      </c>
      <c r="CP32" s="61">
        <f>IF(AD32="",0,IF(OR(AD32="DNF",AD32="OCS",AD32="DSQ",AD32="DNS",AD32=" DNS "),$BW$3+1,AD32))</f>
        <v>0</v>
      </c>
      <c r="CQ32" s="61">
        <f>IF(AE32="",0,IF(OR(AE32="DNF",AE32="OCS",AE32="DSQ",AE32="DNS",AE32=" DNS "),$BW$3+1,AE32))</f>
        <v>0</v>
      </c>
      <c r="CR32" s="61">
        <f>IF(AF32="",0,IF(OR(AF32="DNF",AF32="OCS",AF32="DSQ",AF32="DNS",AF32=" DNS "),$BW$3+1,AF32))</f>
        <v>0</v>
      </c>
      <c r="CS32" s="61">
        <f>IF(AG32="",0,IF(OR(AG32="DNF",AG32="OCS",AG32="DSQ",AG32="DNS",AG32=" DNS "),$BW$3+1,AG32))</f>
        <v>0</v>
      </c>
      <c r="CT32" s="61">
        <f>IF(AH32="",0,IF(OR(AH32="DNF",AH32="OCS",AH32="DSQ",AH32="DNS",AH32=" DNS "),$BW$3+1,AH32))</f>
        <v>0</v>
      </c>
      <c r="CU32" s="61">
        <f>IF(AI32="",0,IF(OR(AI32="DNF",AI32="OCS",AI32="DSQ",AI32="DNS",AI32=" DNS "),$BW$3+1,AI32))</f>
        <v>0</v>
      </c>
      <c r="CV32" s="61">
        <f>IF(AJ32="",0,IF(OR(AJ32="DNF",AJ32="OCS",AJ32="DSQ",AJ32="DNS",AJ32=" DNS "),$BW$3+1,AJ32))</f>
        <v>0</v>
      </c>
      <c r="CW32" s="61">
        <f>IF(AK32="",0,IF(OR(AK32="DNF",AK32="OCS",AK32="DSQ",AK32="DNS",AK32=" DNS "),$BW$3+1,AK32))</f>
        <v>0</v>
      </c>
      <c r="CX32" s="61">
        <f>IF(AL32="",0,IF(OR(AL32="DNF",AL32="OCS",AL32="DSQ",AL32="DNS",AL32=" DNS "),$BW$3+1,AL32))</f>
        <v>0</v>
      </c>
      <c r="CY32" s="61">
        <f>IF(AM32="",0,IF(OR(AM32="DNF",AM32="OCS",AM32="DSQ",AM32="DNS",AM32=" DNS "),$BW$3+1,AM32))</f>
        <v>0</v>
      </c>
      <c r="CZ32" s="61">
        <f>IF(AN32="",0,IF(OR(AN32="DNF",AN32="OCS",AN32="DSQ",AN32="DNS",AN32=" DNS "),$BW$3+1,AN32))</f>
        <v>0</v>
      </c>
      <c r="DA32" s="61">
        <f>IF(AO32="",0,IF(OR(AO32="DNF",AO32="OCS",AO32="DSQ",AO32="DNS",AO32=" DNS "),$BW$3+1,AO32))</f>
        <v>0</v>
      </c>
      <c r="DB32" s="61">
        <f>IF(AP32="",0,IF(OR(AP32="DNF",AP32="OCS",AP32="DSQ",AP32="DNS",AP32=" DNS "),$BW$3+1,AP32))</f>
        <v>0</v>
      </c>
      <c r="DC32" s="61">
        <f>IF(AQ32="",0,IF(OR(AQ32="DNF",AQ32="OCS",AQ32="DSQ",AQ32="DNS",AQ32=" DNS "),$BW$3+1,AQ32))</f>
        <v>0</v>
      </c>
      <c r="DD32" s="61">
        <f>IF(AR32="",0,IF(OR(AR32="DNF",AR32="OCS",AR32="DSQ",AR32="DNS",AR32=" DNS "),$BW$3+1,AR32))</f>
        <v>0</v>
      </c>
      <c r="DE32" s="61">
        <f>IF(AS32="",0,IF(OR(AS32="DNF",AS32="OCS",AS32="DSQ",AS32="DNS",AS32=" DNS "),$BW$3+1,AS32))</f>
        <v>0</v>
      </c>
      <c r="DF32" s="61">
        <f>IF(AT32="",0,IF(OR(AT32="DNF",AT32="OCS",AT32="DSQ",AT32="DNS",AT32=" DNS "),$BW$3+1,AT32))</f>
        <v>0</v>
      </c>
      <c r="DG32" s="61">
        <f>IF(AU32="",0,IF(OR(AU32="DNF",AU32="OCS",AU32="DSQ",AU32="DNS",AU32=" DNS "),$BW$3+1,AU32))</f>
        <v>0</v>
      </c>
      <c r="DH32" s="61">
        <f>IF(AV32="",0,IF(OR(AV32="DNF",AV32="OCS",AV32="DSQ",AV32="DNS",AV32=" DNS "),$BW$3+1,AV32))</f>
        <v>0</v>
      </c>
      <c r="DI32" s="61">
        <f>IF(AW32="",0,IF(OR(AW32="DNF",AW32="OCS",AW32="DSQ",AW32="DNS",AW32=" DNS "),$BW$3+1,AW32))</f>
        <v>0</v>
      </c>
      <c r="DJ32" s="61">
        <f>IF(AX32="",0,IF(OR(AX32="DNF",AX32="OCS",AX32="DSQ",AX32="DNS",AX32=" DNS "),$BW$3+1,AX32))</f>
        <v>0</v>
      </c>
      <c r="DK32" s="61">
        <f>IF(AY32="",0,IF(OR(AY32="DNF",AY32="OCS",AY32="DSQ",AY32="DNS",AY32=" DNS "),$BW$3+1,AY32))</f>
        <v>0</v>
      </c>
      <c r="DL32" s="61">
        <f>IF(AZ32="",0,IF(OR(AZ32="DNF",AZ32="OCS",AZ32="DSQ",AZ32="DNS",AZ32=" DNS "),$BW$3+1,AZ32))</f>
        <v>0</v>
      </c>
      <c r="DM32" s="61">
        <f>IF(BA32="",0,IF(OR(BA32="DNF",BA32="OCS",BA32="DSQ",BA32="DNS",BA32=" DNS "),$BW$3+1,BA32))</f>
        <v>0</v>
      </c>
      <c r="DN32" s="61">
        <f>IF(BB32="",0,IF(OR(BB32="DNF",BB32="OCS",BB32="DSQ",BB32="DNS",BB32=" DNS "),$BW$3+1,BB32))</f>
        <v>0</v>
      </c>
      <c r="DO32" s="61">
        <f>IF(BC32="",0,IF(OR(BC32="DNF",BC32="OCS",BC32="DSQ",BC32="DNS",BC32=" DNS "),$BW$3+1,BC32))</f>
        <v>0</v>
      </c>
      <c r="DP32" s="61">
        <f>IF(BD32="",0,IF(OR(BD32="DNF",BD32="OCS",BD32="DSQ",BD32="DNS",BD32=" DNS "),$BW$3+1,BD32))</f>
        <v>0</v>
      </c>
      <c r="DQ32" s="61">
        <f>IF(BE32="",0,IF(OR(BE32="DNF",BE32="OCS",BE32="DSQ",BE32="DNS",BE32=" DNS "),$BW$3+1,BE32))</f>
        <v>0</v>
      </c>
      <c r="DR32" s="61">
        <f>IF(BF32="",0,IF(OR(BF32="DNF",BF32="OCS",BF32="DSQ",BF32="DNS",BF32=" DNS "),$BW$3+1,BF32))</f>
        <v>0</v>
      </c>
      <c r="DS32" s="61">
        <f>IF(BG32="",0,IF(OR(BG32="DNF",BG32="OCS",BG32="DSQ",BG32="DNS",BG32=" DNS "),$BW$3+1,BG32))</f>
        <v>0</v>
      </c>
      <c r="DT32" s="61">
        <f>IF(BH32="",0,IF(OR(BH32="DNF",BH32="OCS",BH32="DSQ",BH32="DNS",BH32=" DNS "),$BW$3+1,BH32))</f>
        <v>0</v>
      </c>
      <c r="DU32" s="61">
        <f>IF(BI32="",0,IF(OR(BI32="DNF",BI32="OCS",BI32="DSQ",BI32="DNS",BI32=" DNS "),$BW$3+1,BI32))</f>
        <v>0</v>
      </c>
      <c r="DV32" s="61">
        <f>IF(BJ32="",0,IF(OR(BJ32="DNF",BJ32="OCS",BJ32="DSQ",BJ32="DNS",BJ32=" DNS "),$BW$3+1,BJ32))</f>
        <v>0</v>
      </c>
      <c r="DW32" s="61">
        <f>IF(BK32="",0,IF(OR(BK32="DNF",BK32="OCS",BK32="DSQ",BK32="DNS",BK32=" DNS "),$BW$3+1,BK32))</f>
        <v>0</v>
      </c>
      <c r="DX32" s="61">
        <f>IF(BL32="",0,IF(OR(BL32="DNF",BL32="OCS",BL32="DSQ",BL32="DNS",BL32=" DNS "),$BW$3+1,BL32))</f>
        <v>0</v>
      </c>
      <c r="DY32" s="61">
        <f>IF(BM32="",0,IF(OR(BM32="DNF",BM32="OCS",BM32="DSQ",BM32="DNS",BM32=" DNS "),$BW$3+1,BM32))</f>
        <v>0</v>
      </c>
      <c r="DZ32" s="61">
        <f>IF(BN32="",0,IF(OR(BN32="DNF",BN32="OCS",BN32="DSQ",BN32="DNS",BN32=" DNS "),$BW$3+1,BN32))</f>
        <v>0</v>
      </c>
      <c r="EA32" s="61">
        <f>IF(BO32="",0,IF(OR(BO32="DNF",BO32="OCS",BO32="DSQ",BO32="DNS",BO32=" DNS "),$BW$3+1,BO32))</f>
        <v>0</v>
      </c>
      <c r="EB32" s="61">
        <f>IF(BP32="",0,IF(OR(BP32="DNF",BP32="OCS",BP32="DSQ",BP32="DNS",BP32=" DNS "),$BW$3+1,BP32))</f>
        <v>0</v>
      </c>
      <c r="EC32" s="61">
        <f>IF(BQ32="",0,IF(OR(BQ32="DNF",BQ32="OCS",BQ32="DSQ",BQ32="DNS",BQ32=" DNS "),$BW$3+1,BQ32))</f>
        <v>0</v>
      </c>
      <c r="EE32" s="61">
        <f xml:space="preserve">
IF(OR(Deltagarlista!$K$3=3,Deltagarlista!$K$3=4),
IF(Arrangörslista!$U$5&lt;8,0,
IF(Arrangörslista!$U$5&lt;16,SUM(LARGE(BV32:CJ32,1)),
IF(Arrangörslista!$U$5&lt;24,SUM(LARGE(BV32:CR32,{1;2})),
IF(Arrangörslista!$U$5&lt;32,SUM(LARGE(BV32:CZ32,{1;2;3})),
IF(Arrangörslista!$U$5&lt;40,SUM(LARGE(BV32:DH32,{1;2;3;4})),
IF(Arrangörslista!$U$5&lt;48,SUM(LARGE(BV32:DP32,{1;2;3;4;5})),
IF(Arrangörslista!$U$5&lt;56,SUM(LARGE(BV32:DX32,{1;2;3;4;5;6})),
IF(Arrangörslista!$U$5&lt;64,SUM(LARGE(BV32:EC32,{1;2;3;4;5;6;7})),0)))))))),
IF(Deltagarlista!$K$3=2,
IF(Arrangörslista!$U$5&lt;4,LARGE(BV32:BX32,1),
IF(Arrangörslista!$U$5&lt;7,SUM(LARGE(BV32:CA32,{1;2;3})),
IF(Arrangörslista!$U$5&lt;10,SUM(LARGE(BV32:CD32,{1;2;3;4})),
IF(Arrangörslista!$U$5&lt;13,SUM(LARGE(BV32:CG32,{1;2;3;4;5;6})),
IF(Arrangörslista!$U$5&lt;16,SUM(LARGE(BV32:CJ32,{1;2;3;4;5;6;7})),
IF(Arrangörslista!$U$5&lt;19,SUM(LARGE(BV32:CM32,{1;2;3;4;5;6;7;8;9})),
IF(Arrangörslista!$U$5&lt;22,SUM(LARGE(BV32:CP32,{1;2;3;4;5;6;7;8;9;10})),
IF(Arrangörslista!$U$5&lt;25,SUM(LARGE(BV32:CS32,{1;2;3;4;5;6;7;8;9;10;11;12})),
IF(Arrangörslista!$U$5&lt;28,SUM(LARGE(BV32:CV32,{1;2;3;4;5;6;7;8;9;10;11;12;13})),
IF(Arrangörslista!$U$5&lt;31,SUM(LARGE(BV32:CY32,{1;2;3;4;5;6;7;8;9;10;11;12;13;14;15})),
IF(Arrangörslista!$U$5&lt;34,SUM(LARGE(BV32:DB32,{1;2;3;4;5;6;7;8;9;10;11;12;13;14;15;16})),
IF(Arrangörslista!$U$5&lt;37,SUM(LARGE(BV32:DE32,{1;2;3;4;5;6;7;8;9;10;11;12;13;14;15;16;17;18})),
IF(Arrangörslista!$U$5&lt;40,SUM(LARGE(BV32:DH32,{1;2;3;4;5;6;7;8;9;10;11;12;13;14;15;16;17;18;19})),
IF(Arrangörslista!$U$5&lt;43,SUM(LARGE(BV32:DK32,{1;2;3;4;5;6;7;8;9;10;11;12;13;14;15;16;17;18;19;20;21})),
IF(Arrangörslista!$U$5&lt;46,SUM(LARGE(BV32:DN32,{1;2;3;4;5;6;7;8;9;10;11;12;13;14;15;16;17;18;19;20;21;22})),
IF(Arrangörslista!$U$5&lt;49,SUM(LARGE(BV32:DQ32,{1;2;3;4;5;6;7;8;9;10;11;12;13;14;15;16;17;18;19;20;21;22;23;24})),
IF(Arrangörslista!$U$5&lt;52,SUM(LARGE(BV32:DT32,{1;2;3;4;5;6;7;8;9;10;11;12;13;14;15;16;17;18;19;20;21;22;23;24;25})),
IF(Arrangörslista!$U$5&lt;55,SUM(LARGE(BV32:DW32,{1;2;3;4;5;6;7;8;9;10;11;12;13;14;15;16;17;18;19;20;21;22;23;24;25;26;27})),
IF(Arrangörslista!$U$5&lt;58,SUM(LARGE(BV32:DZ32,{1;2;3;4;5;6;7;8;9;10;11;12;13;14;15;16;17;18;19;20;21;22;23;24;25;26;27;28})),
IF(Arrangörslista!$U$5&lt;61,SUM(LARGE(BV32:EC32,{1;2;3;4;5;6;7;8;9;10;11;12;13;14;15;16;17;18;19;20;21;22;23;24;25;26;27;28;29;30})),0)))))))))))))))))))),
IF(Arrangörslista!$U$5&lt;4,0,
IF(Arrangörslista!$U$5&lt;8,SUM(LARGE(BV32:CB32,1)),
IF(Arrangörslista!$U$5&lt;12,SUM(LARGE(BV32:CF32,{1;2})),
IF(Arrangörslista!$U$5&lt;16,SUM(LARGE(BV32:CJ32,{1;2;3})),
IF(Arrangörslista!$U$5&lt;20,SUM(LARGE(BV32:CN32,{1;2;3;4})),
IF(Arrangörslista!$U$5&lt;24,SUM(LARGE(BV32:CR32,{1;2;3;4;5})),
IF(Arrangörslista!$U$5&lt;28,SUM(LARGE(BV32:CV32,{1;2;3;4;5;6})),
IF(Arrangörslista!$U$5&lt;32,SUM(LARGE(BV32:CZ32,{1;2;3;4;5;6;7})),
IF(Arrangörslista!$U$5&lt;36,SUM(LARGE(BV32:DD32,{1;2;3;4;5;6;7;8})),
IF(Arrangörslista!$U$5&lt;40,SUM(LARGE(BV32:DH32,{1;2;3;4;5;6;7;8;9})),
IF(Arrangörslista!$U$5&lt;44,SUM(LARGE(BV32:DL32,{1;2;3;4;5;6;7;8;9;10})),
IF(Arrangörslista!$U$5&lt;48,SUM(LARGE(BV32:DP32,{1;2;3;4;5;6;7;8;9;10;11})),
IF(Arrangörslista!$U$5&lt;52,SUM(LARGE(BV32:DT32,{1;2;3;4;5;6;7;8;9;10;11;12})),
IF(Arrangörslista!$U$5&lt;56,SUM(LARGE(BV32:DX32,{1;2;3;4;5;6;7;8;9;10;11;12;13})),
IF(Arrangörslista!$U$5&lt;60,SUM(LARGE(BV32:EB32,{1;2;3;4;5;6;7;8;9;10;11;12;13;14})),
IF(Arrangörslista!$U$5=60,SUM(LARGE(BV32:EC32,{1;2;3;4;5;6;7;8;9;10;11;12;13;14;15})),0))))))))))))))))))</f>
        <v>0</v>
      </c>
      <c r="EG32" s="67">
        <f>IF(F32="",,1)</f>
        <v>0</v>
      </c>
      <c r="EH32" s="61"/>
      <c r="EI32" s="61"/>
      <c r="EK32" s="62">
        <f>SMALL($J95:$BQ95,1)</f>
        <v>61</v>
      </c>
      <c r="EL32" s="62">
        <f>SMALL($J95:$BQ95,2)</f>
        <v>61</v>
      </c>
      <c r="EM32" s="62">
        <f>SMALL($J95:$BQ95,3)</f>
        <v>61</v>
      </c>
      <c r="EN32" s="62">
        <f>SMALL($J95:$BQ95,4)</f>
        <v>61</v>
      </c>
      <c r="EO32" s="62">
        <f>SMALL($J95:$BQ95,5)</f>
        <v>61</v>
      </c>
      <c r="EP32" s="62">
        <f>SMALL($J95:$BQ95,6)</f>
        <v>61</v>
      </c>
      <c r="EQ32" s="62">
        <f>SMALL($J95:$BQ95,7)</f>
        <v>61</v>
      </c>
      <c r="ER32" s="62">
        <f>SMALL($J95:$BQ95,8)</f>
        <v>61</v>
      </c>
      <c r="ES32" s="62">
        <f>SMALL($J95:$BQ95,9)</f>
        <v>61</v>
      </c>
      <c r="ET32" s="62">
        <f>SMALL($J95:$BQ95,10)</f>
        <v>61</v>
      </c>
      <c r="EU32" s="62">
        <f>SMALL($J95:$BQ95,11)</f>
        <v>61</v>
      </c>
      <c r="EV32" s="62">
        <f>SMALL($J95:$BQ95,12)</f>
        <v>61</v>
      </c>
      <c r="EW32" s="62">
        <f>SMALL($J95:$BQ95,13)</f>
        <v>61</v>
      </c>
      <c r="EX32" s="62">
        <f>SMALL($J95:$BQ95,14)</f>
        <v>61</v>
      </c>
      <c r="EY32" s="62">
        <f>SMALL($J95:$BQ95,15)</f>
        <v>61</v>
      </c>
      <c r="EZ32" s="62">
        <f>SMALL($J95:$BQ95,16)</f>
        <v>61</v>
      </c>
      <c r="FA32" s="62">
        <f>SMALL($J95:$BQ95,17)</f>
        <v>61</v>
      </c>
      <c r="FB32" s="62">
        <f>SMALL($J95:$BQ95,18)</f>
        <v>61</v>
      </c>
      <c r="FC32" s="62">
        <f>SMALL($J95:$BQ95,19)</f>
        <v>61</v>
      </c>
      <c r="FD32" s="62">
        <f>SMALL($J95:$BQ95,20)</f>
        <v>61</v>
      </c>
      <c r="FE32" s="62">
        <f>SMALL($J95:$BQ95,21)</f>
        <v>61</v>
      </c>
      <c r="FF32" s="62">
        <f>SMALL($J95:$BQ95,22)</f>
        <v>61</v>
      </c>
      <c r="FG32" s="62">
        <f>SMALL($J95:$BQ95,23)</f>
        <v>61</v>
      </c>
      <c r="FH32" s="62">
        <f>SMALL($J95:$BQ95,24)</f>
        <v>61</v>
      </c>
      <c r="FI32" s="62">
        <f>SMALL($J95:$BQ95,25)</f>
        <v>61</v>
      </c>
      <c r="FJ32" s="62">
        <f>SMALL($J95:$BQ95,26)</f>
        <v>61</v>
      </c>
      <c r="FK32" s="62">
        <f>SMALL($J95:$BQ95,27)</f>
        <v>61</v>
      </c>
      <c r="FL32" s="62">
        <f>SMALL($J95:$BQ95,28)</f>
        <v>61</v>
      </c>
      <c r="FM32" s="62">
        <f>SMALL($J95:$BQ95,29)</f>
        <v>61</v>
      </c>
      <c r="FN32" s="62">
        <f>SMALL($J95:$BQ95,30)</f>
        <v>61</v>
      </c>
      <c r="FO32" s="62">
        <f>SMALL($J95:$BQ95,31)</f>
        <v>61</v>
      </c>
      <c r="FP32" s="62">
        <f>SMALL($J95:$BQ95,32)</f>
        <v>61</v>
      </c>
      <c r="FQ32" s="62">
        <f>SMALL($J95:$BQ95,33)</f>
        <v>61</v>
      </c>
      <c r="FR32" s="62">
        <f>SMALL($J95:$BQ95,34)</f>
        <v>61</v>
      </c>
      <c r="FS32" s="62">
        <f>SMALL($J95:$BQ95,35)</f>
        <v>61</v>
      </c>
      <c r="FT32" s="62">
        <f>SMALL($J95:$BQ95,36)</f>
        <v>61</v>
      </c>
      <c r="FU32" s="62">
        <f>SMALL($J95:$BQ95,37)</f>
        <v>61</v>
      </c>
      <c r="FV32" s="62">
        <f>SMALL($J95:$BQ95,38)</f>
        <v>61</v>
      </c>
      <c r="FW32" s="62">
        <f>SMALL($J95:$BQ95,39)</f>
        <v>61</v>
      </c>
      <c r="FX32" s="62">
        <f>SMALL($J95:$BQ95,40)</f>
        <v>61</v>
      </c>
      <c r="FY32" s="62">
        <f>SMALL($J95:$BQ95,41)</f>
        <v>61</v>
      </c>
      <c r="FZ32" s="62">
        <f>SMALL($J95:$BQ95,42)</f>
        <v>61</v>
      </c>
      <c r="GA32" s="62">
        <f>SMALL($J95:$BQ95,43)</f>
        <v>61</v>
      </c>
      <c r="GB32" s="62">
        <f>SMALL($J95:$BQ95,44)</f>
        <v>61</v>
      </c>
      <c r="GC32" s="62">
        <f>SMALL($J95:$BQ95,45)</f>
        <v>61</v>
      </c>
      <c r="GD32" s="62">
        <f>SMALL($J95:$BQ95,46)</f>
        <v>61</v>
      </c>
      <c r="GE32" s="62">
        <f>SMALL($J95:$BQ95,47)</f>
        <v>61</v>
      </c>
      <c r="GF32" s="62">
        <f>SMALL($J95:$BQ95,48)</f>
        <v>61</v>
      </c>
      <c r="GG32" s="62">
        <f>SMALL($J95:$BQ95,49)</f>
        <v>61</v>
      </c>
      <c r="GH32" s="62">
        <f>SMALL($J95:$BQ95,50)</f>
        <v>61</v>
      </c>
      <c r="GI32" s="62">
        <f>SMALL($J95:$BQ95,51)</f>
        <v>61</v>
      </c>
      <c r="GJ32" s="62">
        <f>SMALL($J95:$BQ95,52)</f>
        <v>61</v>
      </c>
      <c r="GK32" s="62">
        <f>SMALL($J95:$BQ95,53)</f>
        <v>61</v>
      </c>
      <c r="GL32" s="62">
        <f>SMALL($J95:$BQ95,54)</f>
        <v>61</v>
      </c>
      <c r="GM32" s="62">
        <f>SMALL($J95:$BQ95,55)</f>
        <v>61</v>
      </c>
      <c r="GN32" s="62">
        <f>SMALL($J95:$BQ95,56)</f>
        <v>61</v>
      </c>
      <c r="GO32" s="62">
        <f>SMALL($J95:$BQ95,57)</f>
        <v>61</v>
      </c>
      <c r="GP32" s="62">
        <f>SMALL($J95:$BQ95,58)</f>
        <v>61</v>
      </c>
      <c r="GQ32" s="62">
        <f>SMALL($J95:$BQ95,59)</f>
        <v>61</v>
      </c>
      <c r="GR32" s="62">
        <f>SMALL($J95:$BQ95,60)</f>
        <v>61</v>
      </c>
      <c r="GT32" s="62">
        <f>IF(Deltagarlista!$K$3=2,
IF(GW32="1",
      IF(Arrangörslista!$U$5=1,J95,
IF(Arrangörslista!$U$5=2,K95,
IF(Arrangörslista!$U$5=3,L95,
IF(Arrangörslista!$U$5=4,M95,
IF(Arrangörslista!$U$5=5,N95,
IF(Arrangörslista!$U$5=6,O95,
IF(Arrangörslista!$U$5=7,P95,
IF(Arrangörslista!$U$5=8,Q95,
IF(Arrangörslista!$U$5=9,R95,
IF(Arrangörslista!$U$5=10,S95,
IF(Arrangörslista!$U$5=11,T95,
IF(Arrangörslista!$U$5=12,U95,
IF(Arrangörslista!$U$5=13,V95,
IF(Arrangörslista!$U$5=14,W95,
IF(Arrangörslista!$U$5=15,X95,
IF(Arrangörslista!$U$5=16,Y95,IF(Arrangörslista!$U$5=17,Z95,IF(Arrangörslista!$U$5=18,AA95,IF(Arrangörslista!$U$5=19,AB95,IF(Arrangörslista!$U$5=20,AC95,IF(Arrangörslista!$U$5=21,AD95,IF(Arrangörslista!$U$5=22,AE95,IF(Arrangörslista!$U$5=23,AF95, IF(Arrangörslista!$U$5=24,AG95, IF(Arrangörslista!$U$5=25,AH95, IF(Arrangörslista!$U$5=26,AI95, IF(Arrangörslista!$U$5=27,AJ95, IF(Arrangörslista!$U$5=28,AK95, IF(Arrangörslista!$U$5=29,AL95, IF(Arrangörslista!$U$5=30,AM95, IF(Arrangörslista!$U$5=31,AN95, IF(Arrangörslista!$U$5=32,AO95, IF(Arrangörslista!$U$5=33,AP95, IF(Arrangörslista!$U$5=34,AQ95, IF(Arrangörslista!$U$5=35,AR95, IF(Arrangörslista!$U$5=36,AS95, IF(Arrangörslista!$U$5=37,AT95, IF(Arrangörslista!$U$5=38,AU95, IF(Arrangörslista!$U$5=39,AV95, IF(Arrangörslista!$U$5=40,AW95, IF(Arrangörslista!$U$5=41,AX95, IF(Arrangörslista!$U$5=42,AY95, IF(Arrangörslista!$U$5=43,AZ95, IF(Arrangörslista!$U$5=44,BA95, IF(Arrangörslista!$U$5=45,BB95, IF(Arrangörslista!$U$5=46,BC95, IF(Arrangörslista!$U$5=47,BD95, IF(Arrangörslista!$U$5=48,BE95, IF(Arrangörslista!$U$5=49,BF95, IF(Arrangörslista!$U$5=50,BG95, IF(Arrangörslista!$U$5=51,BH95, IF(Arrangörslista!$U$5=52,BI95, IF(Arrangörslista!$U$5=53,BJ95, IF(Arrangörslista!$U$5=54,BK95, IF(Arrangörslista!$U$5=55,BL95, IF(Arrangörslista!$U$5=56,BM95, IF(Arrangörslista!$U$5=57,BN95, IF(Arrangörslista!$U$5=58,BO95, IF(Arrangörslista!$U$5=59,BP95, IF(Arrangörslista!$U$5=60,BQ95,0))))))))))))))))))))))))))))))))))))))))))))))))))))))))))))),IF(Deltagarlista!$K$3=4, IF(Arrangörslista!$U$5=1,J95,
IF(Arrangörslista!$U$5=2,J95,
IF(Arrangörslista!$U$5=3,K95,
IF(Arrangörslista!$U$5=4,K95,
IF(Arrangörslista!$U$5=5,L95,
IF(Arrangörslista!$U$5=6,L95,
IF(Arrangörslista!$U$5=7,M95,
IF(Arrangörslista!$U$5=8,M95,
IF(Arrangörslista!$U$5=9,N95,
IF(Arrangörslista!$U$5=10,N95,
IF(Arrangörslista!$U$5=11,O95,
IF(Arrangörslista!$U$5=12,O95,
IF(Arrangörslista!$U$5=13,P95,
IF(Arrangörslista!$U$5=14,P95,
IF(Arrangörslista!$U$5=15,Q95,
IF(Arrangörslista!$U$5=16,Q95,
IF(Arrangörslista!$U$5=17,R95,
IF(Arrangörslista!$U$5=18,R95,
IF(Arrangörslista!$U$5=19,S95,
IF(Arrangörslista!$U$5=20,S95,
IF(Arrangörslista!$U$5=21,T95,
IF(Arrangörslista!$U$5=22,T95,IF(Arrangörslista!$U$5=23,U95, IF(Arrangörslista!$U$5=24,U95, IF(Arrangörslista!$U$5=25,V95, IF(Arrangörslista!$U$5=26,V95, IF(Arrangörslista!$U$5=27,W95, IF(Arrangörslista!$U$5=28,W95, IF(Arrangörslista!$U$5=29,X95, IF(Arrangörslista!$U$5=30,X95, IF(Arrangörslista!$U$5=31,X95, IF(Arrangörslista!$U$5=32,Y95, IF(Arrangörslista!$U$5=33,AO95, IF(Arrangörslista!$U$5=34,Y95, IF(Arrangörslista!$U$5=35,Z95, IF(Arrangörslista!$U$5=36,AR95, IF(Arrangörslista!$U$5=37,Z95, IF(Arrangörslista!$U$5=38,AA95, IF(Arrangörslista!$U$5=39,AU95, IF(Arrangörslista!$U$5=40,AA95, IF(Arrangörslista!$U$5=41,AB95, IF(Arrangörslista!$U$5=42,AX95, IF(Arrangörslista!$U$5=43,AB95, IF(Arrangörslista!$U$5=44,AC95, IF(Arrangörslista!$U$5=45,BA95, IF(Arrangörslista!$U$5=46,AC95, IF(Arrangörslista!$U$5=47,AD95, IF(Arrangörslista!$U$5=48,BD95, IF(Arrangörslista!$U$5=49,AD95, IF(Arrangörslista!$U$5=50,AE95, IF(Arrangörslista!$U$5=51,BG95, IF(Arrangörslista!$U$5=52,AE95, IF(Arrangörslista!$U$5=53,AF95, IF(Arrangörslista!$U$5=54,BJ95, IF(Arrangörslista!$U$5=55,AF95, IF(Arrangörslista!$U$5=56,AG95, IF(Arrangörslista!$U$5=57,BM95, IF(Arrangörslista!$U$5=58,AG95, IF(Arrangörslista!$U$5=59,AH95, IF(Arrangörslista!$U$5=60,AH95,0)))))))))))))))))))))))))))))))))))))))))))))))))))))))))))),IF(Arrangörslista!$U$5=1,J95,
IF(Arrangörslista!$U$5=2,K95,
IF(Arrangörslista!$U$5=3,L95,
IF(Arrangörslista!$U$5=4,M95,
IF(Arrangörslista!$U$5=5,N95,
IF(Arrangörslista!$U$5=6,O95,
IF(Arrangörslista!$U$5=7,P95,
IF(Arrangörslista!$U$5=8,Q95,
IF(Arrangörslista!$U$5=9,R95,
IF(Arrangörslista!$U$5=10,S95,
IF(Arrangörslista!$U$5=11,T95,
IF(Arrangörslista!$U$5=12,U95,
IF(Arrangörslista!$U$5=13,V95,
IF(Arrangörslista!$U$5=14,W95,
IF(Arrangörslista!$U$5=15,X95,
IF(Arrangörslista!$U$5=16,Y95,IF(Arrangörslista!$U$5=17,Z95,IF(Arrangörslista!$U$5=18,AA95,IF(Arrangörslista!$U$5=19,AB95,IF(Arrangörslista!$U$5=20,AC95,IF(Arrangörslista!$U$5=21,AD95,IF(Arrangörslista!$U$5=22,AE95,IF(Arrangörslista!$U$5=23,AF95, IF(Arrangörslista!$U$5=24,AG95, IF(Arrangörslista!$U$5=25,AH95, IF(Arrangörslista!$U$5=26,AI95, IF(Arrangörslista!$U$5=27,AJ95, IF(Arrangörslista!$U$5=28,AK95, IF(Arrangörslista!$U$5=29,AL95, IF(Arrangörslista!$U$5=30,AM95, IF(Arrangörslista!$U$5=31,AN95, IF(Arrangörslista!$U$5=32,AO95, IF(Arrangörslista!$U$5=33,AP95, IF(Arrangörslista!$U$5=34,AQ95, IF(Arrangörslista!$U$5=35,AR95, IF(Arrangörslista!$U$5=36,AS95, IF(Arrangörslista!$U$5=37,AT95, IF(Arrangörslista!$U$5=38,AU95, IF(Arrangörslista!$U$5=39,AV95, IF(Arrangörslista!$U$5=40,AW95, IF(Arrangörslista!$U$5=41,AX95, IF(Arrangörslista!$U$5=42,AY95, IF(Arrangörslista!$U$5=43,AZ95, IF(Arrangörslista!$U$5=44,BA95, IF(Arrangörslista!$U$5=45,BB95, IF(Arrangörslista!$U$5=46,BC95, IF(Arrangörslista!$U$5=47,BD95, IF(Arrangörslista!$U$5=48,BE95, IF(Arrangörslista!$U$5=49,BF95, IF(Arrangörslista!$U$5=50,BG95, IF(Arrangörslista!$U$5=51,BH95, IF(Arrangörslista!$U$5=52,BI95, IF(Arrangörslista!$U$5=53,BJ95, IF(Arrangörslista!$U$5=54,BK95, IF(Arrangörslista!$U$5=55,BL95, IF(Arrangörslista!$U$5=56,BM95, IF(Arrangörslista!$U$5=57,BN95, IF(Arrangörslista!$U$5=58,BO95, IF(Arrangörslista!$U$5=59,BP95, IF(Arrangörslista!$U$5=60,BQ95,0))))))))))))))))))))))))))))))))))))))))))))))))))))))))))))
))</f>
        <v>0</v>
      </c>
      <c r="GV32" s="65" t="str">
        <f>IFERROR(IF(VLOOKUP(F32,Deltagarlista!$E$5:$I$64,5,FALSE)="Grön","Gr",IF(VLOOKUP(F32,Deltagarlista!$E$5:$I$64,5,FALSE)="Röd","R",IF(VLOOKUP(F32,Deltagarlista!$E$5:$I$64,5,FALSE)="Blå","B","Gu"))),"")</f>
        <v/>
      </c>
      <c r="GW32" s="62" t="str">
        <f t="shared" si="1"/>
        <v/>
      </c>
    </row>
    <row r="33" spans="1:205" ht="15.75" customHeight="1" x14ac:dyDescent="0.3">
      <c r="B33" s="23" t="str">
        <f>IF($BW$3&gt;29,30,"")</f>
        <v/>
      </c>
      <c r="C33" s="92" t="str">
        <f>IF(ISBLANK(Deltagarlista!C38),"",Deltagarlista!C38)</f>
        <v/>
      </c>
      <c r="D33" s="109" t="str">
        <f>CONCATENATE(IF(AND(Deltagarlista!H38="GM",Deltagarlista!$S$14=TRUE),"GM   ",""),  IF(OR(Deltagarlista!$K$3=4,Deltagarlista!$K$3=2),Deltagarlista!I38,""))</f>
        <v/>
      </c>
      <c r="E33" s="8" t="str">
        <f>IF(ISBLANK(Deltagarlista!D38),"",Deltagarlista!D38)</f>
        <v/>
      </c>
      <c r="F33" s="8" t="str">
        <f>IF(ISBLANK(Deltagarlista!E38),"",Deltagarlista!E38)</f>
        <v/>
      </c>
      <c r="G33" s="95" t="str">
        <f>IF(ISBLANK(Deltagarlista!F38),"",Deltagarlista!F38)</f>
        <v/>
      </c>
      <c r="H33" s="72" t="str">
        <f>IF(ISBLANK(Deltagarlista!C38),"",BU33-EE33)</f>
        <v/>
      </c>
      <c r="I33" s="13" t="str">
        <f>IF(ISBLANK(Deltagarlista!C38),"",IF(AND(Deltagarlista!$K$3=2,Deltagarlista!$L$3&lt;37),SUM(SUM(BV33:EC33)-(ROUNDDOWN(Arrangörslista!$U$5/3,1))*($BW$3+1)),SUM(BV33:EC33)))</f>
        <v/>
      </c>
      <c r="J33" s="79" t="str">
        <f>IF(Deltagarlista!$K$3=4,IF(ISBLANK(Deltagarlista!$C38),"",IF(ISBLANK(Arrangörslista!C$8),"",IFERROR(VLOOKUP($F33,Arrangörslista!C$8:$AG$45,16,FALSE),IF(ISBLANK(Deltagarlista!$C38),"",IF(ISBLANK(Arrangörslista!C$8),"",IFERROR(VLOOKUP($F33,Arrangörslista!D$8:$AG$45,16,FALSE),"DNS")))))),IF(Deltagarlista!$K$3=2,
IF(ISBLANK(Deltagarlista!$C38),"",IF(ISBLANK(Arrangörslista!C$8),"",IF($GV33=J$64," DNS ",IFERROR(VLOOKUP($F33,Arrangörslista!C$8:$AG$45,16,FALSE),"DNS")))),IF(ISBLANK(Deltagarlista!$C38),"",IF(ISBLANK(Arrangörslista!C$8),"",IFERROR(VLOOKUP($F33,Arrangörslista!C$8:$AG$45,16,FALSE),"DNS")))))</f>
        <v/>
      </c>
      <c r="K33" s="5" t="str">
        <f>IF(Deltagarlista!$K$3=4,IF(ISBLANK(Deltagarlista!$C38),"",IF(ISBLANK(Arrangörslista!E$8),"",IFERROR(VLOOKUP($F33,Arrangörslista!E$8:$AG$45,16,FALSE),IF(ISBLANK(Deltagarlista!$C38),"",IF(ISBLANK(Arrangörslista!E$8),"",IFERROR(VLOOKUP($F33,Arrangörslista!F$8:$AG$45,16,FALSE),"DNS")))))),IF(Deltagarlista!$K$3=2,
IF(ISBLANK(Deltagarlista!$C38),"",IF(ISBLANK(Arrangörslista!D$8),"",IF($GV33=K$64," DNS ",IFERROR(VLOOKUP($F33,Arrangörslista!D$8:$AG$45,16,FALSE),"DNS")))),IF(ISBLANK(Deltagarlista!$C38),"",IF(ISBLANK(Arrangörslista!D$8),"",IFERROR(VLOOKUP($F33,Arrangörslista!D$8:$AG$45,16,FALSE),"DNS")))))</f>
        <v/>
      </c>
      <c r="L33" s="5" t="str">
        <f>IF(Deltagarlista!$K$3=4,IF(ISBLANK(Deltagarlista!$C38),"",IF(ISBLANK(Arrangörslista!G$8),"",IFERROR(VLOOKUP($F33,Arrangörslista!G$8:$AG$45,16,FALSE),IF(ISBLANK(Deltagarlista!$C38),"",IF(ISBLANK(Arrangörslista!G$8),"",IFERROR(VLOOKUP($F33,Arrangörslista!H$8:$AG$45,16,FALSE),"DNS")))))),IF(Deltagarlista!$K$3=2,
IF(ISBLANK(Deltagarlista!$C38),"",IF(ISBLANK(Arrangörslista!E$8),"",IF($GV33=L$64," DNS ",IFERROR(VLOOKUP($F33,Arrangörslista!E$8:$AG$45,16,FALSE),"DNS")))),IF(ISBLANK(Deltagarlista!$C38),"",IF(ISBLANK(Arrangörslista!E$8),"",IFERROR(VLOOKUP($F33,Arrangörslista!E$8:$AG$45,16,FALSE),"DNS")))))</f>
        <v/>
      </c>
      <c r="M33" s="5" t="str">
        <f>IF(Deltagarlista!$K$3=4,IF(ISBLANK(Deltagarlista!$C38),"",IF(ISBLANK(Arrangörslista!I$8),"",IFERROR(VLOOKUP($F33,Arrangörslista!I$8:$AG$45,16,FALSE),IF(ISBLANK(Deltagarlista!$C38),"",IF(ISBLANK(Arrangörslista!I$8),"",IFERROR(VLOOKUP($F33,Arrangörslista!J$8:$AG$45,16,FALSE),"DNS")))))),IF(Deltagarlista!$K$3=2,
IF(ISBLANK(Deltagarlista!$C38),"",IF(ISBLANK(Arrangörslista!F$8),"",IF($GV33=M$64," DNS ",IFERROR(VLOOKUP($F33,Arrangörslista!F$8:$AG$45,16,FALSE),"DNS")))),IF(ISBLANK(Deltagarlista!$C38),"",IF(ISBLANK(Arrangörslista!F$8),"",IFERROR(VLOOKUP($F33,Arrangörslista!F$8:$AG$45,16,FALSE),"DNS")))))</f>
        <v/>
      </c>
      <c r="N33" s="5" t="str">
        <f>IF(Deltagarlista!$K$3=4,IF(ISBLANK(Deltagarlista!$C38),"",IF(ISBLANK(Arrangörslista!K$8),"",IFERROR(VLOOKUP($F33,Arrangörslista!K$8:$AG$45,16,FALSE),IF(ISBLANK(Deltagarlista!$C38),"",IF(ISBLANK(Arrangörslista!K$8),"",IFERROR(VLOOKUP($F33,Arrangörslista!L$8:$AG$45,16,FALSE),"DNS")))))),IF(Deltagarlista!$K$3=2,
IF(ISBLANK(Deltagarlista!$C38),"",IF(ISBLANK(Arrangörslista!G$8),"",IF($GV33=N$64," DNS ",IFERROR(VLOOKUP($F33,Arrangörslista!G$8:$AG$45,16,FALSE),"DNS")))),IF(ISBLANK(Deltagarlista!$C38),"",IF(ISBLANK(Arrangörslista!G$8),"",IFERROR(VLOOKUP($F33,Arrangörslista!G$8:$AG$45,16,FALSE),"DNS")))))</f>
        <v/>
      </c>
      <c r="O33" s="5" t="str">
        <f>IF(Deltagarlista!$K$3=4,IF(ISBLANK(Deltagarlista!$C38),"",IF(ISBLANK(Arrangörslista!M$8),"",IFERROR(VLOOKUP($F33,Arrangörslista!M$8:$AG$45,16,FALSE),IF(ISBLANK(Deltagarlista!$C38),"",IF(ISBLANK(Arrangörslista!M$8),"",IFERROR(VLOOKUP($F33,Arrangörslista!N$8:$AG$45,16,FALSE),"DNS")))))),IF(Deltagarlista!$K$3=2,
IF(ISBLANK(Deltagarlista!$C38),"",IF(ISBLANK(Arrangörslista!H$8),"",IF($GV33=O$64," DNS ",IFERROR(VLOOKUP($F33,Arrangörslista!H$8:$AG$45,16,FALSE),"DNS")))),IF(ISBLANK(Deltagarlista!$C38),"",IF(ISBLANK(Arrangörslista!H$8),"",IFERROR(VLOOKUP($F33,Arrangörslista!H$8:$AG$45,16,FALSE),"DNS")))))</f>
        <v/>
      </c>
      <c r="P33" s="5" t="str">
        <f>IF(Deltagarlista!$K$3=4,IF(ISBLANK(Deltagarlista!$C38),"",IF(ISBLANK(Arrangörslista!O$8),"",IFERROR(VLOOKUP($F33,Arrangörslista!O$8:$AG$45,16,FALSE),IF(ISBLANK(Deltagarlista!$C38),"",IF(ISBLANK(Arrangörslista!O$8),"",IFERROR(VLOOKUP($F33,Arrangörslista!P$8:$AG$45,16,FALSE),"DNS")))))),IF(Deltagarlista!$K$3=2,
IF(ISBLANK(Deltagarlista!$C38),"",IF(ISBLANK(Arrangörslista!I$8),"",IF($GV33=P$64," DNS ",IFERROR(VLOOKUP($F33,Arrangörslista!I$8:$AG$45,16,FALSE),"DNS")))),IF(ISBLANK(Deltagarlista!$C38),"",IF(ISBLANK(Arrangörslista!I$8),"",IFERROR(VLOOKUP($F33,Arrangörslista!I$8:$AG$45,16,FALSE),"DNS")))))</f>
        <v/>
      </c>
      <c r="Q33" s="5" t="str">
        <f>IF(Deltagarlista!$K$3=4,IF(ISBLANK(Deltagarlista!$C38),"",IF(ISBLANK(Arrangörslista!Q$8),"",IFERROR(VLOOKUP($F33,Arrangörslista!Q$8:$AG$45,16,FALSE),IF(ISBLANK(Deltagarlista!$C38),"",IF(ISBLANK(Arrangörslista!Q$8),"",IFERROR(VLOOKUP($F33,Arrangörslista!C$53:$AG$90,16,FALSE),"DNS")))))),IF(Deltagarlista!$K$3=2,
IF(ISBLANK(Deltagarlista!$C38),"",IF(ISBLANK(Arrangörslista!J$8),"",IF($GV33=Q$64," DNS ",IFERROR(VLOOKUP($F33,Arrangörslista!J$8:$AG$45,16,FALSE),"DNS")))),IF(ISBLANK(Deltagarlista!$C38),"",IF(ISBLANK(Arrangörslista!J$8),"",IFERROR(VLOOKUP($F33,Arrangörslista!J$8:$AG$45,16,FALSE),"DNS")))))</f>
        <v/>
      </c>
      <c r="R33" s="5" t="str">
        <f>IF(Deltagarlista!$K$3=4,IF(ISBLANK(Deltagarlista!$C38),"",IF(ISBLANK(Arrangörslista!D$53),"",IFERROR(VLOOKUP($F33,Arrangörslista!D$53:$AG$90,16,FALSE),IF(ISBLANK(Deltagarlista!$C38),"",IF(ISBLANK(Arrangörslista!D$53),"",IFERROR(VLOOKUP($F33,Arrangörslista!E$53:$AG$90,16,FALSE),"DNS")))))),IF(Deltagarlista!$K$3=2,
IF(ISBLANK(Deltagarlista!$C38),"",IF(ISBLANK(Arrangörslista!K$8),"",IF($GV33=R$64," DNS ",IFERROR(VLOOKUP($F33,Arrangörslista!K$8:$AG$45,16,FALSE),"DNS")))),IF(ISBLANK(Deltagarlista!$C38),"",IF(ISBLANK(Arrangörslista!K$8),"",IFERROR(VLOOKUP($F33,Arrangörslista!K$8:$AG$45,16,FALSE),"DNS")))))</f>
        <v/>
      </c>
      <c r="S33" s="5" t="str">
        <f>IF(Deltagarlista!$K$3=4,IF(ISBLANK(Deltagarlista!$C38),"",IF(ISBLANK(Arrangörslista!F$53),"",IFERROR(VLOOKUP($F33,Arrangörslista!F$53:$AG$90,16,FALSE),IF(ISBLANK(Deltagarlista!$C38),"",IF(ISBLANK(Arrangörslista!F$53),"",IFERROR(VLOOKUP($F33,Arrangörslista!G$53:$AG$90,16,FALSE),"DNS")))))),IF(Deltagarlista!$K$3=2,
IF(ISBLANK(Deltagarlista!$C38),"",IF(ISBLANK(Arrangörslista!L$8),"",IF($GV33=S$64," DNS ",IFERROR(VLOOKUP($F33,Arrangörslista!L$8:$AG$45,16,FALSE),"DNS")))),IF(ISBLANK(Deltagarlista!$C38),"",IF(ISBLANK(Arrangörslista!L$8),"",IFERROR(VLOOKUP($F33,Arrangörslista!L$8:$AG$45,16,FALSE),"DNS")))))</f>
        <v/>
      </c>
      <c r="T33" s="5" t="str">
        <f>IF(Deltagarlista!$K$3=4,IF(ISBLANK(Deltagarlista!$C38),"",IF(ISBLANK(Arrangörslista!H$53),"",IFERROR(VLOOKUP($F33,Arrangörslista!H$53:$AG$90,16,FALSE),IF(ISBLANK(Deltagarlista!$C38),"",IF(ISBLANK(Arrangörslista!H$53),"",IFERROR(VLOOKUP($F33,Arrangörslista!I$53:$AG$90,16,FALSE),"DNS")))))),IF(Deltagarlista!$K$3=2,
IF(ISBLANK(Deltagarlista!$C38),"",IF(ISBLANK(Arrangörslista!M$8),"",IF($GV33=T$64," DNS ",IFERROR(VLOOKUP($F33,Arrangörslista!M$8:$AG$45,16,FALSE),"DNS")))),IF(ISBLANK(Deltagarlista!$C38),"",IF(ISBLANK(Arrangörslista!M$8),"",IFERROR(VLOOKUP($F33,Arrangörslista!M$8:$AG$45,16,FALSE),"DNS")))))</f>
        <v/>
      </c>
      <c r="U33" s="5" t="str">
        <f>IF(Deltagarlista!$K$3=4,IF(ISBLANK(Deltagarlista!$C38),"",IF(ISBLANK(Arrangörslista!J$53),"",IFERROR(VLOOKUP($F33,Arrangörslista!J$53:$AG$90,16,FALSE),IF(ISBLANK(Deltagarlista!$C38),"",IF(ISBLANK(Arrangörslista!J$53),"",IFERROR(VLOOKUP($F33,Arrangörslista!K$53:$AG$90,16,FALSE),"DNS")))))),IF(Deltagarlista!$K$3=2,
IF(ISBLANK(Deltagarlista!$C38),"",IF(ISBLANK(Arrangörslista!N$8),"",IF($GV33=U$64," DNS ",IFERROR(VLOOKUP($F33,Arrangörslista!N$8:$AG$45,16,FALSE),"DNS")))),IF(ISBLANK(Deltagarlista!$C38),"",IF(ISBLANK(Arrangörslista!N$8),"",IFERROR(VLOOKUP($F33,Arrangörslista!N$8:$AG$45,16,FALSE),"DNS")))))</f>
        <v/>
      </c>
      <c r="V33" s="5" t="str">
        <f>IF(Deltagarlista!$K$3=4,IF(ISBLANK(Deltagarlista!$C38),"",IF(ISBLANK(Arrangörslista!L$53),"",IFERROR(VLOOKUP($F33,Arrangörslista!L$53:$AG$90,16,FALSE),IF(ISBLANK(Deltagarlista!$C38),"",IF(ISBLANK(Arrangörslista!L$53),"",IFERROR(VLOOKUP($F33,Arrangörslista!M$53:$AG$90,16,FALSE),"DNS")))))),IF(Deltagarlista!$K$3=2,
IF(ISBLANK(Deltagarlista!$C38),"",IF(ISBLANK(Arrangörslista!O$8),"",IF($GV33=V$64," DNS ",IFERROR(VLOOKUP($F33,Arrangörslista!O$8:$AG$45,16,FALSE),"DNS")))),IF(ISBLANK(Deltagarlista!$C38),"",IF(ISBLANK(Arrangörslista!O$8),"",IFERROR(VLOOKUP($F33,Arrangörslista!O$8:$AG$45,16,FALSE),"DNS")))))</f>
        <v/>
      </c>
      <c r="W33" s="5" t="str">
        <f>IF(Deltagarlista!$K$3=4,IF(ISBLANK(Deltagarlista!$C38),"",IF(ISBLANK(Arrangörslista!N$53),"",IFERROR(VLOOKUP($F33,Arrangörslista!N$53:$AG$90,16,FALSE),IF(ISBLANK(Deltagarlista!$C38),"",IF(ISBLANK(Arrangörslista!N$53),"",IFERROR(VLOOKUP($F33,Arrangörslista!O$53:$AG$90,16,FALSE),"DNS")))))),IF(Deltagarlista!$K$3=2,
IF(ISBLANK(Deltagarlista!$C38),"",IF(ISBLANK(Arrangörslista!P$8),"",IF($GV33=W$64," DNS ",IFERROR(VLOOKUP($F33,Arrangörslista!P$8:$AG$45,16,FALSE),"DNS")))),IF(ISBLANK(Deltagarlista!$C38),"",IF(ISBLANK(Arrangörslista!P$8),"",IFERROR(VLOOKUP($F33,Arrangörslista!P$8:$AG$45,16,FALSE),"DNS")))))</f>
        <v/>
      </c>
      <c r="X33" s="5" t="str">
        <f>IF(Deltagarlista!$K$3=4,IF(ISBLANK(Deltagarlista!$C38),"",IF(ISBLANK(Arrangörslista!P$53),"",IFERROR(VLOOKUP($F33,Arrangörslista!P$53:$AG$90,16,FALSE),IF(ISBLANK(Deltagarlista!$C38),"",IF(ISBLANK(Arrangörslista!P$53),"",IFERROR(VLOOKUP($F33,Arrangörslista!Q$53:$AG$90,16,FALSE),"DNS")))))),IF(Deltagarlista!$K$3=2,
IF(ISBLANK(Deltagarlista!$C38),"",IF(ISBLANK(Arrangörslista!Q$8),"",IF($GV33=X$64," DNS ",IFERROR(VLOOKUP($F33,Arrangörslista!Q$8:$AG$45,16,FALSE),"DNS")))),IF(ISBLANK(Deltagarlista!$C38),"",IF(ISBLANK(Arrangörslista!Q$8),"",IFERROR(VLOOKUP($F33,Arrangörslista!Q$8:$AG$45,16,FALSE),"DNS")))))</f>
        <v/>
      </c>
      <c r="Y33" s="5" t="str">
        <f>IF(Deltagarlista!$K$3=4,IF(ISBLANK(Deltagarlista!$C38),"",IF(ISBLANK(Arrangörslista!C$98),"",IFERROR(VLOOKUP($F33,Arrangörslista!C$98:$AG$135,16,FALSE),IF(ISBLANK(Deltagarlista!$C38),"",IF(ISBLANK(Arrangörslista!C$98),"",IFERROR(VLOOKUP($F33,Arrangörslista!D$98:$AG$135,16,FALSE),"DNS")))))),IF(Deltagarlista!$K$3=2,
IF(ISBLANK(Deltagarlista!$C38),"",IF(ISBLANK(Arrangörslista!C$53),"",IF($GV33=Y$64," DNS ",IFERROR(VLOOKUP($F33,Arrangörslista!C$53:$AG$90,16,FALSE),"DNS")))),IF(ISBLANK(Deltagarlista!$C38),"",IF(ISBLANK(Arrangörslista!C$53),"",IFERROR(VLOOKUP($F33,Arrangörslista!C$53:$AG$90,16,FALSE),"DNS")))))</f>
        <v/>
      </c>
      <c r="Z33" s="5" t="str">
        <f>IF(Deltagarlista!$K$3=4,IF(ISBLANK(Deltagarlista!$C38),"",IF(ISBLANK(Arrangörslista!E$98),"",IFERROR(VLOOKUP($F33,Arrangörslista!E$98:$AG$135,16,FALSE),IF(ISBLANK(Deltagarlista!$C38),"",IF(ISBLANK(Arrangörslista!E$98),"",IFERROR(VLOOKUP($F33,Arrangörslista!F$98:$AG$135,16,FALSE),"DNS")))))),IF(Deltagarlista!$K$3=2,
IF(ISBLANK(Deltagarlista!$C38),"",IF(ISBLANK(Arrangörslista!D$53),"",IF($GV33=Z$64," DNS ",IFERROR(VLOOKUP($F33,Arrangörslista!D$53:$AG$90,16,FALSE),"DNS")))),IF(ISBLANK(Deltagarlista!$C38),"",IF(ISBLANK(Arrangörslista!D$53),"",IFERROR(VLOOKUP($F33,Arrangörslista!D$53:$AG$90,16,FALSE),"DNS")))))</f>
        <v/>
      </c>
      <c r="AA33" s="5" t="str">
        <f>IF(Deltagarlista!$K$3=4,IF(ISBLANK(Deltagarlista!$C38),"",IF(ISBLANK(Arrangörslista!G$98),"",IFERROR(VLOOKUP($F33,Arrangörslista!G$98:$AG$135,16,FALSE),IF(ISBLANK(Deltagarlista!$C38),"",IF(ISBLANK(Arrangörslista!G$98),"",IFERROR(VLOOKUP($F33,Arrangörslista!H$98:$AG$135,16,FALSE),"DNS")))))),IF(Deltagarlista!$K$3=2,
IF(ISBLANK(Deltagarlista!$C38),"",IF(ISBLANK(Arrangörslista!E$53),"",IF($GV33=AA$64," DNS ",IFERROR(VLOOKUP($F33,Arrangörslista!E$53:$AG$90,16,FALSE),"DNS")))),IF(ISBLANK(Deltagarlista!$C38),"",IF(ISBLANK(Arrangörslista!E$53),"",IFERROR(VLOOKUP($F33,Arrangörslista!E$53:$AG$90,16,FALSE),"DNS")))))</f>
        <v/>
      </c>
      <c r="AB33" s="5" t="str">
        <f>IF(Deltagarlista!$K$3=4,IF(ISBLANK(Deltagarlista!$C38),"",IF(ISBLANK(Arrangörslista!I$98),"",IFERROR(VLOOKUP($F33,Arrangörslista!I$98:$AG$135,16,FALSE),IF(ISBLANK(Deltagarlista!$C38),"",IF(ISBLANK(Arrangörslista!I$98),"",IFERROR(VLOOKUP($F33,Arrangörslista!J$98:$AG$135,16,FALSE),"DNS")))))),IF(Deltagarlista!$K$3=2,
IF(ISBLANK(Deltagarlista!$C38),"",IF(ISBLANK(Arrangörslista!F$53),"",IF($GV33=AB$64," DNS ",IFERROR(VLOOKUP($F33,Arrangörslista!F$53:$AG$90,16,FALSE),"DNS")))),IF(ISBLANK(Deltagarlista!$C38),"",IF(ISBLANK(Arrangörslista!F$53),"",IFERROR(VLOOKUP($F33,Arrangörslista!F$53:$AG$90,16,FALSE),"DNS")))))</f>
        <v/>
      </c>
      <c r="AC33" s="5" t="str">
        <f>IF(Deltagarlista!$K$3=4,IF(ISBLANK(Deltagarlista!$C38),"",IF(ISBLANK(Arrangörslista!K$98),"",IFERROR(VLOOKUP($F33,Arrangörslista!K$98:$AG$135,16,FALSE),IF(ISBLANK(Deltagarlista!$C38),"",IF(ISBLANK(Arrangörslista!K$98),"",IFERROR(VLOOKUP($F33,Arrangörslista!L$98:$AG$135,16,FALSE),"DNS")))))),IF(Deltagarlista!$K$3=2,
IF(ISBLANK(Deltagarlista!$C38),"",IF(ISBLANK(Arrangörslista!G$53),"",IF($GV33=AC$64," DNS ",IFERROR(VLOOKUP($F33,Arrangörslista!G$53:$AG$90,16,FALSE),"DNS")))),IF(ISBLANK(Deltagarlista!$C38),"",IF(ISBLANK(Arrangörslista!G$53),"",IFERROR(VLOOKUP($F33,Arrangörslista!G$53:$AG$90,16,FALSE),"DNS")))))</f>
        <v/>
      </c>
      <c r="AD33" s="5" t="str">
        <f>IF(Deltagarlista!$K$3=4,IF(ISBLANK(Deltagarlista!$C38),"",IF(ISBLANK(Arrangörslista!M$98),"",IFERROR(VLOOKUP($F33,Arrangörslista!M$98:$AG$135,16,FALSE),IF(ISBLANK(Deltagarlista!$C38),"",IF(ISBLANK(Arrangörslista!M$98),"",IFERROR(VLOOKUP($F33,Arrangörslista!N$98:$AG$135,16,FALSE),"DNS")))))),IF(Deltagarlista!$K$3=2,
IF(ISBLANK(Deltagarlista!$C38),"",IF(ISBLANK(Arrangörslista!H$53),"",IF($GV33=AD$64," DNS ",IFERROR(VLOOKUP($F33,Arrangörslista!H$53:$AG$90,16,FALSE),"DNS")))),IF(ISBLANK(Deltagarlista!$C38),"",IF(ISBLANK(Arrangörslista!H$53),"",IFERROR(VLOOKUP($F33,Arrangörslista!H$53:$AG$90,16,FALSE),"DNS")))))</f>
        <v/>
      </c>
      <c r="AE33" s="5" t="str">
        <f>IF(Deltagarlista!$K$3=4,IF(ISBLANK(Deltagarlista!$C38),"",IF(ISBLANK(Arrangörslista!O$98),"",IFERROR(VLOOKUP($F33,Arrangörslista!O$98:$AG$135,16,FALSE),IF(ISBLANK(Deltagarlista!$C38),"",IF(ISBLANK(Arrangörslista!O$98),"",IFERROR(VLOOKUP($F33,Arrangörslista!P$98:$AG$135,16,FALSE),"DNS")))))),IF(Deltagarlista!$K$3=2,
IF(ISBLANK(Deltagarlista!$C38),"",IF(ISBLANK(Arrangörslista!I$53),"",IF($GV33=AE$64," DNS ",IFERROR(VLOOKUP($F33,Arrangörslista!I$53:$AG$90,16,FALSE),"DNS")))),IF(ISBLANK(Deltagarlista!$C38),"",IF(ISBLANK(Arrangörslista!I$53),"",IFERROR(VLOOKUP($F33,Arrangörslista!I$53:$AG$90,16,FALSE),"DNS")))))</f>
        <v/>
      </c>
      <c r="AF33" s="5" t="str">
        <f>IF(Deltagarlista!$K$3=4,IF(ISBLANK(Deltagarlista!$C38),"",IF(ISBLANK(Arrangörslista!Q$98),"",IFERROR(VLOOKUP($F33,Arrangörslista!Q$98:$AG$135,16,FALSE),IF(ISBLANK(Deltagarlista!$C38),"",IF(ISBLANK(Arrangörslista!Q$98),"",IFERROR(VLOOKUP($F33,Arrangörslista!C$143:$AG$180,16,FALSE),"DNS")))))),IF(Deltagarlista!$K$3=2,
IF(ISBLANK(Deltagarlista!$C38),"",IF(ISBLANK(Arrangörslista!J$53),"",IF($GV33=AF$64," DNS ",IFERROR(VLOOKUP($F33,Arrangörslista!J$53:$AG$90,16,FALSE),"DNS")))),IF(ISBLANK(Deltagarlista!$C38),"",IF(ISBLANK(Arrangörslista!J$53),"",IFERROR(VLOOKUP($F33,Arrangörslista!J$53:$AG$90,16,FALSE),"DNS")))))</f>
        <v/>
      </c>
      <c r="AG33" s="5" t="str">
        <f>IF(Deltagarlista!$K$3=4,IF(ISBLANK(Deltagarlista!$C38),"",IF(ISBLANK(Arrangörslista!D$143),"",IFERROR(VLOOKUP($F33,Arrangörslista!D$143:$AG$180,16,FALSE),IF(ISBLANK(Deltagarlista!$C38),"",IF(ISBLANK(Arrangörslista!D$143),"",IFERROR(VLOOKUP($F33,Arrangörslista!E$143:$AG$180,16,FALSE),"DNS")))))),IF(Deltagarlista!$K$3=2,
IF(ISBLANK(Deltagarlista!$C38),"",IF(ISBLANK(Arrangörslista!K$53),"",IF($GV33=AG$64," DNS ",IFERROR(VLOOKUP($F33,Arrangörslista!K$53:$AG$90,16,FALSE),"DNS")))),IF(ISBLANK(Deltagarlista!$C38),"",IF(ISBLANK(Arrangörslista!K$53),"",IFERROR(VLOOKUP($F33,Arrangörslista!K$53:$AG$90,16,FALSE),"DNS")))))</f>
        <v/>
      </c>
      <c r="AH33" s="5" t="str">
        <f>IF(Deltagarlista!$K$3=4,IF(ISBLANK(Deltagarlista!$C38),"",IF(ISBLANK(Arrangörslista!F$143),"",IFERROR(VLOOKUP($F33,Arrangörslista!F$143:$AG$180,16,FALSE),IF(ISBLANK(Deltagarlista!$C38),"",IF(ISBLANK(Arrangörslista!F$143),"",IFERROR(VLOOKUP($F33,Arrangörslista!G$143:$AG$180,16,FALSE),"DNS")))))),IF(Deltagarlista!$K$3=2,
IF(ISBLANK(Deltagarlista!$C38),"",IF(ISBLANK(Arrangörslista!L$53),"",IF($GV33=AH$64," DNS ",IFERROR(VLOOKUP($F33,Arrangörslista!L$53:$AG$90,16,FALSE),"DNS")))),IF(ISBLANK(Deltagarlista!$C38),"",IF(ISBLANK(Arrangörslista!L$53),"",IFERROR(VLOOKUP($F33,Arrangörslista!L$53:$AG$90,16,FALSE),"DNS")))))</f>
        <v/>
      </c>
      <c r="AI33" s="5" t="str">
        <f>IF(Deltagarlista!$K$3=4,IF(ISBLANK(Deltagarlista!$C38),"",IF(ISBLANK(Arrangörslista!H$143),"",IFERROR(VLOOKUP($F33,Arrangörslista!H$143:$AG$180,16,FALSE),IF(ISBLANK(Deltagarlista!$C38),"",IF(ISBLANK(Arrangörslista!H$143),"",IFERROR(VLOOKUP($F33,Arrangörslista!I$143:$AG$180,16,FALSE),"DNS")))))),IF(Deltagarlista!$K$3=2,
IF(ISBLANK(Deltagarlista!$C38),"",IF(ISBLANK(Arrangörslista!M$53),"",IF($GV33=AI$64," DNS ",IFERROR(VLOOKUP($F33,Arrangörslista!M$53:$AG$90,16,FALSE),"DNS")))),IF(ISBLANK(Deltagarlista!$C38),"",IF(ISBLANK(Arrangörslista!M$53),"",IFERROR(VLOOKUP($F33,Arrangörslista!M$53:$AG$90,16,FALSE),"DNS")))))</f>
        <v/>
      </c>
      <c r="AJ33" s="5" t="str">
        <f>IF(Deltagarlista!$K$3=4,IF(ISBLANK(Deltagarlista!$C38),"",IF(ISBLANK(Arrangörslista!J$143),"",IFERROR(VLOOKUP($F33,Arrangörslista!J$143:$AG$180,16,FALSE),IF(ISBLANK(Deltagarlista!$C38),"",IF(ISBLANK(Arrangörslista!J$143),"",IFERROR(VLOOKUP($F33,Arrangörslista!K$143:$AG$180,16,FALSE),"DNS")))))),IF(Deltagarlista!$K$3=2,
IF(ISBLANK(Deltagarlista!$C38),"",IF(ISBLANK(Arrangörslista!N$53),"",IF($GV33=AJ$64," DNS ",IFERROR(VLOOKUP($F33,Arrangörslista!N$53:$AG$90,16,FALSE),"DNS")))),IF(ISBLANK(Deltagarlista!$C38),"",IF(ISBLANK(Arrangörslista!N$53),"",IFERROR(VLOOKUP($F33,Arrangörslista!N$53:$AG$90,16,FALSE),"DNS")))))</f>
        <v/>
      </c>
      <c r="AK33" s="5" t="str">
        <f>IF(Deltagarlista!$K$3=4,IF(ISBLANK(Deltagarlista!$C38),"",IF(ISBLANK(Arrangörslista!L$143),"",IFERROR(VLOOKUP($F33,Arrangörslista!L$143:$AG$180,16,FALSE),IF(ISBLANK(Deltagarlista!$C38),"",IF(ISBLANK(Arrangörslista!L$143),"",IFERROR(VLOOKUP($F33,Arrangörslista!M$143:$AG$180,16,FALSE),"DNS")))))),IF(Deltagarlista!$K$3=2,
IF(ISBLANK(Deltagarlista!$C38),"",IF(ISBLANK(Arrangörslista!O$53),"",IF($GV33=AK$64," DNS ",IFERROR(VLOOKUP($F33,Arrangörslista!O$53:$AG$90,16,FALSE),"DNS")))),IF(ISBLANK(Deltagarlista!$C38),"",IF(ISBLANK(Arrangörslista!O$53),"",IFERROR(VLOOKUP($F33,Arrangörslista!O$53:$AG$90,16,FALSE),"DNS")))))</f>
        <v/>
      </c>
      <c r="AL33" s="5" t="str">
        <f>IF(Deltagarlista!$K$3=4,IF(ISBLANK(Deltagarlista!$C38),"",IF(ISBLANK(Arrangörslista!N$143),"",IFERROR(VLOOKUP($F33,Arrangörslista!N$143:$AG$180,16,FALSE),IF(ISBLANK(Deltagarlista!$C38),"",IF(ISBLANK(Arrangörslista!N$143),"",IFERROR(VLOOKUP($F33,Arrangörslista!O$143:$AG$180,16,FALSE),"DNS")))))),IF(Deltagarlista!$K$3=2,
IF(ISBLANK(Deltagarlista!$C38),"",IF(ISBLANK(Arrangörslista!P$53),"",IF($GV33=AL$64," DNS ",IFERROR(VLOOKUP($F33,Arrangörslista!P$53:$AG$90,16,FALSE),"DNS")))),IF(ISBLANK(Deltagarlista!$C38),"",IF(ISBLANK(Arrangörslista!P$53),"",IFERROR(VLOOKUP($F33,Arrangörslista!P$53:$AG$90,16,FALSE),"DNS")))))</f>
        <v/>
      </c>
      <c r="AM33" s="5" t="str">
        <f>IF(Deltagarlista!$K$3=4,IF(ISBLANK(Deltagarlista!$C38),"",IF(ISBLANK(Arrangörslista!P$143),"",IFERROR(VLOOKUP($F33,Arrangörslista!P$143:$AG$180,16,FALSE),IF(ISBLANK(Deltagarlista!$C38),"",IF(ISBLANK(Arrangörslista!P$143),"",IFERROR(VLOOKUP($F33,Arrangörslista!Q$143:$AG$180,16,FALSE),"DNS")))))),IF(Deltagarlista!$K$3=2,
IF(ISBLANK(Deltagarlista!$C38),"",IF(ISBLANK(Arrangörslista!Q$53),"",IF($GV33=AM$64," DNS ",IFERROR(VLOOKUP($F33,Arrangörslista!Q$53:$AG$90,16,FALSE),"DNS")))),IF(ISBLANK(Deltagarlista!$C38),"",IF(ISBLANK(Arrangörslista!Q$53),"",IFERROR(VLOOKUP($F33,Arrangörslista!Q$53:$AG$90,16,FALSE),"DNS")))))</f>
        <v/>
      </c>
      <c r="AN33" s="5" t="str">
        <f>IF(Deltagarlista!$K$3=2,
IF(ISBLANK(Deltagarlista!$C38),"",IF(ISBLANK(Arrangörslista!C$98),"",IF($GV33=AN$64," DNS ",IFERROR(VLOOKUP($F33,Arrangörslista!C$98:$AG$135,16,FALSE), "DNS")))), IF(Deltagarlista!$K$3=1,IF(ISBLANK(Deltagarlista!$C38),"",IF(ISBLANK(Arrangörslista!C$98),"",IFERROR(VLOOKUP($F33,Arrangörslista!C$98:$AG$135,16,FALSE), "DNS"))),""))</f>
        <v/>
      </c>
      <c r="AO33" s="5" t="str">
        <f>IF(Deltagarlista!$K$3=2,
IF(ISBLANK(Deltagarlista!$C38),"",IF(ISBLANK(Arrangörslista!D$98),"",IF($GV33=AO$64," DNS ",IFERROR(VLOOKUP($F33,Arrangörslista!D$98:$AG$135,16,FALSE), "DNS")))), IF(Deltagarlista!$K$3=1,IF(ISBLANK(Deltagarlista!$C38),"",IF(ISBLANK(Arrangörslista!D$98),"",IFERROR(VLOOKUP($F33,Arrangörslista!D$98:$AG$135,16,FALSE), "DNS"))),""))</f>
        <v/>
      </c>
      <c r="AP33" s="5" t="str">
        <f>IF(Deltagarlista!$K$3=2,
IF(ISBLANK(Deltagarlista!$C38),"",IF(ISBLANK(Arrangörslista!E$98),"",IF($GV33=AP$64," DNS ",IFERROR(VLOOKUP($F33,Arrangörslista!E$98:$AG$135,16,FALSE), "DNS")))), IF(Deltagarlista!$K$3=1,IF(ISBLANK(Deltagarlista!$C38),"",IF(ISBLANK(Arrangörslista!E$98),"",IFERROR(VLOOKUP($F33,Arrangörslista!E$98:$AG$135,16,FALSE), "DNS"))),""))</f>
        <v/>
      </c>
      <c r="AQ33" s="5" t="str">
        <f>IF(Deltagarlista!$K$3=2,
IF(ISBLANK(Deltagarlista!$C38),"",IF(ISBLANK(Arrangörslista!F$98),"",IF($GV33=AQ$64," DNS ",IFERROR(VLOOKUP($F33,Arrangörslista!F$98:$AG$135,16,FALSE), "DNS")))), IF(Deltagarlista!$K$3=1,IF(ISBLANK(Deltagarlista!$C38),"",IF(ISBLANK(Arrangörslista!F$98),"",IFERROR(VLOOKUP($F33,Arrangörslista!F$98:$AG$135,16,FALSE), "DNS"))),""))</f>
        <v/>
      </c>
      <c r="AR33" s="5" t="str">
        <f>IF(Deltagarlista!$K$3=2,
IF(ISBLANK(Deltagarlista!$C38),"",IF(ISBLANK(Arrangörslista!G$98),"",IF($GV33=AR$64," DNS ",IFERROR(VLOOKUP($F33,Arrangörslista!G$98:$AG$135,16,FALSE), "DNS")))), IF(Deltagarlista!$K$3=1,IF(ISBLANK(Deltagarlista!$C38),"",IF(ISBLANK(Arrangörslista!G$98),"",IFERROR(VLOOKUP($F33,Arrangörslista!G$98:$AG$135,16,FALSE), "DNS"))),""))</f>
        <v/>
      </c>
      <c r="AS33" s="5" t="str">
        <f>IF(Deltagarlista!$K$3=2,
IF(ISBLANK(Deltagarlista!$C38),"",IF(ISBLANK(Arrangörslista!H$98),"",IF($GV33=AS$64," DNS ",IFERROR(VLOOKUP($F33,Arrangörslista!H$98:$AG$135,16,FALSE), "DNS")))), IF(Deltagarlista!$K$3=1,IF(ISBLANK(Deltagarlista!$C38),"",IF(ISBLANK(Arrangörslista!H$98),"",IFERROR(VLOOKUP($F33,Arrangörslista!H$98:$AG$135,16,FALSE), "DNS"))),""))</f>
        <v/>
      </c>
      <c r="AT33" s="5" t="str">
        <f>IF(Deltagarlista!$K$3=2,
IF(ISBLANK(Deltagarlista!$C38),"",IF(ISBLANK(Arrangörslista!I$98),"",IF($GV33=AT$64," DNS ",IFERROR(VLOOKUP($F33,Arrangörslista!I$98:$AG$135,16,FALSE), "DNS")))), IF(Deltagarlista!$K$3=1,IF(ISBLANK(Deltagarlista!$C38),"",IF(ISBLANK(Arrangörslista!I$98),"",IFERROR(VLOOKUP($F33,Arrangörslista!I$98:$AG$135,16,FALSE), "DNS"))),""))</f>
        <v/>
      </c>
      <c r="AU33" s="5" t="str">
        <f>IF(Deltagarlista!$K$3=2,
IF(ISBLANK(Deltagarlista!$C38),"",IF(ISBLANK(Arrangörslista!J$98),"",IF($GV33=AU$64," DNS ",IFERROR(VLOOKUP($F33,Arrangörslista!J$98:$AG$135,16,FALSE), "DNS")))), IF(Deltagarlista!$K$3=1,IF(ISBLANK(Deltagarlista!$C38),"",IF(ISBLANK(Arrangörslista!J$98),"",IFERROR(VLOOKUP($F33,Arrangörslista!J$98:$AG$135,16,FALSE), "DNS"))),""))</f>
        <v/>
      </c>
      <c r="AV33" s="5" t="str">
        <f>IF(Deltagarlista!$K$3=2,
IF(ISBLANK(Deltagarlista!$C38),"",IF(ISBLANK(Arrangörslista!K$98),"",IF($GV33=AV$64," DNS ",IFERROR(VLOOKUP($F33,Arrangörslista!K$98:$AG$135,16,FALSE), "DNS")))), IF(Deltagarlista!$K$3=1,IF(ISBLANK(Deltagarlista!$C38),"",IF(ISBLANK(Arrangörslista!K$98),"",IFERROR(VLOOKUP($F33,Arrangörslista!K$98:$AG$135,16,FALSE), "DNS"))),""))</f>
        <v/>
      </c>
      <c r="AW33" s="5" t="str">
        <f>IF(Deltagarlista!$K$3=2,
IF(ISBLANK(Deltagarlista!$C38),"",IF(ISBLANK(Arrangörslista!L$98),"",IF($GV33=AW$64," DNS ",IFERROR(VLOOKUP($F33,Arrangörslista!L$98:$AG$135,16,FALSE), "DNS")))), IF(Deltagarlista!$K$3=1,IF(ISBLANK(Deltagarlista!$C38),"",IF(ISBLANK(Arrangörslista!L$98),"",IFERROR(VLOOKUP($F33,Arrangörslista!L$98:$AG$135,16,FALSE), "DNS"))),""))</f>
        <v/>
      </c>
      <c r="AX33" s="5" t="str">
        <f>IF(Deltagarlista!$K$3=2,
IF(ISBLANK(Deltagarlista!$C38),"",IF(ISBLANK(Arrangörslista!M$98),"",IF($GV33=AX$64," DNS ",IFERROR(VLOOKUP($F33,Arrangörslista!M$98:$AG$135,16,FALSE), "DNS")))), IF(Deltagarlista!$K$3=1,IF(ISBLANK(Deltagarlista!$C38),"",IF(ISBLANK(Arrangörslista!M$98),"",IFERROR(VLOOKUP($F33,Arrangörslista!M$98:$AG$135,16,FALSE), "DNS"))),""))</f>
        <v/>
      </c>
      <c r="AY33" s="5" t="str">
        <f>IF(Deltagarlista!$K$3=2,
IF(ISBLANK(Deltagarlista!$C38),"",IF(ISBLANK(Arrangörslista!N$98),"",IF($GV33=AY$64," DNS ",IFERROR(VLOOKUP($F33,Arrangörslista!N$98:$AG$135,16,FALSE), "DNS")))), IF(Deltagarlista!$K$3=1,IF(ISBLANK(Deltagarlista!$C38),"",IF(ISBLANK(Arrangörslista!N$98),"",IFERROR(VLOOKUP($F33,Arrangörslista!N$98:$AG$135,16,FALSE), "DNS"))),""))</f>
        <v/>
      </c>
      <c r="AZ33" s="5" t="str">
        <f>IF(Deltagarlista!$K$3=2,
IF(ISBLANK(Deltagarlista!$C38),"",IF(ISBLANK(Arrangörslista!O$98),"",IF($GV33=AZ$64," DNS ",IFERROR(VLOOKUP($F33,Arrangörslista!O$98:$AG$135,16,FALSE), "DNS")))), IF(Deltagarlista!$K$3=1,IF(ISBLANK(Deltagarlista!$C38),"",IF(ISBLANK(Arrangörslista!O$98),"",IFERROR(VLOOKUP($F33,Arrangörslista!O$98:$AG$135,16,FALSE), "DNS"))),""))</f>
        <v/>
      </c>
      <c r="BA33" s="5" t="str">
        <f>IF(Deltagarlista!$K$3=2,
IF(ISBLANK(Deltagarlista!$C38),"",IF(ISBLANK(Arrangörslista!P$98),"",IF($GV33=BA$64," DNS ",IFERROR(VLOOKUP($F33,Arrangörslista!P$98:$AG$135,16,FALSE), "DNS")))), IF(Deltagarlista!$K$3=1,IF(ISBLANK(Deltagarlista!$C38),"",IF(ISBLANK(Arrangörslista!P$98),"",IFERROR(VLOOKUP($F33,Arrangörslista!P$98:$AG$135,16,FALSE), "DNS"))),""))</f>
        <v/>
      </c>
      <c r="BB33" s="5" t="str">
        <f>IF(Deltagarlista!$K$3=2,
IF(ISBLANK(Deltagarlista!$C38),"",IF(ISBLANK(Arrangörslista!Q$98),"",IF($GV33=BB$64," DNS ",IFERROR(VLOOKUP($F33,Arrangörslista!Q$98:$AG$135,16,FALSE), "DNS")))), IF(Deltagarlista!$K$3=1,IF(ISBLANK(Deltagarlista!$C38),"",IF(ISBLANK(Arrangörslista!Q$98),"",IFERROR(VLOOKUP($F33,Arrangörslista!Q$98:$AG$135,16,FALSE), "DNS"))),""))</f>
        <v/>
      </c>
      <c r="BC33" s="5" t="str">
        <f>IF(Deltagarlista!$K$3=2,
IF(ISBLANK(Deltagarlista!$C38),"",IF(ISBLANK(Arrangörslista!C$143),"",IF($GV33=BC$64," DNS ",IFERROR(VLOOKUP($F33,Arrangörslista!C$143:$AG$180,16,FALSE), "DNS")))), IF(Deltagarlista!$K$3=1,IF(ISBLANK(Deltagarlista!$C38),"",IF(ISBLANK(Arrangörslista!C$143),"",IFERROR(VLOOKUP($F33,Arrangörslista!C$143:$AG$180,16,FALSE), "DNS"))),""))</f>
        <v/>
      </c>
      <c r="BD33" s="5" t="str">
        <f>IF(Deltagarlista!$K$3=2,
IF(ISBLANK(Deltagarlista!$C38),"",IF(ISBLANK(Arrangörslista!D$143),"",IF($GV33=BD$64," DNS ",IFERROR(VLOOKUP($F33,Arrangörslista!D$143:$AG$180,16,FALSE), "DNS")))), IF(Deltagarlista!$K$3=1,IF(ISBLANK(Deltagarlista!$C38),"",IF(ISBLANK(Arrangörslista!D$143),"",IFERROR(VLOOKUP($F33,Arrangörslista!D$143:$AG$180,16,FALSE), "DNS"))),""))</f>
        <v/>
      </c>
      <c r="BE33" s="5" t="str">
        <f>IF(Deltagarlista!$K$3=2,
IF(ISBLANK(Deltagarlista!$C38),"",IF(ISBLANK(Arrangörslista!E$143),"",IF($GV33=BE$64," DNS ",IFERROR(VLOOKUP($F33,Arrangörslista!E$143:$AG$180,16,FALSE), "DNS")))), IF(Deltagarlista!$K$3=1,IF(ISBLANK(Deltagarlista!$C38),"",IF(ISBLANK(Arrangörslista!E$143),"",IFERROR(VLOOKUP($F33,Arrangörslista!E$143:$AG$180,16,FALSE), "DNS"))),""))</f>
        <v/>
      </c>
      <c r="BF33" s="5" t="str">
        <f>IF(Deltagarlista!$K$3=2,
IF(ISBLANK(Deltagarlista!$C38),"",IF(ISBLANK(Arrangörslista!F$143),"",IF($GV33=BF$64," DNS ",IFERROR(VLOOKUP($F33,Arrangörslista!F$143:$AG$180,16,FALSE), "DNS")))), IF(Deltagarlista!$K$3=1,IF(ISBLANK(Deltagarlista!$C38),"",IF(ISBLANK(Arrangörslista!F$143),"",IFERROR(VLOOKUP($F33,Arrangörslista!F$143:$AG$180,16,FALSE), "DNS"))),""))</f>
        <v/>
      </c>
      <c r="BG33" s="5" t="str">
        <f>IF(Deltagarlista!$K$3=2,
IF(ISBLANK(Deltagarlista!$C38),"",IF(ISBLANK(Arrangörslista!G$143),"",IF($GV33=BG$64," DNS ",IFERROR(VLOOKUP($F33,Arrangörslista!G$143:$AG$180,16,FALSE), "DNS")))), IF(Deltagarlista!$K$3=1,IF(ISBLANK(Deltagarlista!$C38),"",IF(ISBLANK(Arrangörslista!G$143),"",IFERROR(VLOOKUP($F33,Arrangörslista!G$143:$AG$180,16,FALSE), "DNS"))),""))</f>
        <v/>
      </c>
      <c r="BH33" s="5" t="str">
        <f>IF(Deltagarlista!$K$3=2,
IF(ISBLANK(Deltagarlista!$C38),"",IF(ISBLANK(Arrangörslista!H$143),"",IF($GV33=BH$64," DNS ",IFERROR(VLOOKUP($F33,Arrangörslista!H$143:$AG$180,16,FALSE), "DNS")))), IF(Deltagarlista!$K$3=1,IF(ISBLANK(Deltagarlista!$C38),"",IF(ISBLANK(Arrangörslista!H$143),"",IFERROR(VLOOKUP($F33,Arrangörslista!H$143:$AG$180,16,FALSE), "DNS"))),""))</f>
        <v/>
      </c>
      <c r="BI33" s="5" t="str">
        <f>IF(Deltagarlista!$K$3=2,
IF(ISBLANK(Deltagarlista!$C38),"",IF(ISBLANK(Arrangörslista!I$143),"",IF($GV33=BI$64," DNS ",IFERROR(VLOOKUP($F33,Arrangörslista!I$143:$AG$180,16,FALSE), "DNS")))), IF(Deltagarlista!$K$3=1,IF(ISBLANK(Deltagarlista!$C38),"",IF(ISBLANK(Arrangörslista!I$143),"",IFERROR(VLOOKUP($F33,Arrangörslista!I$143:$AG$180,16,FALSE), "DNS"))),""))</f>
        <v/>
      </c>
      <c r="BJ33" s="5" t="str">
        <f>IF(Deltagarlista!$K$3=2,
IF(ISBLANK(Deltagarlista!$C38),"",IF(ISBLANK(Arrangörslista!J$143),"",IF($GV33=BJ$64," DNS ",IFERROR(VLOOKUP($F33,Arrangörslista!J$143:$AG$180,16,FALSE), "DNS")))), IF(Deltagarlista!$K$3=1,IF(ISBLANK(Deltagarlista!$C38),"",IF(ISBLANK(Arrangörslista!J$143),"",IFERROR(VLOOKUP($F33,Arrangörslista!J$143:$AG$180,16,FALSE), "DNS"))),""))</f>
        <v/>
      </c>
      <c r="BK33" s="5" t="str">
        <f>IF(Deltagarlista!$K$3=2,
IF(ISBLANK(Deltagarlista!$C38),"",IF(ISBLANK(Arrangörslista!K$143),"",IF($GV33=BK$64," DNS ",IFERROR(VLOOKUP($F33,Arrangörslista!K$143:$AG$180,16,FALSE), "DNS")))), IF(Deltagarlista!$K$3=1,IF(ISBLANK(Deltagarlista!$C38),"",IF(ISBLANK(Arrangörslista!K$143),"",IFERROR(VLOOKUP($F33,Arrangörslista!K$143:$AG$180,16,FALSE), "DNS"))),""))</f>
        <v/>
      </c>
      <c r="BL33" s="5" t="str">
        <f>IF(Deltagarlista!$K$3=2,
IF(ISBLANK(Deltagarlista!$C38),"",IF(ISBLANK(Arrangörslista!L$143),"",IF($GV33=BL$64," DNS ",IFERROR(VLOOKUP($F33,Arrangörslista!L$143:$AG$180,16,FALSE), "DNS")))), IF(Deltagarlista!$K$3=1,IF(ISBLANK(Deltagarlista!$C38),"",IF(ISBLANK(Arrangörslista!L$143),"",IFERROR(VLOOKUP($F33,Arrangörslista!L$143:$AG$180,16,FALSE), "DNS"))),""))</f>
        <v/>
      </c>
      <c r="BM33" s="5" t="str">
        <f>IF(Deltagarlista!$K$3=2,
IF(ISBLANK(Deltagarlista!$C38),"",IF(ISBLANK(Arrangörslista!M$143),"",IF($GV33=BM$64," DNS ",IFERROR(VLOOKUP($F33,Arrangörslista!M$143:$AG$180,16,FALSE), "DNS")))), IF(Deltagarlista!$K$3=1,IF(ISBLANK(Deltagarlista!$C38),"",IF(ISBLANK(Arrangörslista!M$143),"",IFERROR(VLOOKUP($F33,Arrangörslista!M$143:$AG$180,16,FALSE), "DNS"))),""))</f>
        <v/>
      </c>
      <c r="BN33" s="5" t="str">
        <f>IF(Deltagarlista!$K$3=2,
IF(ISBLANK(Deltagarlista!$C38),"",IF(ISBLANK(Arrangörslista!N$143),"",IF($GV33=BN$64," DNS ",IFERROR(VLOOKUP($F33,Arrangörslista!N$143:$AG$180,16,FALSE), "DNS")))), IF(Deltagarlista!$K$3=1,IF(ISBLANK(Deltagarlista!$C38),"",IF(ISBLANK(Arrangörslista!N$143),"",IFERROR(VLOOKUP($F33,Arrangörslista!N$143:$AG$180,16,FALSE), "DNS"))),""))</f>
        <v/>
      </c>
      <c r="BO33" s="5" t="str">
        <f>IF(Deltagarlista!$K$3=2,
IF(ISBLANK(Deltagarlista!$C38),"",IF(ISBLANK(Arrangörslista!O$143),"",IF($GV33=BO$64," DNS ",IFERROR(VLOOKUP($F33,Arrangörslista!O$143:$AG$180,16,FALSE), "DNS")))), IF(Deltagarlista!$K$3=1,IF(ISBLANK(Deltagarlista!$C38),"",IF(ISBLANK(Arrangörslista!O$143),"",IFERROR(VLOOKUP($F33,Arrangörslista!O$143:$AG$180,16,FALSE), "DNS"))),""))</f>
        <v/>
      </c>
      <c r="BP33" s="5" t="str">
        <f>IF(Deltagarlista!$K$3=2,
IF(ISBLANK(Deltagarlista!$C38),"",IF(ISBLANK(Arrangörslista!P$143),"",IF($GV33=BP$64," DNS ",IFERROR(VLOOKUP($F33,Arrangörslista!P$143:$AG$180,16,FALSE), "DNS")))), IF(Deltagarlista!$K$3=1,IF(ISBLANK(Deltagarlista!$C38),"",IF(ISBLANK(Arrangörslista!P$143),"",IFERROR(VLOOKUP($F33,Arrangörslista!P$143:$AG$180,16,FALSE), "DNS"))),""))</f>
        <v/>
      </c>
      <c r="BQ33" s="80" t="str">
        <f>IF(Deltagarlista!$K$3=2,
IF(ISBLANK(Deltagarlista!$C38),"",IF(ISBLANK(Arrangörslista!Q$143),"",IF($GV33=BQ$64," DNS ",IFERROR(VLOOKUP($F33,Arrangörslista!Q$143:$AG$180,16,FALSE), "DNS")))), IF(Deltagarlista!$K$3=1,IF(ISBLANK(Deltagarlista!$C38),"",IF(ISBLANK(Arrangörslista!Q$143),"",IFERROR(VLOOKUP($F33,Arrangörslista!Q$143:$AG$180,16,FALSE), "DNS"))),""))</f>
        <v/>
      </c>
      <c r="BR33" s="51"/>
      <c r="BS33" s="51"/>
      <c r="BT33" s="51"/>
      <c r="BU33" s="71">
        <f>SUM(BV33:EC33)</f>
        <v>0</v>
      </c>
      <c r="BV33" s="61">
        <f>IF(J33="",0,IF(OR(J33="DNF",J33="OCS",J33="DSQ",J33="DNS",J33=" DNS "),$BW$3+1,J33))</f>
        <v>0</v>
      </c>
      <c r="BW33" s="61">
        <f>IF(K33="",0,IF(OR(K33="DNF",K33="OCS",K33="DSQ",K33="DNS",K33=" DNS "),$BW$3+1,K33))</f>
        <v>0</v>
      </c>
      <c r="BX33" s="61">
        <f>IF(L33="",0,IF(OR(L33="DNF",L33="OCS",L33="DSQ",L33="DNS",L33=" DNS "),$BW$3+1,L33))</f>
        <v>0</v>
      </c>
      <c r="BY33" s="61">
        <f>IF(M33="",0,IF(OR(M33="DNF",M33="OCS",M33="DSQ",M33="DNS",M33=" DNS "),$BW$3+1,M33))</f>
        <v>0</v>
      </c>
      <c r="BZ33" s="61">
        <f>IF(N33="",0,IF(OR(N33="DNF",N33="OCS",N33="DSQ",N33="DNS",N33=" DNS "),$BW$3+1,N33))</f>
        <v>0</v>
      </c>
      <c r="CA33" s="61">
        <f>IF(O33="",0,IF(OR(O33="DNF",O33="OCS",O33="DSQ",O33="DNS",O33=" DNS "),$BW$3+1,O33))</f>
        <v>0</v>
      </c>
      <c r="CB33" s="61">
        <f>IF(P33="",0,IF(OR(P33="DNF",P33="OCS",P33="DSQ",P33="DNS",P33=" DNS "),$BW$3+1,P33))</f>
        <v>0</v>
      </c>
      <c r="CC33" s="61">
        <f>IF(Q33="",0,IF(OR(Q33="DNF",Q33="OCS",Q33="DSQ",Q33="DNS",Q33=" DNS "),$BW$3+1,Q33))</f>
        <v>0</v>
      </c>
      <c r="CD33" s="61">
        <f>IF(R33="",0,IF(OR(R33="DNF",R33="OCS",R33="DSQ",R33="DNS",R33=" DNS "),$BW$3+1,R33))</f>
        <v>0</v>
      </c>
      <c r="CE33" s="61">
        <f>IF(S33="",0,IF(OR(S33="DNF",S33="OCS",S33="DSQ",S33="DNS",S33=" DNS "),$BW$3+1,S33))</f>
        <v>0</v>
      </c>
      <c r="CF33" s="61">
        <f>IF(T33="",0,IF(OR(T33="DNF",T33="OCS",T33="DSQ",T33="DNS",T33=" DNS "),$BW$3+1,T33))</f>
        <v>0</v>
      </c>
      <c r="CG33" s="61">
        <f>IF(U33="",0,IF(OR(U33="DNF",U33="OCS",U33="DSQ",U33="DNS",U33=" DNS "),$BW$3+1,U33))</f>
        <v>0</v>
      </c>
      <c r="CH33" s="61">
        <f>IF(V33="",0,IF(OR(V33="DNF",V33="OCS",V33="DSQ",V33="DNS",V33=" DNS "),$BW$3+1,V33))</f>
        <v>0</v>
      </c>
      <c r="CI33" s="61">
        <f>IF(W33="",0,IF(OR(W33="DNF",W33="OCS",W33="DSQ",W33="DNS",W33=" DNS "),$BW$3+1,W33))</f>
        <v>0</v>
      </c>
      <c r="CJ33" s="61">
        <f>IF(X33="",0,IF(OR(X33="DNF",X33="OCS",X33="DSQ",X33="DNS",X33=" DNS "),$BW$3+1,X33))</f>
        <v>0</v>
      </c>
      <c r="CK33" s="61">
        <f>IF(Y33="",0,IF(OR(Y33="DNF",Y33="OCS",Y33="DSQ",Y33="DNS",Y33=" DNS "),$BW$3+1,Y33))</f>
        <v>0</v>
      </c>
      <c r="CL33" s="61">
        <f>IF(Z33="",0,IF(OR(Z33="DNF",Z33="OCS",Z33="DSQ",Z33="DNS",Z33=" DNS "),$BW$3+1,Z33))</f>
        <v>0</v>
      </c>
      <c r="CM33" s="61">
        <f>IF(AA33="",0,IF(OR(AA33="DNF",AA33="OCS",AA33="DSQ",AA33="DNS",AA33=" DNS "),$BW$3+1,AA33))</f>
        <v>0</v>
      </c>
      <c r="CN33" s="61">
        <f>IF(AB33="",0,IF(OR(AB33="DNF",AB33="OCS",AB33="DSQ",AB33="DNS",AB33=" DNS "),$BW$3+1,AB33))</f>
        <v>0</v>
      </c>
      <c r="CO33" s="61">
        <f>IF(AC33="",0,IF(OR(AC33="DNF",AC33="OCS",AC33="DSQ",AC33="DNS",AC33=" DNS "),$BW$3+1,AC33))</f>
        <v>0</v>
      </c>
      <c r="CP33" s="61">
        <f>IF(AD33="",0,IF(OR(AD33="DNF",AD33="OCS",AD33="DSQ",AD33="DNS",AD33=" DNS "),$BW$3+1,AD33))</f>
        <v>0</v>
      </c>
      <c r="CQ33" s="61">
        <f>IF(AE33="",0,IF(OR(AE33="DNF",AE33="OCS",AE33="DSQ",AE33="DNS",AE33=" DNS "),$BW$3+1,AE33))</f>
        <v>0</v>
      </c>
      <c r="CR33" s="61">
        <f>IF(AF33="",0,IF(OR(AF33="DNF",AF33="OCS",AF33="DSQ",AF33="DNS",AF33=" DNS "),$BW$3+1,AF33))</f>
        <v>0</v>
      </c>
      <c r="CS33" s="61">
        <f>IF(AG33="",0,IF(OR(AG33="DNF",AG33="OCS",AG33="DSQ",AG33="DNS",AG33=" DNS "),$BW$3+1,AG33))</f>
        <v>0</v>
      </c>
      <c r="CT33" s="61">
        <f>IF(AH33="",0,IF(OR(AH33="DNF",AH33="OCS",AH33="DSQ",AH33="DNS",AH33=" DNS "),$BW$3+1,AH33))</f>
        <v>0</v>
      </c>
      <c r="CU33" s="61">
        <f>IF(AI33="",0,IF(OR(AI33="DNF",AI33="OCS",AI33="DSQ",AI33="DNS",AI33=" DNS "),$BW$3+1,AI33))</f>
        <v>0</v>
      </c>
      <c r="CV33" s="61">
        <f>IF(AJ33="",0,IF(OR(AJ33="DNF",AJ33="OCS",AJ33="DSQ",AJ33="DNS",AJ33=" DNS "),$BW$3+1,AJ33))</f>
        <v>0</v>
      </c>
      <c r="CW33" s="61">
        <f>IF(AK33="",0,IF(OR(AK33="DNF",AK33="OCS",AK33="DSQ",AK33="DNS",AK33=" DNS "),$BW$3+1,AK33))</f>
        <v>0</v>
      </c>
      <c r="CX33" s="61">
        <f>IF(AL33="",0,IF(OR(AL33="DNF",AL33="OCS",AL33="DSQ",AL33="DNS",AL33=" DNS "),$BW$3+1,AL33))</f>
        <v>0</v>
      </c>
      <c r="CY33" s="61">
        <f>IF(AM33="",0,IF(OR(AM33="DNF",AM33="OCS",AM33="DSQ",AM33="DNS",AM33=" DNS "),$BW$3+1,AM33))</f>
        <v>0</v>
      </c>
      <c r="CZ33" s="61">
        <f>IF(AN33="",0,IF(OR(AN33="DNF",AN33="OCS",AN33="DSQ",AN33="DNS",AN33=" DNS "),$BW$3+1,AN33))</f>
        <v>0</v>
      </c>
      <c r="DA33" s="61">
        <f>IF(AO33="",0,IF(OR(AO33="DNF",AO33="OCS",AO33="DSQ",AO33="DNS",AO33=" DNS "),$BW$3+1,AO33))</f>
        <v>0</v>
      </c>
      <c r="DB33" s="61">
        <f>IF(AP33="",0,IF(OR(AP33="DNF",AP33="OCS",AP33="DSQ",AP33="DNS",AP33=" DNS "),$BW$3+1,AP33))</f>
        <v>0</v>
      </c>
      <c r="DC33" s="61">
        <f>IF(AQ33="",0,IF(OR(AQ33="DNF",AQ33="OCS",AQ33="DSQ",AQ33="DNS",AQ33=" DNS "),$BW$3+1,AQ33))</f>
        <v>0</v>
      </c>
      <c r="DD33" s="61">
        <f>IF(AR33="",0,IF(OR(AR33="DNF",AR33="OCS",AR33="DSQ",AR33="DNS",AR33=" DNS "),$BW$3+1,AR33))</f>
        <v>0</v>
      </c>
      <c r="DE33" s="61">
        <f>IF(AS33="",0,IF(OR(AS33="DNF",AS33="OCS",AS33="DSQ",AS33="DNS",AS33=" DNS "),$BW$3+1,AS33))</f>
        <v>0</v>
      </c>
      <c r="DF33" s="61">
        <f>IF(AT33="",0,IF(OR(AT33="DNF",AT33="OCS",AT33="DSQ",AT33="DNS",AT33=" DNS "),$BW$3+1,AT33))</f>
        <v>0</v>
      </c>
      <c r="DG33" s="61">
        <f>IF(AU33="",0,IF(OR(AU33="DNF",AU33="OCS",AU33="DSQ",AU33="DNS",AU33=" DNS "),$BW$3+1,AU33))</f>
        <v>0</v>
      </c>
      <c r="DH33" s="61">
        <f>IF(AV33="",0,IF(OR(AV33="DNF",AV33="OCS",AV33="DSQ",AV33="DNS",AV33=" DNS "),$BW$3+1,AV33))</f>
        <v>0</v>
      </c>
      <c r="DI33" s="61">
        <f>IF(AW33="",0,IF(OR(AW33="DNF",AW33="OCS",AW33="DSQ",AW33="DNS",AW33=" DNS "),$BW$3+1,AW33))</f>
        <v>0</v>
      </c>
      <c r="DJ33" s="61">
        <f>IF(AX33="",0,IF(OR(AX33="DNF",AX33="OCS",AX33="DSQ",AX33="DNS",AX33=" DNS "),$BW$3+1,AX33))</f>
        <v>0</v>
      </c>
      <c r="DK33" s="61">
        <f>IF(AY33="",0,IF(OR(AY33="DNF",AY33="OCS",AY33="DSQ",AY33="DNS",AY33=" DNS "),$BW$3+1,AY33))</f>
        <v>0</v>
      </c>
      <c r="DL33" s="61">
        <f>IF(AZ33="",0,IF(OR(AZ33="DNF",AZ33="OCS",AZ33="DSQ",AZ33="DNS",AZ33=" DNS "),$BW$3+1,AZ33))</f>
        <v>0</v>
      </c>
      <c r="DM33" s="61">
        <f>IF(BA33="",0,IF(OR(BA33="DNF",BA33="OCS",BA33="DSQ",BA33="DNS",BA33=" DNS "),$BW$3+1,BA33))</f>
        <v>0</v>
      </c>
      <c r="DN33" s="61">
        <f>IF(BB33="",0,IF(OR(BB33="DNF",BB33="OCS",BB33="DSQ",BB33="DNS",BB33=" DNS "),$BW$3+1,BB33))</f>
        <v>0</v>
      </c>
      <c r="DO33" s="61">
        <f>IF(BC33="",0,IF(OR(BC33="DNF",BC33="OCS",BC33="DSQ",BC33="DNS",BC33=" DNS "),$BW$3+1,BC33))</f>
        <v>0</v>
      </c>
      <c r="DP33" s="61">
        <f>IF(BD33="",0,IF(OR(BD33="DNF",BD33="OCS",BD33="DSQ",BD33="DNS",BD33=" DNS "),$BW$3+1,BD33))</f>
        <v>0</v>
      </c>
      <c r="DQ33" s="61">
        <f>IF(BE33="",0,IF(OR(BE33="DNF",BE33="OCS",BE33="DSQ",BE33="DNS",BE33=" DNS "),$BW$3+1,BE33))</f>
        <v>0</v>
      </c>
      <c r="DR33" s="61">
        <f>IF(BF33="",0,IF(OR(BF33="DNF",BF33="OCS",BF33="DSQ",BF33="DNS",BF33=" DNS "),$BW$3+1,BF33))</f>
        <v>0</v>
      </c>
      <c r="DS33" s="61">
        <f>IF(BG33="",0,IF(OR(BG33="DNF",BG33="OCS",BG33="DSQ",BG33="DNS",BG33=" DNS "),$BW$3+1,BG33))</f>
        <v>0</v>
      </c>
      <c r="DT33" s="61">
        <f>IF(BH33="",0,IF(OR(BH33="DNF",BH33="OCS",BH33="DSQ",BH33="DNS",BH33=" DNS "),$BW$3+1,BH33))</f>
        <v>0</v>
      </c>
      <c r="DU33" s="61">
        <f>IF(BI33="",0,IF(OR(BI33="DNF",BI33="OCS",BI33="DSQ",BI33="DNS",BI33=" DNS "),$BW$3+1,BI33))</f>
        <v>0</v>
      </c>
      <c r="DV33" s="61">
        <f>IF(BJ33="",0,IF(OR(BJ33="DNF",BJ33="OCS",BJ33="DSQ",BJ33="DNS",BJ33=" DNS "),$BW$3+1,BJ33))</f>
        <v>0</v>
      </c>
      <c r="DW33" s="61">
        <f>IF(BK33="",0,IF(OR(BK33="DNF",BK33="OCS",BK33="DSQ",BK33="DNS",BK33=" DNS "),$BW$3+1,BK33))</f>
        <v>0</v>
      </c>
      <c r="DX33" s="61">
        <f>IF(BL33="",0,IF(OR(BL33="DNF",BL33="OCS",BL33="DSQ",BL33="DNS",BL33=" DNS "),$BW$3+1,BL33))</f>
        <v>0</v>
      </c>
      <c r="DY33" s="61">
        <f>IF(BM33="",0,IF(OR(BM33="DNF",BM33="OCS",BM33="DSQ",BM33="DNS",BM33=" DNS "),$BW$3+1,BM33))</f>
        <v>0</v>
      </c>
      <c r="DZ33" s="61">
        <f>IF(BN33="",0,IF(OR(BN33="DNF",BN33="OCS",BN33="DSQ",BN33="DNS",BN33=" DNS "),$BW$3+1,BN33))</f>
        <v>0</v>
      </c>
      <c r="EA33" s="61">
        <f>IF(BO33="",0,IF(OR(BO33="DNF",BO33="OCS",BO33="DSQ",BO33="DNS",BO33=" DNS "),$BW$3+1,BO33))</f>
        <v>0</v>
      </c>
      <c r="EB33" s="61">
        <f>IF(BP33="",0,IF(OR(BP33="DNF",BP33="OCS",BP33="DSQ",BP33="DNS",BP33=" DNS "),$BW$3+1,BP33))</f>
        <v>0</v>
      </c>
      <c r="EC33" s="61">
        <f>IF(BQ33="",0,IF(OR(BQ33="DNF",BQ33="OCS",BQ33="DSQ",BQ33="DNS",BQ33=" DNS "),$BW$3+1,BQ33))</f>
        <v>0</v>
      </c>
      <c r="EE33" s="61">
        <f xml:space="preserve">
IF(OR(Deltagarlista!$K$3=3,Deltagarlista!$K$3=4),
IF(Arrangörslista!$U$5&lt;8,0,
IF(Arrangörslista!$U$5&lt;16,SUM(LARGE(BV33:CJ33,1)),
IF(Arrangörslista!$U$5&lt;24,SUM(LARGE(BV33:CR33,{1;2})),
IF(Arrangörslista!$U$5&lt;32,SUM(LARGE(BV33:CZ33,{1;2;3})),
IF(Arrangörslista!$U$5&lt;40,SUM(LARGE(BV33:DH33,{1;2;3;4})),
IF(Arrangörslista!$U$5&lt;48,SUM(LARGE(BV33:DP33,{1;2;3;4;5})),
IF(Arrangörslista!$U$5&lt;56,SUM(LARGE(BV33:DX33,{1;2;3;4;5;6})),
IF(Arrangörslista!$U$5&lt;64,SUM(LARGE(BV33:EC33,{1;2;3;4;5;6;7})),0)))))))),
IF(Deltagarlista!$K$3=2,
IF(Arrangörslista!$U$5&lt;4,LARGE(BV33:BX33,1),
IF(Arrangörslista!$U$5&lt;7,SUM(LARGE(BV33:CA33,{1;2;3})),
IF(Arrangörslista!$U$5&lt;10,SUM(LARGE(BV33:CD33,{1;2;3;4})),
IF(Arrangörslista!$U$5&lt;13,SUM(LARGE(BV33:CG33,{1;2;3;4;5;6})),
IF(Arrangörslista!$U$5&lt;16,SUM(LARGE(BV33:CJ33,{1;2;3;4;5;6;7})),
IF(Arrangörslista!$U$5&lt;19,SUM(LARGE(BV33:CM33,{1;2;3;4;5;6;7;8;9})),
IF(Arrangörslista!$U$5&lt;22,SUM(LARGE(BV33:CP33,{1;2;3;4;5;6;7;8;9;10})),
IF(Arrangörslista!$U$5&lt;25,SUM(LARGE(BV33:CS33,{1;2;3;4;5;6;7;8;9;10;11;12})),
IF(Arrangörslista!$U$5&lt;28,SUM(LARGE(BV33:CV33,{1;2;3;4;5;6;7;8;9;10;11;12;13})),
IF(Arrangörslista!$U$5&lt;31,SUM(LARGE(BV33:CY33,{1;2;3;4;5;6;7;8;9;10;11;12;13;14;15})),
IF(Arrangörslista!$U$5&lt;34,SUM(LARGE(BV33:DB33,{1;2;3;4;5;6;7;8;9;10;11;12;13;14;15;16})),
IF(Arrangörslista!$U$5&lt;37,SUM(LARGE(BV33:DE33,{1;2;3;4;5;6;7;8;9;10;11;12;13;14;15;16;17;18})),
IF(Arrangörslista!$U$5&lt;40,SUM(LARGE(BV33:DH33,{1;2;3;4;5;6;7;8;9;10;11;12;13;14;15;16;17;18;19})),
IF(Arrangörslista!$U$5&lt;43,SUM(LARGE(BV33:DK33,{1;2;3;4;5;6;7;8;9;10;11;12;13;14;15;16;17;18;19;20;21})),
IF(Arrangörslista!$U$5&lt;46,SUM(LARGE(BV33:DN33,{1;2;3;4;5;6;7;8;9;10;11;12;13;14;15;16;17;18;19;20;21;22})),
IF(Arrangörslista!$U$5&lt;49,SUM(LARGE(BV33:DQ33,{1;2;3;4;5;6;7;8;9;10;11;12;13;14;15;16;17;18;19;20;21;22;23;24})),
IF(Arrangörslista!$U$5&lt;52,SUM(LARGE(BV33:DT33,{1;2;3;4;5;6;7;8;9;10;11;12;13;14;15;16;17;18;19;20;21;22;23;24;25})),
IF(Arrangörslista!$U$5&lt;55,SUM(LARGE(BV33:DW33,{1;2;3;4;5;6;7;8;9;10;11;12;13;14;15;16;17;18;19;20;21;22;23;24;25;26;27})),
IF(Arrangörslista!$U$5&lt;58,SUM(LARGE(BV33:DZ33,{1;2;3;4;5;6;7;8;9;10;11;12;13;14;15;16;17;18;19;20;21;22;23;24;25;26;27;28})),
IF(Arrangörslista!$U$5&lt;61,SUM(LARGE(BV33:EC33,{1;2;3;4;5;6;7;8;9;10;11;12;13;14;15;16;17;18;19;20;21;22;23;24;25;26;27;28;29;30})),0)))))))))))))))))))),
IF(Arrangörslista!$U$5&lt;4,0,
IF(Arrangörslista!$U$5&lt;8,SUM(LARGE(BV33:CB33,1)),
IF(Arrangörslista!$U$5&lt;12,SUM(LARGE(BV33:CF33,{1;2})),
IF(Arrangörslista!$U$5&lt;16,SUM(LARGE(BV33:CJ33,{1;2;3})),
IF(Arrangörslista!$U$5&lt;20,SUM(LARGE(BV33:CN33,{1;2;3;4})),
IF(Arrangörslista!$U$5&lt;24,SUM(LARGE(BV33:CR33,{1;2;3;4;5})),
IF(Arrangörslista!$U$5&lt;28,SUM(LARGE(BV33:CV33,{1;2;3;4;5;6})),
IF(Arrangörslista!$U$5&lt;32,SUM(LARGE(BV33:CZ33,{1;2;3;4;5;6;7})),
IF(Arrangörslista!$U$5&lt;36,SUM(LARGE(BV33:DD33,{1;2;3;4;5;6;7;8})),
IF(Arrangörslista!$U$5&lt;40,SUM(LARGE(BV33:DH33,{1;2;3;4;5;6;7;8;9})),
IF(Arrangörslista!$U$5&lt;44,SUM(LARGE(BV33:DL33,{1;2;3;4;5;6;7;8;9;10})),
IF(Arrangörslista!$U$5&lt;48,SUM(LARGE(BV33:DP33,{1;2;3;4;5;6;7;8;9;10;11})),
IF(Arrangörslista!$U$5&lt;52,SUM(LARGE(BV33:DT33,{1;2;3;4;5;6;7;8;9;10;11;12})),
IF(Arrangörslista!$U$5&lt;56,SUM(LARGE(BV33:DX33,{1;2;3;4;5;6;7;8;9;10;11;12;13})),
IF(Arrangörslista!$U$5&lt;60,SUM(LARGE(BV33:EB33,{1;2;3;4;5;6;7;8;9;10;11;12;13;14})),
IF(Arrangörslista!$U$5=60,SUM(LARGE(BV33:EC33,{1;2;3;4;5;6;7;8;9;10;11;12;13;14;15})),0))))))))))))))))))</f>
        <v>0</v>
      </c>
      <c r="EG33" s="67">
        <f>IF(F33="",,1)</f>
        <v>0</v>
      </c>
      <c r="EH33" s="61"/>
      <c r="EI33" s="61"/>
      <c r="EK33" s="62">
        <f>SMALL($J96:$BQ96,1)</f>
        <v>61</v>
      </c>
      <c r="EL33" s="62">
        <f>SMALL($J96:$BQ96,2)</f>
        <v>61</v>
      </c>
      <c r="EM33" s="62">
        <f>SMALL($J96:$BQ96,3)</f>
        <v>61</v>
      </c>
      <c r="EN33" s="62">
        <f>SMALL($J96:$BQ96,4)</f>
        <v>61</v>
      </c>
      <c r="EO33" s="62">
        <f>SMALL($J96:$BQ96,5)</f>
        <v>61</v>
      </c>
      <c r="EP33" s="62">
        <f>SMALL($J96:$BQ96,6)</f>
        <v>61</v>
      </c>
      <c r="EQ33" s="62">
        <f>SMALL($J96:$BQ96,7)</f>
        <v>61</v>
      </c>
      <c r="ER33" s="62">
        <f>SMALL($J96:$BQ96,8)</f>
        <v>61</v>
      </c>
      <c r="ES33" s="62">
        <f>SMALL($J96:$BQ96,9)</f>
        <v>61</v>
      </c>
      <c r="ET33" s="62">
        <f>SMALL($J96:$BQ96,10)</f>
        <v>61</v>
      </c>
      <c r="EU33" s="62">
        <f>SMALL($J96:$BQ96,11)</f>
        <v>61</v>
      </c>
      <c r="EV33" s="62">
        <f>SMALL($J96:$BQ96,12)</f>
        <v>61</v>
      </c>
      <c r="EW33" s="62">
        <f>SMALL($J96:$BQ96,13)</f>
        <v>61</v>
      </c>
      <c r="EX33" s="62">
        <f>SMALL($J96:$BQ96,14)</f>
        <v>61</v>
      </c>
      <c r="EY33" s="62">
        <f>SMALL($J96:$BQ96,15)</f>
        <v>61</v>
      </c>
      <c r="EZ33" s="62">
        <f>SMALL($J96:$BQ96,16)</f>
        <v>61</v>
      </c>
      <c r="FA33" s="62">
        <f>SMALL($J96:$BQ96,17)</f>
        <v>61</v>
      </c>
      <c r="FB33" s="62">
        <f>SMALL($J96:$BQ96,18)</f>
        <v>61</v>
      </c>
      <c r="FC33" s="62">
        <f>SMALL($J96:$BQ96,19)</f>
        <v>61</v>
      </c>
      <c r="FD33" s="62">
        <f>SMALL($J96:$BQ96,20)</f>
        <v>61</v>
      </c>
      <c r="FE33" s="62">
        <f>SMALL($J96:$BQ96,21)</f>
        <v>61</v>
      </c>
      <c r="FF33" s="62">
        <f>SMALL($J96:$BQ96,22)</f>
        <v>61</v>
      </c>
      <c r="FG33" s="62">
        <f>SMALL($J96:$BQ96,23)</f>
        <v>61</v>
      </c>
      <c r="FH33" s="62">
        <f>SMALL($J96:$BQ96,24)</f>
        <v>61</v>
      </c>
      <c r="FI33" s="62">
        <f>SMALL($J96:$BQ96,25)</f>
        <v>61</v>
      </c>
      <c r="FJ33" s="62">
        <f>SMALL($J96:$BQ96,26)</f>
        <v>61</v>
      </c>
      <c r="FK33" s="62">
        <f>SMALL($J96:$BQ96,27)</f>
        <v>61</v>
      </c>
      <c r="FL33" s="62">
        <f>SMALL($J96:$BQ96,28)</f>
        <v>61</v>
      </c>
      <c r="FM33" s="62">
        <f>SMALL($J96:$BQ96,29)</f>
        <v>61</v>
      </c>
      <c r="FN33" s="62">
        <f>SMALL($J96:$BQ96,30)</f>
        <v>61</v>
      </c>
      <c r="FO33" s="62">
        <f>SMALL($J96:$BQ96,31)</f>
        <v>61</v>
      </c>
      <c r="FP33" s="62">
        <f>SMALL($J96:$BQ96,32)</f>
        <v>61</v>
      </c>
      <c r="FQ33" s="62">
        <f>SMALL($J96:$BQ96,33)</f>
        <v>61</v>
      </c>
      <c r="FR33" s="62">
        <f>SMALL($J96:$BQ96,34)</f>
        <v>61</v>
      </c>
      <c r="FS33" s="62">
        <f>SMALL($J96:$BQ96,35)</f>
        <v>61</v>
      </c>
      <c r="FT33" s="62">
        <f>SMALL($J96:$BQ96,36)</f>
        <v>61</v>
      </c>
      <c r="FU33" s="62">
        <f>SMALL($J96:$BQ96,37)</f>
        <v>61</v>
      </c>
      <c r="FV33" s="62">
        <f>SMALL($J96:$BQ96,38)</f>
        <v>61</v>
      </c>
      <c r="FW33" s="62">
        <f>SMALL($J96:$BQ96,39)</f>
        <v>61</v>
      </c>
      <c r="FX33" s="62">
        <f>SMALL($J96:$BQ96,40)</f>
        <v>61</v>
      </c>
      <c r="FY33" s="62">
        <f>SMALL($J96:$BQ96,41)</f>
        <v>61</v>
      </c>
      <c r="FZ33" s="62">
        <f>SMALL($J96:$BQ96,42)</f>
        <v>61</v>
      </c>
      <c r="GA33" s="62">
        <f>SMALL($J96:$BQ96,43)</f>
        <v>61</v>
      </c>
      <c r="GB33" s="62">
        <f>SMALL($J96:$BQ96,44)</f>
        <v>61</v>
      </c>
      <c r="GC33" s="62">
        <f>SMALL($J96:$BQ96,45)</f>
        <v>61</v>
      </c>
      <c r="GD33" s="62">
        <f>SMALL($J96:$BQ96,46)</f>
        <v>61</v>
      </c>
      <c r="GE33" s="62">
        <f>SMALL($J96:$BQ96,47)</f>
        <v>61</v>
      </c>
      <c r="GF33" s="62">
        <f>SMALL($J96:$BQ96,48)</f>
        <v>61</v>
      </c>
      <c r="GG33" s="62">
        <f>SMALL($J96:$BQ96,49)</f>
        <v>61</v>
      </c>
      <c r="GH33" s="62">
        <f>SMALL($J96:$BQ96,50)</f>
        <v>61</v>
      </c>
      <c r="GI33" s="62">
        <f>SMALL($J96:$BQ96,51)</f>
        <v>61</v>
      </c>
      <c r="GJ33" s="62">
        <f>SMALL($J96:$BQ96,52)</f>
        <v>61</v>
      </c>
      <c r="GK33" s="62">
        <f>SMALL($J96:$BQ96,53)</f>
        <v>61</v>
      </c>
      <c r="GL33" s="62">
        <f>SMALL($J96:$BQ96,54)</f>
        <v>61</v>
      </c>
      <c r="GM33" s="62">
        <f>SMALL($J96:$BQ96,55)</f>
        <v>61</v>
      </c>
      <c r="GN33" s="62">
        <f>SMALL($J96:$BQ96,56)</f>
        <v>61</v>
      </c>
      <c r="GO33" s="62">
        <f>SMALL($J96:$BQ96,57)</f>
        <v>61</v>
      </c>
      <c r="GP33" s="62">
        <f>SMALL($J96:$BQ96,58)</f>
        <v>61</v>
      </c>
      <c r="GQ33" s="62">
        <f>SMALL($J96:$BQ96,59)</f>
        <v>61</v>
      </c>
      <c r="GR33" s="62">
        <f>SMALL($J96:$BQ96,60)</f>
        <v>61</v>
      </c>
      <c r="GT33" s="62">
        <f>IF(Deltagarlista!$K$3=2,
IF(GW33="1",
      IF(Arrangörslista!$U$5=1,J96,
IF(Arrangörslista!$U$5=2,K96,
IF(Arrangörslista!$U$5=3,L96,
IF(Arrangörslista!$U$5=4,M96,
IF(Arrangörslista!$U$5=5,N96,
IF(Arrangörslista!$U$5=6,O96,
IF(Arrangörslista!$U$5=7,P96,
IF(Arrangörslista!$U$5=8,Q96,
IF(Arrangörslista!$U$5=9,R96,
IF(Arrangörslista!$U$5=10,S96,
IF(Arrangörslista!$U$5=11,T96,
IF(Arrangörslista!$U$5=12,U96,
IF(Arrangörslista!$U$5=13,V96,
IF(Arrangörslista!$U$5=14,W96,
IF(Arrangörslista!$U$5=15,X96,
IF(Arrangörslista!$U$5=16,Y96,IF(Arrangörslista!$U$5=17,Z96,IF(Arrangörslista!$U$5=18,AA96,IF(Arrangörslista!$U$5=19,AB96,IF(Arrangörslista!$U$5=20,AC96,IF(Arrangörslista!$U$5=21,AD96,IF(Arrangörslista!$U$5=22,AE96,IF(Arrangörslista!$U$5=23,AF96, IF(Arrangörslista!$U$5=24,AG96, IF(Arrangörslista!$U$5=25,AH96, IF(Arrangörslista!$U$5=26,AI96, IF(Arrangörslista!$U$5=27,AJ96, IF(Arrangörslista!$U$5=28,AK96, IF(Arrangörslista!$U$5=29,AL96, IF(Arrangörslista!$U$5=30,AM96, IF(Arrangörslista!$U$5=31,AN96, IF(Arrangörslista!$U$5=32,AO96, IF(Arrangörslista!$U$5=33,AP96, IF(Arrangörslista!$U$5=34,AQ96, IF(Arrangörslista!$U$5=35,AR96, IF(Arrangörslista!$U$5=36,AS96, IF(Arrangörslista!$U$5=37,AT96, IF(Arrangörslista!$U$5=38,AU96, IF(Arrangörslista!$U$5=39,AV96, IF(Arrangörslista!$U$5=40,AW96, IF(Arrangörslista!$U$5=41,AX96, IF(Arrangörslista!$U$5=42,AY96, IF(Arrangörslista!$U$5=43,AZ96, IF(Arrangörslista!$U$5=44,BA96, IF(Arrangörslista!$U$5=45,BB96, IF(Arrangörslista!$U$5=46,BC96, IF(Arrangörslista!$U$5=47,BD96, IF(Arrangörslista!$U$5=48,BE96, IF(Arrangörslista!$U$5=49,BF96, IF(Arrangörslista!$U$5=50,BG96, IF(Arrangörslista!$U$5=51,BH96, IF(Arrangörslista!$U$5=52,BI96, IF(Arrangörslista!$U$5=53,BJ96, IF(Arrangörslista!$U$5=54,BK96, IF(Arrangörslista!$U$5=55,BL96, IF(Arrangörslista!$U$5=56,BM96, IF(Arrangörslista!$U$5=57,BN96, IF(Arrangörslista!$U$5=58,BO96, IF(Arrangörslista!$U$5=59,BP96, IF(Arrangörslista!$U$5=60,BQ96,0))))))))))))))))))))))))))))))))))))))))))))))))))))))))))))),IF(Deltagarlista!$K$3=4, IF(Arrangörslista!$U$5=1,J96,
IF(Arrangörslista!$U$5=2,J96,
IF(Arrangörslista!$U$5=3,K96,
IF(Arrangörslista!$U$5=4,K96,
IF(Arrangörslista!$U$5=5,L96,
IF(Arrangörslista!$U$5=6,L96,
IF(Arrangörslista!$U$5=7,M96,
IF(Arrangörslista!$U$5=8,M96,
IF(Arrangörslista!$U$5=9,N96,
IF(Arrangörslista!$U$5=10,N96,
IF(Arrangörslista!$U$5=11,O96,
IF(Arrangörslista!$U$5=12,O96,
IF(Arrangörslista!$U$5=13,P96,
IF(Arrangörslista!$U$5=14,P96,
IF(Arrangörslista!$U$5=15,Q96,
IF(Arrangörslista!$U$5=16,Q96,
IF(Arrangörslista!$U$5=17,R96,
IF(Arrangörslista!$U$5=18,R96,
IF(Arrangörslista!$U$5=19,S96,
IF(Arrangörslista!$U$5=20,S96,
IF(Arrangörslista!$U$5=21,T96,
IF(Arrangörslista!$U$5=22,T96,IF(Arrangörslista!$U$5=23,U96, IF(Arrangörslista!$U$5=24,U96, IF(Arrangörslista!$U$5=25,V96, IF(Arrangörslista!$U$5=26,V96, IF(Arrangörslista!$U$5=27,W96, IF(Arrangörslista!$U$5=28,W96, IF(Arrangörslista!$U$5=29,X96, IF(Arrangörslista!$U$5=30,X96, IF(Arrangörslista!$U$5=31,X96, IF(Arrangörslista!$U$5=32,Y96, IF(Arrangörslista!$U$5=33,AO96, IF(Arrangörslista!$U$5=34,Y96, IF(Arrangörslista!$U$5=35,Z96, IF(Arrangörslista!$U$5=36,AR96, IF(Arrangörslista!$U$5=37,Z96, IF(Arrangörslista!$U$5=38,AA96, IF(Arrangörslista!$U$5=39,AU96, IF(Arrangörslista!$U$5=40,AA96, IF(Arrangörslista!$U$5=41,AB96, IF(Arrangörslista!$U$5=42,AX96, IF(Arrangörslista!$U$5=43,AB96, IF(Arrangörslista!$U$5=44,AC96, IF(Arrangörslista!$U$5=45,BA96, IF(Arrangörslista!$U$5=46,AC96, IF(Arrangörslista!$U$5=47,AD96, IF(Arrangörslista!$U$5=48,BD96, IF(Arrangörslista!$U$5=49,AD96, IF(Arrangörslista!$U$5=50,AE96, IF(Arrangörslista!$U$5=51,BG96, IF(Arrangörslista!$U$5=52,AE96, IF(Arrangörslista!$U$5=53,AF96, IF(Arrangörslista!$U$5=54,BJ96, IF(Arrangörslista!$U$5=55,AF96, IF(Arrangörslista!$U$5=56,AG96, IF(Arrangörslista!$U$5=57,BM96, IF(Arrangörslista!$U$5=58,AG96, IF(Arrangörslista!$U$5=59,AH96, IF(Arrangörslista!$U$5=60,AH96,0)))))))))))))))))))))))))))))))))))))))))))))))))))))))))))),IF(Arrangörslista!$U$5=1,J96,
IF(Arrangörslista!$U$5=2,K96,
IF(Arrangörslista!$U$5=3,L96,
IF(Arrangörslista!$U$5=4,M96,
IF(Arrangörslista!$U$5=5,N96,
IF(Arrangörslista!$U$5=6,O96,
IF(Arrangörslista!$U$5=7,P96,
IF(Arrangörslista!$U$5=8,Q96,
IF(Arrangörslista!$U$5=9,R96,
IF(Arrangörslista!$U$5=10,S96,
IF(Arrangörslista!$U$5=11,T96,
IF(Arrangörslista!$U$5=12,U96,
IF(Arrangörslista!$U$5=13,V96,
IF(Arrangörslista!$U$5=14,W96,
IF(Arrangörslista!$U$5=15,X96,
IF(Arrangörslista!$U$5=16,Y96,IF(Arrangörslista!$U$5=17,Z96,IF(Arrangörslista!$U$5=18,AA96,IF(Arrangörslista!$U$5=19,AB96,IF(Arrangörslista!$U$5=20,AC96,IF(Arrangörslista!$U$5=21,AD96,IF(Arrangörslista!$U$5=22,AE96,IF(Arrangörslista!$U$5=23,AF96, IF(Arrangörslista!$U$5=24,AG96, IF(Arrangörslista!$U$5=25,AH96, IF(Arrangörslista!$U$5=26,AI96, IF(Arrangörslista!$U$5=27,AJ96, IF(Arrangörslista!$U$5=28,AK96, IF(Arrangörslista!$U$5=29,AL96, IF(Arrangörslista!$U$5=30,AM96, IF(Arrangörslista!$U$5=31,AN96, IF(Arrangörslista!$U$5=32,AO96, IF(Arrangörslista!$U$5=33,AP96, IF(Arrangörslista!$U$5=34,AQ96, IF(Arrangörslista!$U$5=35,AR96, IF(Arrangörslista!$U$5=36,AS96, IF(Arrangörslista!$U$5=37,AT96, IF(Arrangörslista!$U$5=38,AU96, IF(Arrangörslista!$U$5=39,AV96, IF(Arrangörslista!$U$5=40,AW96, IF(Arrangörslista!$U$5=41,AX96, IF(Arrangörslista!$U$5=42,AY96, IF(Arrangörslista!$U$5=43,AZ96, IF(Arrangörslista!$U$5=44,BA96, IF(Arrangörslista!$U$5=45,BB96, IF(Arrangörslista!$U$5=46,BC96, IF(Arrangörslista!$U$5=47,BD96, IF(Arrangörslista!$U$5=48,BE96, IF(Arrangörslista!$U$5=49,BF96, IF(Arrangörslista!$U$5=50,BG96, IF(Arrangörslista!$U$5=51,BH96, IF(Arrangörslista!$U$5=52,BI96, IF(Arrangörslista!$U$5=53,BJ96, IF(Arrangörslista!$U$5=54,BK96, IF(Arrangörslista!$U$5=55,BL96, IF(Arrangörslista!$U$5=56,BM96, IF(Arrangörslista!$U$5=57,BN96, IF(Arrangörslista!$U$5=58,BO96, IF(Arrangörslista!$U$5=59,BP96, IF(Arrangörslista!$U$5=60,BQ96,0))))))))))))))))))))))))))))))))))))))))))))))))))))))))))))
))</f>
        <v>0</v>
      </c>
      <c r="GV33" s="65" t="str">
        <f>IFERROR(IF(VLOOKUP(F33,Deltagarlista!$E$5:$I$64,5,FALSE)="Grön","Gr",IF(VLOOKUP(F33,Deltagarlista!$E$5:$I$64,5,FALSE)="Röd","R",IF(VLOOKUP(F33,Deltagarlista!$E$5:$I$64,5,FALSE)="Blå","B","Gu"))),"")</f>
        <v/>
      </c>
      <c r="GW33" s="62" t="str">
        <f t="shared" si="1"/>
        <v/>
      </c>
    </row>
    <row r="34" spans="1:205" ht="15.75" customHeight="1" x14ac:dyDescent="0.3">
      <c r="B34" s="23" t="str">
        <f>IF($BW$3&gt;30,31,"")</f>
        <v/>
      </c>
      <c r="C34" s="92" t="str">
        <f>IF(ISBLANK(Deltagarlista!C33),"",Deltagarlista!C33)</f>
        <v/>
      </c>
      <c r="D34" s="109" t="str">
        <f>CONCATENATE(IF(AND(Deltagarlista!H33="GM",Deltagarlista!$S$14=TRUE),"GM   ",""), IF(OR(Deltagarlista!$K$3=4,Deltagarlista!$K$3=2),Deltagarlista!I33,""))</f>
        <v/>
      </c>
      <c r="E34" s="8" t="str">
        <f>IF(ISBLANK(Deltagarlista!D33),"",Deltagarlista!D33)</f>
        <v/>
      </c>
      <c r="F34" s="8" t="str">
        <f>IF(ISBLANK(Deltagarlista!E33),"",Deltagarlista!E33)</f>
        <v/>
      </c>
      <c r="G34" s="95" t="str">
        <f>IF(ISBLANK(Deltagarlista!F33),"",Deltagarlista!F33)</f>
        <v/>
      </c>
      <c r="H34" s="72" t="str">
        <f>IF(ISBLANK(Deltagarlista!C33),"",BU34-EE34)</f>
        <v/>
      </c>
      <c r="I34" s="13" t="str">
        <f>IF(ISBLANK(Deltagarlista!C33),"",IF(AND(Deltagarlista!$K$3=2,Deltagarlista!$L$3&lt;37),SUM(SUM(BV34:EC34)-(ROUNDDOWN(Arrangörslista!$U$5/3,1))*($BW$3+1)),SUM(BV34:EC34)))</f>
        <v/>
      </c>
      <c r="J34" s="79" t="str">
        <f>IF(Deltagarlista!$K$3=4,IF(ISBLANK(Deltagarlista!$C33),"",IF(ISBLANK(Arrangörslista!C$8),"",IFERROR(VLOOKUP($F34,Arrangörslista!C$8:$AG$45,16,FALSE),IF(ISBLANK(Deltagarlista!$C33),"",IF(ISBLANK(Arrangörslista!C$8),"",IFERROR(VLOOKUP($F34,Arrangörslista!D$8:$AG$45,16,FALSE),"DNS")))))),IF(Deltagarlista!$K$3=2,
IF(ISBLANK(Deltagarlista!$C33),"",IF(ISBLANK(Arrangörslista!C$8),"",IF($GV34=J$64," DNS ",IFERROR(VLOOKUP($F34,Arrangörslista!C$8:$AG$45,16,FALSE),"DNS")))),IF(ISBLANK(Deltagarlista!$C33),"",IF(ISBLANK(Arrangörslista!C$8),"",IFERROR(VLOOKUP($F34,Arrangörslista!C$8:$AG$45,16,FALSE),"DNS")))))</f>
        <v/>
      </c>
      <c r="K34" s="5" t="str">
        <f>IF(Deltagarlista!$K$3=4,IF(ISBLANK(Deltagarlista!$C33),"",IF(ISBLANK(Arrangörslista!E$8),"",IFERROR(VLOOKUP($F34,Arrangörslista!E$8:$AG$45,16,FALSE),IF(ISBLANK(Deltagarlista!$C33),"",IF(ISBLANK(Arrangörslista!E$8),"",IFERROR(VLOOKUP($F34,Arrangörslista!F$8:$AG$45,16,FALSE),"DNS")))))),IF(Deltagarlista!$K$3=2,
IF(ISBLANK(Deltagarlista!$C33),"",IF(ISBLANK(Arrangörslista!D$8),"",IF($GV34=K$64," DNS ",IFERROR(VLOOKUP($F34,Arrangörslista!D$8:$AG$45,16,FALSE),"DNS")))),IF(ISBLANK(Deltagarlista!$C33),"",IF(ISBLANK(Arrangörslista!D$8),"",IFERROR(VLOOKUP($F34,Arrangörslista!D$8:$AG$45,16,FALSE),"DNS")))))</f>
        <v/>
      </c>
      <c r="L34" s="5" t="str">
        <f>IF(Deltagarlista!$K$3=4,IF(ISBLANK(Deltagarlista!$C33),"",IF(ISBLANK(Arrangörslista!G$8),"",IFERROR(VLOOKUP($F34,Arrangörslista!G$8:$AG$45,16,FALSE),IF(ISBLANK(Deltagarlista!$C33),"",IF(ISBLANK(Arrangörslista!G$8),"",IFERROR(VLOOKUP($F34,Arrangörslista!H$8:$AG$45,16,FALSE),"DNS")))))),IF(Deltagarlista!$K$3=2,
IF(ISBLANK(Deltagarlista!$C33),"",IF(ISBLANK(Arrangörslista!E$8),"",IF($GV34=L$64," DNS ",IFERROR(VLOOKUP($F34,Arrangörslista!E$8:$AG$45,16,FALSE),"DNS")))),IF(ISBLANK(Deltagarlista!$C33),"",IF(ISBLANK(Arrangörslista!E$8),"",IFERROR(VLOOKUP($F34,Arrangörslista!E$8:$AG$45,16,FALSE),"DNS")))))</f>
        <v/>
      </c>
      <c r="M34" s="5" t="str">
        <f>IF(Deltagarlista!$K$3=4,IF(ISBLANK(Deltagarlista!$C33),"",IF(ISBLANK(Arrangörslista!I$8),"",IFERROR(VLOOKUP($F34,Arrangörslista!I$8:$AG$45,16,FALSE),IF(ISBLANK(Deltagarlista!$C33),"",IF(ISBLANK(Arrangörslista!I$8),"",IFERROR(VLOOKUP($F34,Arrangörslista!J$8:$AG$45,16,FALSE),"DNS")))))),IF(Deltagarlista!$K$3=2,
IF(ISBLANK(Deltagarlista!$C33),"",IF(ISBLANK(Arrangörslista!F$8),"",IF($GV34=M$64," DNS ",IFERROR(VLOOKUP($F34,Arrangörslista!F$8:$AG$45,16,FALSE),"DNS")))),IF(ISBLANK(Deltagarlista!$C33),"",IF(ISBLANK(Arrangörslista!F$8),"",IFERROR(VLOOKUP($F34,Arrangörslista!F$8:$AG$45,16,FALSE),"DNS")))))</f>
        <v/>
      </c>
      <c r="N34" s="5" t="str">
        <f>IF(Deltagarlista!$K$3=4,IF(ISBLANK(Deltagarlista!$C33),"",IF(ISBLANK(Arrangörslista!K$8),"",IFERROR(VLOOKUP($F34,Arrangörslista!K$8:$AG$45,16,FALSE),IF(ISBLANK(Deltagarlista!$C33),"",IF(ISBLANK(Arrangörslista!K$8),"",IFERROR(VLOOKUP($F34,Arrangörslista!L$8:$AG$45,16,FALSE),"DNS")))))),IF(Deltagarlista!$K$3=2,
IF(ISBLANK(Deltagarlista!$C33),"",IF(ISBLANK(Arrangörslista!G$8),"",IF($GV34=N$64," DNS ",IFERROR(VLOOKUP($F34,Arrangörslista!G$8:$AG$45,16,FALSE),"DNS")))),IF(ISBLANK(Deltagarlista!$C33),"",IF(ISBLANK(Arrangörslista!G$8),"",IFERROR(VLOOKUP($F34,Arrangörslista!G$8:$AG$45,16,FALSE),"DNS")))))</f>
        <v/>
      </c>
      <c r="O34" s="5" t="str">
        <f>IF(Deltagarlista!$K$3=4,IF(ISBLANK(Deltagarlista!$C33),"",IF(ISBLANK(Arrangörslista!M$8),"",IFERROR(VLOOKUP($F34,Arrangörslista!M$8:$AG$45,16,FALSE),IF(ISBLANK(Deltagarlista!$C33),"",IF(ISBLANK(Arrangörslista!M$8),"",IFERROR(VLOOKUP($F34,Arrangörslista!N$8:$AG$45,16,FALSE),"DNS")))))),IF(Deltagarlista!$K$3=2,
IF(ISBLANK(Deltagarlista!$C33),"",IF(ISBLANK(Arrangörslista!H$8),"",IF($GV34=O$64," DNS ",IFERROR(VLOOKUP($F34,Arrangörslista!H$8:$AG$45,16,FALSE),"DNS")))),IF(ISBLANK(Deltagarlista!$C33),"",IF(ISBLANK(Arrangörslista!H$8),"",IFERROR(VLOOKUP($F34,Arrangörslista!H$8:$AG$45,16,FALSE),"DNS")))))</f>
        <v/>
      </c>
      <c r="P34" s="5" t="str">
        <f>IF(Deltagarlista!$K$3=4,IF(ISBLANK(Deltagarlista!$C33),"",IF(ISBLANK(Arrangörslista!O$8),"",IFERROR(VLOOKUP($F34,Arrangörslista!O$8:$AG$45,16,FALSE),IF(ISBLANK(Deltagarlista!$C33),"",IF(ISBLANK(Arrangörslista!O$8),"",IFERROR(VLOOKUP($F34,Arrangörslista!P$8:$AG$45,16,FALSE),"DNS")))))),IF(Deltagarlista!$K$3=2,
IF(ISBLANK(Deltagarlista!$C33),"",IF(ISBLANK(Arrangörslista!I$8),"",IF($GV34=P$64," DNS ",IFERROR(VLOOKUP($F34,Arrangörslista!I$8:$AG$45,16,FALSE),"DNS")))),IF(ISBLANK(Deltagarlista!$C33),"",IF(ISBLANK(Arrangörslista!I$8),"",IFERROR(VLOOKUP($F34,Arrangörslista!I$8:$AG$45,16,FALSE),"DNS")))))</f>
        <v/>
      </c>
      <c r="Q34" s="5" t="str">
        <f>IF(Deltagarlista!$K$3=4,IF(ISBLANK(Deltagarlista!$C33),"",IF(ISBLANK(Arrangörslista!Q$8),"",IFERROR(VLOOKUP($F34,Arrangörslista!Q$8:$AG$45,16,FALSE),IF(ISBLANK(Deltagarlista!$C33),"",IF(ISBLANK(Arrangörslista!Q$8),"",IFERROR(VLOOKUP($F34,Arrangörslista!C$53:$AG$90,16,FALSE),"DNS")))))),IF(Deltagarlista!$K$3=2,
IF(ISBLANK(Deltagarlista!$C33),"",IF(ISBLANK(Arrangörslista!J$8),"",IF($GV34=Q$64," DNS ",IFERROR(VLOOKUP($F34,Arrangörslista!J$8:$AG$45,16,FALSE),"DNS")))),IF(ISBLANK(Deltagarlista!$C33),"",IF(ISBLANK(Arrangörslista!J$8),"",IFERROR(VLOOKUP($F34,Arrangörslista!J$8:$AG$45,16,FALSE),"DNS")))))</f>
        <v/>
      </c>
      <c r="R34" s="5" t="str">
        <f>IF(Deltagarlista!$K$3=4,IF(ISBLANK(Deltagarlista!$C33),"",IF(ISBLANK(Arrangörslista!D$53),"",IFERROR(VLOOKUP($F34,Arrangörslista!D$53:$AG$90,16,FALSE),IF(ISBLANK(Deltagarlista!$C33),"",IF(ISBLANK(Arrangörslista!D$53),"",IFERROR(VLOOKUP($F34,Arrangörslista!E$53:$AG$90,16,FALSE),"DNS")))))),IF(Deltagarlista!$K$3=2,
IF(ISBLANK(Deltagarlista!$C33),"",IF(ISBLANK(Arrangörslista!K$8),"",IF($GV34=R$64," DNS ",IFERROR(VLOOKUP($F34,Arrangörslista!K$8:$AG$45,16,FALSE),"DNS")))),IF(ISBLANK(Deltagarlista!$C33),"",IF(ISBLANK(Arrangörslista!K$8),"",IFERROR(VLOOKUP($F34,Arrangörslista!K$8:$AG$45,16,FALSE),"DNS")))))</f>
        <v/>
      </c>
      <c r="S34" s="5" t="str">
        <f>IF(Deltagarlista!$K$3=4,IF(ISBLANK(Deltagarlista!$C33),"",IF(ISBLANK(Arrangörslista!F$53),"",IFERROR(VLOOKUP($F34,Arrangörslista!F$53:$AG$90,16,FALSE),IF(ISBLANK(Deltagarlista!$C33),"",IF(ISBLANK(Arrangörslista!F$53),"",IFERROR(VLOOKUP($F34,Arrangörslista!G$53:$AG$90,16,FALSE),"DNS")))))),IF(Deltagarlista!$K$3=2,
IF(ISBLANK(Deltagarlista!$C33),"",IF(ISBLANK(Arrangörslista!L$8),"",IF($GV34=S$64," DNS ",IFERROR(VLOOKUP($F34,Arrangörslista!L$8:$AG$45,16,FALSE),"DNS")))),IF(ISBLANK(Deltagarlista!$C33),"",IF(ISBLANK(Arrangörslista!L$8),"",IFERROR(VLOOKUP($F34,Arrangörslista!L$8:$AG$45,16,FALSE),"DNS")))))</f>
        <v/>
      </c>
      <c r="T34" s="5" t="str">
        <f>IF(Deltagarlista!$K$3=4,IF(ISBLANK(Deltagarlista!$C33),"",IF(ISBLANK(Arrangörslista!H$53),"",IFERROR(VLOOKUP($F34,Arrangörslista!H$53:$AG$90,16,FALSE),IF(ISBLANK(Deltagarlista!$C33),"",IF(ISBLANK(Arrangörslista!H$53),"",IFERROR(VLOOKUP($F34,Arrangörslista!I$53:$AG$90,16,FALSE),"DNS")))))),IF(Deltagarlista!$K$3=2,
IF(ISBLANK(Deltagarlista!$C33),"",IF(ISBLANK(Arrangörslista!M$8),"",IF($GV34=T$64," DNS ",IFERROR(VLOOKUP($F34,Arrangörslista!M$8:$AG$45,16,FALSE),"DNS")))),IF(ISBLANK(Deltagarlista!$C33),"",IF(ISBLANK(Arrangörslista!M$8),"",IFERROR(VLOOKUP($F34,Arrangörslista!M$8:$AG$45,16,FALSE),"DNS")))))</f>
        <v/>
      </c>
      <c r="U34" s="5" t="str">
        <f>IF(Deltagarlista!$K$3=4,IF(ISBLANK(Deltagarlista!$C33),"",IF(ISBLANK(Arrangörslista!J$53),"",IFERROR(VLOOKUP($F34,Arrangörslista!J$53:$AG$90,16,FALSE),IF(ISBLANK(Deltagarlista!$C33),"",IF(ISBLANK(Arrangörslista!J$53),"",IFERROR(VLOOKUP($F34,Arrangörslista!K$53:$AG$90,16,FALSE),"DNS")))))),IF(Deltagarlista!$K$3=2,
IF(ISBLANK(Deltagarlista!$C33),"",IF(ISBLANK(Arrangörslista!N$8),"",IF($GV34=U$64," DNS ",IFERROR(VLOOKUP($F34,Arrangörslista!N$8:$AG$45,16,FALSE),"DNS")))),IF(ISBLANK(Deltagarlista!$C33),"",IF(ISBLANK(Arrangörslista!N$8),"",IFERROR(VLOOKUP($F34,Arrangörslista!N$8:$AG$45,16,FALSE),"DNS")))))</f>
        <v/>
      </c>
      <c r="V34" s="5" t="str">
        <f>IF(Deltagarlista!$K$3=4,IF(ISBLANK(Deltagarlista!$C33),"",IF(ISBLANK(Arrangörslista!L$53),"",IFERROR(VLOOKUP($F34,Arrangörslista!L$53:$AG$90,16,FALSE),IF(ISBLANK(Deltagarlista!$C33),"",IF(ISBLANK(Arrangörslista!L$53),"",IFERROR(VLOOKUP($F34,Arrangörslista!M$53:$AG$90,16,FALSE),"DNS")))))),IF(Deltagarlista!$K$3=2,
IF(ISBLANK(Deltagarlista!$C33),"",IF(ISBLANK(Arrangörslista!O$8),"",IF($GV34=V$64," DNS ",IFERROR(VLOOKUP($F34,Arrangörslista!O$8:$AG$45,16,FALSE),"DNS")))),IF(ISBLANK(Deltagarlista!$C33),"",IF(ISBLANK(Arrangörslista!O$8),"",IFERROR(VLOOKUP($F34,Arrangörslista!O$8:$AG$45,16,FALSE),"DNS")))))</f>
        <v/>
      </c>
      <c r="W34" s="5" t="str">
        <f>IF(Deltagarlista!$K$3=4,IF(ISBLANK(Deltagarlista!$C33),"",IF(ISBLANK(Arrangörslista!N$53),"",IFERROR(VLOOKUP($F34,Arrangörslista!N$53:$AG$90,16,FALSE),IF(ISBLANK(Deltagarlista!$C33),"",IF(ISBLANK(Arrangörslista!N$53),"",IFERROR(VLOOKUP($F34,Arrangörslista!O$53:$AG$90,16,FALSE),"DNS")))))),IF(Deltagarlista!$K$3=2,
IF(ISBLANK(Deltagarlista!$C33),"",IF(ISBLANK(Arrangörslista!P$8),"",IF($GV34=W$64," DNS ",IFERROR(VLOOKUP($F34,Arrangörslista!P$8:$AG$45,16,FALSE),"DNS")))),IF(ISBLANK(Deltagarlista!$C33),"",IF(ISBLANK(Arrangörslista!P$8),"",IFERROR(VLOOKUP($F34,Arrangörslista!P$8:$AG$45,16,FALSE),"DNS")))))</f>
        <v/>
      </c>
      <c r="X34" s="5" t="str">
        <f>IF(Deltagarlista!$K$3=4,IF(ISBLANK(Deltagarlista!$C33),"",IF(ISBLANK(Arrangörslista!P$53),"",IFERROR(VLOOKUP($F34,Arrangörslista!P$53:$AG$90,16,FALSE),IF(ISBLANK(Deltagarlista!$C33),"",IF(ISBLANK(Arrangörslista!P$53),"",IFERROR(VLOOKUP($F34,Arrangörslista!Q$53:$AG$90,16,FALSE),"DNS")))))),IF(Deltagarlista!$K$3=2,
IF(ISBLANK(Deltagarlista!$C33),"",IF(ISBLANK(Arrangörslista!Q$8),"",IF($GV34=X$64," DNS ",IFERROR(VLOOKUP($F34,Arrangörslista!Q$8:$AG$45,16,FALSE),"DNS")))),IF(ISBLANK(Deltagarlista!$C33),"",IF(ISBLANK(Arrangörslista!Q$8),"",IFERROR(VLOOKUP($F34,Arrangörslista!Q$8:$AG$45,16,FALSE),"DNS")))))</f>
        <v/>
      </c>
      <c r="Y34" s="5" t="str">
        <f>IF(Deltagarlista!$K$3=4,IF(ISBLANK(Deltagarlista!$C33),"",IF(ISBLANK(Arrangörslista!C$98),"",IFERROR(VLOOKUP($F34,Arrangörslista!C$98:$AG$135,16,FALSE),IF(ISBLANK(Deltagarlista!$C33),"",IF(ISBLANK(Arrangörslista!C$98),"",IFERROR(VLOOKUP($F34,Arrangörslista!D$98:$AG$135,16,FALSE),"DNS")))))),IF(Deltagarlista!$K$3=2,
IF(ISBLANK(Deltagarlista!$C33),"",IF(ISBLANK(Arrangörslista!C$53),"",IF($GV34=Y$64," DNS ",IFERROR(VLOOKUP($F34,Arrangörslista!C$53:$AG$90,16,FALSE),"DNS")))),IF(ISBLANK(Deltagarlista!$C33),"",IF(ISBLANK(Arrangörslista!C$53),"",IFERROR(VLOOKUP($F34,Arrangörslista!C$53:$AG$90,16,FALSE),"DNS")))))</f>
        <v/>
      </c>
      <c r="Z34" s="5" t="str">
        <f>IF(Deltagarlista!$K$3=4,IF(ISBLANK(Deltagarlista!$C33),"",IF(ISBLANK(Arrangörslista!E$98),"",IFERROR(VLOOKUP($F34,Arrangörslista!E$98:$AG$135,16,FALSE),IF(ISBLANK(Deltagarlista!$C33),"",IF(ISBLANK(Arrangörslista!E$98),"",IFERROR(VLOOKUP($F34,Arrangörslista!F$98:$AG$135,16,FALSE),"DNS")))))),IF(Deltagarlista!$K$3=2,
IF(ISBLANK(Deltagarlista!$C33),"",IF(ISBLANK(Arrangörslista!D$53),"",IF($GV34=Z$64," DNS ",IFERROR(VLOOKUP($F34,Arrangörslista!D$53:$AG$90,16,FALSE),"DNS")))),IF(ISBLANK(Deltagarlista!$C33),"",IF(ISBLANK(Arrangörslista!D$53),"",IFERROR(VLOOKUP($F34,Arrangörslista!D$53:$AG$90,16,FALSE),"DNS")))))</f>
        <v/>
      </c>
      <c r="AA34" s="5" t="str">
        <f>IF(Deltagarlista!$K$3=4,IF(ISBLANK(Deltagarlista!$C33),"",IF(ISBLANK(Arrangörslista!G$98),"",IFERROR(VLOOKUP($F34,Arrangörslista!G$98:$AG$135,16,FALSE),IF(ISBLANK(Deltagarlista!$C33),"",IF(ISBLANK(Arrangörslista!G$98),"",IFERROR(VLOOKUP($F34,Arrangörslista!H$98:$AG$135,16,FALSE),"DNS")))))),IF(Deltagarlista!$K$3=2,
IF(ISBLANK(Deltagarlista!$C33),"",IF(ISBLANK(Arrangörslista!E$53),"",IF($GV34=AA$64," DNS ",IFERROR(VLOOKUP($F34,Arrangörslista!E$53:$AG$90,16,FALSE),"DNS")))),IF(ISBLANK(Deltagarlista!$C33),"",IF(ISBLANK(Arrangörslista!E$53),"",IFERROR(VLOOKUP($F34,Arrangörslista!E$53:$AG$90,16,FALSE),"DNS")))))</f>
        <v/>
      </c>
      <c r="AB34" s="5" t="str">
        <f>IF(Deltagarlista!$K$3=4,IF(ISBLANK(Deltagarlista!$C33),"",IF(ISBLANK(Arrangörslista!I$98),"",IFERROR(VLOOKUP($F34,Arrangörslista!I$98:$AG$135,16,FALSE),IF(ISBLANK(Deltagarlista!$C33),"",IF(ISBLANK(Arrangörslista!I$98),"",IFERROR(VLOOKUP($F34,Arrangörslista!J$98:$AG$135,16,FALSE),"DNS")))))),IF(Deltagarlista!$K$3=2,
IF(ISBLANK(Deltagarlista!$C33),"",IF(ISBLANK(Arrangörslista!F$53),"",IF($GV34=AB$64," DNS ",IFERROR(VLOOKUP($F34,Arrangörslista!F$53:$AG$90,16,FALSE),"DNS")))),IF(ISBLANK(Deltagarlista!$C33),"",IF(ISBLANK(Arrangörslista!F$53),"",IFERROR(VLOOKUP($F34,Arrangörslista!F$53:$AG$90,16,FALSE),"DNS")))))</f>
        <v/>
      </c>
      <c r="AC34" s="5" t="str">
        <f>IF(Deltagarlista!$K$3=4,IF(ISBLANK(Deltagarlista!$C33),"",IF(ISBLANK(Arrangörslista!K$98),"",IFERROR(VLOOKUP($F34,Arrangörslista!K$98:$AG$135,16,FALSE),IF(ISBLANK(Deltagarlista!$C33),"",IF(ISBLANK(Arrangörslista!K$98),"",IFERROR(VLOOKUP($F34,Arrangörslista!L$98:$AG$135,16,FALSE),"DNS")))))),IF(Deltagarlista!$K$3=2,
IF(ISBLANK(Deltagarlista!$C33),"",IF(ISBLANK(Arrangörslista!G$53),"",IF($GV34=AC$64," DNS ",IFERROR(VLOOKUP($F34,Arrangörslista!G$53:$AG$90,16,FALSE),"DNS")))),IF(ISBLANK(Deltagarlista!$C33),"",IF(ISBLANK(Arrangörslista!G$53),"",IFERROR(VLOOKUP($F34,Arrangörslista!G$53:$AG$90,16,FALSE),"DNS")))))</f>
        <v/>
      </c>
      <c r="AD34" s="5" t="str">
        <f>IF(Deltagarlista!$K$3=4,IF(ISBLANK(Deltagarlista!$C33),"",IF(ISBLANK(Arrangörslista!M$98),"",IFERROR(VLOOKUP($F34,Arrangörslista!M$98:$AG$135,16,FALSE),IF(ISBLANK(Deltagarlista!$C33),"",IF(ISBLANK(Arrangörslista!M$98),"",IFERROR(VLOOKUP($F34,Arrangörslista!N$98:$AG$135,16,FALSE),"DNS")))))),IF(Deltagarlista!$K$3=2,
IF(ISBLANK(Deltagarlista!$C33),"",IF(ISBLANK(Arrangörslista!H$53),"",IF($GV34=AD$64," DNS ",IFERROR(VLOOKUP($F34,Arrangörslista!H$53:$AG$90,16,FALSE),"DNS")))),IF(ISBLANK(Deltagarlista!$C33),"",IF(ISBLANK(Arrangörslista!H$53),"",IFERROR(VLOOKUP($F34,Arrangörslista!H$53:$AG$90,16,FALSE),"DNS")))))</f>
        <v/>
      </c>
      <c r="AE34" s="5" t="str">
        <f>IF(Deltagarlista!$K$3=4,IF(ISBLANK(Deltagarlista!$C33),"",IF(ISBLANK(Arrangörslista!O$98),"",IFERROR(VLOOKUP($F34,Arrangörslista!O$98:$AG$135,16,FALSE),IF(ISBLANK(Deltagarlista!$C33),"",IF(ISBLANK(Arrangörslista!O$98),"",IFERROR(VLOOKUP($F34,Arrangörslista!P$98:$AG$135,16,FALSE),"DNS")))))),IF(Deltagarlista!$K$3=2,
IF(ISBLANK(Deltagarlista!$C33),"",IF(ISBLANK(Arrangörslista!I$53),"",IF($GV34=AE$64," DNS ",IFERROR(VLOOKUP($F34,Arrangörslista!I$53:$AG$90,16,FALSE),"DNS")))),IF(ISBLANK(Deltagarlista!$C33),"",IF(ISBLANK(Arrangörslista!I$53),"",IFERROR(VLOOKUP($F34,Arrangörslista!I$53:$AG$90,16,FALSE),"DNS")))))</f>
        <v/>
      </c>
      <c r="AF34" s="5" t="str">
        <f>IF(Deltagarlista!$K$3=4,IF(ISBLANK(Deltagarlista!$C33),"",IF(ISBLANK(Arrangörslista!Q$98),"",IFERROR(VLOOKUP($F34,Arrangörslista!Q$98:$AG$135,16,FALSE),IF(ISBLANK(Deltagarlista!$C33),"",IF(ISBLANK(Arrangörslista!Q$98),"",IFERROR(VLOOKUP($F34,Arrangörslista!C$143:$AG$180,16,FALSE),"DNS")))))),IF(Deltagarlista!$K$3=2,
IF(ISBLANK(Deltagarlista!$C33),"",IF(ISBLANK(Arrangörslista!J$53),"",IF($GV34=AF$64," DNS ",IFERROR(VLOOKUP($F34,Arrangörslista!J$53:$AG$90,16,FALSE),"DNS")))),IF(ISBLANK(Deltagarlista!$C33),"",IF(ISBLANK(Arrangörslista!J$53),"",IFERROR(VLOOKUP($F34,Arrangörslista!J$53:$AG$90,16,FALSE),"DNS")))))</f>
        <v/>
      </c>
      <c r="AG34" s="5" t="str">
        <f>IF(Deltagarlista!$K$3=4,IF(ISBLANK(Deltagarlista!$C33),"",IF(ISBLANK(Arrangörslista!D$143),"",IFERROR(VLOOKUP($F34,Arrangörslista!D$143:$AG$180,16,FALSE),IF(ISBLANK(Deltagarlista!$C33),"",IF(ISBLANK(Arrangörslista!D$143),"",IFERROR(VLOOKUP($F34,Arrangörslista!E$143:$AG$180,16,FALSE),"DNS")))))),IF(Deltagarlista!$K$3=2,
IF(ISBLANK(Deltagarlista!$C33),"",IF(ISBLANK(Arrangörslista!K$53),"",IF($GV34=AG$64," DNS ",IFERROR(VLOOKUP($F34,Arrangörslista!K$53:$AG$90,16,FALSE),"DNS")))),IF(ISBLANK(Deltagarlista!$C33),"",IF(ISBLANK(Arrangörslista!K$53),"",IFERROR(VLOOKUP($F34,Arrangörslista!K$53:$AG$90,16,FALSE),"DNS")))))</f>
        <v/>
      </c>
      <c r="AH34" s="5" t="str">
        <f>IF(Deltagarlista!$K$3=4,IF(ISBLANK(Deltagarlista!$C33),"",IF(ISBLANK(Arrangörslista!F$143),"",IFERROR(VLOOKUP($F34,Arrangörslista!F$143:$AG$180,16,FALSE),IF(ISBLANK(Deltagarlista!$C33),"",IF(ISBLANK(Arrangörslista!F$143),"",IFERROR(VLOOKUP($F34,Arrangörslista!G$143:$AG$180,16,FALSE),"DNS")))))),IF(Deltagarlista!$K$3=2,
IF(ISBLANK(Deltagarlista!$C33),"",IF(ISBLANK(Arrangörslista!L$53),"",IF($GV34=AH$64," DNS ",IFERROR(VLOOKUP($F34,Arrangörslista!L$53:$AG$90,16,FALSE),"DNS")))),IF(ISBLANK(Deltagarlista!$C33),"",IF(ISBLANK(Arrangörslista!L$53),"",IFERROR(VLOOKUP($F34,Arrangörslista!L$53:$AG$90,16,FALSE),"DNS")))))</f>
        <v/>
      </c>
      <c r="AI34" s="5" t="str">
        <f>IF(Deltagarlista!$K$3=4,IF(ISBLANK(Deltagarlista!$C33),"",IF(ISBLANK(Arrangörslista!H$143),"",IFERROR(VLOOKUP($F34,Arrangörslista!H$143:$AG$180,16,FALSE),IF(ISBLANK(Deltagarlista!$C33),"",IF(ISBLANK(Arrangörslista!H$143),"",IFERROR(VLOOKUP($F34,Arrangörslista!I$143:$AG$180,16,FALSE),"DNS")))))),IF(Deltagarlista!$K$3=2,
IF(ISBLANK(Deltagarlista!$C33),"",IF(ISBLANK(Arrangörslista!M$53),"",IF($GV34=AI$64," DNS ",IFERROR(VLOOKUP($F34,Arrangörslista!M$53:$AG$90,16,FALSE),"DNS")))),IF(ISBLANK(Deltagarlista!$C33),"",IF(ISBLANK(Arrangörslista!M$53),"",IFERROR(VLOOKUP($F34,Arrangörslista!M$53:$AG$90,16,FALSE),"DNS")))))</f>
        <v/>
      </c>
      <c r="AJ34" s="5" t="str">
        <f>IF(Deltagarlista!$K$3=4,IF(ISBLANK(Deltagarlista!$C33),"",IF(ISBLANK(Arrangörslista!J$143),"",IFERROR(VLOOKUP($F34,Arrangörslista!J$143:$AG$180,16,FALSE),IF(ISBLANK(Deltagarlista!$C33),"",IF(ISBLANK(Arrangörslista!J$143),"",IFERROR(VLOOKUP($F34,Arrangörslista!K$143:$AG$180,16,FALSE),"DNS")))))),IF(Deltagarlista!$K$3=2,
IF(ISBLANK(Deltagarlista!$C33),"",IF(ISBLANK(Arrangörslista!N$53),"",IF($GV34=AJ$64," DNS ",IFERROR(VLOOKUP($F34,Arrangörslista!N$53:$AG$90,16,FALSE),"DNS")))),IF(ISBLANK(Deltagarlista!$C33),"",IF(ISBLANK(Arrangörslista!N$53),"",IFERROR(VLOOKUP($F34,Arrangörslista!N$53:$AG$90,16,FALSE),"DNS")))))</f>
        <v/>
      </c>
      <c r="AK34" s="5" t="str">
        <f>IF(Deltagarlista!$K$3=4,IF(ISBLANK(Deltagarlista!$C33),"",IF(ISBLANK(Arrangörslista!L$143),"",IFERROR(VLOOKUP($F34,Arrangörslista!L$143:$AG$180,16,FALSE),IF(ISBLANK(Deltagarlista!$C33),"",IF(ISBLANK(Arrangörslista!L$143),"",IFERROR(VLOOKUP($F34,Arrangörslista!M$143:$AG$180,16,FALSE),"DNS")))))),IF(Deltagarlista!$K$3=2,
IF(ISBLANK(Deltagarlista!$C33),"",IF(ISBLANK(Arrangörslista!O$53),"",IF($GV34=AK$64," DNS ",IFERROR(VLOOKUP($F34,Arrangörslista!O$53:$AG$90,16,FALSE),"DNS")))),IF(ISBLANK(Deltagarlista!$C33),"",IF(ISBLANK(Arrangörslista!O$53),"",IFERROR(VLOOKUP($F34,Arrangörslista!O$53:$AG$90,16,FALSE),"DNS")))))</f>
        <v/>
      </c>
      <c r="AL34" s="5" t="str">
        <f>IF(Deltagarlista!$K$3=4,IF(ISBLANK(Deltagarlista!$C33),"",IF(ISBLANK(Arrangörslista!N$143),"",IFERROR(VLOOKUP($F34,Arrangörslista!N$143:$AG$180,16,FALSE),IF(ISBLANK(Deltagarlista!$C33),"",IF(ISBLANK(Arrangörslista!N$143),"",IFERROR(VLOOKUP($F34,Arrangörslista!O$143:$AG$180,16,FALSE),"DNS")))))),IF(Deltagarlista!$K$3=2,
IF(ISBLANK(Deltagarlista!$C33),"",IF(ISBLANK(Arrangörslista!P$53),"",IF($GV34=AL$64," DNS ",IFERROR(VLOOKUP($F34,Arrangörslista!P$53:$AG$90,16,FALSE),"DNS")))),IF(ISBLANK(Deltagarlista!$C33),"",IF(ISBLANK(Arrangörslista!P$53),"",IFERROR(VLOOKUP($F34,Arrangörslista!P$53:$AG$90,16,FALSE),"DNS")))))</f>
        <v/>
      </c>
      <c r="AM34" s="5" t="str">
        <f>IF(Deltagarlista!$K$3=4,IF(ISBLANK(Deltagarlista!$C33),"",IF(ISBLANK(Arrangörslista!P$143),"",IFERROR(VLOOKUP($F34,Arrangörslista!P$143:$AG$180,16,FALSE),IF(ISBLANK(Deltagarlista!$C33),"",IF(ISBLANK(Arrangörslista!P$143),"",IFERROR(VLOOKUP($F34,Arrangörslista!Q$143:$AG$180,16,FALSE),"DNS")))))),IF(Deltagarlista!$K$3=2,
IF(ISBLANK(Deltagarlista!$C33),"",IF(ISBLANK(Arrangörslista!Q$53),"",IF($GV34=AM$64," DNS ",IFERROR(VLOOKUP($F34,Arrangörslista!Q$53:$AG$90,16,FALSE),"DNS")))),IF(ISBLANK(Deltagarlista!$C33),"",IF(ISBLANK(Arrangörslista!Q$53),"",IFERROR(VLOOKUP($F34,Arrangörslista!Q$53:$AG$90,16,FALSE),"DNS")))))</f>
        <v/>
      </c>
      <c r="AN34" s="5" t="str">
        <f>IF(Deltagarlista!$K$3=2,
IF(ISBLANK(Deltagarlista!$C33),"",IF(ISBLANK(Arrangörslista!C$98),"",IF($GV34=AN$64," DNS ",IFERROR(VLOOKUP($F34,Arrangörslista!C$98:$AG$135,16,FALSE), "DNS")))), IF(Deltagarlista!$K$3=1,IF(ISBLANK(Deltagarlista!$C33),"",IF(ISBLANK(Arrangörslista!C$98),"",IFERROR(VLOOKUP($F34,Arrangörslista!C$98:$AG$135,16,FALSE), "DNS"))),""))</f>
        <v/>
      </c>
      <c r="AO34" s="5" t="str">
        <f>IF(Deltagarlista!$K$3=2,
IF(ISBLANK(Deltagarlista!$C33),"",IF(ISBLANK(Arrangörslista!D$98),"",IF($GV34=AO$64," DNS ",IFERROR(VLOOKUP($F34,Arrangörslista!D$98:$AG$135,16,FALSE), "DNS")))), IF(Deltagarlista!$K$3=1,IF(ISBLANK(Deltagarlista!$C33),"",IF(ISBLANK(Arrangörslista!D$98),"",IFERROR(VLOOKUP($F34,Arrangörslista!D$98:$AG$135,16,FALSE), "DNS"))),""))</f>
        <v/>
      </c>
      <c r="AP34" s="5" t="str">
        <f>IF(Deltagarlista!$K$3=2,
IF(ISBLANK(Deltagarlista!$C33),"",IF(ISBLANK(Arrangörslista!E$98),"",IF($GV34=AP$64," DNS ",IFERROR(VLOOKUP($F34,Arrangörslista!E$98:$AG$135,16,FALSE), "DNS")))), IF(Deltagarlista!$K$3=1,IF(ISBLANK(Deltagarlista!$C33),"",IF(ISBLANK(Arrangörslista!E$98),"",IFERROR(VLOOKUP($F34,Arrangörslista!E$98:$AG$135,16,FALSE), "DNS"))),""))</f>
        <v/>
      </c>
      <c r="AQ34" s="5" t="str">
        <f>IF(Deltagarlista!$K$3=2,
IF(ISBLANK(Deltagarlista!$C33),"",IF(ISBLANK(Arrangörslista!F$98),"",IF($GV34=AQ$64," DNS ",IFERROR(VLOOKUP($F34,Arrangörslista!F$98:$AG$135,16,FALSE), "DNS")))), IF(Deltagarlista!$K$3=1,IF(ISBLANK(Deltagarlista!$C33),"",IF(ISBLANK(Arrangörslista!F$98),"",IFERROR(VLOOKUP($F34,Arrangörslista!F$98:$AG$135,16,FALSE), "DNS"))),""))</f>
        <v/>
      </c>
      <c r="AR34" s="5" t="str">
        <f>IF(Deltagarlista!$K$3=2,
IF(ISBLANK(Deltagarlista!$C33),"",IF(ISBLANK(Arrangörslista!G$98),"",IF($GV34=AR$64," DNS ",IFERROR(VLOOKUP($F34,Arrangörslista!G$98:$AG$135,16,FALSE), "DNS")))), IF(Deltagarlista!$K$3=1,IF(ISBLANK(Deltagarlista!$C33),"",IF(ISBLANK(Arrangörslista!G$98),"",IFERROR(VLOOKUP($F34,Arrangörslista!G$98:$AG$135,16,FALSE), "DNS"))),""))</f>
        <v/>
      </c>
      <c r="AS34" s="5" t="str">
        <f>IF(Deltagarlista!$K$3=2,
IF(ISBLANK(Deltagarlista!$C33),"",IF(ISBLANK(Arrangörslista!H$98),"",IF($GV34=AS$64," DNS ",IFERROR(VLOOKUP($F34,Arrangörslista!H$98:$AG$135,16,FALSE), "DNS")))), IF(Deltagarlista!$K$3=1,IF(ISBLANK(Deltagarlista!$C33),"",IF(ISBLANK(Arrangörslista!H$98),"",IFERROR(VLOOKUP($F34,Arrangörslista!H$98:$AG$135,16,FALSE), "DNS"))),""))</f>
        <v/>
      </c>
      <c r="AT34" s="5" t="str">
        <f>IF(Deltagarlista!$K$3=2,
IF(ISBLANK(Deltagarlista!$C33),"",IF(ISBLANK(Arrangörslista!I$98),"",IF($GV34=AT$64," DNS ",IFERROR(VLOOKUP($F34,Arrangörslista!I$98:$AG$135,16,FALSE), "DNS")))), IF(Deltagarlista!$K$3=1,IF(ISBLANK(Deltagarlista!$C33),"",IF(ISBLANK(Arrangörslista!I$98),"",IFERROR(VLOOKUP($F34,Arrangörslista!I$98:$AG$135,16,FALSE), "DNS"))),""))</f>
        <v/>
      </c>
      <c r="AU34" s="5" t="str">
        <f>IF(Deltagarlista!$K$3=2,
IF(ISBLANK(Deltagarlista!$C33),"",IF(ISBLANK(Arrangörslista!J$98),"",IF($GV34=AU$64," DNS ",IFERROR(VLOOKUP($F34,Arrangörslista!J$98:$AG$135,16,FALSE), "DNS")))), IF(Deltagarlista!$K$3=1,IF(ISBLANK(Deltagarlista!$C33),"",IF(ISBLANK(Arrangörslista!J$98),"",IFERROR(VLOOKUP($F34,Arrangörslista!J$98:$AG$135,16,FALSE), "DNS"))),""))</f>
        <v/>
      </c>
      <c r="AV34" s="5" t="str">
        <f>IF(Deltagarlista!$K$3=2,
IF(ISBLANK(Deltagarlista!$C33),"",IF(ISBLANK(Arrangörslista!K$98),"",IF($GV34=AV$64," DNS ",IFERROR(VLOOKUP($F34,Arrangörslista!K$98:$AG$135,16,FALSE), "DNS")))), IF(Deltagarlista!$K$3=1,IF(ISBLANK(Deltagarlista!$C33),"",IF(ISBLANK(Arrangörslista!K$98),"",IFERROR(VLOOKUP($F34,Arrangörslista!K$98:$AG$135,16,FALSE), "DNS"))),""))</f>
        <v/>
      </c>
      <c r="AW34" s="5" t="str">
        <f>IF(Deltagarlista!$K$3=2,
IF(ISBLANK(Deltagarlista!$C33),"",IF(ISBLANK(Arrangörslista!L$98),"",IF($GV34=AW$64," DNS ",IFERROR(VLOOKUP($F34,Arrangörslista!L$98:$AG$135,16,FALSE), "DNS")))), IF(Deltagarlista!$K$3=1,IF(ISBLANK(Deltagarlista!$C33),"",IF(ISBLANK(Arrangörslista!L$98),"",IFERROR(VLOOKUP($F34,Arrangörslista!L$98:$AG$135,16,FALSE), "DNS"))),""))</f>
        <v/>
      </c>
      <c r="AX34" s="5" t="str">
        <f>IF(Deltagarlista!$K$3=2,
IF(ISBLANK(Deltagarlista!$C33),"",IF(ISBLANK(Arrangörslista!M$98),"",IF($GV34=AX$64," DNS ",IFERROR(VLOOKUP($F34,Arrangörslista!M$98:$AG$135,16,FALSE), "DNS")))), IF(Deltagarlista!$K$3=1,IF(ISBLANK(Deltagarlista!$C33),"",IF(ISBLANK(Arrangörslista!M$98),"",IFERROR(VLOOKUP($F34,Arrangörslista!M$98:$AG$135,16,FALSE), "DNS"))),""))</f>
        <v/>
      </c>
      <c r="AY34" s="5" t="str">
        <f>IF(Deltagarlista!$K$3=2,
IF(ISBLANK(Deltagarlista!$C33),"",IF(ISBLANK(Arrangörslista!N$98),"",IF($GV34=AY$64," DNS ",IFERROR(VLOOKUP($F34,Arrangörslista!N$98:$AG$135,16,FALSE), "DNS")))), IF(Deltagarlista!$K$3=1,IF(ISBLANK(Deltagarlista!$C33),"",IF(ISBLANK(Arrangörslista!N$98),"",IFERROR(VLOOKUP($F34,Arrangörslista!N$98:$AG$135,16,FALSE), "DNS"))),""))</f>
        <v/>
      </c>
      <c r="AZ34" s="5" t="str">
        <f>IF(Deltagarlista!$K$3=2,
IF(ISBLANK(Deltagarlista!$C33),"",IF(ISBLANK(Arrangörslista!O$98),"",IF($GV34=AZ$64," DNS ",IFERROR(VLOOKUP($F34,Arrangörslista!O$98:$AG$135,16,FALSE), "DNS")))), IF(Deltagarlista!$K$3=1,IF(ISBLANK(Deltagarlista!$C33),"",IF(ISBLANK(Arrangörslista!O$98),"",IFERROR(VLOOKUP($F34,Arrangörslista!O$98:$AG$135,16,FALSE), "DNS"))),""))</f>
        <v/>
      </c>
      <c r="BA34" s="5" t="str">
        <f>IF(Deltagarlista!$K$3=2,
IF(ISBLANK(Deltagarlista!$C33),"",IF(ISBLANK(Arrangörslista!P$98),"",IF($GV34=BA$64," DNS ",IFERROR(VLOOKUP($F34,Arrangörslista!P$98:$AG$135,16,FALSE), "DNS")))), IF(Deltagarlista!$K$3=1,IF(ISBLANK(Deltagarlista!$C33),"",IF(ISBLANK(Arrangörslista!P$98),"",IFERROR(VLOOKUP($F34,Arrangörslista!P$98:$AG$135,16,FALSE), "DNS"))),""))</f>
        <v/>
      </c>
      <c r="BB34" s="5" t="str">
        <f>IF(Deltagarlista!$K$3=2,
IF(ISBLANK(Deltagarlista!$C33),"",IF(ISBLANK(Arrangörslista!Q$98),"",IF($GV34=BB$64," DNS ",IFERROR(VLOOKUP($F34,Arrangörslista!Q$98:$AG$135,16,FALSE), "DNS")))), IF(Deltagarlista!$K$3=1,IF(ISBLANK(Deltagarlista!$C33),"",IF(ISBLANK(Arrangörslista!Q$98),"",IFERROR(VLOOKUP($F34,Arrangörslista!Q$98:$AG$135,16,FALSE), "DNS"))),""))</f>
        <v/>
      </c>
      <c r="BC34" s="5" t="str">
        <f>IF(Deltagarlista!$K$3=2,
IF(ISBLANK(Deltagarlista!$C33),"",IF(ISBLANK(Arrangörslista!C$143),"",IF($GV34=BC$64," DNS ",IFERROR(VLOOKUP($F34,Arrangörslista!C$143:$AG$180,16,FALSE), "DNS")))), IF(Deltagarlista!$K$3=1,IF(ISBLANK(Deltagarlista!$C33),"",IF(ISBLANK(Arrangörslista!C$143),"",IFERROR(VLOOKUP($F34,Arrangörslista!C$143:$AG$180,16,FALSE), "DNS"))),""))</f>
        <v/>
      </c>
      <c r="BD34" s="5" t="str">
        <f>IF(Deltagarlista!$K$3=2,
IF(ISBLANK(Deltagarlista!$C33),"",IF(ISBLANK(Arrangörslista!D$143),"",IF($GV34=BD$64," DNS ",IFERROR(VLOOKUP($F34,Arrangörslista!D$143:$AG$180,16,FALSE), "DNS")))), IF(Deltagarlista!$K$3=1,IF(ISBLANK(Deltagarlista!$C33),"",IF(ISBLANK(Arrangörslista!D$143),"",IFERROR(VLOOKUP($F34,Arrangörslista!D$143:$AG$180,16,FALSE), "DNS"))),""))</f>
        <v/>
      </c>
      <c r="BE34" s="5" t="str">
        <f>IF(Deltagarlista!$K$3=2,
IF(ISBLANK(Deltagarlista!$C33),"",IF(ISBLANK(Arrangörslista!E$143),"",IF($GV34=BE$64," DNS ",IFERROR(VLOOKUP($F34,Arrangörslista!E$143:$AG$180,16,FALSE), "DNS")))), IF(Deltagarlista!$K$3=1,IF(ISBLANK(Deltagarlista!$C33),"",IF(ISBLANK(Arrangörslista!E$143),"",IFERROR(VLOOKUP($F34,Arrangörslista!E$143:$AG$180,16,FALSE), "DNS"))),""))</f>
        <v/>
      </c>
      <c r="BF34" s="5" t="str">
        <f>IF(Deltagarlista!$K$3=2,
IF(ISBLANK(Deltagarlista!$C33),"",IF(ISBLANK(Arrangörslista!F$143),"",IF($GV34=BF$64," DNS ",IFERROR(VLOOKUP($F34,Arrangörslista!F$143:$AG$180,16,FALSE), "DNS")))), IF(Deltagarlista!$K$3=1,IF(ISBLANK(Deltagarlista!$C33),"",IF(ISBLANK(Arrangörslista!F$143),"",IFERROR(VLOOKUP($F34,Arrangörslista!F$143:$AG$180,16,FALSE), "DNS"))),""))</f>
        <v/>
      </c>
      <c r="BG34" s="5" t="str">
        <f>IF(Deltagarlista!$K$3=2,
IF(ISBLANK(Deltagarlista!$C33),"",IF(ISBLANK(Arrangörslista!G$143),"",IF($GV34=BG$64," DNS ",IFERROR(VLOOKUP($F34,Arrangörslista!G$143:$AG$180,16,FALSE), "DNS")))), IF(Deltagarlista!$K$3=1,IF(ISBLANK(Deltagarlista!$C33),"",IF(ISBLANK(Arrangörslista!G$143),"",IFERROR(VLOOKUP($F34,Arrangörslista!G$143:$AG$180,16,FALSE), "DNS"))),""))</f>
        <v/>
      </c>
      <c r="BH34" s="5" t="str">
        <f>IF(Deltagarlista!$K$3=2,
IF(ISBLANK(Deltagarlista!$C33),"",IF(ISBLANK(Arrangörslista!H$143),"",IF($GV34=BH$64," DNS ",IFERROR(VLOOKUP($F34,Arrangörslista!H$143:$AG$180,16,FALSE), "DNS")))), IF(Deltagarlista!$K$3=1,IF(ISBLANK(Deltagarlista!$C33),"",IF(ISBLANK(Arrangörslista!H$143),"",IFERROR(VLOOKUP($F34,Arrangörslista!H$143:$AG$180,16,FALSE), "DNS"))),""))</f>
        <v/>
      </c>
      <c r="BI34" s="5" t="str">
        <f>IF(Deltagarlista!$K$3=2,
IF(ISBLANK(Deltagarlista!$C33),"",IF(ISBLANK(Arrangörslista!I$143),"",IF($GV34=BI$64," DNS ",IFERROR(VLOOKUP($F34,Arrangörslista!I$143:$AG$180,16,FALSE), "DNS")))), IF(Deltagarlista!$K$3=1,IF(ISBLANK(Deltagarlista!$C33),"",IF(ISBLANK(Arrangörslista!I$143),"",IFERROR(VLOOKUP($F34,Arrangörslista!I$143:$AG$180,16,FALSE), "DNS"))),""))</f>
        <v/>
      </c>
      <c r="BJ34" s="5" t="str">
        <f>IF(Deltagarlista!$K$3=2,
IF(ISBLANK(Deltagarlista!$C33),"",IF(ISBLANK(Arrangörslista!J$143),"",IF($GV34=BJ$64," DNS ",IFERROR(VLOOKUP($F34,Arrangörslista!J$143:$AG$180,16,FALSE), "DNS")))), IF(Deltagarlista!$K$3=1,IF(ISBLANK(Deltagarlista!$C33),"",IF(ISBLANK(Arrangörslista!J$143),"",IFERROR(VLOOKUP($F34,Arrangörslista!J$143:$AG$180,16,FALSE), "DNS"))),""))</f>
        <v/>
      </c>
      <c r="BK34" s="5" t="str">
        <f>IF(Deltagarlista!$K$3=2,
IF(ISBLANK(Deltagarlista!$C33),"",IF(ISBLANK(Arrangörslista!K$143),"",IF($GV34=BK$64," DNS ",IFERROR(VLOOKUP($F34,Arrangörslista!K$143:$AG$180,16,FALSE), "DNS")))), IF(Deltagarlista!$K$3=1,IF(ISBLANK(Deltagarlista!$C33),"",IF(ISBLANK(Arrangörslista!K$143),"",IFERROR(VLOOKUP($F34,Arrangörslista!K$143:$AG$180,16,FALSE), "DNS"))),""))</f>
        <v/>
      </c>
      <c r="BL34" s="5" t="str">
        <f>IF(Deltagarlista!$K$3=2,
IF(ISBLANK(Deltagarlista!$C33),"",IF(ISBLANK(Arrangörslista!L$143),"",IF($GV34=BL$64," DNS ",IFERROR(VLOOKUP($F34,Arrangörslista!L$143:$AG$180,16,FALSE), "DNS")))), IF(Deltagarlista!$K$3=1,IF(ISBLANK(Deltagarlista!$C33),"",IF(ISBLANK(Arrangörslista!L$143),"",IFERROR(VLOOKUP($F34,Arrangörslista!L$143:$AG$180,16,FALSE), "DNS"))),""))</f>
        <v/>
      </c>
      <c r="BM34" s="5" t="str">
        <f>IF(Deltagarlista!$K$3=2,
IF(ISBLANK(Deltagarlista!$C33),"",IF(ISBLANK(Arrangörslista!M$143),"",IF($GV34=BM$64," DNS ",IFERROR(VLOOKUP($F34,Arrangörslista!M$143:$AG$180,16,FALSE), "DNS")))), IF(Deltagarlista!$K$3=1,IF(ISBLANK(Deltagarlista!$C33),"",IF(ISBLANK(Arrangörslista!M$143),"",IFERROR(VLOOKUP($F34,Arrangörslista!M$143:$AG$180,16,FALSE), "DNS"))),""))</f>
        <v/>
      </c>
      <c r="BN34" s="5" t="str">
        <f>IF(Deltagarlista!$K$3=2,
IF(ISBLANK(Deltagarlista!$C33),"",IF(ISBLANK(Arrangörslista!N$143),"",IF($GV34=BN$64," DNS ",IFERROR(VLOOKUP($F34,Arrangörslista!N$143:$AG$180,16,FALSE), "DNS")))), IF(Deltagarlista!$K$3=1,IF(ISBLANK(Deltagarlista!$C33),"",IF(ISBLANK(Arrangörslista!N$143),"",IFERROR(VLOOKUP($F34,Arrangörslista!N$143:$AG$180,16,FALSE), "DNS"))),""))</f>
        <v/>
      </c>
      <c r="BO34" s="5" t="str">
        <f>IF(Deltagarlista!$K$3=2,
IF(ISBLANK(Deltagarlista!$C33),"",IF(ISBLANK(Arrangörslista!O$143),"",IF($GV34=BO$64," DNS ",IFERROR(VLOOKUP($F34,Arrangörslista!O$143:$AG$180,16,FALSE), "DNS")))), IF(Deltagarlista!$K$3=1,IF(ISBLANK(Deltagarlista!$C33),"",IF(ISBLANK(Arrangörslista!O$143),"",IFERROR(VLOOKUP($F34,Arrangörslista!O$143:$AG$180,16,FALSE), "DNS"))),""))</f>
        <v/>
      </c>
      <c r="BP34" s="5" t="str">
        <f>IF(Deltagarlista!$K$3=2,
IF(ISBLANK(Deltagarlista!$C33),"",IF(ISBLANK(Arrangörslista!P$143),"",IF($GV34=BP$64," DNS ",IFERROR(VLOOKUP($F34,Arrangörslista!P$143:$AG$180,16,FALSE), "DNS")))), IF(Deltagarlista!$K$3=1,IF(ISBLANK(Deltagarlista!$C33),"",IF(ISBLANK(Arrangörslista!P$143),"",IFERROR(VLOOKUP($F34,Arrangörslista!P$143:$AG$180,16,FALSE), "DNS"))),""))</f>
        <v/>
      </c>
      <c r="BQ34" s="80" t="str">
        <f>IF(Deltagarlista!$K$3=2,
IF(ISBLANK(Deltagarlista!$C33),"",IF(ISBLANK(Arrangörslista!Q$143),"",IF($GV34=BQ$64," DNS ",IFERROR(VLOOKUP($F34,Arrangörslista!Q$143:$AG$180,16,FALSE), "DNS")))), IF(Deltagarlista!$K$3=1,IF(ISBLANK(Deltagarlista!$C33),"",IF(ISBLANK(Arrangörslista!Q$143),"",IFERROR(VLOOKUP($F34,Arrangörslista!Q$143:$AG$180,16,FALSE), "DNS"))),""))</f>
        <v/>
      </c>
      <c r="BR34" s="51"/>
      <c r="BS34" s="51"/>
      <c r="BT34" s="51"/>
      <c r="BU34" s="71">
        <f>SUM(BV34:EC34)</f>
        <v>0</v>
      </c>
      <c r="BV34" s="61">
        <f>IF(J34="",0,IF(OR(J34="DNF",J34="OCS",J34="DSQ",J34="DNS",J34=" DNS "),$BW$3+1,J34))</f>
        <v>0</v>
      </c>
      <c r="BW34" s="61">
        <f>IF(K34="",0,IF(OR(K34="DNF",K34="OCS",K34="DSQ",K34="DNS",K34=" DNS "),$BW$3+1,K34))</f>
        <v>0</v>
      </c>
      <c r="BX34" s="61">
        <f>IF(L34="",0,IF(OR(L34="DNF",L34="OCS",L34="DSQ",L34="DNS",L34=" DNS "),$BW$3+1,L34))</f>
        <v>0</v>
      </c>
      <c r="BY34" s="61">
        <f>IF(M34="",0,IF(OR(M34="DNF",M34="OCS",M34="DSQ",M34="DNS",M34=" DNS "),$BW$3+1,M34))</f>
        <v>0</v>
      </c>
      <c r="BZ34" s="61">
        <f>IF(N34="",0,IF(OR(N34="DNF",N34="OCS",N34="DSQ",N34="DNS",N34=" DNS "),$BW$3+1,N34))</f>
        <v>0</v>
      </c>
      <c r="CA34" s="61">
        <f>IF(O34="",0,IF(OR(O34="DNF",O34="OCS",O34="DSQ",O34="DNS",O34=" DNS "),$BW$3+1,O34))</f>
        <v>0</v>
      </c>
      <c r="CB34" s="61">
        <f>IF(P34="",0,IF(OR(P34="DNF",P34="OCS",P34="DSQ",P34="DNS",P34=" DNS "),$BW$3+1,P34))</f>
        <v>0</v>
      </c>
      <c r="CC34" s="61">
        <f>IF(Q34="",0,IF(OR(Q34="DNF",Q34="OCS",Q34="DSQ",Q34="DNS",Q34=" DNS "),$BW$3+1,Q34))</f>
        <v>0</v>
      </c>
      <c r="CD34" s="61">
        <f>IF(R34="",0,IF(OR(R34="DNF",R34="OCS",R34="DSQ",R34="DNS",R34=" DNS "),$BW$3+1,R34))</f>
        <v>0</v>
      </c>
      <c r="CE34" s="61">
        <f>IF(S34="",0,IF(OR(S34="DNF",S34="OCS",S34="DSQ",S34="DNS",S34=" DNS "),$BW$3+1,S34))</f>
        <v>0</v>
      </c>
      <c r="CF34" s="61">
        <f>IF(T34="",0,IF(OR(T34="DNF",T34="OCS",T34="DSQ",T34="DNS",T34=" DNS "),$BW$3+1,T34))</f>
        <v>0</v>
      </c>
      <c r="CG34" s="61">
        <f>IF(U34="",0,IF(OR(U34="DNF",U34="OCS",U34="DSQ",U34="DNS",U34=" DNS "),$BW$3+1,U34))</f>
        <v>0</v>
      </c>
      <c r="CH34" s="61">
        <f>IF(V34="",0,IF(OR(V34="DNF",V34="OCS",V34="DSQ",V34="DNS",V34=" DNS "),$BW$3+1,V34))</f>
        <v>0</v>
      </c>
      <c r="CI34" s="61">
        <f>IF(W34="",0,IF(OR(W34="DNF",W34="OCS",W34="DSQ",W34="DNS",W34=" DNS "),$BW$3+1,W34))</f>
        <v>0</v>
      </c>
      <c r="CJ34" s="61">
        <f>IF(X34="",0,IF(OR(X34="DNF",X34="OCS",X34="DSQ",X34="DNS",X34=" DNS "),$BW$3+1,X34))</f>
        <v>0</v>
      </c>
      <c r="CK34" s="61">
        <f>IF(Y34="",0,IF(OR(Y34="DNF",Y34="OCS",Y34="DSQ",Y34="DNS",Y34=" DNS "),$BW$3+1,Y34))</f>
        <v>0</v>
      </c>
      <c r="CL34" s="61">
        <f>IF(Z34="",0,IF(OR(Z34="DNF",Z34="OCS",Z34="DSQ",Z34="DNS",Z34=" DNS "),$BW$3+1,Z34))</f>
        <v>0</v>
      </c>
      <c r="CM34" s="61">
        <f>IF(AA34="",0,IF(OR(AA34="DNF",AA34="OCS",AA34="DSQ",AA34="DNS",AA34=" DNS "),$BW$3+1,AA34))</f>
        <v>0</v>
      </c>
      <c r="CN34" s="61">
        <f>IF(AB34="",0,IF(OR(AB34="DNF",AB34="OCS",AB34="DSQ",AB34="DNS",AB34=" DNS "),$BW$3+1,AB34))</f>
        <v>0</v>
      </c>
      <c r="CO34" s="61">
        <f>IF(AC34="",0,IF(OR(AC34="DNF",AC34="OCS",AC34="DSQ",AC34="DNS",AC34=" DNS "),$BW$3+1,AC34))</f>
        <v>0</v>
      </c>
      <c r="CP34" s="61">
        <f>IF(AD34="",0,IF(OR(AD34="DNF",AD34="OCS",AD34="DSQ",AD34="DNS",AD34=" DNS "),$BW$3+1,AD34))</f>
        <v>0</v>
      </c>
      <c r="CQ34" s="61">
        <f>IF(AE34="",0,IF(OR(AE34="DNF",AE34="OCS",AE34="DSQ",AE34="DNS",AE34=" DNS "),$BW$3+1,AE34))</f>
        <v>0</v>
      </c>
      <c r="CR34" s="61">
        <f>IF(AF34="",0,IF(OR(AF34="DNF",AF34="OCS",AF34="DSQ",AF34="DNS",AF34=" DNS "),$BW$3+1,AF34))</f>
        <v>0</v>
      </c>
      <c r="CS34" s="61">
        <f>IF(AG34="",0,IF(OR(AG34="DNF",AG34="OCS",AG34="DSQ",AG34="DNS",AG34=" DNS "),$BW$3+1,AG34))</f>
        <v>0</v>
      </c>
      <c r="CT34" s="61">
        <f>IF(AH34="",0,IF(OR(AH34="DNF",AH34="OCS",AH34="DSQ",AH34="DNS",AH34=" DNS "),$BW$3+1,AH34))</f>
        <v>0</v>
      </c>
      <c r="CU34" s="61">
        <f>IF(AI34="",0,IF(OR(AI34="DNF",AI34="OCS",AI34="DSQ",AI34="DNS",AI34=" DNS "),$BW$3+1,AI34))</f>
        <v>0</v>
      </c>
      <c r="CV34" s="61">
        <f>IF(AJ34="",0,IF(OR(AJ34="DNF",AJ34="OCS",AJ34="DSQ",AJ34="DNS",AJ34=" DNS "),$BW$3+1,AJ34))</f>
        <v>0</v>
      </c>
      <c r="CW34" s="61">
        <f>IF(AK34="",0,IF(OR(AK34="DNF",AK34="OCS",AK34="DSQ",AK34="DNS",AK34=" DNS "),$BW$3+1,AK34))</f>
        <v>0</v>
      </c>
      <c r="CX34" s="61">
        <f>IF(AL34="",0,IF(OR(AL34="DNF",AL34="OCS",AL34="DSQ",AL34="DNS",AL34=" DNS "),$BW$3+1,AL34))</f>
        <v>0</v>
      </c>
      <c r="CY34" s="61">
        <f>IF(AM34="",0,IF(OR(AM34="DNF",AM34="OCS",AM34="DSQ",AM34="DNS",AM34=" DNS "),$BW$3+1,AM34))</f>
        <v>0</v>
      </c>
      <c r="CZ34" s="61">
        <f>IF(AN34="",0,IF(OR(AN34="DNF",AN34="OCS",AN34="DSQ",AN34="DNS",AN34=" DNS "),$BW$3+1,AN34))</f>
        <v>0</v>
      </c>
      <c r="DA34" s="61">
        <f>IF(AO34="",0,IF(OR(AO34="DNF",AO34="OCS",AO34="DSQ",AO34="DNS",AO34=" DNS "),$BW$3+1,AO34))</f>
        <v>0</v>
      </c>
      <c r="DB34" s="61">
        <f>IF(AP34="",0,IF(OR(AP34="DNF",AP34="OCS",AP34="DSQ",AP34="DNS",AP34=" DNS "),$BW$3+1,AP34))</f>
        <v>0</v>
      </c>
      <c r="DC34" s="61">
        <f>IF(AQ34="",0,IF(OR(AQ34="DNF",AQ34="OCS",AQ34="DSQ",AQ34="DNS",AQ34=" DNS "),$BW$3+1,AQ34))</f>
        <v>0</v>
      </c>
      <c r="DD34" s="61">
        <f>IF(AR34="",0,IF(OR(AR34="DNF",AR34="OCS",AR34="DSQ",AR34="DNS",AR34=" DNS "),$BW$3+1,AR34))</f>
        <v>0</v>
      </c>
      <c r="DE34" s="61">
        <f>IF(AS34="",0,IF(OR(AS34="DNF",AS34="OCS",AS34="DSQ",AS34="DNS",AS34=" DNS "),$BW$3+1,AS34))</f>
        <v>0</v>
      </c>
      <c r="DF34" s="61">
        <f>IF(AT34="",0,IF(OR(AT34="DNF",AT34="OCS",AT34="DSQ",AT34="DNS",AT34=" DNS "),$BW$3+1,AT34))</f>
        <v>0</v>
      </c>
      <c r="DG34" s="61">
        <f>IF(AU34="",0,IF(OR(AU34="DNF",AU34="OCS",AU34="DSQ",AU34="DNS",AU34=" DNS "),$BW$3+1,AU34))</f>
        <v>0</v>
      </c>
      <c r="DH34" s="61">
        <f>IF(AV34="",0,IF(OR(AV34="DNF",AV34="OCS",AV34="DSQ",AV34="DNS",AV34=" DNS "),$BW$3+1,AV34))</f>
        <v>0</v>
      </c>
      <c r="DI34" s="61">
        <f>IF(AW34="",0,IF(OR(AW34="DNF",AW34="OCS",AW34="DSQ",AW34="DNS",AW34=" DNS "),$BW$3+1,AW34))</f>
        <v>0</v>
      </c>
      <c r="DJ34" s="61">
        <f>IF(AX34="",0,IF(OR(AX34="DNF",AX34="OCS",AX34="DSQ",AX34="DNS",AX34=" DNS "),$BW$3+1,AX34))</f>
        <v>0</v>
      </c>
      <c r="DK34" s="61">
        <f>IF(AY34="",0,IF(OR(AY34="DNF",AY34="OCS",AY34="DSQ",AY34="DNS",AY34=" DNS "),$BW$3+1,AY34))</f>
        <v>0</v>
      </c>
      <c r="DL34" s="61">
        <f>IF(AZ34="",0,IF(OR(AZ34="DNF",AZ34="OCS",AZ34="DSQ",AZ34="DNS",AZ34=" DNS "),$BW$3+1,AZ34))</f>
        <v>0</v>
      </c>
      <c r="DM34" s="61">
        <f>IF(BA34="",0,IF(OR(BA34="DNF",BA34="OCS",BA34="DSQ",BA34="DNS",BA34=" DNS "),$BW$3+1,BA34))</f>
        <v>0</v>
      </c>
      <c r="DN34" s="61">
        <f>IF(BB34="",0,IF(OR(BB34="DNF",BB34="OCS",BB34="DSQ",BB34="DNS",BB34=" DNS "),$BW$3+1,BB34))</f>
        <v>0</v>
      </c>
      <c r="DO34" s="61">
        <f>IF(BC34="",0,IF(OR(BC34="DNF",BC34="OCS",BC34="DSQ",BC34="DNS",BC34=" DNS "),$BW$3+1,BC34))</f>
        <v>0</v>
      </c>
      <c r="DP34" s="61">
        <f>IF(BD34="",0,IF(OR(BD34="DNF",BD34="OCS",BD34="DSQ",BD34="DNS",BD34=" DNS "),$BW$3+1,BD34))</f>
        <v>0</v>
      </c>
      <c r="DQ34" s="61">
        <f>IF(BE34="",0,IF(OR(BE34="DNF",BE34="OCS",BE34="DSQ",BE34="DNS",BE34=" DNS "),$BW$3+1,BE34))</f>
        <v>0</v>
      </c>
      <c r="DR34" s="61">
        <f>IF(BF34="",0,IF(OR(BF34="DNF",BF34="OCS",BF34="DSQ",BF34="DNS",BF34=" DNS "),$BW$3+1,BF34))</f>
        <v>0</v>
      </c>
      <c r="DS34" s="61">
        <f>IF(BG34="",0,IF(OR(BG34="DNF",BG34="OCS",BG34="DSQ",BG34="DNS",BG34=" DNS "),$BW$3+1,BG34))</f>
        <v>0</v>
      </c>
      <c r="DT34" s="61">
        <f>IF(BH34="",0,IF(OR(BH34="DNF",BH34="OCS",BH34="DSQ",BH34="DNS",BH34=" DNS "),$BW$3+1,BH34))</f>
        <v>0</v>
      </c>
      <c r="DU34" s="61">
        <f>IF(BI34="",0,IF(OR(BI34="DNF",BI34="OCS",BI34="DSQ",BI34="DNS",BI34=" DNS "),$BW$3+1,BI34))</f>
        <v>0</v>
      </c>
      <c r="DV34" s="61">
        <f>IF(BJ34="",0,IF(OR(BJ34="DNF",BJ34="OCS",BJ34="DSQ",BJ34="DNS",BJ34=" DNS "),$BW$3+1,BJ34))</f>
        <v>0</v>
      </c>
      <c r="DW34" s="61">
        <f>IF(BK34="",0,IF(OR(BK34="DNF",BK34="OCS",BK34="DSQ",BK34="DNS",BK34=" DNS "),$BW$3+1,BK34))</f>
        <v>0</v>
      </c>
      <c r="DX34" s="61">
        <f>IF(BL34="",0,IF(OR(BL34="DNF",BL34="OCS",BL34="DSQ",BL34="DNS",BL34=" DNS "),$BW$3+1,BL34))</f>
        <v>0</v>
      </c>
      <c r="DY34" s="61">
        <f>IF(BM34="",0,IF(OR(BM34="DNF",BM34="OCS",BM34="DSQ",BM34="DNS",BM34=" DNS "),$BW$3+1,BM34))</f>
        <v>0</v>
      </c>
      <c r="DZ34" s="61">
        <f>IF(BN34="",0,IF(OR(BN34="DNF",BN34="OCS",BN34="DSQ",BN34="DNS",BN34=" DNS "),$BW$3+1,BN34))</f>
        <v>0</v>
      </c>
      <c r="EA34" s="61">
        <f>IF(BO34="",0,IF(OR(BO34="DNF",BO34="OCS",BO34="DSQ",BO34="DNS",BO34=" DNS "),$BW$3+1,BO34))</f>
        <v>0</v>
      </c>
      <c r="EB34" s="61">
        <f>IF(BP34="",0,IF(OR(BP34="DNF",BP34="OCS",BP34="DSQ",BP34="DNS",BP34=" DNS "),$BW$3+1,BP34))</f>
        <v>0</v>
      </c>
      <c r="EC34" s="61">
        <f>IF(BQ34="",0,IF(OR(BQ34="DNF",BQ34="OCS",BQ34="DSQ",BQ34="DNS",BQ34=" DNS "),$BW$3+1,BQ34))</f>
        <v>0</v>
      </c>
      <c r="EE34" s="61">
        <f xml:space="preserve">
IF(OR(Deltagarlista!$K$3=3,Deltagarlista!$K$3=4),
IF(Arrangörslista!$U$5&lt;8,0,
IF(Arrangörslista!$U$5&lt;16,SUM(LARGE(BV34:CJ34,1)),
IF(Arrangörslista!$U$5&lt;24,SUM(LARGE(BV34:CR34,{1;2})),
IF(Arrangörslista!$U$5&lt;32,SUM(LARGE(BV34:CZ34,{1;2;3})),
IF(Arrangörslista!$U$5&lt;40,SUM(LARGE(BV34:DH34,{1;2;3;4})),
IF(Arrangörslista!$U$5&lt;48,SUM(LARGE(BV34:DP34,{1;2;3;4;5})),
IF(Arrangörslista!$U$5&lt;56,SUM(LARGE(BV34:DX34,{1;2;3;4;5;6})),
IF(Arrangörslista!$U$5&lt;64,SUM(LARGE(BV34:EC34,{1;2;3;4;5;6;7})),0)))))))),
IF(Deltagarlista!$K$3=2,
IF(Arrangörslista!$U$5&lt;4,LARGE(BV34:BX34,1),
IF(Arrangörslista!$U$5&lt;7,SUM(LARGE(BV34:CA34,{1;2;3})),
IF(Arrangörslista!$U$5&lt;10,SUM(LARGE(BV34:CD34,{1;2;3;4})),
IF(Arrangörslista!$U$5&lt;13,SUM(LARGE(BV34:CG34,{1;2;3;4;5;6})),
IF(Arrangörslista!$U$5&lt;16,SUM(LARGE(BV34:CJ34,{1;2;3;4;5;6;7})),
IF(Arrangörslista!$U$5&lt;19,SUM(LARGE(BV34:CM34,{1;2;3;4;5;6;7;8;9})),
IF(Arrangörslista!$U$5&lt;22,SUM(LARGE(BV34:CP34,{1;2;3;4;5;6;7;8;9;10})),
IF(Arrangörslista!$U$5&lt;25,SUM(LARGE(BV34:CS34,{1;2;3;4;5;6;7;8;9;10;11;12})),
IF(Arrangörslista!$U$5&lt;28,SUM(LARGE(BV34:CV34,{1;2;3;4;5;6;7;8;9;10;11;12;13})),
IF(Arrangörslista!$U$5&lt;31,SUM(LARGE(BV34:CY34,{1;2;3;4;5;6;7;8;9;10;11;12;13;14;15})),
IF(Arrangörslista!$U$5&lt;34,SUM(LARGE(BV34:DB34,{1;2;3;4;5;6;7;8;9;10;11;12;13;14;15;16})),
IF(Arrangörslista!$U$5&lt;37,SUM(LARGE(BV34:DE34,{1;2;3;4;5;6;7;8;9;10;11;12;13;14;15;16;17;18})),
IF(Arrangörslista!$U$5&lt;40,SUM(LARGE(BV34:DH34,{1;2;3;4;5;6;7;8;9;10;11;12;13;14;15;16;17;18;19})),
IF(Arrangörslista!$U$5&lt;43,SUM(LARGE(BV34:DK34,{1;2;3;4;5;6;7;8;9;10;11;12;13;14;15;16;17;18;19;20;21})),
IF(Arrangörslista!$U$5&lt;46,SUM(LARGE(BV34:DN34,{1;2;3;4;5;6;7;8;9;10;11;12;13;14;15;16;17;18;19;20;21;22})),
IF(Arrangörslista!$U$5&lt;49,SUM(LARGE(BV34:DQ34,{1;2;3;4;5;6;7;8;9;10;11;12;13;14;15;16;17;18;19;20;21;22;23;24})),
IF(Arrangörslista!$U$5&lt;52,SUM(LARGE(BV34:DT34,{1;2;3;4;5;6;7;8;9;10;11;12;13;14;15;16;17;18;19;20;21;22;23;24;25})),
IF(Arrangörslista!$U$5&lt;55,SUM(LARGE(BV34:DW34,{1;2;3;4;5;6;7;8;9;10;11;12;13;14;15;16;17;18;19;20;21;22;23;24;25;26;27})),
IF(Arrangörslista!$U$5&lt;58,SUM(LARGE(BV34:DZ34,{1;2;3;4;5;6;7;8;9;10;11;12;13;14;15;16;17;18;19;20;21;22;23;24;25;26;27;28})),
IF(Arrangörslista!$U$5&lt;61,SUM(LARGE(BV34:EC34,{1;2;3;4;5;6;7;8;9;10;11;12;13;14;15;16;17;18;19;20;21;22;23;24;25;26;27;28;29;30})),0)))))))))))))))))))),
IF(Arrangörslista!$U$5&lt;4,0,
IF(Arrangörslista!$U$5&lt;8,SUM(LARGE(BV34:CB34,1)),
IF(Arrangörslista!$U$5&lt;12,SUM(LARGE(BV34:CF34,{1;2})),
IF(Arrangörslista!$U$5&lt;16,SUM(LARGE(BV34:CJ34,{1;2;3})),
IF(Arrangörslista!$U$5&lt;20,SUM(LARGE(BV34:CN34,{1;2;3;4})),
IF(Arrangörslista!$U$5&lt;24,SUM(LARGE(BV34:CR34,{1;2;3;4;5})),
IF(Arrangörslista!$U$5&lt;28,SUM(LARGE(BV34:CV34,{1;2;3;4;5;6})),
IF(Arrangörslista!$U$5&lt;32,SUM(LARGE(BV34:CZ34,{1;2;3;4;5;6;7})),
IF(Arrangörslista!$U$5&lt;36,SUM(LARGE(BV34:DD34,{1;2;3;4;5;6;7;8})),
IF(Arrangörslista!$U$5&lt;40,SUM(LARGE(BV34:DH34,{1;2;3;4;5;6;7;8;9})),
IF(Arrangörslista!$U$5&lt;44,SUM(LARGE(BV34:DL34,{1;2;3;4;5;6;7;8;9;10})),
IF(Arrangörslista!$U$5&lt;48,SUM(LARGE(BV34:DP34,{1;2;3;4;5;6;7;8;9;10;11})),
IF(Arrangörslista!$U$5&lt;52,SUM(LARGE(BV34:DT34,{1;2;3;4;5;6;7;8;9;10;11;12})),
IF(Arrangörslista!$U$5&lt;56,SUM(LARGE(BV34:DX34,{1;2;3;4;5;6;7;8;9;10;11;12;13})),
IF(Arrangörslista!$U$5&lt;60,SUM(LARGE(BV34:EB34,{1;2;3;4;5;6;7;8;9;10;11;12;13;14})),
IF(Arrangörslista!$U$5=60,SUM(LARGE(BV34:EC34,{1;2;3;4;5;6;7;8;9;10;11;12;13;14;15})),0))))))))))))))))))</f>
        <v>0</v>
      </c>
      <c r="EG34" s="67">
        <f>IF(F34="",,1)</f>
        <v>0</v>
      </c>
      <c r="EH34" s="61"/>
      <c r="EI34" s="61"/>
      <c r="EK34" s="62">
        <f>SMALL($J97:$BQ97,1)</f>
        <v>61</v>
      </c>
      <c r="EL34" s="62">
        <f>SMALL($J97:$BQ97,2)</f>
        <v>61</v>
      </c>
      <c r="EM34" s="62">
        <f>SMALL($J97:$BQ97,3)</f>
        <v>61</v>
      </c>
      <c r="EN34" s="62">
        <f>SMALL($J97:$BQ97,4)</f>
        <v>61</v>
      </c>
      <c r="EO34" s="62">
        <f>SMALL($J97:$BQ97,5)</f>
        <v>61</v>
      </c>
      <c r="EP34" s="62">
        <f>SMALL($J97:$BQ97,6)</f>
        <v>61</v>
      </c>
      <c r="EQ34" s="62">
        <f>SMALL($J97:$BQ97,7)</f>
        <v>61</v>
      </c>
      <c r="ER34" s="62">
        <f>SMALL($J97:$BQ97,8)</f>
        <v>61</v>
      </c>
      <c r="ES34" s="62">
        <f>SMALL($J97:$BQ97,9)</f>
        <v>61</v>
      </c>
      <c r="ET34" s="62">
        <f>SMALL($J97:$BQ97,10)</f>
        <v>61</v>
      </c>
      <c r="EU34" s="62">
        <f>SMALL($J97:$BQ97,11)</f>
        <v>61</v>
      </c>
      <c r="EV34" s="62">
        <f>SMALL($J97:$BQ97,12)</f>
        <v>61</v>
      </c>
      <c r="EW34" s="62">
        <f>SMALL($J97:$BQ97,13)</f>
        <v>61</v>
      </c>
      <c r="EX34" s="62">
        <f>SMALL($J97:$BQ97,14)</f>
        <v>61</v>
      </c>
      <c r="EY34" s="62">
        <f>SMALL($J97:$BQ97,15)</f>
        <v>61</v>
      </c>
      <c r="EZ34" s="62">
        <f>SMALL($J97:$BQ97,16)</f>
        <v>61</v>
      </c>
      <c r="FA34" s="62">
        <f>SMALL($J97:$BQ97,17)</f>
        <v>61</v>
      </c>
      <c r="FB34" s="62">
        <f>SMALL($J97:$BQ97,18)</f>
        <v>61</v>
      </c>
      <c r="FC34" s="62">
        <f>SMALL($J97:$BQ97,19)</f>
        <v>61</v>
      </c>
      <c r="FD34" s="62">
        <f>SMALL($J97:$BQ97,20)</f>
        <v>61</v>
      </c>
      <c r="FE34" s="62">
        <f>SMALL($J97:$BQ97,21)</f>
        <v>61</v>
      </c>
      <c r="FF34" s="62">
        <f>SMALL($J97:$BQ97,22)</f>
        <v>61</v>
      </c>
      <c r="FG34" s="62">
        <f>SMALL($J97:$BQ97,23)</f>
        <v>61</v>
      </c>
      <c r="FH34" s="62">
        <f>SMALL($J97:$BQ97,24)</f>
        <v>61</v>
      </c>
      <c r="FI34" s="62">
        <f>SMALL($J97:$BQ97,25)</f>
        <v>61</v>
      </c>
      <c r="FJ34" s="62">
        <f>SMALL($J97:$BQ97,26)</f>
        <v>61</v>
      </c>
      <c r="FK34" s="62">
        <f>SMALL($J97:$BQ97,27)</f>
        <v>61</v>
      </c>
      <c r="FL34" s="62">
        <f>SMALL($J97:$BQ97,28)</f>
        <v>61</v>
      </c>
      <c r="FM34" s="62">
        <f>SMALL($J97:$BQ97,29)</f>
        <v>61</v>
      </c>
      <c r="FN34" s="62">
        <f>SMALL($J97:$BQ97,30)</f>
        <v>61</v>
      </c>
      <c r="FO34" s="62">
        <f>SMALL($J97:$BQ97,31)</f>
        <v>61</v>
      </c>
      <c r="FP34" s="62">
        <f>SMALL($J97:$BQ97,32)</f>
        <v>61</v>
      </c>
      <c r="FQ34" s="62">
        <f>SMALL($J97:$BQ97,33)</f>
        <v>61</v>
      </c>
      <c r="FR34" s="62">
        <f>SMALL($J97:$BQ97,34)</f>
        <v>61</v>
      </c>
      <c r="FS34" s="62">
        <f>SMALL($J97:$BQ97,35)</f>
        <v>61</v>
      </c>
      <c r="FT34" s="62">
        <f>SMALL($J97:$BQ97,36)</f>
        <v>61</v>
      </c>
      <c r="FU34" s="62">
        <f>SMALL($J97:$BQ97,37)</f>
        <v>61</v>
      </c>
      <c r="FV34" s="62">
        <f>SMALL($J97:$BQ97,38)</f>
        <v>61</v>
      </c>
      <c r="FW34" s="62">
        <f>SMALL($J97:$BQ97,39)</f>
        <v>61</v>
      </c>
      <c r="FX34" s="62">
        <f>SMALL($J97:$BQ97,40)</f>
        <v>61</v>
      </c>
      <c r="FY34" s="62">
        <f>SMALL($J97:$BQ97,41)</f>
        <v>61</v>
      </c>
      <c r="FZ34" s="62">
        <f>SMALL($J97:$BQ97,42)</f>
        <v>61</v>
      </c>
      <c r="GA34" s="62">
        <f>SMALL($J97:$BQ97,43)</f>
        <v>61</v>
      </c>
      <c r="GB34" s="62">
        <f>SMALL($J97:$BQ97,44)</f>
        <v>61</v>
      </c>
      <c r="GC34" s="62">
        <f>SMALL($J97:$BQ97,45)</f>
        <v>61</v>
      </c>
      <c r="GD34" s="62">
        <f>SMALL($J97:$BQ97,46)</f>
        <v>61</v>
      </c>
      <c r="GE34" s="62">
        <f>SMALL($J97:$BQ97,47)</f>
        <v>61</v>
      </c>
      <c r="GF34" s="62">
        <f>SMALL($J97:$BQ97,48)</f>
        <v>61</v>
      </c>
      <c r="GG34" s="62">
        <f>SMALL($J97:$BQ97,49)</f>
        <v>61</v>
      </c>
      <c r="GH34" s="62">
        <f>SMALL($J97:$BQ97,50)</f>
        <v>61</v>
      </c>
      <c r="GI34" s="62">
        <f>SMALL($J97:$BQ97,51)</f>
        <v>61</v>
      </c>
      <c r="GJ34" s="62">
        <f>SMALL($J97:$BQ97,52)</f>
        <v>61</v>
      </c>
      <c r="GK34" s="62">
        <f>SMALL($J97:$BQ97,53)</f>
        <v>61</v>
      </c>
      <c r="GL34" s="62">
        <f>SMALL($J97:$BQ97,54)</f>
        <v>61</v>
      </c>
      <c r="GM34" s="62">
        <f>SMALL($J97:$BQ97,55)</f>
        <v>61</v>
      </c>
      <c r="GN34" s="62">
        <f>SMALL($J97:$BQ97,56)</f>
        <v>61</v>
      </c>
      <c r="GO34" s="62">
        <f>SMALL($J97:$BQ97,57)</f>
        <v>61</v>
      </c>
      <c r="GP34" s="62">
        <f>SMALL($J97:$BQ97,58)</f>
        <v>61</v>
      </c>
      <c r="GQ34" s="62">
        <f>SMALL($J97:$BQ97,59)</f>
        <v>61</v>
      </c>
      <c r="GR34" s="62">
        <f>SMALL($J97:$BQ97,60)</f>
        <v>61</v>
      </c>
      <c r="GT34" s="62">
        <f>IF(Deltagarlista!$K$3=2,
IF(GW34="1",
      IF(Arrangörslista!$U$5=1,J97,
IF(Arrangörslista!$U$5=2,K97,
IF(Arrangörslista!$U$5=3,L97,
IF(Arrangörslista!$U$5=4,M97,
IF(Arrangörslista!$U$5=5,N97,
IF(Arrangörslista!$U$5=6,O97,
IF(Arrangörslista!$U$5=7,P97,
IF(Arrangörslista!$U$5=8,Q97,
IF(Arrangörslista!$U$5=9,R97,
IF(Arrangörslista!$U$5=10,S97,
IF(Arrangörslista!$U$5=11,T97,
IF(Arrangörslista!$U$5=12,U97,
IF(Arrangörslista!$U$5=13,V97,
IF(Arrangörslista!$U$5=14,W97,
IF(Arrangörslista!$U$5=15,X97,
IF(Arrangörslista!$U$5=16,Y97,IF(Arrangörslista!$U$5=17,Z97,IF(Arrangörslista!$U$5=18,AA97,IF(Arrangörslista!$U$5=19,AB97,IF(Arrangörslista!$U$5=20,AC97,IF(Arrangörslista!$U$5=21,AD97,IF(Arrangörslista!$U$5=22,AE97,IF(Arrangörslista!$U$5=23,AF97, IF(Arrangörslista!$U$5=24,AG97, IF(Arrangörslista!$U$5=25,AH97, IF(Arrangörslista!$U$5=26,AI97, IF(Arrangörslista!$U$5=27,AJ97, IF(Arrangörslista!$U$5=28,AK97, IF(Arrangörslista!$U$5=29,AL97, IF(Arrangörslista!$U$5=30,AM97, IF(Arrangörslista!$U$5=31,AN97, IF(Arrangörslista!$U$5=32,AO97, IF(Arrangörslista!$U$5=33,AP97, IF(Arrangörslista!$U$5=34,AQ97, IF(Arrangörslista!$U$5=35,AR97, IF(Arrangörslista!$U$5=36,AS97, IF(Arrangörslista!$U$5=37,AT97, IF(Arrangörslista!$U$5=38,AU97, IF(Arrangörslista!$U$5=39,AV97, IF(Arrangörslista!$U$5=40,AW97, IF(Arrangörslista!$U$5=41,AX97, IF(Arrangörslista!$U$5=42,AY97, IF(Arrangörslista!$U$5=43,AZ97, IF(Arrangörslista!$U$5=44,BA97, IF(Arrangörslista!$U$5=45,BB97, IF(Arrangörslista!$U$5=46,BC97, IF(Arrangörslista!$U$5=47,BD97, IF(Arrangörslista!$U$5=48,BE97, IF(Arrangörslista!$U$5=49,BF97, IF(Arrangörslista!$U$5=50,BG97, IF(Arrangörslista!$U$5=51,BH97, IF(Arrangörslista!$U$5=52,BI97, IF(Arrangörslista!$U$5=53,BJ97, IF(Arrangörslista!$U$5=54,BK97, IF(Arrangörslista!$U$5=55,BL97, IF(Arrangörslista!$U$5=56,BM97, IF(Arrangörslista!$U$5=57,BN97, IF(Arrangörslista!$U$5=58,BO97, IF(Arrangörslista!$U$5=59,BP97, IF(Arrangörslista!$U$5=60,BQ97,0))))))))))))))))))))))))))))))))))))))))))))))))))))))))))))),IF(Deltagarlista!$K$3=4, IF(Arrangörslista!$U$5=1,J97,
IF(Arrangörslista!$U$5=2,J97,
IF(Arrangörslista!$U$5=3,K97,
IF(Arrangörslista!$U$5=4,K97,
IF(Arrangörslista!$U$5=5,L97,
IF(Arrangörslista!$U$5=6,L97,
IF(Arrangörslista!$U$5=7,M97,
IF(Arrangörslista!$U$5=8,M97,
IF(Arrangörslista!$U$5=9,N97,
IF(Arrangörslista!$U$5=10,N97,
IF(Arrangörslista!$U$5=11,O97,
IF(Arrangörslista!$U$5=12,O97,
IF(Arrangörslista!$U$5=13,P97,
IF(Arrangörslista!$U$5=14,P97,
IF(Arrangörslista!$U$5=15,Q97,
IF(Arrangörslista!$U$5=16,Q97,
IF(Arrangörslista!$U$5=17,R97,
IF(Arrangörslista!$U$5=18,R97,
IF(Arrangörslista!$U$5=19,S97,
IF(Arrangörslista!$U$5=20,S97,
IF(Arrangörslista!$U$5=21,T97,
IF(Arrangörslista!$U$5=22,T97,IF(Arrangörslista!$U$5=23,U97, IF(Arrangörslista!$U$5=24,U97, IF(Arrangörslista!$U$5=25,V97, IF(Arrangörslista!$U$5=26,V97, IF(Arrangörslista!$U$5=27,W97, IF(Arrangörslista!$U$5=28,W97, IF(Arrangörslista!$U$5=29,X97, IF(Arrangörslista!$U$5=30,X97, IF(Arrangörslista!$U$5=31,X97, IF(Arrangörslista!$U$5=32,Y97, IF(Arrangörslista!$U$5=33,AO97, IF(Arrangörslista!$U$5=34,Y97, IF(Arrangörslista!$U$5=35,Z97, IF(Arrangörslista!$U$5=36,AR97, IF(Arrangörslista!$U$5=37,Z97, IF(Arrangörslista!$U$5=38,AA97, IF(Arrangörslista!$U$5=39,AU97, IF(Arrangörslista!$U$5=40,AA97, IF(Arrangörslista!$U$5=41,AB97, IF(Arrangörslista!$U$5=42,AX97, IF(Arrangörslista!$U$5=43,AB97, IF(Arrangörslista!$U$5=44,AC97, IF(Arrangörslista!$U$5=45,BA97, IF(Arrangörslista!$U$5=46,AC97, IF(Arrangörslista!$U$5=47,AD97, IF(Arrangörslista!$U$5=48,BD97, IF(Arrangörslista!$U$5=49,AD97, IF(Arrangörslista!$U$5=50,AE97, IF(Arrangörslista!$U$5=51,BG97, IF(Arrangörslista!$U$5=52,AE97, IF(Arrangörslista!$U$5=53,AF97, IF(Arrangörslista!$U$5=54,BJ97, IF(Arrangörslista!$U$5=55,AF97, IF(Arrangörslista!$U$5=56,AG97, IF(Arrangörslista!$U$5=57,BM97, IF(Arrangörslista!$U$5=58,AG97, IF(Arrangörslista!$U$5=59,AH97, IF(Arrangörslista!$U$5=60,AH97,0)))))))))))))))))))))))))))))))))))))))))))))))))))))))))))),IF(Arrangörslista!$U$5=1,J97,
IF(Arrangörslista!$U$5=2,K97,
IF(Arrangörslista!$U$5=3,L97,
IF(Arrangörslista!$U$5=4,M97,
IF(Arrangörslista!$U$5=5,N97,
IF(Arrangörslista!$U$5=6,O97,
IF(Arrangörslista!$U$5=7,P97,
IF(Arrangörslista!$U$5=8,Q97,
IF(Arrangörslista!$U$5=9,R97,
IF(Arrangörslista!$U$5=10,S97,
IF(Arrangörslista!$U$5=11,T97,
IF(Arrangörslista!$U$5=12,U97,
IF(Arrangörslista!$U$5=13,V97,
IF(Arrangörslista!$U$5=14,W97,
IF(Arrangörslista!$U$5=15,X97,
IF(Arrangörslista!$U$5=16,Y97,IF(Arrangörslista!$U$5=17,Z97,IF(Arrangörslista!$U$5=18,AA97,IF(Arrangörslista!$U$5=19,AB97,IF(Arrangörslista!$U$5=20,AC97,IF(Arrangörslista!$U$5=21,AD97,IF(Arrangörslista!$U$5=22,AE97,IF(Arrangörslista!$U$5=23,AF97, IF(Arrangörslista!$U$5=24,AG97, IF(Arrangörslista!$U$5=25,AH97, IF(Arrangörslista!$U$5=26,AI97, IF(Arrangörslista!$U$5=27,AJ97, IF(Arrangörslista!$U$5=28,AK97, IF(Arrangörslista!$U$5=29,AL97, IF(Arrangörslista!$U$5=30,AM97, IF(Arrangörslista!$U$5=31,AN97, IF(Arrangörslista!$U$5=32,AO97, IF(Arrangörslista!$U$5=33,AP97, IF(Arrangörslista!$U$5=34,AQ97, IF(Arrangörslista!$U$5=35,AR97, IF(Arrangörslista!$U$5=36,AS97, IF(Arrangörslista!$U$5=37,AT97, IF(Arrangörslista!$U$5=38,AU97, IF(Arrangörslista!$U$5=39,AV97, IF(Arrangörslista!$U$5=40,AW97, IF(Arrangörslista!$U$5=41,AX97, IF(Arrangörslista!$U$5=42,AY97, IF(Arrangörslista!$U$5=43,AZ97, IF(Arrangörslista!$U$5=44,BA97, IF(Arrangörslista!$U$5=45,BB97, IF(Arrangörslista!$U$5=46,BC97, IF(Arrangörslista!$U$5=47,BD97, IF(Arrangörslista!$U$5=48,BE97, IF(Arrangörslista!$U$5=49,BF97, IF(Arrangörslista!$U$5=50,BG97, IF(Arrangörslista!$U$5=51,BH97, IF(Arrangörslista!$U$5=52,BI97, IF(Arrangörslista!$U$5=53,BJ97, IF(Arrangörslista!$U$5=54,BK97, IF(Arrangörslista!$U$5=55,BL97, IF(Arrangörslista!$U$5=56,BM97, IF(Arrangörslista!$U$5=57,BN97, IF(Arrangörslista!$U$5=58,BO97, IF(Arrangörslista!$U$5=59,BP97, IF(Arrangörslista!$U$5=60,BQ97,0))))))))))))))))))))))))))))))))))))))))))))))))))))))))))))
))</f>
        <v>0</v>
      </c>
      <c r="GV34" s="65" t="str">
        <f>IFERROR(IF(VLOOKUP(F34,Deltagarlista!$E$5:$I$64,5,FALSE)="Grön","Gr",IF(VLOOKUP(F34,Deltagarlista!$E$5:$I$64,5,FALSE)="Röd","R",IF(VLOOKUP(F34,Deltagarlista!$E$5:$I$64,5,FALSE)="Blå","B","Gu"))),"")</f>
        <v/>
      </c>
      <c r="GW34" s="62" t="str">
        <f t="shared" si="1"/>
        <v/>
      </c>
    </row>
    <row r="35" spans="1:205" ht="15.75" customHeight="1" x14ac:dyDescent="0.3">
      <c r="B35" s="23" t="str">
        <f>IF($BW$3&gt;31,32,"")</f>
        <v/>
      </c>
      <c r="C35" s="92" t="str">
        <f>IF(ISBLANK(Deltagarlista!C37),"",Deltagarlista!C37)</f>
        <v/>
      </c>
      <c r="D35" s="109" t="str">
        <f>CONCATENATE(IF(AND(Deltagarlista!H37="GM",Deltagarlista!$S$14=TRUE),"GM   ",""),  IF(OR(Deltagarlista!$K$3=4,Deltagarlista!$K$3=2),Deltagarlista!I37,""))</f>
        <v/>
      </c>
      <c r="E35" s="8" t="str">
        <f>IF(ISBLANK(Deltagarlista!D37),"",Deltagarlista!D37)</f>
        <v/>
      </c>
      <c r="F35" s="8" t="str">
        <f>IF(ISBLANK(Deltagarlista!E37),"",Deltagarlista!E37)</f>
        <v/>
      </c>
      <c r="G35" s="95" t="str">
        <f>IF(ISBLANK(Deltagarlista!F37),"",Deltagarlista!F37)</f>
        <v/>
      </c>
      <c r="H35" s="72" t="str">
        <f>IF(ISBLANK(Deltagarlista!C37),"",BU35-EE35)</f>
        <v/>
      </c>
      <c r="I35" s="13" t="str">
        <f>IF(ISBLANK(Deltagarlista!C37),"",IF(AND(Deltagarlista!$K$3=2,Deltagarlista!$L$3&lt;37),SUM(SUM(BV35:EC35)-(ROUNDDOWN(Arrangörslista!$U$5/3,1))*($BW$3+1)),SUM(BV35:EC35)))</f>
        <v/>
      </c>
      <c r="J35" s="79" t="str">
        <f>IF(Deltagarlista!$K$3=4,IF(ISBLANK(Deltagarlista!$C37),"",IF(ISBLANK(Arrangörslista!C$8),"",IFERROR(VLOOKUP($F35,Arrangörslista!C$8:$AG$45,16,FALSE),IF(ISBLANK(Deltagarlista!$C37),"",IF(ISBLANK(Arrangörslista!C$8),"",IFERROR(VLOOKUP($F35,Arrangörslista!D$8:$AG$45,16,FALSE),"DNS")))))),IF(Deltagarlista!$K$3=2,
IF(ISBLANK(Deltagarlista!$C37),"",IF(ISBLANK(Arrangörslista!C$8),"",IF($GV35=J$64," DNS ",IFERROR(VLOOKUP($F35,Arrangörslista!C$8:$AG$45,16,FALSE),"DNS")))),IF(ISBLANK(Deltagarlista!$C37),"",IF(ISBLANK(Arrangörslista!C$8),"",IFERROR(VLOOKUP($F35,Arrangörslista!C$8:$AG$45,16,FALSE),"DNS")))))</f>
        <v/>
      </c>
      <c r="K35" s="5" t="str">
        <f>IF(Deltagarlista!$K$3=4,IF(ISBLANK(Deltagarlista!$C37),"",IF(ISBLANK(Arrangörslista!E$8),"",IFERROR(VLOOKUP($F35,Arrangörslista!E$8:$AG$45,16,FALSE),IF(ISBLANK(Deltagarlista!$C37),"",IF(ISBLANK(Arrangörslista!E$8),"",IFERROR(VLOOKUP($F35,Arrangörslista!F$8:$AG$45,16,FALSE),"DNS")))))),IF(Deltagarlista!$K$3=2,
IF(ISBLANK(Deltagarlista!$C37),"",IF(ISBLANK(Arrangörslista!D$8),"",IF($GV35=K$64," DNS ",IFERROR(VLOOKUP($F35,Arrangörslista!D$8:$AG$45,16,FALSE),"DNS")))),IF(ISBLANK(Deltagarlista!$C37),"",IF(ISBLANK(Arrangörslista!D$8),"",IFERROR(VLOOKUP($F35,Arrangörslista!D$8:$AG$45,16,FALSE),"DNS")))))</f>
        <v/>
      </c>
      <c r="L35" s="5" t="str">
        <f>IF(Deltagarlista!$K$3=4,IF(ISBLANK(Deltagarlista!$C37),"",IF(ISBLANK(Arrangörslista!G$8),"",IFERROR(VLOOKUP($F35,Arrangörslista!G$8:$AG$45,16,FALSE),IF(ISBLANK(Deltagarlista!$C37),"",IF(ISBLANK(Arrangörslista!G$8),"",IFERROR(VLOOKUP($F35,Arrangörslista!H$8:$AG$45,16,FALSE),"DNS")))))),IF(Deltagarlista!$K$3=2,
IF(ISBLANK(Deltagarlista!$C37),"",IF(ISBLANK(Arrangörslista!E$8),"",IF($GV35=L$64," DNS ",IFERROR(VLOOKUP($F35,Arrangörslista!E$8:$AG$45,16,FALSE),"DNS")))),IF(ISBLANK(Deltagarlista!$C37),"",IF(ISBLANK(Arrangörslista!E$8),"",IFERROR(VLOOKUP($F35,Arrangörslista!E$8:$AG$45,16,FALSE),"DNS")))))</f>
        <v/>
      </c>
      <c r="M35" s="5" t="str">
        <f>IF(Deltagarlista!$K$3=4,IF(ISBLANK(Deltagarlista!$C37),"",IF(ISBLANK(Arrangörslista!I$8),"",IFERROR(VLOOKUP($F35,Arrangörslista!I$8:$AG$45,16,FALSE),IF(ISBLANK(Deltagarlista!$C37),"",IF(ISBLANK(Arrangörslista!I$8),"",IFERROR(VLOOKUP($F35,Arrangörslista!J$8:$AG$45,16,FALSE),"DNS")))))),IF(Deltagarlista!$K$3=2,
IF(ISBLANK(Deltagarlista!$C37),"",IF(ISBLANK(Arrangörslista!F$8),"",IF($GV35=M$64," DNS ",IFERROR(VLOOKUP($F35,Arrangörslista!F$8:$AG$45,16,FALSE),"DNS")))),IF(ISBLANK(Deltagarlista!$C37),"",IF(ISBLANK(Arrangörslista!F$8),"",IFERROR(VLOOKUP($F35,Arrangörslista!F$8:$AG$45,16,FALSE),"DNS")))))</f>
        <v/>
      </c>
      <c r="N35" s="5" t="str">
        <f>IF(Deltagarlista!$K$3=4,IF(ISBLANK(Deltagarlista!$C37),"",IF(ISBLANK(Arrangörslista!K$8),"",IFERROR(VLOOKUP($F35,Arrangörslista!K$8:$AG$45,16,FALSE),IF(ISBLANK(Deltagarlista!$C37),"",IF(ISBLANK(Arrangörslista!K$8),"",IFERROR(VLOOKUP($F35,Arrangörslista!L$8:$AG$45,16,FALSE),"DNS")))))),IF(Deltagarlista!$K$3=2,
IF(ISBLANK(Deltagarlista!$C37),"",IF(ISBLANK(Arrangörslista!G$8),"",IF($GV35=N$64," DNS ",IFERROR(VLOOKUP($F35,Arrangörslista!G$8:$AG$45,16,FALSE),"DNS")))),IF(ISBLANK(Deltagarlista!$C37),"",IF(ISBLANK(Arrangörslista!G$8),"",IFERROR(VLOOKUP($F35,Arrangörslista!G$8:$AG$45,16,FALSE),"DNS")))))</f>
        <v/>
      </c>
      <c r="O35" s="5" t="str">
        <f>IF(Deltagarlista!$K$3=4,IF(ISBLANK(Deltagarlista!$C37),"",IF(ISBLANK(Arrangörslista!M$8),"",IFERROR(VLOOKUP($F35,Arrangörslista!M$8:$AG$45,16,FALSE),IF(ISBLANK(Deltagarlista!$C37),"",IF(ISBLANK(Arrangörslista!M$8),"",IFERROR(VLOOKUP($F35,Arrangörslista!N$8:$AG$45,16,FALSE),"DNS")))))),IF(Deltagarlista!$K$3=2,
IF(ISBLANK(Deltagarlista!$C37),"",IF(ISBLANK(Arrangörslista!H$8),"",IF($GV35=O$64," DNS ",IFERROR(VLOOKUP($F35,Arrangörslista!H$8:$AG$45,16,FALSE),"DNS")))),IF(ISBLANK(Deltagarlista!$C37),"",IF(ISBLANK(Arrangörslista!H$8),"",IFERROR(VLOOKUP($F35,Arrangörslista!H$8:$AG$45,16,FALSE),"DNS")))))</f>
        <v/>
      </c>
      <c r="P35" s="5" t="str">
        <f>IF(Deltagarlista!$K$3=4,IF(ISBLANK(Deltagarlista!$C37),"",IF(ISBLANK(Arrangörslista!O$8),"",IFERROR(VLOOKUP($F35,Arrangörslista!O$8:$AG$45,16,FALSE),IF(ISBLANK(Deltagarlista!$C37),"",IF(ISBLANK(Arrangörslista!O$8),"",IFERROR(VLOOKUP($F35,Arrangörslista!P$8:$AG$45,16,FALSE),"DNS")))))),IF(Deltagarlista!$K$3=2,
IF(ISBLANK(Deltagarlista!$C37),"",IF(ISBLANK(Arrangörslista!I$8),"",IF($GV35=P$64," DNS ",IFERROR(VLOOKUP($F35,Arrangörslista!I$8:$AG$45,16,FALSE),"DNS")))),IF(ISBLANK(Deltagarlista!$C37),"",IF(ISBLANK(Arrangörslista!I$8),"",IFERROR(VLOOKUP($F35,Arrangörslista!I$8:$AG$45,16,FALSE),"DNS")))))</f>
        <v/>
      </c>
      <c r="Q35" s="5" t="str">
        <f>IF(Deltagarlista!$K$3=4,IF(ISBLANK(Deltagarlista!$C37),"",IF(ISBLANK(Arrangörslista!Q$8),"",IFERROR(VLOOKUP($F35,Arrangörslista!Q$8:$AG$45,16,FALSE),IF(ISBLANK(Deltagarlista!$C37),"",IF(ISBLANK(Arrangörslista!Q$8),"",IFERROR(VLOOKUP($F35,Arrangörslista!C$53:$AG$90,16,FALSE),"DNS")))))),IF(Deltagarlista!$K$3=2,
IF(ISBLANK(Deltagarlista!$C37),"",IF(ISBLANK(Arrangörslista!J$8),"",IF($GV35=Q$64," DNS ",IFERROR(VLOOKUP($F35,Arrangörslista!J$8:$AG$45,16,FALSE),"DNS")))),IF(ISBLANK(Deltagarlista!$C37),"",IF(ISBLANK(Arrangörslista!J$8),"",IFERROR(VLOOKUP($F35,Arrangörslista!J$8:$AG$45,16,FALSE),"DNS")))))</f>
        <v/>
      </c>
      <c r="R35" s="5" t="str">
        <f>IF(Deltagarlista!$K$3=4,IF(ISBLANK(Deltagarlista!$C37),"",IF(ISBLANK(Arrangörslista!D$53),"",IFERROR(VLOOKUP($F35,Arrangörslista!D$53:$AG$90,16,FALSE),IF(ISBLANK(Deltagarlista!$C37),"",IF(ISBLANK(Arrangörslista!D$53),"",IFERROR(VLOOKUP($F35,Arrangörslista!E$53:$AG$90,16,FALSE),"DNS")))))),IF(Deltagarlista!$K$3=2,
IF(ISBLANK(Deltagarlista!$C37),"",IF(ISBLANK(Arrangörslista!K$8),"",IF($GV35=R$64," DNS ",IFERROR(VLOOKUP($F35,Arrangörslista!K$8:$AG$45,16,FALSE),"DNS")))),IF(ISBLANK(Deltagarlista!$C37),"",IF(ISBLANK(Arrangörslista!K$8),"",IFERROR(VLOOKUP($F35,Arrangörslista!K$8:$AG$45,16,FALSE),"DNS")))))</f>
        <v/>
      </c>
      <c r="S35" s="5" t="str">
        <f>IF(Deltagarlista!$K$3=4,IF(ISBLANK(Deltagarlista!$C37),"",IF(ISBLANK(Arrangörslista!F$53),"",IFERROR(VLOOKUP($F35,Arrangörslista!F$53:$AG$90,16,FALSE),IF(ISBLANK(Deltagarlista!$C37),"",IF(ISBLANK(Arrangörslista!F$53),"",IFERROR(VLOOKUP($F35,Arrangörslista!G$53:$AG$90,16,FALSE),"DNS")))))),IF(Deltagarlista!$K$3=2,
IF(ISBLANK(Deltagarlista!$C37),"",IF(ISBLANK(Arrangörslista!L$8),"",IF($GV35=S$64," DNS ",IFERROR(VLOOKUP($F35,Arrangörslista!L$8:$AG$45,16,FALSE),"DNS")))),IF(ISBLANK(Deltagarlista!$C37),"",IF(ISBLANK(Arrangörslista!L$8),"",IFERROR(VLOOKUP($F35,Arrangörslista!L$8:$AG$45,16,FALSE),"DNS")))))</f>
        <v/>
      </c>
      <c r="T35" s="5" t="str">
        <f>IF(Deltagarlista!$K$3=4,IF(ISBLANK(Deltagarlista!$C37),"",IF(ISBLANK(Arrangörslista!H$53),"",IFERROR(VLOOKUP($F35,Arrangörslista!H$53:$AG$90,16,FALSE),IF(ISBLANK(Deltagarlista!$C37),"",IF(ISBLANK(Arrangörslista!H$53),"",IFERROR(VLOOKUP($F35,Arrangörslista!I$53:$AG$90,16,FALSE),"DNS")))))),IF(Deltagarlista!$K$3=2,
IF(ISBLANK(Deltagarlista!$C37),"",IF(ISBLANK(Arrangörslista!M$8),"",IF($GV35=T$64," DNS ",IFERROR(VLOOKUP($F35,Arrangörslista!M$8:$AG$45,16,FALSE),"DNS")))),IF(ISBLANK(Deltagarlista!$C37),"",IF(ISBLANK(Arrangörslista!M$8),"",IFERROR(VLOOKUP($F35,Arrangörslista!M$8:$AG$45,16,FALSE),"DNS")))))</f>
        <v/>
      </c>
      <c r="U35" s="5" t="str">
        <f>IF(Deltagarlista!$K$3=4,IF(ISBLANK(Deltagarlista!$C37),"",IF(ISBLANK(Arrangörslista!J$53),"",IFERROR(VLOOKUP($F35,Arrangörslista!J$53:$AG$90,16,FALSE),IF(ISBLANK(Deltagarlista!$C37),"",IF(ISBLANK(Arrangörslista!J$53),"",IFERROR(VLOOKUP($F35,Arrangörslista!K$53:$AG$90,16,FALSE),"DNS")))))),IF(Deltagarlista!$K$3=2,
IF(ISBLANK(Deltagarlista!$C37),"",IF(ISBLANK(Arrangörslista!N$8),"",IF($GV35=U$64," DNS ",IFERROR(VLOOKUP($F35,Arrangörslista!N$8:$AG$45,16,FALSE),"DNS")))),IF(ISBLANK(Deltagarlista!$C37),"",IF(ISBLANK(Arrangörslista!N$8),"",IFERROR(VLOOKUP($F35,Arrangörslista!N$8:$AG$45,16,FALSE),"DNS")))))</f>
        <v/>
      </c>
      <c r="V35" s="5" t="str">
        <f>IF(Deltagarlista!$K$3=4,IF(ISBLANK(Deltagarlista!$C37),"",IF(ISBLANK(Arrangörslista!L$53),"",IFERROR(VLOOKUP($F35,Arrangörslista!L$53:$AG$90,16,FALSE),IF(ISBLANK(Deltagarlista!$C37),"",IF(ISBLANK(Arrangörslista!L$53),"",IFERROR(VLOOKUP($F35,Arrangörslista!M$53:$AG$90,16,FALSE),"DNS")))))),IF(Deltagarlista!$K$3=2,
IF(ISBLANK(Deltagarlista!$C37),"",IF(ISBLANK(Arrangörslista!O$8),"",IF($GV35=V$64," DNS ",IFERROR(VLOOKUP($F35,Arrangörslista!O$8:$AG$45,16,FALSE),"DNS")))),IF(ISBLANK(Deltagarlista!$C37),"",IF(ISBLANK(Arrangörslista!O$8),"",IFERROR(VLOOKUP($F35,Arrangörslista!O$8:$AG$45,16,FALSE),"DNS")))))</f>
        <v/>
      </c>
      <c r="W35" s="5" t="str">
        <f>IF(Deltagarlista!$K$3=4,IF(ISBLANK(Deltagarlista!$C37),"",IF(ISBLANK(Arrangörslista!N$53),"",IFERROR(VLOOKUP($F35,Arrangörslista!N$53:$AG$90,16,FALSE),IF(ISBLANK(Deltagarlista!$C37),"",IF(ISBLANK(Arrangörslista!N$53),"",IFERROR(VLOOKUP($F35,Arrangörslista!O$53:$AG$90,16,FALSE),"DNS")))))),IF(Deltagarlista!$K$3=2,
IF(ISBLANK(Deltagarlista!$C37),"",IF(ISBLANK(Arrangörslista!P$8),"",IF($GV35=W$64," DNS ",IFERROR(VLOOKUP($F35,Arrangörslista!P$8:$AG$45,16,FALSE),"DNS")))),IF(ISBLANK(Deltagarlista!$C37),"",IF(ISBLANK(Arrangörslista!P$8),"",IFERROR(VLOOKUP($F35,Arrangörslista!P$8:$AG$45,16,FALSE),"DNS")))))</f>
        <v/>
      </c>
      <c r="X35" s="5" t="str">
        <f>IF(Deltagarlista!$K$3=4,IF(ISBLANK(Deltagarlista!$C37),"",IF(ISBLANK(Arrangörslista!P$53),"",IFERROR(VLOOKUP($F35,Arrangörslista!P$53:$AG$90,16,FALSE),IF(ISBLANK(Deltagarlista!$C37),"",IF(ISBLANK(Arrangörslista!P$53),"",IFERROR(VLOOKUP($F35,Arrangörslista!Q$53:$AG$90,16,FALSE),"DNS")))))),IF(Deltagarlista!$K$3=2,
IF(ISBLANK(Deltagarlista!$C37),"",IF(ISBLANK(Arrangörslista!Q$8),"",IF($GV35=X$64," DNS ",IFERROR(VLOOKUP($F35,Arrangörslista!Q$8:$AG$45,16,FALSE),"DNS")))),IF(ISBLANK(Deltagarlista!$C37),"",IF(ISBLANK(Arrangörslista!Q$8),"",IFERROR(VLOOKUP($F35,Arrangörslista!Q$8:$AG$45,16,FALSE),"DNS")))))</f>
        <v/>
      </c>
      <c r="Y35" s="5" t="str">
        <f>IF(Deltagarlista!$K$3=4,IF(ISBLANK(Deltagarlista!$C37),"",IF(ISBLANK(Arrangörslista!C$98),"",IFERROR(VLOOKUP($F35,Arrangörslista!C$98:$AG$135,16,FALSE),IF(ISBLANK(Deltagarlista!$C37),"",IF(ISBLANK(Arrangörslista!C$98),"",IFERROR(VLOOKUP($F35,Arrangörslista!D$98:$AG$135,16,FALSE),"DNS")))))),IF(Deltagarlista!$K$3=2,
IF(ISBLANK(Deltagarlista!$C37),"",IF(ISBLANK(Arrangörslista!C$53),"",IF($GV35=Y$64," DNS ",IFERROR(VLOOKUP($F35,Arrangörslista!C$53:$AG$90,16,FALSE),"DNS")))),IF(ISBLANK(Deltagarlista!$C37),"",IF(ISBLANK(Arrangörslista!C$53),"",IFERROR(VLOOKUP($F35,Arrangörslista!C$53:$AG$90,16,FALSE),"DNS")))))</f>
        <v/>
      </c>
      <c r="Z35" s="5" t="str">
        <f>IF(Deltagarlista!$K$3=4,IF(ISBLANK(Deltagarlista!$C37),"",IF(ISBLANK(Arrangörslista!E$98),"",IFERROR(VLOOKUP($F35,Arrangörslista!E$98:$AG$135,16,FALSE),IF(ISBLANK(Deltagarlista!$C37),"",IF(ISBLANK(Arrangörslista!E$98),"",IFERROR(VLOOKUP($F35,Arrangörslista!F$98:$AG$135,16,FALSE),"DNS")))))),IF(Deltagarlista!$K$3=2,
IF(ISBLANK(Deltagarlista!$C37),"",IF(ISBLANK(Arrangörslista!D$53),"",IF($GV35=Z$64," DNS ",IFERROR(VLOOKUP($F35,Arrangörslista!D$53:$AG$90,16,FALSE),"DNS")))),IF(ISBLANK(Deltagarlista!$C37),"",IF(ISBLANK(Arrangörslista!D$53),"",IFERROR(VLOOKUP($F35,Arrangörslista!D$53:$AG$90,16,FALSE),"DNS")))))</f>
        <v/>
      </c>
      <c r="AA35" s="5" t="str">
        <f>IF(Deltagarlista!$K$3=4,IF(ISBLANK(Deltagarlista!$C37),"",IF(ISBLANK(Arrangörslista!G$98),"",IFERROR(VLOOKUP($F35,Arrangörslista!G$98:$AG$135,16,FALSE),IF(ISBLANK(Deltagarlista!$C37),"",IF(ISBLANK(Arrangörslista!G$98),"",IFERROR(VLOOKUP($F35,Arrangörslista!H$98:$AG$135,16,FALSE),"DNS")))))),IF(Deltagarlista!$K$3=2,
IF(ISBLANK(Deltagarlista!$C37),"",IF(ISBLANK(Arrangörslista!E$53),"",IF($GV35=AA$64," DNS ",IFERROR(VLOOKUP($F35,Arrangörslista!E$53:$AG$90,16,FALSE),"DNS")))),IF(ISBLANK(Deltagarlista!$C37),"",IF(ISBLANK(Arrangörslista!E$53),"",IFERROR(VLOOKUP($F35,Arrangörslista!E$53:$AG$90,16,FALSE),"DNS")))))</f>
        <v/>
      </c>
      <c r="AB35" s="5" t="str">
        <f>IF(Deltagarlista!$K$3=4,IF(ISBLANK(Deltagarlista!$C37),"",IF(ISBLANK(Arrangörslista!I$98),"",IFERROR(VLOOKUP($F35,Arrangörslista!I$98:$AG$135,16,FALSE),IF(ISBLANK(Deltagarlista!$C37),"",IF(ISBLANK(Arrangörslista!I$98),"",IFERROR(VLOOKUP($F35,Arrangörslista!J$98:$AG$135,16,FALSE),"DNS")))))),IF(Deltagarlista!$K$3=2,
IF(ISBLANK(Deltagarlista!$C37),"",IF(ISBLANK(Arrangörslista!F$53),"",IF($GV35=AB$64," DNS ",IFERROR(VLOOKUP($F35,Arrangörslista!F$53:$AG$90,16,FALSE),"DNS")))),IF(ISBLANK(Deltagarlista!$C37),"",IF(ISBLANK(Arrangörslista!F$53),"",IFERROR(VLOOKUP($F35,Arrangörslista!F$53:$AG$90,16,FALSE),"DNS")))))</f>
        <v/>
      </c>
      <c r="AC35" s="5" t="str">
        <f>IF(Deltagarlista!$K$3=4,IF(ISBLANK(Deltagarlista!$C37),"",IF(ISBLANK(Arrangörslista!K$98),"",IFERROR(VLOOKUP($F35,Arrangörslista!K$98:$AG$135,16,FALSE),IF(ISBLANK(Deltagarlista!$C37),"",IF(ISBLANK(Arrangörslista!K$98),"",IFERROR(VLOOKUP($F35,Arrangörslista!L$98:$AG$135,16,FALSE),"DNS")))))),IF(Deltagarlista!$K$3=2,
IF(ISBLANK(Deltagarlista!$C37),"",IF(ISBLANK(Arrangörslista!G$53),"",IF($GV35=AC$64," DNS ",IFERROR(VLOOKUP($F35,Arrangörslista!G$53:$AG$90,16,FALSE),"DNS")))),IF(ISBLANK(Deltagarlista!$C37),"",IF(ISBLANK(Arrangörslista!G$53),"",IFERROR(VLOOKUP($F35,Arrangörslista!G$53:$AG$90,16,FALSE),"DNS")))))</f>
        <v/>
      </c>
      <c r="AD35" s="5" t="str">
        <f>IF(Deltagarlista!$K$3=4,IF(ISBLANK(Deltagarlista!$C37),"",IF(ISBLANK(Arrangörslista!M$98),"",IFERROR(VLOOKUP($F35,Arrangörslista!M$98:$AG$135,16,FALSE),IF(ISBLANK(Deltagarlista!$C37),"",IF(ISBLANK(Arrangörslista!M$98),"",IFERROR(VLOOKUP($F35,Arrangörslista!N$98:$AG$135,16,FALSE),"DNS")))))),IF(Deltagarlista!$K$3=2,
IF(ISBLANK(Deltagarlista!$C37),"",IF(ISBLANK(Arrangörslista!H$53),"",IF($GV35=AD$64," DNS ",IFERROR(VLOOKUP($F35,Arrangörslista!H$53:$AG$90,16,FALSE),"DNS")))),IF(ISBLANK(Deltagarlista!$C37),"",IF(ISBLANK(Arrangörslista!H$53),"",IFERROR(VLOOKUP($F35,Arrangörslista!H$53:$AG$90,16,FALSE),"DNS")))))</f>
        <v/>
      </c>
      <c r="AE35" s="5" t="str">
        <f>IF(Deltagarlista!$K$3=4,IF(ISBLANK(Deltagarlista!$C37),"",IF(ISBLANK(Arrangörslista!O$98),"",IFERROR(VLOOKUP($F35,Arrangörslista!O$98:$AG$135,16,FALSE),IF(ISBLANK(Deltagarlista!$C37),"",IF(ISBLANK(Arrangörslista!O$98),"",IFERROR(VLOOKUP($F35,Arrangörslista!P$98:$AG$135,16,FALSE),"DNS")))))),IF(Deltagarlista!$K$3=2,
IF(ISBLANK(Deltagarlista!$C37),"",IF(ISBLANK(Arrangörslista!I$53),"",IF($GV35=AE$64," DNS ",IFERROR(VLOOKUP($F35,Arrangörslista!I$53:$AG$90,16,FALSE),"DNS")))),IF(ISBLANK(Deltagarlista!$C37),"",IF(ISBLANK(Arrangörslista!I$53),"",IFERROR(VLOOKUP($F35,Arrangörslista!I$53:$AG$90,16,FALSE),"DNS")))))</f>
        <v/>
      </c>
      <c r="AF35" s="5" t="str">
        <f>IF(Deltagarlista!$K$3=4,IF(ISBLANK(Deltagarlista!$C37),"",IF(ISBLANK(Arrangörslista!Q$98),"",IFERROR(VLOOKUP($F35,Arrangörslista!Q$98:$AG$135,16,FALSE),IF(ISBLANK(Deltagarlista!$C37),"",IF(ISBLANK(Arrangörslista!Q$98),"",IFERROR(VLOOKUP($F35,Arrangörslista!C$143:$AG$180,16,FALSE),"DNS")))))),IF(Deltagarlista!$K$3=2,
IF(ISBLANK(Deltagarlista!$C37),"",IF(ISBLANK(Arrangörslista!J$53),"",IF($GV35=AF$64," DNS ",IFERROR(VLOOKUP($F35,Arrangörslista!J$53:$AG$90,16,FALSE),"DNS")))),IF(ISBLANK(Deltagarlista!$C37),"",IF(ISBLANK(Arrangörslista!J$53),"",IFERROR(VLOOKUP($F35,Arrangörslista!J$53:$AG$90,16,FALSE),"DNS")))))</f>
        <v/>
      </c>
      <c r="AG35" s="5" t="str">
        <f>IF(Deltagarlista!$K$3=4,IF(ISBLANK(Deltagarlista!$C37),"",IF(ISBLANK(Arrangörslista!D$143),"",IFERROR(VLOOKUP($F35,Arrangörslista!D$143:$AG$180,16,FALSE),IF(ISBLANK(Deltagarlista!$C37),"",IF(ISBLANK(Arrangörslista!D$143),"",IFERROR(VLOOKUP($F35,Arrangörslista!E$143:$AG$180,16,FALSE),"DNS")))))),IF(Deltagarlista!$K$3=2,
IF(ISBLANK(Deltagarlista!$C37),"",IF(ISBLANK(Arrangörslista!K$53),"",IF($GV35=AG$64," DNS ",IFERROR(VLOOKUP($F35,Arrangörslista!K$53:$AG$90,16,FALSE),"DNS")))),IF(ISBLANK(Deltagarlista!$C37),"",IF(ISBLANK(Arrangörslista!K$53),"",IFERROR(VLOOKUP($F35,Arrangörslista!K$53:$AG$90,16,FALSE),"DNS")))))</f>
        <v/>
      </c>
      <c r="AH35" s="5" t="str">
        <f>IF(Deltagarlista!$K$3=4,IF(ISBLANK(Deltagarlista!$C37),"",IF(ISBLANK(Arrangörslista!F$143),"",IFERROR(VLOOKUP($F35,Arrangörslista!F$143:$AG$180,16,FALSE),IF(ISBLANK(Deltagarlista!$C37),"",IF(ISBLANK(Arrangörslista!F$143),"",IFERROR(VLOOKUP($F35,Arrangörslista!G$143:$AG$180,16,FALSE),"DNS")))))),IF(Deltagarlista!$K$3=2,
IF(ISBLANK(Deltagarlista!$C37),"",IF(ISBLANK(Arrangörslista!L$53),"",IF($GV35=AH$64," DNS ",IFERROR(VLOOKUP($F35,Arrangörslista!L$53:$AG$90,16,FALSE),"DNS")))),IF(ISBLANK(Deltagarlista!$C37),"",IF(ISBLANK(Arrangörslista!L$53),"",IFERROR(VLOOKUP($F35,Arrangörslista!L$53:$AG$90,16,FALSE),"DNS")))))</f>
        <v/>
      </c>
      <c r="AI35" s="5" t="str">
        <f>IF(Deltagarlista!$K$3=4,IF(ISBLANK(Deltagarlista!$C37),"",IF(ISBLANK(Arrangörslista!H$143),"",IFERROR(VLOOKUP($F35,Arrangörslista!H$143:$AG$180,16,FALSE),IF(ISBLANK(Deltagarlista!$C37),"",IF(ISBLANK(Arrangörslista!H$143),"",IFERROR(VLOOKUP($F35,Arrangörslista!I$143:$AG$180,16,FALSE),"DNS")))))),IF(Deltagarlista!$K$3=2,
IF(ISBLANK(Deltagarlista!$C37),"",IF(ISBLANK(Arrangörslista!M$53),"",IF($GV35=AI$64," DNS ",IFERROR(VLOOKUP($F35,Arrangörslista!M$53:$AG$90,16,FALSE),"DNS")))),IF(ISBLANK(Deltagarlista!$C37),"",IF(ISBLANK(Arrangörslista!M$53),"",IFERROR(VLOOKUP($F35,Arrangörslista!M$53:$AG$90,16,FALSE),"DNS")))))</f>
        <v/>
      </c>
      <c r="AJ35" s="5" t="str">
        <f>IF(Deltagarlista!$K$3=4,IF(ISBLANK(Deltagarlista!$C37),"",IF(ISBLANK(Arrangörslista!J$143),"",IFERROR(VLOOKUP($F35,Arrangörslista!J$143:$AG$180,16,FALSE),IF(ISBLANK(Deltagarlista!$C37),"",IF(ISBLANK(Arrangörslista!J$143),"",IFERROR(VLOOKUP($F35,Arrangörslista!K$143:$AG$180,16,FALSE),"DNS")))))),IF(Deltagarlista!$K$3=2,
IF(ISBLANK(Deltagarlista!$C37),"",IF(ISBLANK(Arrangörslista!N$53),"",IF($GV35=AJ$64," DNS ",IFERROR(VLOOKUP($F35,Arrangörslista!N$53:$AG$90,16,FALSE),"DNS")))),IF(ISBLANK(Deltagarlista!$C37),"",IF(ISBLANK(Arrangörslista!N$53),"",IFERROR(VLOOKUP($F35,Arrangörslista!N$53:$AG$90,16,FALSE),"DNS")))))</f>
        <v/>
      </c>
      <c r="AK35" s="5" t="str">
        <f>IF(Deltagarlista!$K$3=4,IF(ISBLANK(Deltagarlista!$C37),"",IF(ISBLANK(Arrangörslista!L$143),"",IFERROR(VLOOKUP($F35,Arrangörslista!L$143:$AG$180,16,FALSE),IF(ISBLANK(Deltagarlista!$C37),"",IF(ISBLANK(Arrangörslista!L$143),"",IFERROR(VLOOKUP($F35,Arrangörslista!M$143:$AG$180,16,FALSE),"DNS")))))),IF(Deltagarlista!$K$3=2,
IF(ISBLANK(Deltagarlista!$C37),"",IF(ISBLANK(Arrangörslista!O$53),"",IF($GV35=AK$64," DNS ",IFERROR(VLOOKUP($F35,Arrangörslista!O$53:$AG$90,16,FALSE),"DNS")))),IF(ISBLANK(Deltagarlista!$C37),"",IF(ISBLANK(Arrangörslista!O$53),"",IFERROR(VLOOKUP($F35,Arrangörslista!O$53:$AG$90,16,FALSE),"DNS")))))</f>
        <v/>
      </c>
      <c r="AL35" s="5" t="str">
        <f>IF(Deltagarlista!$K$3=4,IF(ISBLANK(Deltagarlista!$C37),"",IF(ISBLANK(Arrangörslista!N$143),"",IFERROR(VLOOKUP($F35,Arrangörslista!N$143:$AG$180,16,FALSE),IF(ISBLANK(Deltagarlista!$C37),"",IF(ISBLANK(Arrangörslista!N$143),"",IFERROR(VLOOKUP($F35,Arrangörslista!O$143:$AG$180,16,FALSE),"DNS")))))),IF(Deltagarlista!$K$3=2,
IF(ISBLANK(Deltagarlista!$C37),"",IF(ISBLANK(Arrangörslista!P$53),"",IF($GV35=AL$64," DNS ",IFERROR(VLOOKUP($F35,Arrangörslista!P$53:$AG$90,16,FALSE),"DNS")))),IF(ISBLANK(Deltagarlista!$C37),"",IF(ISBLANK(Arrangörslista!P$53),"",IFERROR(VLOOKUP($F35,Arrangörslista!P$53:$AG$90,16,FALSE),"DNS")))))</f>
        <v/>
      </c>
      <c r="AM35" s="5" t="str">
        <f>IF(Deltagarlista!$K$3=4,IF(ISBLANK(Deltagarlista!$C37),"",IF(ISBLANK(Arrangörslista!P$143),"",IFERROR(VLOOKUP($F35,Arrangörslista!P$143:$AG$180,16,FALSE),IF(ISBLANK(Deltagarlista!$C37),"",IF(ISBLANK(Arrangörslista!P$143),"",IFERROR(VLOOKUP($F35,Arrangörslista!Q$143:$AG$180,16,FALSE),"DNS")))))),IF(Deltagarlista!$K$3=2,
IF(ISBLANK(Deltagarlista!$C37),"",IF(ISBLANK(Arrangörslista!Q$53),"",IF($GV35=AM$64," DNS ",IFERROR(VLOOKUP($F35,Arrangörslista!Q$53:$AG$90,16,FALSE),"DNS")))),IF(ISBLANK(Deltagarlista!$C37),"",IF(ISBLANK(Arrangörslista!Q$53),"",IFERROR(VLOOKUP($F35,Arrangörslista!Q$53:$AG$90,16,FALSE),"DNS")))))</f>
        <v/>
      </c>
      <c r="AN35" s="5" t="str">
        <f>IF(Deltagarlista!$K$3=2,
IF(ISBLANK(Deltagarlista!$C37),"",IF(ISBLANK(Arrangörslista!C$98),"",IF($GV35=AN$64," DNS ",IFERROR(VLOOKUP($F35,Arrangörslista!C$98:$AG$135,16,FALSE), "DNS")))), IF(Deltagarlista!$K$3=1,IF(ISBLANK(Deltagarlista!$C37),"",IF(ISBLANK(Arrangörslista!C$98),"",IFERROR(VLOOKUP($F35,Arrangörslista!C$98:$AG$135,16,FALSE), "DNS"))),""))</f>
        <v/>
      </c>
      <c r="AO35" s="5" t="str">
        <f>IF(Deltagarlista!$K$3=2,
IF(ISBLANK(Deltagarlista!$C37),"",IF(ISBLANK(Arrangörslista!D$98),"",IF($GV35=AO$64," DNS ",IFERROR(VLOOKUP($F35,Arrangörslista!D$98:$AG$135,16,FALSE), "DNS")))), IF(Deltagarlista!$K$3=1,IF(ISBLANK(Deltagarlista!$C37),"",IF(ISBLANK(Arrangörslista!D$98),"",IFERROR(VLOOKUP($F35,Arrangörslista!D$98:$AG$135,16,FALSE), "DNS"))),""))</f>
        <v/>
      </c>
      <c r="AP35" s="5" t="str">
        <f>IF(Deltagarlista!$K$3=2,
IF(ISBLANK(Deltagarlista!$C37),"",IF(ISBLANK(Arrangörslista!E$98),"",IF($GV35=AP$64," DNS ",IFERROR(VLOOKUP($F35,Arrangörslista!E$98:$AG$135,16,FALSE), "DNS")))), IF(Deltagarlista!$K$3=1,IF(ISBLANK(Deltagarlista!$C37),"",IF(ISBLANK(Arrangörslista!E$98),"",IFERROR(VLOOKUP($F35,Arrangörslista!E$98:$AG$135,16,FALSE), "DNS"))),""))</f>
        <v/>
      </c>
      <c r="AQ35" s="5" t="str">
        <f>IF(Deltagarlista!$K$3=2,
IF(ISBLANK(Deltagarlista!$C37),"",IF(ISBLANK(Arrangörslista!F$98),"",IF($GV35=AQ$64," DNS ",IFERROR(VLOOKUP($F35,Arrangörslista!F$98:$AG$135,16,FALSE), "DNS")))), IF(Deltagarlista!$K$3=1,IF(ISBLANK(Deltagarlista!$C37),"",IF(ISBLANK(Arrangörslista!F$98),"",IFERROR(VLOOKUP($F35,Arrangörslista!F$98:$AG$135,16,FALSE), "DNS"))),""))</f>
        <v/>
      </c>
      <c r="AR35" s="5" t="str">
        <f>IF(Deltagarlista!$K$3=2,
IF(ISBLANK(Deltagarlista!$C37),"",IF(ISBLANK(Arrangörslista!G$98),"",IF($GV35=AR$64," DNS ",IFERROR(VLOOKUP($F35,Arrangörslista!G$98:$AG$135,16,FALSE), "DNS")))), IF(Deltagarlista!$K$3=1,IF(ISBLANK(Deltagarlista!$C37),"",IF(ISBLANK(Arrangörslista!G$98),"",IFERROR(VLOOKUP($F35,Arrangörslista!G$98:$AG$135,16,FALSE), "DNS"))),""))</f>
        <v/>
      </c>
      <c r="AS35" s="5" t="str">
        <f>IF(Deltagarlista!$K$3=2,
IF(ISBLANK(Deltagarlista!$C37),"",IF(ISBLANK(Arrangörslista!H$98),"",IF($GV35=AS$64," DNS ",IFERROR(VLOOKUP($F35,Arrangörslista!H$98:$AG$135,16,FALSE), "DNS")))), IF(Deltagarlista!$K$3=1,IF(ISBLANK(Deltagarlista!$C37),"",IF(ISBLANK(Arrangörslista!H$98),"",IFERROR(VLOOKUP($F35,Arrangörslista!H$98:$AG$135,16,FALSE), "DNS"))),""))</f>
        <v/>
      </c>
      <c r="AT35" s="5" t="str">
        <f>IF(Deltagarlista!$K$3=2,
IF(ISBLANK(Deltagarlista!$C37),"",IF(ISBLANK(Arrangörslista!I$98),"",IF($GV35=AT$64," DNS ",IFERROR(VLOOKUP($F35,Arrangörslista!I$98:$AG$135,16,FALSE), "DNS")))), IF(Deltagarlista!$K$3=1,IF(ISBLANK(Deltagarlista!$C37),"",IF(ISBLANK(Arrangörslista!I$98),"",IFERROR(VLOOKUP($F35,Arrangörslista!I$98:$AG$135,16,FALSE), "DNS"))),""))</f>
        <v/>
      </c>
      <c r="AU35" s="5" t="str">
        <f>IF(Deltagarlista!$K$3=2,
IF(ISBLANK(Deltagarlista!$C37),"",IF(ISBLANK(Arrangörslista!J$98),"",IF($GV35=AU$64," DNS ",IFERROR(VLOOKUP($F35,Arrangörslista!J$98:$AG$135,16,FALSE), "DNS")))), IF(Deltagarlista!$K$3=1,IF(ISBLANK(Deltagarlista!$C37),"",IF(ISBLANK(Arrangörslista!J$98),"",IFERROR(VLOOKUP($F35,Arrangörslista!J$98:$AG$135,16,FALSE), "DNS"))),""))</f>
        <v/>
      </c>
      <c r="AV35" s="5" t="str">
        <f>IF(Deltagarlista!$K$3=2,
IF(ISBLANK(Deltagarlista!$C37),"",IF(ISBLANK(Arrangörslista!K$98),"",IF($GV35=AV$64," DNS ",IFERROR(VLOOKUP($F35,Arrangörslista!K$98:$AG$135,16,FALSE), "DNS")))), IF(Deltagarlista!$K$3=1,IF(ISBLANK(Deltagarlista!$C37),"",IF(ISBLANK(Arrangörslista!K$98),"",IFERROR(VLOOKUP($F35,Arrangörslista!K$98:$AG$135,16,FALSE), "DNS"))),""))</f>
        <v/>
      </c>
      <c r="AW35" s="5" t="str">
        <f>IF(Deltagarlista!$K$3=2,
IF(ISBLANK(Deltagarlista!$C37),"",IF(ISBLANK(Arrangörslista!L$98),"",IF($GV35=AW$64," DNS ",IFERROR(VLOOKUP($F35,Arrangörslista!L$98:$AG$135,16,FALSE), "DNS")))), IF(Deltagarlista!$K$3=1,IF(ISBLANK(Deltagarlista!$C37),"",IF(ISBLANK(Arrangörslista!L$98),"",IFERROR(VLOOKUP($F35,Arrangörslista!L$98:$AG$135,16,FALSE), "DNS"))),""))</f>
        <v/>
      </c>
      <c r="AX35" s="5" t="str">
        <f>IF(Deltagarlista!$K$3=2,
IF(ISBLANK(Deltagarlista!$C37),"",IF(ISBLANK(Arrangörslista!M$98),"",IF($GV35=AX$64," DNS ",IFERROR(VLOOKUP($F35,Arrangörslista!M$98:$AG$135,16,FALSE), "DNS")))), IF(Deltagarlista!$K$3=1,IF(ISBLANK(Deltagarlista!$C37),"",IF(ISBLANK(Arrangörslista!M$98),"",IFERROR(VLOOKUP($F35,Arrangörslista!M$98:$AG$135,16,FALSE), "DNS"))),""))</f>
        <v/>
      </c>
      <c r="AY35" s="5" t="str">
        <f>IF(Deltagarlista!$K$3=2,
IF(ISBLANK(Deltagarlista!$C37),"",IF(ISBLANK(Arrangörslista!N$98),"",IF($GV35=AY$64," DNS ",IFERROR(VLOOKUP($F35,Arrangörslista!N$98:$AG$135,16,FALSE), "DNS")))), IF(Deltagarlista!$K$3=1,IF(ISBLANK(Deltagarlista!$C37),"",IF(ISBLANK(Arrangörslista!N$98),"",IFERROR(VLOOKUP($F35,Arrangörslista!N$98:$AG$135,16,FALSE), "DNS"))),""))</f>
        <v/>
      </c>
      <c r="AZ35" s="5" t="str">
        <f>IF(Deltagarlista!$K$3=2,
IF(ISBLANK(Deltagarlista!$C37),"",IF(ISBLANK(Arrangörslista!O$98),"",IF($GV35=AZ$64," DNS ",IFERROR(VLOOKUP($F35,Arrangörslista!O$98:$AG$135,16,FALSE), "DNS")))), IF(Deltagarlista!$K$3=1,IF(ISBLANK(Deltagarlista!$C37),"",IF(ISBLANK(Arrangörslista!O$98),"",IFERROR(VLOOKUP($F35,Arrangörslista!O$98:$AG$135,16,FALSE), "DNS"))),""))</f>
        <v/>
      </c>
      <c r="BA35" s="5" t="str">
        <f>IF(Deltagarlista!$K$3=2,
IF(ISBLANK(Deltagarlista!$C37),"",IF(ISBLANK(Arrangörslista!P$98),"",IF($GV35=BA$64," DNS ",IFERROR(VLOOKUP($F35,Arrangörslista!P$98:$AG$135,16,FALSE), "DNS")))), IF(Deltagarlista!$K$3=1,IF(ISBLANK(Deltagarlista!$C37),"",IF(ISBLANK(Arrangörslista!P$98),"",IFERROR(VLOOKUP($F35,Arrangörslista!P$98:$AG$135,16,FALSE), "DNS"))),""))</f>
        <v/>
      </c>
      <c r="BB35" s="5" t="str">
        <f>IF(Deltagarlista!$K$3=2,
IF(ISBLANK(Deltagarlista!$C37),"",IF(ISBLANK(Arrangörslista!Q$98),"",IF($GV35=BB$64," DNS ",IFERROR(VLOOKUP($F35,Arrangörslista!Q$98:$AG$135,16,FALSE), "DNS")))), IF(Deltagarlista!$K$3=1,IF(ISBLANK(Deltagarlista!$C37),"",IF(ISBLANK(Arrangörslista!Q$98),"",IFERROR(VLOOKUP($F35,Arrangörslista!Q$98:$AG$135,16,FALSE), "DNS"))),""))</f>
        <v/>
      </c>
      <c r="BC35" s="5" t="str">
        <f>IF(Deltagarlista!$K$3=2,
IF(ISBLANK(Deltagarlista!$C37),"",IF(ISBLANK(Arrangörslista!C$143),"",IF($GV35=BC$64," DNS ",IFERROR(VLOOKUP($F35,Arrangörslista!C$143:$AG$180,16,FALSE), "DNS")))), IF(Deltagarlista!$K$3=1,IF(ISBLANK(Deltagarlista!$C37),"",IF(ISBLANK(Arrangörslista!C$143),"",IFERROR(VLOOKUP($F35,Arrangörslista!C$143:$AG$180,16,FALSE), "DNS"))),""))</f>
        <v/>
      </c>
      <c r="BD35" s="5" t="str">
        <f>IF(Deltagarlista!$K$3=2,
IF(ISBLANK(Deltagarlista!$C37),"",IF(ISBLANK(Arrangörslista!D$143),"",IF($GV35=BD$64," DNS ",IFERROR(VLOOKUP($F35,Arrangörslista!D$143:$AG$180,16,FALSE), "DNS")))), IF(Deltagarlista!$K$3=1,IF(ISBLANK(Deltagarlista!$C37),"",IF(ISBLANK(Arrangörslista!D$143),"",IFERROR(VLOOKUP($F35,Arrangörslista!D$143:$AG$180,16,FALSE), "DNS"))),""))</f>
        <v/>
      </c>
      <c r="BE35" s="5" t="str">
        <f>IF(Deltagarlista!$K$3=2,
IF(ISBLANK(Deltagarlista!$C37),"",IF(ISBLANK(Arrangörslista!E$143),"",IF($GV35=BE$64," DNS ",IFERROR(VLOOKUP($F35,Arrangörslista!E$143:$AG$180,16,FALSE), "DNS")))), IF(Deltagarlista!$K$3=1,IF(ISBLANK(Deltagarlista!$C37),"",IF(ISBLANK(Arrangörslista!E$143),"",IFERROR(VLOOKUP($F35,Arrangörslista!E$143:$AG$180,16,FALSE), "DNS"))),""))</f>
        <v/>
      </c>
      <c r="BF35" s="5" t="str">
        <f>IF(Deltagarlista!$K$3=2,
IF(ISBLANK(Deltagarlista!$C37),"",IF(ISBLANK(Arrangörslista!F$143),"",IF($GV35=BF$64," DNS ",IFERROR(VLOOKUP($F35,Arrangörslista!F$143:$AG$180,16,FALSE), "DNS")))), IF(Deltagarlista!$K$3=1,IF(ISBLANK(Deltagarlista!$C37),"",IF(ISBLANK(Arrangörslista!F$143),"",IFERROR(VLOOKUP($F35,Arrangörslista!F$143:$AG$180,16,FALSE), "DNS"))),""))</f>
        <v/>
      </c>
      <c r="BG35" s="5" t="str">
        <f>IF(Deltagarlista!$K$3=2,
IF(ISBLANK(Deltagarlista!$C37),"",IF(ISBLANK(Arrangörslista!G$143),"",IF($GV35=BG$64," DNS ",IFERROR(VLOOKUP($F35,Arrangörslista!G$143:$AG$180,16,FALSE), "DNS")))), IF(Deltagarlista!$K$3=1,IF(ISBLANK(Deltagarlista!$C37),"",IF(ISBLANK(Arrangörslista!G$143),"",IFERROR(VLOOKUP($F35,Arrangörslista!G$143:$AG$180,16,FALSE), "DNS"))),""))</f>
        <v/>
      </c>
      <c r="BH35" s="5" t="str">
        <f>IF(Deltagarlista!$K$3=2,
IF(ISBLANK(Deltagarlista!$C37),"",IF(ISBLANK(Arrangörslista!H$143),"",IF($GV35=BH$64," DNS ",IFERROR(VLOOKUP($F35,Arrangörslista!H$143:$AG$180,16,FALSE), "DNS")))), IF(Deltagarlista!$K$3=1,IF(ISBLANK(Deltagarlista!$C37),"",IF(ISBLANK(Arrangörslista!H$143),"",IFERROR(VLOOKUP($F35,Arrangörslista!H$143:$AG$180,16,FALSE), "DNS"))),""))</f>
        <v/>
      </c>
      <c r="BI35" s="5" t="str">
        <f>IF(Deltagarlista!$K$3=2,
IF(ISBLANK(Deltagarlista!$C37),"",IF(ISBLANK(Arrangörslista!I$143),"",IF($GV35=BI$64," DNS ",IFERROR(VLOOKUP($F35,Arrangörslista!I$143:$AG$180,16,FALSE), "DNS")))), IF(Deltagarlista!$K$3=1,IF(ISBLANK(Deltagarlista!$C37),"",IF(ISBLANK(Arrangörslista!I$143),"",IFERROR(VLOOKUP($F35,Arrangörslista!I$143:$AG$180,16,FALSE), "DNS"))),""))</f>
        <v/>
      </c>
      <c r="BJ35" s="5" t="str">
        <f>IF(Deltagarlista!$K$3=2,
IF(ISBLANK(Deltagarlista!$C37),"",IF(ISBLANK(Arrangörslista!J$143),"",IF($GV35=BJ$64," DNS ",IFERROR(VLOOKUP($F35,Arrangörslista!J$143:$AG$180,16,FALSE), "DNS")))), IF(Deltagarlista!$K$3=1,IF(ISBLANK(Deltagarlista!$C37),"",IF(ISBLANK(Arrangörslista!J$143),"",IFERROR(VLOOKUP($F35,Arrangörslista!J$143:$AG$180,16,FALSE), "DNS"))),""))</f>
        <v/>
      </c>
      <c r="BK35" s="5" t="str">
        <f>IF(Deltagarlista!$K$3=2,
IF(ISBLANK(Deltagarlista!$C37),"",IF(ISBLANK(Arrangörslista!K$143),"",IF($GV35=BK$64," DNS ",IFERROR(VLOOKUP($F35,Arrangörslista!K$143:$AG$180,16,FALSE), "DNS")))), IF(Deltagarlista!$K$3=1,IF(ISBLANK(Deltagarlista!$C37),"",IF(ISBLANK(Arrangörslista!K$143),"",IFERROR(VLOOKUP($F35,Arrangörslista!K$143:$AG$180,16,FALSE), "DNS"))),""))</f>
        <v/>
      </c>
      <c r="BL35" s="5" t="str">
        <f>IF(Deltagarlista!$K$3=2,
IF(ISBLANK(Deltagarlista!$C37),"",IF(ISBLANK(Arrangörslista!L$143),"",IF($GV35=BL$64," DNS ",IFERROR(VLOOKUP($F35,Arrangörslista!L$143:$AG$180,16,FALSE), "DNS")))), IF(Deltagarlista!$K$3=1,IF(ISBLANK(Deltagarlista!$C37),"",IF(ISBLANK(Arrangörslista!L$143),"",IFERROR(VLOOKUP($F35,Arrangörslista!L$143:$AG$180,16,FALSE), "DNS"))),""))</f>
        <v/>
      </c>
      <c r="BM35" s="5" t="str">
        <f>IF(Deltagarlista!$K$3=2,
IF(ISBLANK(Deltagarlista!$C37),"",IF(ISBLANK(Arrangörslista!M$143),"",IF($GV35=BM$64," DNS ",IFERROR(VLOOKUP($F35,Arrangörslista!M$143:$AG$180,16,FALSE), "DNS")))), IF(Deltagarlista!$K$3=1,IF(ISBLANK(Deltagarlista!$C37),"",IF(ISBLANK(Arrangörslista!M$143),"",IFERROR(VLOOKUP($F35,Arrangörslista!M$143:$AG$180,16,FALSE), "DNS"))),""))</f>
        <v/>
      </c>
      <c r="BN35" s="5" t="str">
        <f>IF(Deltagarlista!$K$3=2,
IF(ISBLANK(Deltagarlista!$C37),"",IF(ISBLANK(Arrangörslista!N$143),"",IF($GV35=BN$64," DNS ",IFERROR(VLOOKUP($F35,Arrangörslista!N$143:$AG$180,16,FALSE), "DNS")))), IF(Deltagarlista!$K$3=1,IF(ISBLANK(Deltagarlista!$C37),"",IF(ISBLANK(Arrangörslista!N$143),"",IFERROR(VLOOKUP($F35,Arrangörslista!N$143:$AG$180,16,FALSE), "DNS"))),""))</f>
        <v/>
      </c>
      <c r="BO35" s="5" t="str">
        <f>IF(Deltagarlista!$K$3=2,
IF(ISBLANK(Deltagarlista!$C37),"",IF(ISBLANK(Arrangörslista!O$143),"",IF($GV35=BO$64," DNS ",IFERROR(VLOOKUP($F35,Arrangörslista!O$143:$AG$180,16,FALSE), "DNS")))), IF(Deltagarlista!$K$3=1,IF(ISBLANK(Deltagarlista!$C37),"",IF(ISBLANK(Arrangörslista!O$143),"",IFERROR(VLOOKUP($F35,Arrangörslista!O$143:$AG$180,16,FALSE), "DNS"))),""))</f>
        <v/>
      </c>
      <c r="BP35" s="5" t="str">
        <f>IF(Deltagarlista!$K$3=2,
IF(ISBLANK(Deltagarlista!$C37),"",IF(ISBLANK(Arrangörslista!P$143),"",IF($GV35=BP$64," DNS ",IFERROR(VLOOKUP($F35,Arrangörslista!P$143:$AG$180,16,FALSE), "DNS")))), IF(Deltagarlista!$K$3=1,IF(ISBLANK(Deltagarlista!$C37),"",IF(ISBLANK(Arrangörslista!P$143),"",IFERROR(VLOOKUP($F35,Arrangörslista!P$143:$AG$180,16,FALSE), "DNS"))),""))</f>
        <v/>
      </c>
      <c r="BQ35" s="80" t="str">
        <f>IF(Deltagarlista!$K$3=2,
IF(ISBLANK(Deltagarlista!$C37),"",IF(ISBLANK(Arrangörslista!Q$143),"",IF($GV35=BQ$64," DNS ",IFERROR(VLOOKUP($F35,Arrangörslista!Q$143:$AG$180,16,FALSE), "DNS")))), IF(Deltagarlista!$K$3=1,IF(ISBLANK(Deltagarlista!$C37),"",IF(ISBLANK(Arrangörslista!Q$143),"",IFERROR(VLOOKUP($F35,Arrangörslista!Q$143:$AG$180,16,FALSE), "DNS"))),""))</f>
        <v/>
      </c>
      <c r="BR35" s="51"/>
      <c r="BS35" s="51"/>
      <c r="BT35" s="51"/>
      <c r="BU35" s="71">
        <f>SUM(BV35:EC35)</f>
        <v>0</v>
      </c>
      <c r="BV35" s="61">
        <f>IF(J35="",0,IF(OR(J35="DNF",J35="OCS",J35="DSQ",J35="DNS",J35=" DNS "),$BW$3+1,J35))</f>
        <v>0</v>
      </c>
      <c r="BW35" s="61">
        <f>IF(K35="",0,IF(OR(K35="DNF",K35="OCS",K35="DSQ",K35="DNS",K35=" DNS "),$BW$3+1,K35))</f>
        <v>0</v>
      </c>
      <c r="BX35" s="61">
        <f>IF(L35="",0,IF(OR(L35="DNF",L35="OCS",L35="DSQ",L35="DNS",L35=" DNS "),$BW$3+1,L35))</f>
        <v>0</v>
      </c>
      <c r="BY35" s="61">
        <f>IF(M35="",0,IF(OR(M35="DNF",M35="OCS",M35="DSQ",M35="DNS",M35=" DNS "),$BW$3+1,M35))</f>
        <v>0</v>
      </c>
      <c r="BZ35" s="61">
        <f>IF(N35="",0,IF(OR(N35="DNF",N35="OCS",N35="DSQ",N35="DNS",N35=" DNS "),$BW$3+1,N35))</f>
        <v>0</v>
      </c>
      <c r="CA35" s="61">
        <f>IF(O35="",0,IF(OR(O35="DNF",O35="OCS",O35="DSQ",O35="DNS",O35=" DNS "),$BW$3+1,O35))</f>
        <v>0</v>
      </c>
      <c r="CB35" s="61">
        <f>IF(P35="",0,IF(OR(P35="DNF",P35="OCS",P35="DSQ",P35="DNS",P35=" DNS "),$BW$3+1,P35))</f>
        <v>0</v>
      </c>
      <c r="CC35" s="61">
        <f>IF(Q35="",0,IF(OR(Q35="DNF",Q35="OCS",Q35="DSQ",Q35="DNS",Q35=" DNS "),$BW$3+1,Q35))</f>
        <v>0</v>
      </c>
      <c r="CD35" s="61">
        <f>IF(R35="",0,IF(OR(R35="DNF",R35="OCS",R35="DSQ",R35="DNS",R35=" DNS "),$BW$3+1,R35))</f>
        <v>0</v>
      </c>
      <c r="CE35" s="61">
        <f>IF(S35="",0,IF(OR(S35="DNF",S35="OCS",S35="DSQ",S35="DNS",S35=" DNS "),$BW$3+1,S35))</f>
        <v>0</v>
      </c>
      <c r="CF35" s="61">
        <f>IF(T35="",0,IF(OR(T35="DNF",T35="OCS",T35="DSQ",T35="DNS",T35=" DNS "),$BW$3+1,T35))</f>
        <v>0</v>
      </c>
      <c r="CG35" s="61">
        <f>IF(U35="",0,IF(OR(U35="DNF",U35="OCS",U35="DSQ",U35="DNS",U35=" DNS "),$BW$3+1,U35))</f>
        <v>0</v>
      </c>
      <c r="CH35" s="61">
        <f>IF(V35="",0,IF(OR(V35="DNF",V35="OCS",V35="DSQ",V35="DNS",V35=" DNS "),$BW$3+1,V35))</f>
        <v>0</v>
      </c>
      <c r="CI35" s="61">
        <f>IF(W35="",0,IF(OR(W35="DNF",W35="OCS",W35="DSQ",W35="DNS",W35=" DNS "),$BW$3+1,W35))</f>
        <v>0</v>
      </c>
      <c r="CJ35" s="61">
        <f>IF(X35="",0,IF(OR(X35="DNF",X35="OCS",X35="DSQ",X35="DNS",X35=" DNS "),$BW$3+1,X35))</f>
        <v>0</v>
      </c>
      <c r="CK35" s="61">
        <f>IF(Y35="",0,IF(OR(Y35="DNF",Y35="OCS",Y35="DSQ",Y35="DNS",Y35=" DNS "),$BW$3+1,Y35))</f>
        <v>0</v>
      </c>
      <c r="CL35" s="61">
        <f>IF(Z35="",0,IF(OR(Z35="DNF",Z35="OCS",Z35="DSQ",Z35="DNS",Z35=" DNS "),$BW$3+1,Z35))</f>
        <v>0</v>
      </c>
      <c r="CM35" s="61">
        <f>IF(AA35="",0,IF(OR(AA35="DNF",AA35="OCS",AA35="DSQ",AA35="DNS",AA35=" DNS "),$BW$3+1,AA35))</f>
        <v>0</v>
      </c>
      <c r="CN35" s="61">
        <f>IF(AB35="",0,IF(OR(AB35="DNF",AB35="OCS",AB35="DSQ",AB35="DNS",AB35=" DNS "),$BW$3+1,AB35))</f>
        <v>0</v>
      </c>
      <c r="CO35" s="61">
        <f>IF(AC35="",0,IF(OR(AC35="DNF",AC35="OCS",AC35="DSQ",AC35="DNS",AC35=" DNS "),$BW$3+1,AC35))</f>
        <v>0</v>
      </c>
      <c r="CP35" s="61">
        <f>IF(AD35="",0,IF(OR(AD35="DNF",AD35="OCS",AD35="DSQ",AD35="DNS",AD35=" DNS "),$BW$3+1,AD35))</f>
        <v>0</v>
      </c>
      <c r="CQ35" s="61">
        <f>IF(AE35="",0,IF(OR(AE35="DNF",AE35="OCS",AE35="DSQ",AE35="DNS",AE35=" DNS "),$BW$3+1,AE35))</f>
        <v>0</v>
      </c>
      <c r="CR35" s="61">
        <f>IF(AF35="",0,IF(OR(AF35="DNF",AF35="OCS",AF35="DSQ",AF35="DNS",AF35=" DNS "),$BW$3+1,AF35))</f>
        <v>0</v>
      </c>
      <c r="CS35" s="61">
        <f>IF(AG35="",0,IF(OR(AG35="DNF",AG35="OCS",AG35="DSQ",AG35="DNS",AG35=" DNS "),$BW$3+1,AG35))</f>
        <v>0</v>
      </c>
      <c r="CT35" s="61">
        <f>IF(AH35="",0,IF(OR(AH35="DNF",AH35="OCS",AH35="DSQ",AH35="DNS",AH35=" DNS "),$BW$3+1,AH35))</f>
        <v>0</v>
      </c>
      <c r="CU35" s="61">
        <f>IF(AI35="",0,IF(OR(AI35="DNF",AI35="OCS",AI35="DSQ",AI35="DNS",AI35=" DNS "),$BW$3+1,AI35))</f>
        <v>0</v>
      </c>
      <c r="CV35" s="61">
        <f>IF(AJ35="",0,IF(OR(AJ35="DNF",AJ35="OCS",AJ35="DSQ",AJ35="DNS",AJ35=" DNS "),$BW$3+1,AJ35))</f>
        <v>0</v>
      </c>
      <c r="CW35" s="61">
        <f>IF(AK35="",0,IF(OR(AK35="DNF",AK35="OCS",AK35="DSQ",AK35="DNS",AK35=" DNS "),$BW$3+1,AK35))</f>
        <v>0</v>
      </c>
      <c r="CX35" s="61">
        <f>IF(AL35="",0,IF(OR(AL35="DNF",AL35="OCS",AL35="DSQ",AL35="DNS",AL35=" DNS "),$BW$3+1,AL35))</f>
        <v>0</v>
      </c>
      <c r="CY35" s="61">
        <f>IF(AM35="",0,IF(OR(AM35="DNF",AM35="OCS",AM35="DSQ",AM35="DNS",AM35=" DNS "),$BW$3+1,AM35))</f>
        <v>0</v>
      </c>
      <c r="CZ35" s="61">
        <f>IF(AN35="",0,IF(OR(AN35="DNF",AN35="OCS",AN35="DSQ",AN35="DNS",AN35=" DNS "),$BW$3+1,AN35))</f>
        <v>0</v>
      </c>
      <c r="DA35" s="61">
        <f>IF(AO35="",0,IF(OR(AO35="DNF",AO35="OCS",AO35="DSQ",AO35="DNS",AO35=" DNS "),$BW$3+1,AO35))</f>
        <v>0</v>
      </c>
      <c r="DB35" s="61">
        <f>IF(AP35="",0,IF(OR(AP35="DNF",AP35="OCS",AP35="DSQ",AP35="DNS",AP35=" DNS "),$BW$3+1,AP35))</f>
        <v>0</v>
      </c>
      <c r="DC35" s="61">
        <f>IF(AQ35="",0,IF(OR(AQ35="DNF",AQ35="OCS",AQ35="DSQ",AQ35="DNS",AQ35=" DNS "),$BW$3+1,AQ35))</f>
        <v>0</v>
      </c>
      <c r="DD35" s="61">
        <f>IF(AR35="",0,IF(OR(AR35="DNF",AR35="OCS",AR35="DSQ",AR35="DNS",AR35=" DNS "),$BW$3+1,AR35))</f>
        <v>0</v>
      </c>
      <c r="DE35" s="61">
        <f>IF(AS35="",0,IF(OR(AS35="DNF",AS35="OCS",AS35="DSQ",AS35="DNS",AS35=" DNS "),$BW$3+1,AS35))</f>
        <v>0</v>
      </c>
      <c r="DF35" s="61">
        <f>IF(AT35="",0,IF(OR(AT35="DNF",AT35="OCS",AT35="DSQ",AT35="DNS",AT35=" DNS "),$BW$3+1,AT35))</f>
        <v>0</v>
      </c>
      <c r="DG35" s="61">
        <f>IF(AU35="",0,IF(OR(AU35="DNF",AU35="OCS",AU35="DSQ",AU35="DNS",AU35=" DNS "),$BW$3+1,AU35))</f>
        <v>0</v>
      </c>
      <c r="DH35" s="61">
        <f>IF(AV35="",0,IF(OR(AV35="DNF",AV35="OCS",AV35="DSQ",AV35="DNS",AV35=" DNS "),$BW$3+1,AV35))</f>
        <v>0</v>
      </c>
      <c r="DI35" s="61">
        <f>IF(AW35="",0,IF(OR(AW35="DNF",AW35="OCS",AW35="DSQ",AW35="DNS",AW35=" DNS "),$BW$3+1,AW35))</f>
        <v>0</v>
      </c>
      <c r="DJ35" s="61">
        <f>IF(AX35="",0,IF(OR(AX35="DNF",AX35="OCS",AX35="DSQ",AX35="DNS",AX35=" DNS "),$BW$3+1,AX35))</f>
        <v>0</v>
      </c>
      <c r="DK35" s="61">
        <f>IF(AY35="",0,IF(OR(AY35="DNF",AY35="OCS",AY35="DSQ",AY35="DNS",AY35=" DNS "),$BW$3+1,AY35))</f>
        <v>0</v>
      </c>
      <c r="DL35" s="61">
        <f>IF(AZ35="",0,IF(OR(AZ35="DNF",AZ35="OCS",AZ35="DSQ",AZ35="DNS",AZ35=" DNS "),$BW$3+1,AZ35))</f>
        <v>0</v>
      </c>
      <c r="DM35" s="61">
        <f>IF(BA35="",0,IF(OR(BA35="DNF",BA35="OCS",BA35="DSQ",BA35="DNS",BA35=" DNS "),$BW$3+1,BA35))</f>
        <v>0</v>
      </c>
      <c r="DN35" s="61">
        <f>IF(BB35="",0,IF(OR(BB35="DNF",BB35="OCS",BB35="DSQ",BB35="DNS",BB35=" DNS "),$BW$3+1,BB35))</f>
        <v>0</v>
      </c>
      <c r="DO35" s="61">
        <f>IF(BC35="",0,IF(OR(BC35="DNF",BC35="OCS",BC35="DSQ",BC35="DNS",BC35=" DNS "),$BW$3+1,BC35))</f>
        <v>0</v>
      </c>
      <c r="DP35" s="61">
        <f>IF(BD35="",0,IF(OR(BD35="DNF",BD35="OCS",BD35="DSQ",BD35="DNS",BD35=" DNS "),$BW$3+1,BD35))</f>
        <v>0</v>
      </c>
      <c r="DQ35" s="61">
        <f>IF(BE35="",0,IF(OR(BE35="DNF",BE35="OCS",BE35="DSQ",BE35="DNS",BE35=" DNS "),$BW$3+1,BE35))</f>
        <v>0</v>
      </c>
      <c r="DR35" s="61">
        <f>IF(BF35="",0,IF(OR(BF35="DNF",BF35="OCS",BF35="DSQ",BF35="DNS",BF35=" DNS "),$BW$3+1,BF35))</f>
        <v>0</v>
      </c>
      <c r="DS35" s="61">
        <f>IF(BG35="",0,IF(OR(BG35="DNF",BG35="OCS",BG35="DSQ",BG35="DNS",BG35=" DNS "),$BW$3+1,BG35))</f>
        <v>0</v>
      </c>
      <c r="DT35" s="61">
        <f>IF(BH35="",0,IF(OR(BH35="DNF",BH35="OCS",BH35="DSQ",BH35="DNS",BH35=" DNS "),$BW$3+1,BH35))</f>
        <v>0</v>
      </c>
      <c r="DU35" s="61">
        <f>IF(BI35="",0,IF(OR(BI35="DNF",BI35="OCS",BI35="DSQ",BI35="DNS",BI35=" DNS "),$BW$3+1,BI35))</f>
        <v>0</v>
      </c>
      <c r="DV35" s="61">
        <f>IF(BJ35="",0,IF(OR(BJ35="DNF",BJ35="OCS",BJ35="DSQ",BJ35="DNS",BJ35=" DNS "),$BW$3+1,BJ35))</f>
        <v>0</v>
      </c>
      <c r="DW35" s="61">
        <f>IF(BK35="",0,IF(OR(BK35="DNF",BK35="OCS",BK35="DSQ",BK35="DNS",BK35=" DNS "),$BW$3+1,BK35))</f>
        <v>0</v>
      </c>
      <c r="DX35" s="61">
        <f>IF(BL35="",0,IF(OR(BL35="DNF",BL35="OCS",BL35="DSQ",BL35="DNS",BL35=" DNS "),$BW$3+1,BL35))</f>
        <v>0</v>
      </c>
      <c r="DY35" s="61">
        <f>IF(BM35="",0,IF(OR(BM35="DNF",BM35="OCS",BM35="DSQ",BM35="DNS",BM35=" DNS "),$BW$3+1,BM35))</f>
        <v>0</v>
      </c>
      <c r="DZ35" s="61">
        <f>IF(BN35="",0,IF(OR(BN35="DNF",BN35="OCS",BN35="DSQ",BN35="DNS",BN35=" DNS "),$BW$3+1,BN35))</f>
        <v>0</v>
      </c>
      <c r="EA35" s="61">
        <f>IF(BO35="",0,IF(OR(BO35="DNF",BO35="OCS",BO35="DSQ",BO35="DNS",BO35=" DNS "),$BW$3+1,BO35))</f>
        <v>0</v>
      </c>
      <c r="EB35" s="61">
        <f>IF(BP35="",0,IF(OR(BP35="DNF",BP35="OCS",BP35="DSQ",BP35="DNS",BP35=" DNS "),$BW$3+1,BP35))</f>
        <v>0</v>
      </c>
      <c r="EC35" s="61">
        <f>IF(BQ35="",0,IF(OR(BQ35="DNF",BQ35="OCS",BQ35="DSQ",BQ35="DNS",BQ35=" DNS "),$BW$3+1,BQ35))</f>
        <v>0</v>
      </c>
      <c r="EE35" s="61">
        <f xml:space="preserve">
IF(OR(Deltagarlista!$K$3=3,Deltagarlista!$K$3=4),
IF(Arrangörslista!$U$5&lt;8,0,
IF(Arrangörslista!$U$5&lt;16,SUM(LARGE(BV35:CJ35,1)),
IF(Arrangörslista!$U$5&lt;24,SUM(LARGE(BV35:CR35,{1;2})),
IF(Arrangörslista!$U$5&lt;32,SUM(LARGE(BV35:CZ35,{1;2;3})),
IF(Arrangörslista!$U$5&lt;40,SUM(LARGE(BV35:DH35,{1;2;3;4})),
IF(Arrangörslista!$U$5&lt;48,SUM(LARGE(BV35:DP35,{1;2;3;4;5})),
IF(Arrangörslista!$U$5&lt;56,SUM(LARGE(BV35:DX35,{1;2;3;4;5;6})),
IF(Arrangörslista!$U$5&lt;64,SUM(LARGE(BV35:EC35,{1;2;3;4;5;6;7})),0)))))))),
IF(Deltagarlista!$K$3=2,
IF(Arrangörslista!$U$5&lt;4,LARGE(BV35:BX35,1),
IF(Arrangörslista!$U$5&lt;7,SUM(LARGE(BV35:CA35,{1;2;3})),
IF(Arrangörslista!$U$5&lt;10,SUM(LARGE(BV35:CD35,{1;2;3;4})),
IF(Arrangörslista!$U$5&lt;13,SUM(LARGE(BV35:CG35,{1;2;3;4;5;6})),
IF(Arrangörslista!$U$5&lt;16,SUM(LARGE(BV35:CJ35,{1;2;3;4;5;6;7})),
IF(Arrangörslista!$U$5&lt;19,SUM(LARGE(BV35:CM35,{1;2;3;4;5;6;7;8;9})),
IF(Arrangörslista!$U$5&lt;22,SUM(LARGE(BV35:CP35,{1;2;3;4;5;6;7;8;9;10})),
IF(Arrangörslista!$U$5&lt;25,SUM(LARGE(BV35:CS35,{1;2;3;4;5;6;7;8;9;10;11;12})),
IF(Arrangörslista!$U$5&lt;28,SUM(LARGE(BV35:CV35,{1;2;3;4;5;6;7;8;9;10;11;12;13})),
IF(Arrangörslista!$U$5&lt;31,SUM(LARGE(BV35:CY35,{1;2;3;4;5;6;7;8;9;10;11;12;13;14;15})),
IF(Arrangörslista!$U$5&lt;34,SUM(LARGE(BV35:DB35,{1;2;3;4;5;6;7;8;9;10;11;12;13;14;15;16})),
IF(Arrangörslista!$U$5&lt;37,SUM(LARGE(BV35:DE35,{1;2;3;4;5;6;7;8;9;10;11;12;13;14;15;16;17;18})),
IF(Arrangörslista!$U$5&lt;40,SUM(LARGE(BV35:DH35,{1;2;3;4;5;6;7;8;9;10;11;12;13;14;15;16;17;18;19})),
IF(Arrangörslista!$U$5&lt;43,SUM(LARGE(BV35:DK35,{1;2;3;4;5;6;7;8;9;10;11;12;13;14;15;16;17;18;19;20;21})),
IF(Arrangörslista!$U$5&lt;46,SUM(LARGE(BV35:DN35,{1;2;3;4;5;6;7;8;9;10;11;12;13;14;15;16;17;18;19;20;21;22})),
IF(Arrangörslista!$U$5&lt;49,SUM(LARGE(BV35:DQ35,{1;2;3;4;5;6;7;8;9;10;11;12;13;14;15;16;17;18;19;20;21;22;23;24})),
IF(Arrangörslista!$U$5&lt;52,SUM(LARGE(BV35:DT35,{1;2;3;4;5;6;7;8;9;10;11;12;13;14;15;16;17;18;19;20;21;22;23;24;25})),
IF(Arrangörslista!$U$5&lt;55,SUM(LARGE(BV35:DW35,{1;2;3;4;5;6;7;8;9;10;11;12;13;14;15;16;17;18;19;20;21;22;23;24;25;26;27})),
IF(Arrangörslista!$U$5&lt;58,SUM(LARGE(BV35:DZ35,{1;2;3;4;5;6;7;8;9;10;11;12;13;14;15;16;17;18;19;20;21;22;23;24;25;26;27;28})),
IF(Arrangörslista!$U$5&lt;61,SUM(LARGE(BV35:EC35,{1;2;3;4;5;6;7;8;9;10;11;12;13;14;15;16;17;18;19;20;21;22;23;24;25;26;27;28;29;30})),0)))))))))))))))))))),
IF(Arrangörslista!$U$5&lt;4,0,
IF(Arrangörslista!$U$5&lt;8,SUM(LARGE(BV35:CB35,1)),
IF(Arrangörslista!$U$5&lt;12,SUM(LARGE(BV35:CF35,{1;2})),
IF(Arrangörslista!$U$5&lt;16,SUM(LARGE(BV35:CJ35,{1;2;3})),
IF(Arrangörslista!$U$5&lt;20,SUM(LARGE(BV35:CN35,{1;2;3;4})),
IF(Arrangörslista!$U$5&lt;24,SUM(LARGE(BV35:CR35,{1;2;3;4;5})),
IF(Arrangörslista!$U$5&lt;28,SUM(LARGE(BV35:CV35,{1;2;3;4;5;6})),
IF(Arrangörslista!$U$5&lt;32,SUM(LARGE(BV35:CZ35,{1;2;3;4;5;6;7})),
IF(Arrangörslista!$U$5&lt;36,SUM(LARGE(BV35:DD35,{1;2;3;4;5;6;7;8})),
IF(Arrangörslista!$U$5&lt;40,SUM(LARGE(BV35:DH35,{1;2;3;4;5;6;7;8;9})),
IF(Arrangörslista!$U$5&lt;44,SUM(LARGE(BV35:DL35,{1;2;3;4;5;6;7;8;9;10})),
IF(Arrangörslista!$U$5&lt;48,SUM(LARGE(BV35:DP35,{1;2;3;4;5;6;7;8;9;10;11})),
IF(Arrangörslista!$U$5&lt;52,SUM(LARGE(BV35:DT35,{1;2;3;4;5;6;7;8;9;10;11;12})),
IF(Arrangörslista!$U$5&lt;56,SUM(LARGE(BV35:DX35,{1;2;3;4;5;6;7;8;9;10;11;12;13})),
IF(Arrangörslista!$U$5&lt;60,SUM(LARGE(BV35:EB35,{1;2;3;4;5;6;7;8;9;10;11;12;13;14})),
IF(Arrangörslista!$U$5=60,SUM(LARGE(BV35:EC35,{1;2;3;4;5;6;7;8;9;10;11;12;13;14;15})),0))))))))))))))))))</f>
        <v>0</v>
      </c>
      <c r="EG35" s="67">
        <f>IF(F35="",,1)</f>
        <v>0</v>
      </c>
      <c r="EH35" s="61"/>
      <c r="EI35" s="61"/>
      <c r="EK35" s="62">
        <f>SMALL($J98:$BQ98,1)</f>
        <v>61</v>
      </c>
      <c r="EL35" s="62">
        <f>SMALL($J98:$BQ98,2)</f>
        <v>61</v>
      </c>
      <c r="EM35" s="62">
        <f>SMALL($J98:$BQ98,3)</f>
        <v>61</v>
      </c>
      <c r="EN35" s="62">
        <f>SMALL($J98:$BQ98,4)</f>
        <v>61</v>
      </c>
      <c r="EO35" s="62">
        <f>SMALL($J98:$BQ98,5)</f>
        <v>61</v>
      </c>
      <c r="EP35" s="62">
        <f>SMALL($J98:$BQ98,6)</f>
        <v>61</v>
      </c>
      <c r="EQ35" s="62">
        <f>SMALL($J98:$BQ98,7)</f>
        <v>61</v>
      </c>
      <c r="ER35" s="62">
        <f>SMALL($J98:$BQ98,8)</f>
        <v>61</v>
      </c>
      <c r="ES35" s="62">
        <f>SMALL($J98:$BQ98,9)</f>
        <v>61</v>
      </c>
      <c r="ET35" s="62">
        <f>SMALL($J98:$BQ98,10)</f>
        <v>61</v>
      </c>
      <c r="EU35" s="62">
        <f>SMALL($J98:$BQ98,11)</f>
        <v>61</v>
      </c>
      <c r="EV35" s="62">
        <f>SMALL($J98:$BQ98,12)</f>
        <v>61</v>
      </c>
      <c r="EW35" s="62">
        <f>SMALL($J98:$BQ98,13)</f>
        <v>61</v>
      </c>
      <c r="EX35" s="62">
        <f>SMALL($J98:$BQ98,14)</f>
        <v>61</v>
      </c>
      <c r="EY35" s="62">
        <f>SMALL($J98:$BQ98,15)</f>
        <v>61</v>
      </c>
      <c r="EZ35" s="62">
        <f>SMALL($J98:$BQ98,16)</f>
        <v>61</v>
      </c>
      <c r="FA35" s="62">
        <f>SMALL($J98:$BQ98,17)</f>
        <v>61</v>
      </c>
      <c r="FB35" s="62">
        <f>SMALL($J98:$BQ98,18)</f>
        <v>61</v>
      </c>
      <c r="FC35" s="62">
        <f>SMALL($J98:$BQ98,19)</f>
        <v>61</v>
      </c>
      <c r="FD35" s="62">
        <f>SMALL($J98:$BQ98,20)</f>
        <v>61</v>
      </c>
      <c r="FE35" s="62">
        <f>SMALL($J98:$BQ98,21)</f>
        <v>61</v>
      </c>
      <c r="FF35" s="62">
        <f>SMALL($J98:$BQ98,22)</f>
        <v>61</v>
      </c>
      <c r="FG35" s="62">
        <f>SMALL($J98:$BQ98,23)</f>
        <v>61</v>
      </c>
      <c r="FH35" s="62">
        <f>SMALL($J98:$BQ98,24)</f>
        <v>61</v>
      </c>
      <c r="FI35" s="62">
        <f>SMALL($J98:$BQ98,25)</f>
        <v>61</v>
      </c>
      <c r="FJ35" s="62">
        <f>SMALL($J98:$BQ98,26)</f>
        <v>61</v>
      </c>
      <c r="FK35" s="62">
        <f>SMALL($J98:$BQ98,27)</f>
        <v>61</v>
      </c>
      <c r="FL35" s="62">
        <f>SMALL($J98:$BQ98,28)</f>
        <v>61</v>
      </c>
      <c r="FM35" s="62">
        <f>SMALL($J98:$BQ98,29)</f>
        <v>61</v>
      </c>
      <c r="FN35" s="62">
        <f>SMALL($J98:$BQ98,30)</f>
        <v>61</v>
      </c>
      <c r="FO35" s="62">
        <f>SMALL($J98:$BQ98,31)</f>
        <v>61</v>
      </c>
      <c r="FP35" s="62">
        <f>SMALL($J98:$BQ98,32)</f>
        <v>61</v>
      </c>
      <c r="FQ35" s="62">
        <f>SMALL($J98:$BQ98,33)</f>
        <v>61</v>
      </c>
      <c r="FR35" s="62">
        <f>SMALL($J98:$BQ98,34)</f>
        <v>61</v>
      </c>
      <c r="FS35" s="62">
        <f>SMALL($J98:$BQ98,35)</f>
        <v>61</v>
      </c>
      <c r="FT35" s="62">
        <f>SMALL($J98:$BQ98,36)</f>
        <v>61</v>
      </c>
      <c r="FU35" s="62">
        <f>SMALL($J98:$BQ98,37)</f>
        <v>61</v>
      </c>
      <c r="FV35" s="62">
        <f>SMALL($J98:$BQ98,38)</f>
        <v>61</v>
      </c>
      <c r="FW35" s="62">
        <f>SMALL($J98:$BQ98,39)</f>
        <v>61</v>
      </c>
      <c r="FX35" s="62">
        <f>SMALL($J98:$BQ98,40)</f>
        <v>61</v>
      </c>
      <c r="FY35" s="62">
        <f>SMALL($J98:$BQ98,41)</f>
        <v>61</v>
      </c>
      <c r="FZ35" s="62">
        <f>SMALL($J98:$BQ98,42)</f>
        <v>61</v>
      </c>
      <c r="GA35" s="62">
        <f>SMALL($J98:$BQ98,43)</f>
        <v>61</v>
      </c>
      <c r="GB35" s="62">
        <f>SMALL($J98:$BQ98,44)</f>
        <v>61</v>
      </c>
      <c r="GC35" s="62">
        <f>SMALL($J98:$BQ98,45)</f>
        <v>61</v>
      </c>
      <c r="GD35" s="62">
        <f>SMALL($J98:$BQ98,46)</f>
        <v>61</v>
      </c>
      <c r="GE35" s="62">
        <f>SMALL($J98:$BQ98,47)</f>
        <v>61</v>
      </c>
      <c r="GF35" s="62">
        <f>SMALL($J98:$BQ98,48)</f>
        <v>61</v>
      </c>
      <c r="GG35" s="62">
        <f>SMALL($J98:$BQ98,49)</f>
        <v>61</v>
      </c>
      <c r="GH35" s="62">
        <f>SMALL($J98:$BQ98,50)</f>
        <v>61</v>
      </c>
      <c r="GI35" s="62">
        <f>SMALL($J98:$BQ98,51)</f>
        <v>61</v>
      </c>
      <c r="GJ35" s="62">
        <f>SMALL($J98:$BQ98,52)</f>
        <v>61</v>
      </c>
      <c r="GK35" s="62">
        <f>SMALL($J98:$BQ98,53)</f>
        <v>61</v>
      </c>
      <c r="GL35" s="62">
        <f>SMALL($J98:$BQ98,54)</f>
        <v>61</v>
      </c>
      <c r="GM35" s="62">
        <f>SMALL($J98:$BQ98,55)</f>
        <v>61</v>
      </c>
      <c r="GN35" s="62">
        <f>SMALL($J98:$BQ98,56)</f>
        <v>61</v>
      </c>
      <c r="GO35" s="62">
        <f>SMALL($J98:$BQ98,57)</f>
        <v>61</v>
      </c>
      <c r="GP35" s="62">
        <f>SMALL($J98:$BQ98,58)</f>
        <v>61</v>
      </c>
      <c r="GQ35" s="62">
        <f>SMALL($J98:$BQ98,59)</f>
        <v>61</v>
      </c>
      <c r="GR35" s="62">
        <f>SMALL($J98:$BQ98,60)</f>
        <v>61</v>
      </c>
      <c r="GT35" s="62">
        <f>IF(Deltagarlista!$K$3=2,
IF(GW35="1",
      IF(Arrangörslista!$U$5=1,J98,
IF(Arrangörslista!$U$5=2,K98,
IF(Arrangörslista!$U$5=3,L98,
IF(Arrangörslista!$U$5=4,M98,
IF(Arrangörslista!$U$5=5,N98,
IF(Arrangörslista!$U$5=6,O98,
IF(Arrangörslista!$U$5=7,P98,
IF(Arrangörslista!$U$5=8,Q98,
IF(Arrangörslista!$U$5=9,R98,
IF(Arrangörslista!$U$5=10,S98,
IF(Arrangörslista!$U$5=11,T98,
IF(Arrangörslista!$U$5=12,U98,
IF(Arrangörslista!$U$5=13,V98,
IF(Arrangörslista!$U$5=14,W98,
IF(Arrangörslista!$U$5=15,X98,
IF(Arrangörslista!$U$5=16,Y98,IF(Arrangörslista!$U$5=17,Z98,IF(Arrangörslista!$U$5=18,AA98,IF(Arrangörslista!$U$5=19,AB98,IF(Arrangörslista!$U$5=20,AC98,IF(Arrangörslista!$U$5=21,AD98,IF(Arrangörslista!$U$5=22,AE98,IF(Arrangörslista!$U$5=23,AF98, IF(Arrangörslista!$U$5=24,AG98, IF(Arrangörslista!$U$5=25,AH98, IF(Arrangörslista!$U$5=26,AI98, IF(Arrangörslista!$U$5=27,AJ98, IF(Arrangörslista!$U$5=28,AK98, IF(Arrangörslista!$U$5=29,AL98, IF(Arrangörslista!$U$5=30,AM98, IF(Arrangörslista!$U$5=31,AN98, IF(Arrangörslista!$U$5=32,AO98, IF(Arrangörslista!$U$5=33,AP98, IF(Arrangörslista!$U$5=34,AQ98, IF(Arrangörslista!$U$5=35,AR98, IF(Arrangörslista!$U$5=36,AS98, IF(Arrangörslista!$U$5=37,AT98, IF(Arrangörslista!$U$5=38,AU98, IF(Arrangörslista!$U$5=39,AV98, IF(Arrangörslista!$U$5=40,AW98, IF(Arrangörslista!$U$5=41,AX98, IF(Arrangörslista!$U$5=42,AY98, IF(Arrangörslista!$U$5=43,AZ98, IF(Arrangörslista!$U$5=44,BA98, IF(Arrangörslista!$U$5=45,BB98, IF(Arrangörslista!$U$5=46,BC98, IF(Arrangörslista!$U$5=47,BD98, IF(Arrangörslista!$U$5=48,BE98, IF(Arrangörslista!$U$5=49,BF98, IF(Arrangörslista!$U$5=50,BG98, IF(Arrangörslista!$U$5=51,BH98, IF(Arrangörslista!$U$5=52,BI98, IF(Arrangörslista!$U$5=53,BJ98, IF(Arrangörslista!$U$5=54,BK98, IF(Arrangörslista!$U$5=55,BL98, IF(Arrangörslista!$U$5=56,BM98, IF(Arrangörslista!$U$5=57,BN98, IF(Arrangörslista!$U$5=58,BO98, IF(Arrangörslista!$U$5=59,BP98, IF(Arrangörslista!$U$5=60,BQ98,0))))))))))))))))))))))))))))))))))))))))))))))))))))))))))))),IF(Deltagarlista!$K$3=4, IF(Arrangörslista!$U$5=1,J98,
IF(Arrangörslista!$U$5=2,J98,
IF(Arrangörslista!$U$5=3,K98,
IF(Arrangörslista!$U$5=4,K98,
IF(Arrangörslista!$U$5=5,L98,
IF(Arrangörslista!$U$5=6,L98,
IF(Arrangörslista!$U$5=7,M98,
IF(Arrangörslista!$U$5=8,M98,
IF(Arrangörslista!$U$5=9,N98,
IF(Arrangörslista!$U$5=10,N98,
IF(Arrangörslista!$U$5=11,O98,
IF(Arrangörslista!$U$5=12,O98,
IF(Arrangörslista!$U$5=13,P98,
IF(Arrangörslista!$U$5=14,P98,
IF(Arrangörslista!$U$5=15,Q98,
IF(Arrangörslista!$U$5=16,Q98,
IF(Arrangörslista!$U$5=17,R98,
IF(Arrangörslista!$U$5=18,R98,
IF(Arrangörslista!$U$5=19,S98,
IF(Arrangörslista!$U$5=20,S98,
IF(Arrangörslista!$U$5=21,T98,
IF(Arrangörslista!$U$5=22,T98,IF(Arrangörslista!$U$5=23,U98, IF(Arrangörslista!$U$5=24,U98, IF(Arrangörslista!$U$5=25,V98, IF(Arrangörslista!$U$5=26,V98, IF(Arrangörslista!$U$5=27,W98, IF(Arrangörslista!$U$5=28,W98, IF(Arrangörslista!$U$5=29,X98, IF(Arrangörslista!$U$5=30,X98, IF(Arrangörslista!$U$5=31,X98, IF(Arrangörslista!$U$5=32,Y98, IF(Arrangörslista!$U$5=33,AO98, IF(Arrangörslista!$U$5=34,Y98, IF(Arrangörslista!$U$5=35,Z98, IF(Arrangörslista!$U$5=36,AR98, IF(Arrangörslista!$U$5=37,Z98, IF(Arrangörslista!$U$5=38,AA98, IF(Arrangörslista!$U$5=39,AU98, IF(Arrangörslista!$U$5=40,AA98, IF(Arrangörslista!$U$5=41,AB98, IF(Arrangörslista!$U$5=42,AX98, IF(Arrangörslista!$U$5=43,AB98, IF(Arrangörslista!$U$5=44,AC98, IF(Arrangörslista!$U$5=45,BA98, IF(Arrangörslista!$U$5=46,AC98, IF(Arrangörslista!$U$5=47,AD98, IF(Arrangörslista!$U$5=48,BD98, IF(Arrangörslista!$U$5=49,AD98, IF(Arrangörslista!$U$5=50,AE98, IF(Arrangörslista!$U$5=51,BG98, IF(Arrangörslista!$U$5=52,AE98, IF(Arrangörslista!$U$5=53,AF98, IF(Arrangörslista!$U$5=54,BJ98, IF(Arrangörslista!$U$5=55,AF98, IF(Arrangörslista!$U$5=56,AG98, IF(Arrangörslista!$U$5=57,BM98, IF(Arrangörslista!$U$5=58,AG98, IF(Arrangörslista!$U$5=59,AH98, IF(Arrangörslista!$U$5=60,AH98,0)))))))))))))))))))))))))))))))))))))))))))))))))))))))))))),IF(Arrangörslista!$U$5=1,J98,
IF(Arrangörslista!$U$5=2,K98,
IF(Arrangörslista!$U$5=3,L98,
IF(Arrangörslista!$U$5=4,M98,
IF(Arrangörslista!$U$5=5,N98,
IF(Arrangörslista!$U$5=6,O98,
IF(Arrangörslista!$U$5=7,P98,
IF(Arrangörslista!$U$5=8,Q98,
IF(Arrangörslista!$U$5=9,R98,
IF(Arrangörslista!$U$5=10,S98,
IF(Arrangörslista!$U$5=11,T98,
IF(Arrangörslista!$U$5=12,U98,
IF(Arrangörslista!$U$5=13,V98,
IF(Arrangörslista!$U$5=14,W98,
IF(Arrangörslista!$U$5=15,X98,
IF(Arrangörslista!$U$5=16,Y98,IF(Arrangörslista!$U$5=17,Z98,IF(Arrangörslista!$U$5=18,AA98,IF(Arrangörslista!$U$5=19,AB98,IF(Arrangörslista!$U$5=20,AC98,IF(Arrangörslista!$U$5=21,AD98,IF(Arrangörslista!$U$5=22,AE98,IF(Arrangörslista!$U$5=23,AF98, IF(Arrangörslista!$U$5=24,AG98, IF(Arrangörslista!$U$5=25,AH98, IF(Arrangörslista!$U$5=26,AI98, IF(Arrangörslista!$U$5=27,AJ98, IF(Arrangörslista!$U$5=28,AK98, IF(Arrangörslista!$U$5=29,AL98, IF(Arrangörslista!$U$5=30,AM98, IF(Arrangörslista!$U$5=31,AN98, IF(Arrangörslista!$U$5=32,AO98, IF(Arrangörslista!$U$5=33,AP98, IF(Arrangörslista!$U$5=34,AQ98, IF(Arrangörslista!$U$5=35,AR98, IF(Arrangörslista!$U$5=36,AS98, IF(Arrangörslista!$U$5=37,AT98, IF(Arrangörslista!$U$5=38,AU98, IF(Arrangörslista!$U$5=39,AV98, IF(Arrangörslista!$U$5=40,AW98, IF(Arrangörslista!$U$5=41,AX98, IF(Arrangörslista!$U$5=42,AY98, IF(Arrangörslista!$U$5=43,AZ98, IF(Arrangörslista!$U$5=44,BA98, IF(Arrangörslista!$U$5=45,BB98, IF(Arrangörslista!$U$5=46,BC98, IF(Arrangörslista!$U$5=47,BD98, IF(Arrangörslista!$U$5=48,BE98, IF(Arrangörslista!$U$5=49,BF98, IF(Arrangörslista!$U$5=50,BG98, IF(Arrangörslista!$U$5=51,BH98, IF(Arrangörslista!$U$5=52,BI98, IF(Arrangörslista!$U$5=53,BJ98, IF(Arrangörslista!$U$5=54,BK98, IF(Arrangörslista!$U$5=55,BL98, IF(Arrangörslista!$U$5=56,BM98, IF(Arrangörslista!$U$5=57,BN98, IF(Arrangörslista!$U$5=58,BO98, IF(Arrangörslista!$U$5=59,BP98, IF(Arrangörslista!$U$5=60,BQ98,0))))))))))))))))))))))))))))))))))))))))))))))))))))))))))))
))</f>
        <v>0</v>
      </c>
      <c r="GV35" s="65" t="str">
        <f>IFERROR(IF(VLOOKUP(F35,Deltagarlista!$E$5:$I$64,5,FALSE)="Grön","Gr",IF(VLOOKUP(F35,Deltagarlista!$E$5:$I$64,5,FALSE)="Röd","R",IF(VLOOKUP(F35,Deltagarlista!$E$5:$I$64,5,FALSE)="Blå","B","Gu"))),"")</f>
        <v/>
      </c>
      <c r="GW35" s="62" t="str">
        <f t="shared" si="1"/>
        <v/>
      </c>
    </row>
    <row r="36" spans="1:205" ht="15.75" customHeight="1" x14ac:dyDescent="0.3">
      <c r="B36" s="23" t="str">
        <f>IF($BW$3&gt;32,33,"")</f>
        <v/>
      </c>
      <c r="C36" s="92" t="str">
        <f>IF(ISBLANK(Deltagarlista!C42),"",Deltagarlista!C42)</f>
        <v/>
      </c>
      <c r="D36" s="109" t="str">
        <f>CONCATENATE(IF(AND(Deltagarlista!H42="GM",Deltagarlista!$S$14=TRUE),"GM   ",""),  IF(OR(Deltagarlista!$K$3=4,Deltagarlista!$K$3=2),Deltagarlista!I42,""))</f>
        <v/>
      </c>
      <c r="E36" s="8" t="str">
        <f>IF(ISBLANK(Deltagarlista!D42),"",Deltagarlista!D42)</f>
        <v/>
      </c>
      <c r="F36" s="8" t="str">
        <f>IF(ISBLANK(Deltagarlista!E42),"",Deltagarlista!E42)</f>
        <v/>
      </c>
      <c r="G36" s="95" t="str">
        <f>IF(ISBLANK(Deltagarlista!F42),"",Deltagarlista!F42)</f>
        <v/>
      </c>
      <c r="H36" s="72" t="str">
        <f>IF(ISBLANK(Deltagarlista!C42),"",BU36-EE36)</f>
        <v/>
      </c>
      <c r="I36" s="13" t="str">
        <f>IF(ISBLANK(Deltagarlista!C42),"",IF(AND(Deltagarlista!$K$3=2,Deltagarlista!$L$3&lt;37),SUM(SUM(BV36:EC36)-(ROUNDDOWN(Arrangörslista!$U$5/3,1))*($BW$3+1)),SUM(BV36:EC36)))</f>
        <v/>
      </c>
      <c r="J36" s="79" t="str">
        <f>IF(Deltagarlista!$K$3=4,IF(ISBLANK(Deltagarlista!$C42),"",IF(ISBLANK(Arrangörslista!C$8),"",IFERROR(VLOOKUP($F36,Arrangörslista!C$8:$AG$45,16,FALSE),IF(ISBLANK(Deltagarlista!$C42),"",IF(ISBLANK(Arrangörslista!C$8),"",IFERROR(VLOOKUP($F36,Arrangörslista!D$8:$AG$45,16,FALSE),"DNS")))))),IF(Deltagarlista!$K$3=2,
IF(ISBLANK(Deltagarlista!$C42),"",IF(ISBLANK(Arrangörslista!C$8),"",IF($GV36=J$64," DNS ",IFERROR(VLOOKUP($F36,Arrangörslista!C$8:$AG$45,16,FALSE),"DNS")))),IF(ISBLANK(Deltagarlista!$C42),"",IF(ISBLANK(Arrangörslista!C$8),"",IFERROR(VLOOKUP($F36,Arrangörslista!C$8:$AG$45,16,FALSE),"DNS")))))</f>
        <v/>
      </c>
      <c r="K36" s="5" t="str">
        <f>IF(Deltagarlista!$K$3=4,IF(ISBLANK(Deltagarlista!$C42),"",IF(ISBLANK(Arrangörslista!E$8),"",IFERROR(VLOOKUP($F36,Arrangörslista!E$8:$AG$45,16,FALSE),IF(ISBLANK(Deltagarlista!$C42),"",IF(ISBLANK(Arrangörslista!E$8),"",IFERROR(VLOOKUP($F36,Arrangörslista!F$8:$AG$45,16,FALSE),"DNS")))))),IF(Deltagarlista!$K$3=2,
IF(ISBLANK(Deltagarlista!$C42),"",IF(ISBLANK(Arrangörslista!D$8),"",IF($GV36=K$64," DNS ",IFERROR(VLOOKUP($F36,Arrangörslista!D$8:$AG$45,16,FALSE),"DNS")))),IF(ISBLANK(Deltagarlista!$C42),"",IF(ISBLANK(Arrangörslista!D$8),"",IFERROR(VLOOKUP($F36,Arrangörslista!D$8:$AG$45,16,FALSE),"DNS")))))</f>
        <v/>
      </c>
      <c r="L36" s="5" t="str">
        <f>IF(Deltagarlista!$K$3=4,IF(ISBLANK(Deltagarlista!$C42),"",IF(ISBLANK(Arrangörslista!G$8),"",IFERROR(VLOOKUP($F36,Arrangörslista!G$8:$AG$45,16,FALSE),IF(ISBLANK(Deltagarlista!$C42),"",IF(ISBLANK(Arrangörslista!G$8),"",IFERROR(VLOOKUP($F36,Arrangörslista!H$8:$AG$45,16,FALSE),"DNS")))))),IF(Deltagarlista!$K$3=2,
IF(ISBLANK(Deltagarlista!$C42),"",IF(ISBLANK(Arrangörslista!E$8),"",IF($GV36=L$64," DNS ",IFERROR(VLOOKUP($F36,Arrangörslista!E$8:$AG$45,16,FALSE),"DNS")))),IF(ISBLANK(Deltagarlista!$C42),"",IF(ISBLANK(Arrangörslista!E$8),"",IFERROR(VLOOKUP($F36,Arrangörslista!E$8:$AG$45,16,FALSE),"DNS")))))</f>
        <v/>
      </c>
      <c r="M36" s="5" t="str">
        <f>IF(Deltagarlista!$K$3=4,IF(ISBLANK(Deltagarlista!$C42),"",IF(ISBLANK(Arrangörslista!I$8),"",IFERROR(VLOOKUP($F36,Arrangörslista!I$8:$AG$45,16,FALSE),IF(ISBLANK(Deltagarlista!$C42),"",IF(ISBLANK(Arrangörslista!I$8),"",IFERROR(VLOOKUP($F36,Arrangörslista!J$8:$AG$45,16,FALSE),"DNS")))))),IF(Deltagarlista!$K$3=2,
IF(ISBLANK(Deltagarlista!$C42),"",IF(ISBLANK(Arrangörslista!F$8),"",IF($GV36=M$64," DNS ",IFERROR(VLOOKUP($F36,Arrangörslista!F$8:$AG$45,16,FALSE),"DNS")))),IF(ISBLANK(Deltagarlista!$C42),"",IF(ISBLANK(Arrangörslista!F$8),"",IFERROR(VLOOKUP($F36,Arrangörslista!F$8:$AG$45,16,FALSE),"DNS")))))</f>
        <v/>
      </c>
      <c r="N36" s="5" t="str">
        <f>IF(Deltagarlista!$K$3=4,IF(ISBLANK(Deltagarlista!$C42),"",IF(ISBLANK(Arrangörslista!K$8),"",IFERROR(VLOOKUP($F36,Arrangörslista!K$8:$AG$45,16,FALSE),IF(ISBLANK(Deltagarlista!$C42),"",IF(ISBLANK(Arrangörslista!K$8),"",IFERROR(VLOOKUP($F36,Arrangörslista!L$8:$AG$45,16,FALSE),"DNS")))))),IF(Deltagarlista!$K$3=2,
IF(ISBLANK(Deltagarlista!$C42),"",IF(ISBLANK(Arrangörslista!G$8),"",IF($GV36=N$64," DNS ",IFERROR(VLOOKUP($F36,Arrangörslista!G$8:$AG$45,16,FALSE),"DNS")))),IF(ISBLANK(Deltagarlista!$C42),"",IF(ISBLANK(Arrangörslista!G$8),"",IFERROR(VLOOKUP($F36,Arrangörslista!G$8:$AG$45,16,FALSE),"DNS")))))</f>
        <v/>
      </c>
      <c r="O36" s="5" t="str">
        <f>IF(Deltagarlista!$K$3=4,IF(ISBLANK(Deltagarlista!$C42),"",IF(ISBLANK(Arrangörslista!M$8),"",IFERROR(VLOOKUP($F36,Arrangörslista!M$8:$AG$45,16,FALSE),IF(ISBLANK(Deltagarlista!$C42),"",IF(ISBLANK(Arrangörslista!M$8),"",IFERROR(VLOOKUP($F36,Arrangörslista!N$8:$AG$45,16,FALSE),"DNS")))))),IF(Deltagarlista!$K$3=2,
IF(ISBLANK(Deltagarlista!$C42),"",IF(ISBLANK(Arrangörslista!H$8),"",IF($GV36=O$64," DNS ",IFERROR(VLOOKUP($F36,Arrangörslista!H$8:$AG$45,16,FALSE),"DNS")))),IF(ISBLANK(Deltagarlista!$C42),"",IF(ISBLANK(Arrangörslista!H$8),"",IFERROR(VLOOKUP($F36,Arrangörslista!H$8:$AG$45,16,FALSE),"DNS")))))</f>
        <v/>
      </c>
      <c r="P36" s="5" t="str">
        <f>IF(Deltagarlista!$K$3=4,IF(ISBLANK(Deltagarlista!$C42),"",IF(ISBLANK(Arrangörslista!O$8),"",IFERROR(VLOOKUP($F36,Arrangörslista!O$8:$AG$45,16,FALSE),IF(ISBLANK(Deltagarlista!$C42),"",IF(ISBLANK(Arrangörslista!O$8),"",IFERROR(VLOOKUP($F36,Arrangörslista!P$8:$AG$45,16,FALSE),"DNS")))))),IF(Deltagarlista!$K$3=2,
IF(ISBLANK(Deltagarlista!$C42),"",IF(ISBLANK(Arrangörslista!I$8),"",IF($GV36=P$64," DNS ",IFERROR(VLOOKUP($F36,Arrangörslista!I$8:$AG$45,16,FALSE),"DNS")))),IF(ISBLANK(Deltagarlista!$C42),"",IF(ISBLANK(Arrangörslista!I$8),"",IFERROR(VLOOKUP($F36,Arrangörslista!I$8:$AG$45,16,FALSE),"DNS")))))</f>
        <v/>
      </c>
      <c r="Q36" s="5" t="str">
        <f>IF(Deltagarlista!$K$3=4,IF(ISBLANK(Deltagarlista!$C42),"",IF(ISBLANK(Arrangörslista!Q$8),"",IFERROR(VLOOKUP($F36,Arrangörslista!Q$8:$AG$45,16,FALSE),IF(ISBLANK(Deltagarlista!$C42),"",IF(ISBLANK(Arrangörslista!Q$8),"",IFERROR(VLOOKUP($F36,Arrangörslista!C$53:$AG$90,16,FALSE),"DNS")))))),IF(Deltagarlista!$K$3=2,
IF(ISBLANK(Deltagarlista!$C42),"",IF(ISBLANK(Arrangörslista!J$8),"",IF($GV36=Q$64," DNS ",IFERROR(VLOOKUP($F36,Arrangörslista!J$8:$AG$45,16,FALSE),"DNS")))),IF(ISBLANK(Deltagarlista!$C42),"",IF(ISBLANK(Arrangörslista!J$8),"",IFERROR(VLOOKUP($F36,Arrangörslista!J$8:$AG$45,16,FALSE),"DNS")))))</f>
        <v/>
      </c>
      <c r="R36" s="5" t="str">
        <f>IF(Deltagarlista!$K$3=4,IF(ISBLANK(Deltagarlista!$C42),"",IF(ISBLANK(Arrangörslista!D$53),"",IFERROR(VLOOKUP($F36,Arrangörslista!D$53:$AG$90,16,FALSE),IF(ISBLANK(Deltagarlista!$C42),"",IF(ISBLANK(Arrangörslista!D$53),"",IFERROR(VLOOKUP($F36,Arrangörslista!E$53:$AG$90,16,FALSE),"DNS")))))),IF(Deltagarlista!$K$3=2,
IF(ISBLANK(Deltagarlista!$C42),"",IF(ISBLANK(Arrangörslista!K$8),"",IF($GV36=R$64," DNS ",IFERROR(VLOOKUP($F36,Arrangörslista!K$8:$AG$45,16,FALSE),"DNS")))),IF(ISBLANK(Deltagarlista!$C42),"",IF(ISBLANK(Arrangörslista!K$8),"",IFERROR(VLOOKUP($F36,Arrangörslista!K$8:$AG$45,16,FALSE),"DNS")))))</f>
        <v/>
      </c>
      <c r="S36" s="5" t="str">
        <f>IF(Deltagarlista!$K$3=4,IF(ISBLANK(Deltagarlista!$C42),"",IF(ISBLANK(Arrangörslista!F$53),"",IFERROR(VLOOKUP($F36,Arrangörslista!F$53:$AG$90,16,FALSE),IF(ISBLANK(Deltagarlista!$C42),"",IF(ISBLANK(Arrangörslista!F$53),"",IFERROR(VLOOKUP($F36,Arrangörslista!G$53:$AG$90,16,FALSE),"DNS")))))),IF(Deltagarlista!$K$3=2,
IF(ISBLANK(Deltagarlista!$C42),"",IF(ISBLANK(Arrangörslista!L$8),"",IF($GV36=S$64," DNS ",IFERROR(VLOOKUP($F36,Arrangörslista!L$8:$AG$45,16,FALSE),"DNS")))),IF(ISBLANK(Deltagarlista!$C42),"",IF(ISBLANK(Arrangörslista!L$8),"",IFERROR(VLOOKUP($F36,Arrangörslista!L$8:$AG$45,16,FALSE),"DNS")))))</f>
        <v/>
      </c>
      <c r="T36" s="5" t="str">
        <f>IF(Deltagarlista!$K$3=4,IF(ISBLANK(Deltagarlista!$C42),"",IF(ISBLANK(Arrangörslista!H$53),"",IFERROR(VLOOKUP($F36,Arrangörslista!H$53:$AG$90,16,FALSE),IF(ISBLANK(Deltagarlista!$C42),"",IF(ISBLANK(Arrangörslista!H$53),"",IFERROR(VLOOKUP($F36,Arrangörslista!I$53:$AG$90,16,FALSE),"DNS")))))),IF(Deltagarlista!$K$3=2,
IF(ISBLANK(Deltagarlista!$C42),"",IF(ISBLANK(Arrangörslista!M$8),"",IF($GV36=T$64," DNS ",IFERROR(VLOOKUP($F36,Arrangörslista!M$8:$AG$45,16,FALSE),"DNS")))),IF(ISBLANK(Deltagarlista!$C42),"",IF(ISBLANK(Arrangörslista!M$8),"",IFERROR(VLOOKUP($F36,Arrangörslista!M$8:$AG$45,16,FALSE),"DNS")))))</f>
        <v/>
      </c>
      <c r="U36" s="5" t="str">
        <f>IF(Deltagarlista!$K$3=4,IF(ISBLANK(Deltagarlista!$C42),"",IF(ISBLANK(Arrangörslista!J$53),"",IFERROR(VLOOKUP($F36,Arrangörslista!J$53:$AG$90,16,FALSE),IF(ISBLANK(Deltagarlista!$C42),"",IF(ISBLANK(Arrangörslista!J$53),"",IFERROR(VLOOKUP($F36,Arrangörslista!K$53:$AG$90,16,FALSE),"DNS")))))),IF(Deltagarlista!$K$3=2,
IF(ISBLANK(Deltagarlista!$C42),"",IF(ISBLANK(Arrangörslista!N$8),"",IF($GV36=U$64," DNS ",IFERROR(VLOOKUP($F36,Arrangörslista!N$8:$AG$45,16,FALSE),"DNS")))),IF(ISBLANK(Deltagarlista!$C42),"",IF(ISBLANK(Arrangörslista!N$8),"",IFERROR(VLOOKUP($F36,Arrangörslista!N$8:$AG$45,16,FALSE),"DNS")))))</f>
        <v/>
      </c>
      <c r="V36" s="5" t="str">
        <f>IF(Deltagarlista!$K$3=4,IF(ISBLANK(Deltagarlista!$C42),"",IF(ISBLANK(Arrangörslista!L$53),"",IFERROR(VLOOKUP($F36,Arrangörslista!L$53:$AG$90,16,FALSE),IF(ISBLANK(Deltagarlista!$C42),"",IF(ISBLANK(Arrangörslista!L$53),"",IFERROR(VLOOKUP($F36,Arrangörslista!M$53:$AG$90,16,FALSE),"DNS")))))),IF(Deltagarlista!$K$3=2,
IF(ISBLANK(Deltagarlista!$C42),"",IF(ISBLANK(Arrangörslista!O$8),"",IF($GV36=V$64," DNS ",IFERROR(VLOOKUP($F36,Arrangörslista!O$8:$AG$45,16,FALSE),"DNS")))),IF(ISBLANK(Deltagarlista!$C42),"",IF(ISBLANK(Arrangörslista!O$8),"",IFERROR(VLOOKUP($F36,Arrangörslista!O$8:$AG$45,16,FALSE),"DNS")))))</f>
        <v/>
      </c>
      <c r="W36" s="5" t="str">
        <f>IF(Deltagarlista!$K$3=4,IF(ISBLANK(Deltagarlista!$C42),"",IF(ISBLANK(Arrangörslista!N$53),"",IFERROR(VLOOKUP($F36,Arrangörslista!N$53:$AG$90,16,FALSE),IF(ISBLANK(Deltagarlista!$C42),"",IF(ISBLANK(Arrangörslista!N$53),"",IFERROR(VLOOKUP($F36,Arrangörslista!O$53:$AG$90,16,FALSE),"DNS")))))),IF(Deltagarlista!$K$3=2,
IF(ISBLANK(Deltagarlista!$C42),"",IF(ISBLANK(Arrangörslista!P$8),"",IF($GV36=W$64," DNS ",IFERROR(VLOOKUP($F36,Arrangörslista!P$8:$AG$45,16,FALSE),"DNS")))),IF(ISBLANK(Deltagarlista!$C42),"",IF(ISBLANK(Arrangörslista!P$8),"",IFERROR(VLOOKUP($F36,Arrangörslista!P$8:$AG$45,16,FALSE),"DNS")))))</f>
        <v/>
      </c>
      <c r="X36" s="5" t="str">
        <f>IF(Deltagarlista!$K$3=4,IF(ISBLANK(Deltagarlista!$C42),"",IF(ISBLANK(Arrangörslista!P$53),"",IFERROR(VLOOKUP($F36,Arrangörslista!P$53:$AG$90,16,FALSE),IF(ISBLANK(Deltagarlista!$C42),"",IF(ISBLANK(Arrangörslista!P$53),"",IFERROR(VLOOKUP($F36,Arrangörslista!Q$53:$AG$90,16,FALSE),"DNS")))))),IF(Deltagarlista!$K$3=2,
IF(ISBLANK(Deltagarlista!$C42),"",IF(ISBLANK(Arrangörslista!Q$8),"",IF($GV36=X$64," DNS ",IFERROR(VLOOKUP($F36,Arrangörslista!Q$8:$AG$45,16,FALSE),"DNS")))),IF(ISBLANK(Deltagarlista!$C42),"",IF(ISBLANK(Arrangörslista!Q$8),"",IFERROR(VLOOKUP($F36,Arrangörslista!Q$8:$AG$45,16,FALSE),"DNS")))))</f>
        <v/>
      </c>
      <c r="Y36" s="5" t="str">
        <f>IF(Deltagarlista!$K$3=4,IF(ISBLANK(Deltagarlista!$C42),"",IF(ISBLANK(Arrangörslista!C$98),"",IFERROR(VLOOKUP($F36,Arrangörslista!C$98:$AG$135,16,FALSE),IF(ISBLANK(Deltagarlista!$C42),"",IF(ISBLANK(Arrangörslista!C$98),"",IFERROR(VLOOKUP($F36,Arrangörslista!D$98:$AG$135,16,FALSE),"DNS")))))),IF(Deltagarlista!$K$3=2,
IF(ISBLANK(Deltagarlista!$C42),"",IF(ISBLANK(Arrangörslista!C$53),"",IF($GV36=Y$64," DNS ",IFERROR(VLOOKUP($F36,Arrangörslista!C$53:$AG$90,16,FALSE),"DNS")))),IF(ISBLANK(Deltagarlista!$C42),"",IF(ISBLANK(Arrangörslista!C$53),"",IFERROR(VLOOKUP($F36,Arrangörslista!C$53:$AG$90,16,FALSE),"DNS")))))</f>
        <v/>
      </c>
      <c r="Z36" s="5" t="str">
        <f>IF(Deltagarlista!$K$3=4,IF(ISBLANK(Deltagarlista!$C42),"",IF(ISBLANK(Arrangörslista!E$98),"",IFERROR(VLOOKUP($F36,Arrangörslista!E$98:$AG$135,16,FALSE),IF(ISBLANK(Deltagarlista!$C42),"",IF(ISBLANK(Arrangörslista!E$98),"",IFERROR(VLOOKUP($F36,Arrangörslista!F$98:$AG$135,16,FALSE),"DNS")))))),IF(Deltagarlista!$K$3=2,
IF(ISBLANK(Deltagarlista!$C42),"",IF(ISBLANK(Arrangörslista!D$53),"",IF($GV36=Z$64," DNS ",IFERROR(VLOOKUP($F36,Arrangörslista!D$53:$AG$90,16,FALSE),"DNS")))),IF(ISBLANK(Deltagarlista!$C42),"",IF(ISBLANK(Arrangörslista!D$53),"",IFERROR(VLOOKUP($F36,Arrangörslista!D$53:$AG$90,16,FALSE),"DNS")))))</f>
        <v/>
      </c>
      <c r="AA36" s="5" t="str">
        <f>IF(Deltagarlista!$K$3=4,IF(ISBLANK(Deltagarlista!$C42),"",IF(ISBLANK(Arrangörslista!G$98),"",IFERROR(VLOOKUP($F36,Arrangörslista!G$98:$AG$135,16,FALSE),IF(ISBLANK(Deltagarlista!$C42),"",IF(ISBLANK(Arrangörslista!G$98),"",IFERROR(VLOOKUP($F36,Arrangörslista!H$98:$AG$135,16,FALSE),"DNS")))))),IF(Deltagarlista!$K$3=2,
IF(ISBLANK(Deltagarlista!$C42),"",IF(ISBLANK(Arrangörslista!E$53),"",IF($GV36=AA$64," DNS ",IFERROR(VLOOKUP($F36,Arrangörslista!E$53:$AG$90,16,FALSE),"DNS")))),IF(ISBLANK(Deltagarlista!$C42),"",IF(ISBLANK(Arrangörslista!E$53),"",IFERROR(VLOOKUP($F36,Arrangörslista!E$53:$AG$90,16,FALSE),"DNS")))))</f>
        <v/>
      </c>
      <c r="AB36" s="5" t="str">
        <f>IF(Deltagarlista!$K$3=4,IF(ISBLANK(Deltagarlista!$C42),"",IF(ISBLANK(Arrangörslista!I$98),"",IFERROR(VLOOKUP($F36,Arrangörslista!I$98:$AG$135,16,FALSE),IF(ISBLANK(Deltagarlista!$C42),"",IF(ISBLANK(Arrangörslista!I$98),"",IFERROR(VLOOKUP($F36,Arrangörslista!J$98:$AG$135,16,FALSE),"DNS")))))),IF(Deltagarlista!$K$3=2,
IF(ISBLANK(Deltagarlista!$C42),"",IF(ISBLANK(Arrangörslista!F$53),"",IF($GV36=AB$64," DNS ",IFERROR(VLOOKUP($F36,Arrangörslista!F$53:$AG$90,16,FALSE),"DNS")))),IF(ISBLANK(Deltagarlista!$C42),"",IF(ISBLANK(Arrangörslista!F$53),"",IFERROR(VLOOKUP($F36,Arrangörslista!F$53:$AG$90,16,FALSE),"DNS")))))</f>
        <v/>
      </c>
      <c r="AC36" s="5" t="str">
        <f>IF(Deltagarlista!$K$3=4,IF(ISBLANK(Deltagarlista!$C42),"",IF(ISBLANK(Arrangörslista!K$98),"",IFERROR(VLOOKUP($F36,Arrangörslista!K$98:$AG$135,16,FALSE),IF(ISBLANK(Deltagarlista!$C42),"",IF(ISBLANK(Arrangörslista!K$98),"",IFERROR(VLOOKUP($F36,Arrangörslista!L$98:$AG$135,16,FALSE),"DNS")))))),IF(Deltagarlista!$K$3=2,
IF(ISBLANK(Deltagarlista!$C42),"",IF(ISBLANK(Arrangörslista!G$53),"",IF($GV36=AC$64," DNS ",IFERROR(VLOOKUP($F36,Arrangörslista!G$53:$AG$90,16,FALSE),"DNS")))),IF(ISBLANK(Deltagarlista!$C42),"",IF(ISBLANK(Arrangörslista!G$53),"",IFERROR(VLOOKUP($F36,Arrangörslista!G$53:$AG$90,16,FALSE),"DNS")))))</f>
        <v/>
      </c>
      <c r="AD36" s="5" t="str">
        <f>IF(Deltagarlista!$K$3=4,IF(ISBLANK(Deltagarlista!$C42),"",IF(ISBLANK(Arrangörslista!M$98),"",IFERROR(VLOOKUP($F36,Arrangörslista!M$98:$AG$135,16,FALSE),IF(ISBLANK(Deltagarlista!$C42),"",IF(ISBLANK(Arrangörslista!M$98),"",IFERROR(VLOOKUP($F36,Arrangörslista!N$98:$AG$135,16,FALSE),"DNS")))))),IF(Deltagarlista!$K$3=2,
IF(ISBLANK(Deltagarlista!$C42),"",IF(ISBLANK(Arrangörslista!H$53),"",IF($GV36=AD$64," DNS ",IFERROR(VLOOKUP($F36,Arrangörslista!H$53:$AG$90,16,FALSE),"DNS")))),IF(ISBLANK(Deltagarlista!$C42),"",IF(ISBLANK(Arrangörslista!H$53),"",IFERROR(VLOOKUP($F36,Arrangörslista!H$53:$AG$90,16,FALSE),"DNS")))))</f>
        <v/>
      </c>
      <c r="AE36" s="5" t="str">
        <f>IF(Deltagarlista!$K$3=4,IF(ISBLANK(Deltagarlista!$C42),"",IF(ISBLANK(Arrangörslista!O$98),"",IFERROR(VLOOKUP($F36,Arrangörslista!O$98:$AG$135,16,FALSE),IF(ISBLANK(Deltagarlista!$C42),"",IF(ISBLANK(Arrangörslista!O$98),"",IFERROR(VLOOKUP($F36,Arrangörslista!P$98:$AG$135,16,FALSE),"DNS")))))),IF(Deltagarlista!$K$3=2,
IF(ISBLANK(Deltagarlista!$C42),"",IF(ISBLANK(Arrangörslista!I$53),"",IF($GV36=AE$64," DNS ",IFERROR(VLOOKUP($F36,Arrangörslista!I$53:$AG$90,16,FALSE),"DNS")))),IF(ISBLANK(Deltagarlista!$C42),"",IF(ISBLANK(Arrangörslista!I$53),"",IFERROR(VLOOKUP($F36,Arrangörslista!I$53:$AG$90,16,FALSE),"DNS")))))</f>
        <v/>
      </c>
      <c r="AF36" s="5" t="str">
        <f>IF(Deltagarlista!$K$3=4,IF(ISBLANK(Deltagarlista!$C42),"",IF(ISBLANK(Arrangörslista!Q$98),"",IFERROR(VLOOKUP($F36,Arrangörslista!Q$98:$AG$135,16,FALSE),IF(ISBLANK(Deltagarlista!$C42),"",IF(ISBLANK(Arrangörslista!Q$98),"",IFERROR(VLOOKUP($F36,Arrangörslista!C$143:$AG$180,16,FALSE),"DNS")))))),IF(Deltagarlista!$K$3=2,
IF(ISBLANK(Deltagarlista!$C42),"",IF(ISBLANK(Arrangörslista!J$53),"",IF($GV36=AF$64," DNS ",IFERROR(VLOOKUP($F36,Arrangörslista!J$53:$AG$90,16,FALSE),"DNS")))),IF(ISBLANK(Deltagarlista!$C42),"",IF(ISBLANK(Arrangörslista!J$53),"",IFERROR(VLOOKUP($F36,Arrangörslista!J$53:$AG$90,16,FALSE),"DNS")))))</f>
        <v/>
      </c>
      <c r="AG36" s="5" t="str">
        <f>IF(Deltagarlista!$K$3=4,IF(ISBLANK(Deltagarlista!$C42),"",IF(ISBLANK(Arrangörslista!D$143),"",IFERROR(VLOOKUP($F36,Arrangörslista!D$143:$AG$180,16,FALSE),IF(ISBLANK(Deltagarlista!$C42),"",IF(ISBLANK(Arrangörslista!D$143),"",IFERROR(VLOOKUP($F36,Arrangörslista!E$143:$AG$180,16,FALSE),"DNS")))))),IF(Deltagarlista!$K$3=2,
IF(ISBLANK(Deltagarlista!$C42),"",IF(ISBLANK(Arrangörslista!K$53),"",IF($GV36=AG$64," DNS ",IFERROR(VLOOKUP($F36,Arrangörslista!K$53:$AG$90,16,FALSE),"DNS")))),IF(ISBLANK(Deltagarlista!$C42),"",IF(ISBLANK(Arrangörslista!K$53),"",IFERROR(VLOOKUP($F36,Arrangörslista!K$53:$AG$90,16,FALSE),"DNS")))))</f>
        <v/>
      </c>
      <c r="AH36" s="5" t="str">
        <f>IF(Deltagarlista!$K$3=4,IF(ISBLANK(Deltagarlista!$C42),"",IF(ISBLANK(Arrangörslista!F$143),"",IFERROR(VLOOKUP($F36,Arrangörslista!F$143:$AG$180,16,FALSE),IF(ISBLANK(Deltagarlista!$C42),"",IF(ISBLANK(Arrangörslista!F$143),"",IFERROR(VLOOKUP($F36,Arrangörslista!G$143:$AG$180,16,FALSE),"DNS")))))),IF(Deltagarlista!$K$3=2,
IF(ISBLANK(Deltagarlista!$C42),"",IF(ISBLANK(Arrangörslista!L$53),"",IF($GV36=AH$64," DNS ",IFERROR(VLOOKUP($F36,Arrangörslista!L$53:$AG$90,16,FALSE),"DNS")))),IF(ISBLANK(Deltagarlista!$C42),"",IF(ISBLANK(Arrangörslista!L$53),"",IFERROR(VLOOKUP($F36,Arrangörslista!L$53:$AG$90,16,FALSE),"DNS")))))</f>
        <v/>
      </c>
      <c r="AI36" s="5" t="str">
        <f>IF(Deltagarlista!$K$3=4,IF(ISBLANK(Deltagarlista!$C42),"",IF(ISBLANK(Arrangörslista!H$143),"",IFERROR(VLOOKUP($F36,Arrangörslista!H$143:$AG$180,16,FALSE),IF(ISBLANK(Deltagarlista!$C42),"",IF(ISBLANK(Arrangörslista!H$143),"",IFERROR(VLOOKUP($F36,Arrangörslista!I$143:$AG$180,16,FALSE),"DNS")))))),IF(Deltagarlista!$K$3=2,
IF(ISBLANK(Deltagarlista!$C42),"",IF(ISBLANK(Arrangörslista!M$53),"",IF($GV36=AI$64," DNS ",IFERROR(VLOOKUP($F36,Arrangörslista!M$53:$AG$90,16,FALSE),"DNS")))),IF(ISBLANK(Deltagarlista!$C42),"",IF(ISBLANK(Arrangörslista!M$53),"",IFERROR(VLOOKUP($F36,Arrangörslista!M$53:$AG$90,16,FALSE),"DNS")))))</f>
        <v/>
      </c>
      <c r="AJ36" s="5" t="str">
        <f>IF(Deltagarlista!$K$3=4,IF(ISBLANK(Deltagarlista!$C42),"",IF(ISBLANK(Arrangörslista!J$143),"",IFERROR(VLOOKUP($F36,Arrangörslista!J$143:$AG$180,16,FALSE),IF(ISBLANK(Deltagarlista!$C42),"",IF(ISBLANK(Arrangörslista!J$143),"",IFERROR(VLOOKUP($F36,Arrangörslista!K$143:$AG$180,16,FALSE),"DNS")))))),IF(Deltagarlista!$K$3=2,
IF(ISBLANK(Deltagarlista!$C42),"",IF(ISBLANK(Arrangörslista!N$53),"",IF($GV36=AJ$64," DNS ",IFERROR(VLOOKUP($F36,Arrangörslista!N$53:$AG$90,16,FALSE),"DNS")))),IF(ISBLANK(Deltagarlista!$C42),"",IF(ISBLANK(Arrangörslista!N$53),"",IFERROR(VLOOKUP($F36,Arrangörslista!N$53:$AG$90,16,FALSE),"DNS")))))</f>
        <v/>
      </c>
      <c r="AK36" s="5" t="str">
        <f>IF(Deltagarlista!$K$3=4,IF(ISBLANK(Deltagarlista!$C42),"",IF(ISBLANK(Arrangörslista!L$143),"",IFERROR(VLOOKUP($F36,Arrangörslista!L$143:$AG$180,16,FALSE),IF(ISBLANK(Deltagarlista!$C42),"",IF(ISBLANK(Arrangörslista!L$143),"",IFERROR(VLOOKUP($F36,Arrangörslista!M$143:$AG$180,16,FALSE),"DNS")))))),IF(Deltagarlista!$K$3=2,
IF(ISBLANK(Deltagarlista!$C42),"",IF(ISBLANK(Arrangörslista!O$53),"",IF($GV36=AK$64," DNS ",IFERROR(VLOOKUP($F36,Arrangörslista!O$53:$AG$90,16,FALSE),"DNS")))),IF(ISBLANK(Deltagarlista!$C42),"",IF(ISBLANK(Arrangörslista!O$53),"",IFERROR(VLOOKUP($F36,Arrangörslista!O$53:$AG$90,16,FALSE),"DNS")))))</f>
        <v/>
      </c>
      <c r="AL36" s="5" t="str">
        <f>IF(Deltagarlista!$K$3=4,IF(ISBLANK(Deltagarlista!$C42),"",IF(ISBLANK(Arrangörslista!N$143),"",IFERROR(VLOOKUP($F36,Arrangörslista!N$143:$AG$180,16,FALSE),IF(ISBLANK(Deltagarlista!$C42),"",IF(ISBLANK(Arrangörslista!N$143),"",IFERROR(VLOOKUP($F36,Arrangörslista!O$143:$AG$180,16,FALSE),"DNS")))))),IF(Deltagarlista!$K$3=2,
IF(ISBLANK(Deltagarlista!$C42),"",IF(ISBLANK(Arrangörslista!P$53),"",IF($GV36=AL$64," DNS ",IFERROR(VLOOKUP($F36,Arrangörslista!P$53:$AG$90,16,FALSE),"DNS")))),IF(ISBLANK(Deltagarlista!$C42),"",IF(ISBLANK(Arrangörslista!P$53),"",IFERROR(VLOOKUP($F36,Arrangörslista!P$53:$AG$90,16,FALSE),"DNS")))))</f>
        <v/>
      </c>
      <c r="AM36" s="5" t="str">
        <f>IF(Deltagarlista!$K$3=4,IF(ISBLANK(Deltagarlista!$C42),"",IF(ISBLANK(Arrangörslista!P$143),"",IFERROR(VLOOKUP($F36,Arrangörslista!P$143:$AG$180,16,FALSE),IF(ISBLANK(Deltagarlista!$C42),"",IF(ISBLANK(Arrangörslista!P$143),"",IFERROR(VLOOKUP($F36,Arrangörslista!Q$143:$AG$180,16,FALSE),"DNS")))))),IF(Deltagarlista!$K$3=2,
IF(ISBLANK(Deltagarlista!$C42),"",IF(ISBLANK(Arrangörslista!Q$53),"",IF($GV36=AM$64," DNS ",IFERROR(VLOOKUP($F36,Arrangörslista!Q$53:$AG$90,16,FALSE),"DNS")))),IF(ISBLANK(Deltagarlista!$C42),"",IF(ISBLANK(Arrangörslista!Q$53),"",IFERROR(VLOOKUP($F36,Arrangörslista!Q$53:$AG$90,16,FALSE),"DNS")))))</f>
        <v/>
      </c>
      <c r="AN36" s="5" t="str">
        <f>IF(Deltagarlista!$K$3=2,
IF(ISBLANK(Deltagarlista!$C42),"",IF(ISBLANK(Arrangörslista!C$98),"",IF($GV36=AN$64," DNS ",IFERROR(VLOOKUP($F36,Arrangörslista!C$98:$AG$135,16,FALSE), "DNS")))), IF(Deltagarlista!$K$3=1,IF(ISBLANK(Deltagarlista!$C42),"",IF(ISBLANK(Arrangörslista!C$98),"",IFERROR(VLOOKUP($F36,Arrangörslista!C$98:$AG$135,16,FALSE), "DNS"))),""))</f>
        <v/>
      </c>
      <c r="AO36" s="5" t="str">
        <f>IF(Deltagarlista!$K$3=2,
IF(ISBLANK(Deltagarlista!$C42),"",IF(ISBLANK(Arrangörslista!D$98),"",IF($GV36=AO$64," DNS ",IFERROR(VLOOKUP($F36,Arrangörslista!D$98:$AG$135,16,FALSE), "DNS")))), IF(Deltagarlista!$K$3=1,IF(ISBLANK(Deltagarlista!$C42),"",IF(ISBLANK(Arrangörslista!D$98),"",IFERROR(VLOOKUP($F36,Arrangörslista!D$98:$AG$135,16,FALSE), "DNS"))),""))</f>
        <v/>
      </c>
      <c r="AP36" s="5" t="str">
        <f>IF(Deltagarlista!$K$3=2,
IF(ISBLANK(Deltagarlista!$C42),"",IF(ISBLANK(Arrangörslista!E$98),"",IF($GV36=AP$64," DNS ",IFERROR(VLOOKUP($F36,Arrangörslista!E$98:$AG$135,16,FALSE), "DNS")))), IF(Deltagarlista!$K$3=1,IF(ISBLANK(Deltagarlista!$C42),"",IF(ISBLANK(Arrangörslista!E$98),"",IFERROR(VLOOKUP($F36,Arrangörslista!E$98:$AG$135,16,FALSE), "DNS"))),""))</f>
        <v/>
      </c>
      <c r="AQ36" s="5" t="str">
        <f>IF(Deltagarlista!$K$3=2,
IF(ISBLANK(Deltagarlista!$C42),"",IF(ISBLANK(Arrangörslista!F$98),"",IF($GV36=AQ$64," DNS ",IFERROR(VLOOKUP($F36,Arrangörslista!F$98:$AG$135,16,FALSE), "DNS")))), IF(Deltagarlista!$K$3=1,IF(ISBLANK(Deltagarlista!$C42),"",IF(ISBLANK(Arrangörslista!F$98),"",IFERROR(VLOOKUP($F36,Arrangörslista!F$98:$AG$135,16,FALSE), "DNS"))),""))</f>
        <v/>
      </c>
      <c r="AR36" s="5" t="str">
        <f>IF(Deltagarlista!$K$3=2,
IF(ISBLANK(Deltagarlista!$C42),"",IF(ISBLANK(Arrangörslista!G$98),"",IF($GV36=AR$64," DNS ",IFERROR(VLOOKUP($F36,Arrangörslista!G$98:$AG$135,16,FALSE), "DNS")))), IF(Deltagarlista!$K$3=1,IF(ISBLANK(Deltagarlista!$C42),"",IF(ISBLANK(Arrangörslista!G$98),"",IFERROR(VLOOKUP($F36,Arrangörslista!G$98:$AG$135,16,FALSE), "DNS"))),""))</f>
        <v/>
      </c>
      <c r="AS36" s="5" t="str">
        <f>IF(Deltagarlista!$K$3=2,
IF(ISBLANK(Deltagarlista!$C42),"",IF(ISBLANK(Arrangörslista!H$98),"",IF($GV36=AS$64," DNS ",IFERROR(VLOOKUP($F36,Arrangörslista!H$98:$AG$135,16,FALSE), "DNS")))), IF(Deltagarlista!$K$3=1,IF(ISBLANK(Deltagarlista!$C42),"",IF(ISBLANK(Arrangörslista!H$98),"",IFERROR(VLOOKUP($F36,Arrangörslista!H$98:$AG$135,16,FALSE), "DNS"))),""))</f>
        <v/>
      </c>
      <c r="AT36" s="5" t="str">
        <f>IF(Deltagarlista!$K$3=2,
IF(ISBLANK(Deltagarlista!$C42),"",IF(ISBLANK(Arrangörslista!I$98),"",IF($GV36=AT$64," DNS ",IFERROR(VLOOKUP($F36,Arrangörslista!I$98:$AG$135,16,FALSE), "DNS")))), IF(Deltagarlista!$K$3=1,IF(ISBLANK(Deltagarlista!$C42),"",IF(ISBLANK(Arrangörslista!I$98),"",IFERROR(VLOOKUP($F36,Arrangörslista!I$98:$AG$135,16,FALSE), "DNS"))),""))</f>
        <v/>
      </c>
      <c r="AU36" s="5" t="str">
        <f>IF(Deltagarlista!$K$3=2,
IF(ISBLANK(Deltagarlista!$C42),"",IF(ISBLANK(Arrangörslista!J$98),"",IF($GV36=AU$64," DNS ",IFERROR(VLOOKUP($F36,Arrangörslista!J$98:$AG$135,16,FALSE), "DNS")))), IF(Deltagarlista!$K$3=1,IF(ISBLANK(Deltagarlista!$C42),"",IF(ISBLANK(Arrangörslista!J$98),"",IFERROR(VLOOKUP($F36,Arrangörslista!J$98:$AG$135,16,FALSE), "DNS"))),""))</f>
        <v/>
      </c>
      <c r="AV36" s="5" t="str">
        <f>IF(Deltagarlista!$K$3=2,
IF(ISBLANK(Deltagarlista!$C42),"",IF(ISBLANK(Arrangörslista!K$98),"",IF($GV36=AV$64," DNS ",IFERROR(VLOOKUP($F36,Arrangörslista!K$98:$AG$135,16,FALSE), "DNS")))), IF(Deltagarlista!$K$3=1,IF(ISBLANK(Deltagarlista!$C42),"",IF(ISBLANK(Arrangörslista!K$98),"",IFERROR(VLOOKUP($F36,Arrangörslista!K$98:$AG$135,16,FALSE), "DNS"))),""))</f>
        <v/>
      </c>
      <c r="AW36" s="5" t="str">
        <f>IF(Deltagarlista!$K$3=2,
IF(ISBLANK(Deltagarlista!$C42),"",IF(ISBLANK(Arrangörslista!L$98),"",IF($GV36=AW$64," DNS ",IFERROR(VLOOKUP($F36,Arrangörslista!L$98:$AG$135,16,FALSE), "DNS")))), IF(Deltagarlista!$K$3=1,IF(ISBLANK(Deltagarlista!$C42),"",IF(ISBLANK(Arrangörslista!L$98),"",IFERROR(VLOOKUP($F36,Arrangörslista!L$98:$AG$135,16,FALSE), "DNS"))),""))</f>
        <v/>
      </c>
      <c r="AX36" s="5" t="str">
        <f>IF(Deltagarlista!$K$3=2,
IF(ISBLANK(Deltagarlista!$C42),"",IF(ISBLANK(Arrangörslista!M$98),"",IF($GV36=AX$64," DNS ",IFERROR(VLOOKUP($F36,Arrangörslista!M$98:$AG$135,16,FALSE), "DNS")))), IF(Deltagarlista!$K$3=1,IF(ISBLANK(Deltagarlista!$C42),"",IF(ISBLANK(Arrangörslista!M$98),"",IFERROR(VLOOKUP($F36,Arrangörslista!M$98:$AG$135,16,FALSE), "DNS"))),""))</f>
        <v/>
      </c>
      <c r="AY36" s="5" t="str">
        <f>IF(Deltagarlista!$K$3=2,
IF(ISBLANK(Deltagarlista!$C42),"",IF(ISBLANK(Arrangörslista!N$98),"",IF($GV36=AY$64," DNS ",IFERROR(VLOOKUP($F36,Arrangörslista!N$98:$AG$135,16,FALSE), "DNS")))), IF(Deltagarlista!$K$3=1,IF(ISBLANK(Deltagarlista!$C42),"",IF(ISBLANK(Arrangörslista!N$98),"",IFERROR(VLOOKUP($F36,Arrangörslista!N$98:$AG$135,16,FALSE), "DNS"))),""))</f>
        <v/>
      </c>
      <c r="AZ36" s="5" t="str">
        <f>IF(Deltagarlista!$K$3=2,
IF(ISBLANK(Deltagarlista!$C42),"",IF(ISBLANK(Arrangörslista!O$98),"",IF($GV36=AZ$64," DNS ",IFERROR(VLOOKUP($F36,Arrangörslista!O$98:$AG$135,16,FALSE), "DNS")))), IF(Deltagarlista!$K$3=1,IF(ISBLANK(Deltagarlista!$C42),"",IF(ISBLANK(Arrangörslista!O$98),"",IFERROR(VLOOKUP($F36,Arrangörslista!O$98:$AG$135,16,FALSE), "DNS"))),""))</f>
        <v/>
      </c>
      <c r="BA36" s="5" t="str">
        <f>IF(Deltagarlista!$K$3=2,
IF(ISBLANK(Deltagarlista!$C42),"",IF(ISBLANK(Arrangörslista!P$98),"",IF($GV36=BA$64," DNS ",IFERROR(VLOOKUP($F36,Arrangörslista!P$98:$AG$135,16,FALSE), "DNS")))), IF(Deltagarlista!$K$3=1,IF(ISBLANK(Deltagarlista!$C42),"",IF(ISBLANK(Arrangörslista!P$98),"",IFERROR(VLOOKUP($F36,Arrangörslista!P$98:$AG$135,16,FALSE), "DNS"))),""))</f>
        <v/>
      </c>
      <c r="BB36" s="5" t="str">
        <f>IF(Deltagarlista!$K$3=2,
IF(ISBLANK(Deltagarlista!$C42),"",IF(ISBLANK(Arrangörslista!Q$98),"",IF($GV36=BB$64," DNS ",IFERROR(VLOOKUP($F36,Arrangörslista!Q$98:$AG$135,16,FALSE), "DNS")))), IF(Deltagarlista!$K$3=1,IF(ISBLANK(Deltagarlista!$C42),"",IF(ISBLANK(Arrangörslista!Q$98),"",IFERROR(VLOOKUP($F36,Arrangörslista!Q$98:$AG$135,16,FALSE), "DNS"))),""))</f>
        <v/>
      </c>
      <c r="BC36" s="5" t="str">
        <f>IF(Deltagarlista!$K$3=2,
IF(ISBLANK(Deltagarlista!$C42),"",IF(ISBLANK(Arrangörslista!C$143),"",IF($GV36=BC$64," DNS ",IFERROR(VLOOKUP($F36,Arrangörslista!C$143:$AG$180,16,FALSE), "DNS")))), IF(Deltagarlista!$K$3=1,IF(ISBLANK(Deltagarlista!$C42),"",IF(ISBLANK(Arrangörslista!C$143),"",IFERROR(VLOOKUP($F36,Arrangörslista!C$143:$AG$180,16,FALSE), "DNS"))),""))</f>
        <v/>
      </c>
      <c r="BD36" s="5" t="str">
        <f>IF(Deltagarlista!$K$3=2,
IF(ISBLANK(Deltagarlista!$C42),"",IF(ISBLANK(Arrangörslista!D$143),"",IF($GV36=BD$64," DNS ",IFERROR(VLOOKUP($F36,Arrangörslista!D$143:$AG$180,16,FALSE), "DNS")))), IF(Deltagarlista!$K$3=1,IF(ISBLANK(Deltagarlista!$C42),"",IF(ISBLANK(Arrangörslista!D$143),"",IFERROR(VLOOKUP($F36,Arrangörslista!D$143:$AG$180,16,FALSE), "DNS"))),""))</f>
        <v/>
      </c>
      <c r="BE36" s="5" t="str">
        <f>IF(Deltagarlista!$K$3=2,
IF(ISBLANK(Deltagarlista!$C42),"",IF(ISBLANK(Arrangörslista!E$143),"",IF($GV36=BE$64," DNS ",IFERROR(VLOOKUP($F36,Arrangörslista!E$143:$AG$180,16,FALSE), "DNS")))), IF(Deltagarlista!$K$3=1,IF(ISBLANK(Deltagarlista!$C42),"",IF(ISBLANK(Arrangörslista!E$143),"",IFERROR(VLOOKUP($F36,Arrangörslista!E$143:$AG$180,16,FALSE), "DNS"))),""))</f>
        <v/>
      </c>
      <c r="BF36" s="5" t="str">
        <f>IF(Deltagarlista!$K$3=2,
IF(ISBLANK(Deltagarlista!$C42),"",IF(ISBLANK(Arrangörslista!F$143),"",IF($GV36=BF$64," DNS ",IFERROR(VLOOKUP($F36,Arrangörslista!F$143:$AG$180,16,FALSE), "DNS")))), IF(Deltagarlista!$K$3=1,IF(ISBLANK(Deltagarlista!$C42),"",IF(ISBLANK(Arrangörslista!F$143),"",IFERROR(VLOOKUP($F36,Arrangörslista!F$143:$AG$180,16,FALSE), "DNS"))),""))</f>
        <v/>
      </c>
      <c r="BG36" s="5" t="str">
        <f>IF(Deltagarlista!$K$3=2,
IF(ISBLANK(Deltagarlista!$C42),"",IF(ISBLANK(Arrangörslista!G$143),"",IF($GV36=BG$64," DNS ",IFERROR(VLOOKUP($F36,Arrangörslista!G$143:$AG$180,16,FALSE), "DNS")))), IF(Deltagarlista!$K$3=1,IF(ISBLANK(Deltagarlista!$C42),"",IF(ISBLANK(Arrangörslista!G$143),"",IFERROR(VLOOKUP($F36,Arrangörslista!G$143:$AG$180,16,FALSE), "DNS"))),""))</f>
        <v/>
      </c>
      <c r="BH36" s="5" t="str">
        <f>IF(Deltagarlista!$K$3=2,
IF(ISBLANK(Deltagarlista!$C42),"",IF(ISBLANK(Arrangörslista!H$143),"",IF($GV36=BH$64," DNS ",IFERROR(VLOOKUP($F36,Arrangörslista!H$143:$AG$180,16,FALSE), "DNS")))), IF(Deltagarlista!$K$3=1,IF(ISBLANK(Deltagarlista!$C42),"",IF(ISBLANK(Arrangörslista!H$143),"",IFERROR(VLOOKUP($F36,Arrangörslista!H$143:$AG$180,16,FALSE), "DNS"))),""))</f>
        <v/>
      </c>
      <c r="BI36" s="5" t="str">
        <f>IF(Deltagarlista!$K$3=2,
IF(ISBLANK(Deltagarlista!$C42),"",IF(ISBLANK(Arrangörslista!I$143),"",IF($GV36=BI$64," DNS ",IFERROR(VLOOKUP($F36,Arrangörslista!I$143:$AG$180,16,FALSE), "DNS")))), IF(Deltagarlista!$K$3=1,IF(ISBLANK(Deltagarlista!$C42),"",IF(ISBLANK(Arrangörslista!I$143),"",IFERROR(VLOOKUP($F36,Arrangörslista!I$143:$AG$180,16,FALSE), "DNS"))),""))</f>
        <v/>
      </c>
      <c r="BJ36" s="5" t="str">
        <f>IF(Deltagarlista!$K$3=2,
IF(ISBLANK(Deltagarlista!$C42),"",IF(ISBLANK(Arrangörslista!J$143),"",IF($GV36=BJ$64," DNS ",IFERROR(VLOOKUP($F36,Arrangörslista!J$143:$AG$180,16,FALSE), "DNS")))), IF(Deltagarlista!$K$3=1,IF(ISBLANK(Deltagarlista!$C42),"",IF(ISBLANK(Arrangörslista!J$143),"",IFERROR(VLOOKUP($F36,Arrangörslista!J$143:$AG$180,16,FALSE), "DNS"))),""))</f>
        <v/>
      </c>
      <c r="BK36" s="5" t="str">
        <f>IF(Deltagarlista!$K$3=2,
IF(ISBLANK(Deltagarlista!$C42),"",IF(ISBLANK(Arrangörslista!K$143),"",IF($GV36=BK$64," DNS ",IFERROR(VLOOKUP($F36,Arrangörslista!K$143:$AG$180,16,FALSE), "DNS")))), IF(Deltagarlista!$K$3=1,IF(ISBLANK(Deltagarlista!$C42),"",IF(ISBLANK(Arrangörslista!K$143),"",IFERROR(VLOOKUP($F36,Arrangörslista!K$143:$AG$180,16,FALSE), "DNS"))),""))</f>
        <v/>
      </c>
      <c r="BL36" s="5" t="str">
        <f>IF(Deltagarlista!$K$3=2,
IF(ISBLANK(Deltagarlista!$C42),"",IF(ISBLANK(Arrangörslista!L$143),"",IF($GV36=BL$64," DNS ",IFERROR(VLOOKUP($F36,Arrangörslista!L$143:$AG$180,16,FALSE), "DNS")))), IF(Deltagarlista!$K$3=1,IF(ISBLANK(Deltagarlista!$C42),"",IF(ISBLANK(Arrangörslista!L$143),"",IFERROR(VLOOKUP($F36,Arrangörslista!L$143:$AG$180,16,FALSE), "DNS"))),""))</f>
        <v/>
      </c>
      <c r="BM36" s="5" t="str">
        <f>IF(Deltagarlista!$K$3=2,
IF(ISBLANK(Deltagarlista!$C42),"",IF(ISBLANK(Arrangörslista!M$143),"",IF($GV36=BM$64," DNS ",IFERROR(VLOOKUP($F36,Arrangörslista!M$143:$AG$180,16,FALSE), "DNS")))), IF(Deltagarlista!$K$3=1,IF(ISBLANK(Deltagarlista!$C42),"",IF(ISBLANK(Arrangörslista!M$143),"",IFERROR(VLOOKUP($F36,Arrangörslista!M$143:$AG$180,16,FALSE), "DNS"))),""))</f>
        <v/>
      </c>
      <c r="BN36" s="5" t="str">
        <f>IF(Deltagarlista!$K$3=2,
IF(ISBLANK(Deltagarlista!$C42),"",IF(ISBLANK(Arrangörslista!N$143),"",IF($GV36=BN$64," DNS ",IFERROR(VLOOKUP($F36,Arrangörslista!N$143:$AG$180,16,FALSE), "DNS")))), IF(Deltagarlista!$K$3=1,IF(ISBLANK(Deltagarlista!$C42),"",IF(ISBLANK(Arrangörslista!N$143),"",IFERROR(VLOOKUP($F36,Arrangörslista!N$143:$AG$180,16,FALSE), "DNS"))),""))</f>
        <v/>
      </c>
      <c r="BO36" s="5" t="str">
        <f>IF(Deltagarlista!$K$3=2,
IF(ISBLANK(Deltagarlista!$C42),"",IF(ISBLANK(Arrangörslista!O$143),"",IF($GV36=BO$64," DNS ",IFERROR(VLOOKUP($F36,Arrangörslista!O$143:$AG$180,16,FALSE), "DNS")))), IF(Deltagarlista!$K$3=1,IF(ISBLANK(Deltagarlista!$C42),"",IF(ISBLANK(Arrangörslista!O$143),"",IFERROR(VLOOKUP($F36,Arrangörslista!O$143:$AG$180,16,FALSE), "DNS"))),""))</f>
        <v/>
      </c>
      <c r="BP36" s="5" t="str">
        <f>IF(Deltagarlista!$K$3=2,
IF(ISBLANK(Deltagarlista!$C42),"",IF(ISBLANK(Arrangörslista!P$143),"",IF($GV36=BP$64," DNS ",IFERROR(VLOOKUP($F36,Arrangörslista!P$143:$AG$180,16,FALSE), "DNS")))), IF(Deltagarlista!$K$3=1,IF(ISBLANK(Deltagarlista!$C42),"",IF(ISBLANK(Arrangörslista!P$143),"",IFERROR(VLOOKUP($F36,Arrangörslista!P$143:$AG$180,16,FALSE), "DNS"))),""))</f>
        <v/>
      </c>
      <c r="BQ36" s="80" t="str">
        <f>IF(Deltagarlista!$K$3=2,
IF(ISBLANK(Deltagarlista!$C42),"",IF(ISBLANK(Arrangörslista!Q$143),"",IF($GV36=BQ$64," DNS ",IFERROR(VLOOKUP($F36,Arrangörslista!Q$143:$AG$180,16,FALSE), "DNS")))), IF(Deltagarlista!$K$3=1,IF(ISBLANK(Deltagarlista!$C42),"",IF(ISBLANK(Arrangörslista!Q$143),"",IFERROR(VLOOKUP($F36,Arrangörslista!Q$143:$AG$180,16,FALSE), "DNS"))),""))</f>
        <v/>
      </c>
      <c r="BR36" s="51"/>
      <c r="BS36" s="51"/>
      <c r="BT36" s="51"/>
      <c r="BU36" s="71">
        <f>SUM(BV36:EC36)</f>
        <v>0</v>
      </c>
      <c r="BV36" s="61">
        <f>IF(J36="",0,IF(OR(J36="DNF",J36="OCS",J36="DSQ",J36="DNS",J36=" DNS "),$BW$3+1,J36))</f>
        <v>0</v>
      </c>
      <c r="BW36" s="61">
        <f>IF(K36="",0,IF(OR(K36="DNF",K36="OCS",K36="DSQ",K36="DNS",K36=" DNS "),$BW$3+1,K36))</f>
        <v>0</v>
      </c>
      <c r="BX36" s="61">
        <f>IF(L36="",0,IF(OR(L36="DNF",L36="OCS",L36="DSQ",L36="DNS",L36=" DNS "),$BW$3+1,L36))</f>
        <v>0</v>
      </c>
      <c r="BY36" s="61">
        <f>IF(M36="",0,IF(OR(M36="DNF",M36="OCS",M36="DSQ",M36="DNS",M36=" DNS "),$BW$3+1,M36))</f>
        <v>0</v>
      </c>
      <c r="BZ36" s="61">
        <f>IF(N36="",0,IF(OR(N36="DNF",N36="OCS",N36="DSQ",N36="DNS",N36=" DNS "),$BW$3+1,N36))</f>
        <v>0</v>
      </c>
      <c r="CA36" s="61">
        <f>IF(O36="",0,IF(OR(O36="DNF",O36="OCS",O36="DSQ",O36="DNS",O36=" DNS "),$BW$3+1,O36))</f>
        <v>0</v>
      </c>
      <c r="CB36" s="61">
        <f>IF(P36="",0,IF(OR(P36="DNF",P36="OCS",P36="DSQ",P36="DNS",P36=" DNS "),$BW$3+1,P36))</f>
        <v>0</v>
      </c>
      <c r="CC36" s="61">
        <f>IF(Q36="",0,IF(OR(Q36="DNF",Q36="OCS",Q36="DSQ",Q36="DNS",Q36=" DNS "),$BW$3+1,Q36))</f>
        <v>0</v>
      </c>
      <c r="CD36" s="61">
        <f>IF(R36="",0,IF(OR(R36="DNF",R36="OCS",R36="DSQ",R36="DNS",R36=" DNS "),$BW$3+1,R36))</f>
        <v>0</v>
      </c>
      <c r="CE36" s="61">
        <f>IF(S36="",0,IF(OR(S36="DNF",S36="OCS",S36="DSQ",S36="DNS",S36=" DNS "),$BW$3+1,S36))</f>
        <v>0</v>
      </c>
      <c r="CF36" s="61">
        <f>IF(T36="",0,IF(OR(T36="DNF",T36="OCS",T36="DSQ",T36="DNS",T36=" DNS "),$BW$3+1,T36))</f>
        <v>0</v>
      </c>
      <c r="CG36" s="61">
        <f>IF(U36="",0,IF(OR(U36="DNF",U36="OCS",U36="DSQ",U36="DNS",U36=" DNS "),$BW$3+1,U36))</f>
        <v>0</v>
      </c>
      <c r="CH36" s="61">
        <f>IF(V36="",0,IF(OR(V36="DNF",V36="OCS",V36="DSQ",V36="DNS",V36=" DNS "),$BW$3+1,V36))</f>
        <v>0</v>
      </c>
      <c r="CI36" s="61">
        <f>IF(W36="",0,IF(OR(W36="DNF",W36="OCS",W36="DSQ",W36="DNS",W36=" DNS "),$BW$3+1,W36))</f>
        <v>0</v>
      </c>
      <c r="CJ36" s="61">
        <f>IF(X36="",0,IF(OR(X36="DNF",X36="OCS",X36="DSQ",X36="DNS",X36=" DNS "),$BW$3+1,X36))</f>
        <v>0</v>
      </c>
      <c r="CK36" s="61">
        <f>IF(Y36="",0,IF(OR(Y36="DNF",Y36="OCS",Y36="DSQ",Y36="DNS",Y36=" DNS "),$BW$3+1,Y36))</f>
        <v>0</v>
      </c>
      <c r="CL36" s="61">
        <f>IF(Z36="",0,IF(OR(Z36="DNF",Z36="OCS",Z36="DSQ",Z36="DNS",Z36=" DNS "),$BW$3+1,Z36))</f>
        <v>0</v>
      </c>
      <c r="CM36" s="61">
        <f>IF(AA36="",0,IF(OR(AA36="DNF",AA36="OCS",AA36="DSQ",AA36="DNS",AA36=" DNS "),$BW$3+1,AA36))</f>
        <v>0</v>
      </c>
      <c r="CN36" s="61">
        <f>IF(AB36="",0,IF(OR(AB36="DNF",AB36="OCS",AB36="DSQ",AB36="DNS",AB36=" DNS "),$BW$3+1,AB36))</f>
        <v>0</v>
      </c>
      <c r="CO36" s="61">
        <f>IF(AC36="",0,IF(OR(AC36="DNF",AC36="OCS",AC36="DSQ",AC36="DNS",AC36=" DNS "),$BW$3+1,AC36))</f>
        <v>0</v>
      </c>
      <c r="CP36" s="61">
        <f>IF(AD36="",0,IF(OR(AD36="DNF",AD36="OCS",AD36="DSQ",AD36="DNS",AD36=" DNS "),$BW$3+1,AD36))</f>
        <v>0</v>
      </c>
      <c r="CQ36" s="61">
        <f>IF(AE36="",0,IF(OR(AE36="DNF",AE36="OCS",AE36="DSQ",AE36="DNS",AE36=" DNS "),$BW$3+1,AE36))</f>
        <v>0</v>
      </c>
      <c r="CR36" s="61">
        <f>IF(AF36="",0,IF(OR(AF36="DNF",AF36="OCS",AF36="DSQ",AF36="DNS",AF36=" DNS "),$BW$3+1,AF36))</f>
        <v>0</v>
      </c>
      <c r="CS36" s="61">
        <f>IF(AG36="",0,IF(OR(AG36="DNF",AG36="OCS",AG36="DSQ",AG36="DNS",AG36=" DNS "),$BW$3+1,AG36))</f>
        <v>0</v>
      </c>
      <c r="CT36" s="61">
        <f>IF(AH36="",0,IF(OR(AH36="DNF",AH36="OCS",AH36="DSQ",AH36="DNS",AH36=" DNS "),$BW$3+1,AH36))</f>
        <v>0</v>
      </c>
      <c r="CU36" s="61">
        <f>IF(AI36="",0,IF(OR(AI36="DNF",AI36="OCS",AI36="DSQ",AI36="DNS",AI36=" DNS "),$BW$3+1,AI36))</f>
        <v>0</v>
      </c>
      <c r="CV36" s="61">
        <f>IF(AJ36="",0,IF(OR(AJ36="DNF",AJ36="OCS",AJ36="DSQ",AJ36="DNS",AJ36=" DNS "),$BW$3+1,AJ36))</f>
        <v>0</v>
      </c>
      <c r="CW36" s="61">
        <f>IF(AK36="",0,IF(OR(AK36="DNF",AK36="OCS",AK36="DSQ",AK36="DNS",AK36=" DNS "),$BW$3+1,AK36))</f>
        <v>0</v>
      </c>
      <c r="CX36" s="61">
        <f>IF(AL36="",0,IF(OR(AL36="DNF",AL36="OCS",AL36="DSQ",AL36="DNS",AL36=" DNS "),$BW$3+1,AL36))</f>
        <v>0</v>
      </c>
      <c r="CY36" s="61">
        <f>IF(AM36="",0,IF(OR(AM36="DNF",AM36="OCS",AM36="DSQ",AM36="DNS",AM36=" DNS "),$BW$3+1,AM36))</f>
        <v>0</v>
      </c>
      <c r="CZ36" s="61">
        <f>IF(AN36="",0,IF(OR(AN36="DNF",AN36="OCS",AN36="DSQ",AN36="DNS",AN36=" DNS "),$BW$3+1,AN36))</f>
        <v>0</v>
      </c>
      <c r="DA36" s="61">
        <f>IF(AO36="",0,IF(OR(AO36="DNF",AO36="OCS",AO36="DSQ",AO36="DNS",AO36=" DNS "),$BW$3+1,AO36))</f>
        <v>0</v>
      </c>
      <c r="DB36" s="61">
        <f>IF(AP36="",0,IF(OR(AP36="DNF",AP36="OCS",AP36="DSQ",AP36="DNS",AP36=" DNS "),$BW$3+1,AP36))</f>
        <v>0</v>
      </c>
      <c r="DC36" s="61">
        <f>IF(AQ36="",0,IF(OR(AQ36="DNF",AQ36="OCS",AQ36="DSQ",AQ36="DNS",AQ36=" DNS "),$BW$3+1,AQ36))</f>
        <v>0</v>
      </c>
      <c r="DD36" s="61">
        <f>IF(AR36="",0,IF(OR(AR36="DNF",AR36="OCS",AR36="DSQ",AR36="DNS",AR36=" DNS "),$BW$3+1,AR36))</f>
        <v>0</v>
      </c>
      <c r="DE36" s="61">
        <f>IF(AS36="",0,IF(OR(AS36="DNF",AS36="OCS",AS36="DSQ",AS36="DNS",AS36=" DNS "),$BW$3+1,AS36))</f>
        <v>0</v>
      </c>
      <c r="DF36" s="61">
        <f>IF(AT36="",0,IF(OR(AT36="DNF",AT36="OCS",AT36="DSQ",AT36="DNS",AT36=" DNS "),$BW$3+1,AT36))</f>
        <v>0</v>
      </c>
      <c r="DG36" s="61">
        <f>IF(AU36="",0,IF(OR(AU36="DNF",AU36="OCS",AU36="DSQ",AU36="DNS",AU36=" DNS "),$BW$3+1,AU36))</f>
        <v>0</v>
      </c>
      <c r="DH36" s="61">
        <f>IF(AV36="",0,IF(OR(AV36="DNF",AV36="OCS",AV36="DSQ",AV36="DNS",AV36=" DNS "),$BW$3+1,AV36))</f>
        <v>0</v>
      </c>
      <c r="DI36" s="61">
        <f>IF(AW36="",0,IF(OR(AW36="DNF",AW36="OCS",AW36="DSQ",AW36="DNS",AW36=" DNS "),$BW$3+1,AW36))</f>
        <v>0</v>
      </c>
      <c r="DJ36" s="61">
        <f>IF(AX36="",0,IF(OR(AX36="DNF",AX36="OCS",AX36="DSQ",AX36="DNS",AX36=" DNS "),$BW$3+1,AX36))</f>
        <v>0</v>
      </c>
      <c r="DK36" s="61">
        <f>IF(AY36="",0,IF(OR(AY36="DNF",AY36="OCS",AY36="DSQ",AY36="DNS",AY36=" DNS "),$BW$3+1,AY36))</f>
        <v>0</v>
      </c>
      <c r="DL36" s="61">
        <f>IF(AZ36="",0,IF(OR(AZ36="DNF",AZ36="OCS",AZ36="DSQ",AZ36="DNS",AZ36=" DNS "),$BW$3+1,AZ36))</f>
        <v>0</v>
      </c>
      <c r="DM36" s="61">
        <f>IF(BA36="",0,IF(OR(BA36="DNF",BA36="OCS",BA36="DSQ",BA36="DNS",BA36=" DNS "),$BW$3+1,BA36))</f>
        <v>0</v>
      </c>
      <c r="DN36" s="61">
        <f>IF(BB36="",0,IF(OR(BB36="DNF",BB36="OCS",BB36="DSQ",BB36="DNS",BB36=" DNS "),$BW$3+1,BB36))</f>
        <v>0</v>
      </c>
      <c r="DO36" s="61">
        <f>IF(BC36="",0,IF(OR(BC36="DNF",BC36="OCS",BC36="DSQ",BC36="DNS",BC36=" DNS "),$BW$3+1,BC36))</f>
        <v>0</v>
      </c>
      <c r="DP36" s="61">
        <f>IF(BD36="",0,IF(OR(BD36="DNF",BD36="OCS",BD36="DSQ",BD36="DNS",BD36=" DNS "),$BW$3+1,BD36))</f>
        <v>0</v>
      </c>
      <c r="DQ36" s="61">
        <f>IF(BE36="",0,IF(OR(BE36="DNF",BE36="OCS",BE36="DSQ",BE36="DNS",BE36=" DNS "),$BW$3+1,BE36))</f>
        <v>0</v>
      </c>
      <c r="DR36" s="61">
        <f>IF(BF36="",0,IF(OR(BF36="DNF",BF36="OCS",BF36="DSQ",BF36="DNS",BF36=" DNS "),$BW$3+1,BF36))</f>
        <v>0</v>
      </c>
      <c r="DS36" s="61">
        <f>IF(BG36="",0,IF(OR(BG36="DNF",BG36="OCS",BG36="DSQ",BG36="DNS",BG36=" DNS "),$BW$3+1,BG36))</f>
        <v>0</v>
      </c>
      <c r="DT36" s="61">
        <f>IF(BH36="",0,IF(OR(BH36="DNF",BH36="OCS",BH36="DSQ",BH36="DNS",BH36=" DNS "),$BW$3+1,BH36))</f>
        <v>0</v>
      </c>
      <c r="DU36" s="61">
        <f>IF(BI36="",0,IF(OR(BI36="DNF",BI36="OCS",BI36="DSQ",BI36="DNS",BI36=" DNS "),$BW$3+1,BI36))</f>
        <v>0</v>
      </c>
      <c r="DV36" s="61">
        <f>IF(BJ36="",0,IF(OR(BJ36="DNF",BJ36="OCS",BJ36="DSQ",BJ36="DNS",BJ36=" DNS "),$BW$3+1,BJ36))</f>
        <v>0</v>
      </c>
      <c r="DW36" s="61">
        <f>IF(BK36="",0,IF(OR(BK36="DNF",BK36="OCS",BK36="DSQ",BK36="DNS",BK36=" DNS "),$BW$3+1,BK36))</f>
        <v>0</v>
      </c>
      <c r="DX36" s="61">
        <f>IF(BL36="",0,IF(OR(BL36="DNF",BL36="OCS",BL36="DSQ",BL36="DNS",BL36=" DNS "),$BW$3+1,BL36))</f>
        <v>0</v>
      </c>
      <c r="DY36" s="61">
        <f>IF(BM36="",0,IF(OR(BM36="DNF",BM36="OCS",BM36="DSQ",BM36="DNS",BM36=" DNS "),$BW$3+1,BM36))</f>
        <v>0</v>
      </c>
      <c r="DZ36" s="61">
        <f>IF(BN36="",0,IF(OR(BN36="DNF",BN36="OCS",BN36="DSQ",BN36="DNS",BN36=" DNS "),$BW$3+1,BN36))</f>
        <v>0</v>
      </c>
      <c r="EA36" s="61">
        <f>IF(BO36="",0,IF(OR(BO36="DNF",BO36="OCS",BO36="DSQ",BO36="DNS",BO36=" DNS "),$BW$3+1,BO36))</f>
        <v>0</v>
      </c>
      <c r="EB36" s="61">
        <f>IF(BP36="",0,IF(OR(BP36="DNF",BP36="OCS",BP36="DSQ",BP36="DNS",BP36=" DNS "),$BW$3+1,BP36))</f>
        <v>0</v>
      </c>
      <c r="EC36" s="61">
        <f>IF(BQ36="",0,IF(OR(BQ36="DNF",BQ36="OCS",BQ36="DSQ",BQ36="DNS",BQ36=" DNS "),$BW$3+1,BQ36))</f>
        <v>0</v>
      </c>
      <c r="EE36" s="61">
        <f xml:space="preserve">
IF(OR(Deltagarlista!$K$3=3,Deltagarlista!$K$3=4),
IF(Arrangörslista!$U$5&lt;8,0,
IF(Arrangörslista!$U$5&lt;16,SUM(LARGE(BV36:CJ36,1)),
IF(Arrangörslista!$U$5&lt;24,SUM(LARGE(BV36:CR36,{1;2})),
IF(Arrangörslista!$U$5&lt;32,SUM(LARGE(BV36:CZ36,{1;2;3})),
IF(Arrangörslista!$U$5&lt;40,SUM(LARGE(BV36:DH36,{1;2;3;4})),
IF(Arrangörslista!$U$5&lt;48,SUM(LARGE(BV36:DP36,{1;2;3;4;5})),
IF(Arrangörslista!$U$5&lt;56,SUM(LARGE(BV36:DX36,{1;2;3;4;5;6})),
IF(Arrangörslista!$U$5&lt;64,SUM(LARGE(BV36:EC36,{1;2;3;4;5;6;7})),0)))))))),
IF(Deltagarlista!$K$3=2,
IF(Arrangörslista!$U$5&lt;4,LARGE(BV36:BX36,1),
IF(Arrangörslista!$U$5&lt;7,SUM(LARGE(BV36:CA36,{1;2;3})),
IF(Arrangörslista!$U$5&lt;10,SUM(LARGE(BV36:CD36,{1;2;3;4})),
IF(Arrangörslista!$U$5&lt;13,SUM(LARGE(BV36:CG36,{1;2;3;4;5;6})),
IF(Arrangörslista!$U$5&lt;16,SUM(LARGE(BV36:CJ36,{1;2;3;4;5;6;7})),
IF(Arrangörslista!$U$5&lt;19,SUM(LARGE(BV36:CM36,{1;2;3;4;5;6;7;8;9})),
IF(Arrangörslista!$U$5&lt;22,SUM(LARGE(BV36:CP36,{1;2;3;4;5;6;7;8;9;10})),
IF(Arrangörslista!$U$5&lt;25,SUM(LARGE(BV36:CS36,{1;2;3;4;5;6;7;8;9;10;11;12})),
IF(Arrangörslista!$U$5&lt;28,SUM(LARGE(BV36:CV36,{1;2;3;4;5;6;7;8;9;10;11;12;13})),
IF(Arrangörslista!$U$5&lt;31,SUM(LARGE(BV36:CY36,{1;2;3;4;5;6;7;8;9;10;11;12;13;14;15})),
IF(Arrangörslista!$U$5&lt;34,SUM(LARGE(BV36:DB36,{1;2;3;4;5;6;7;8;9;10;11;12;13;14;15;16})),
IF(Arrangörslista!$U$5&lt;37,SUM(LARGE(BV36:DE36,{1;2;3;4;5;6;7;8;9;10;11;12;13;14;15;16;17;18})),
IF(Arrangörslista!$U$5&lt;40,SUM(LARGE(BV36:DH36,{1;2;3;4;5;6;7;8;9;10;11;12;13;14;15;16;17;18;19})),
IF(Arrangörslista!$U$5&lt;43,SUM(LARGE(BV36:DK36,{1;2;3;4;5;6;7;8;9;10;11;12;13;14;15;16;17;18;19;20;21})),
IF(Arrangörslista!$U$5&lt;46,SUM(LARGE(BV36:DN36,{1;2;3;4;5;6;7;8;9;10;11;12;13;14;15;16;17;18;19;20;21;22})),
IF(Arrangörslista!$U$5&lt;49,SUM(LARGE(BV36:DQ36,{1;2;3;4;5;6;7;8;9;10;11;12;13;14;15;16;17;18;19;20;21;22;23;24})),
IF(Arrangörslista!$U$5&lt;52,SUM(LARGE(BV36:DT36,{1;2;3;4;5;6;7;8;9;10;11;12;13;14;15;16;17;18;19;20;21;22;23;24;25})),
IF(Arrangörslista!$U$5&lt;55,SUM(LARGE(BV36:DW36,{1;2;3;4;5;6;7;8;9;10;11;12;13;14;15;16;17;18;19;20;21;22;23;24;25;26;27})),
IF(Arrangörslista!$U$5&lt;58,SUM(LARGE(BV36:DZ36,{1;2;3;4;5;6;7;8;9;10;11;12;13;14;15;16;17;18;19;20;21;22;23;24;25;26;27;28})),
IF(Arrangörslista!$U$5&lt;61,SUM(LARGE(BV36:EC36,{1;2;3;4;5;6;7;8;9;10;11;12;13;14;15;16;17;18;19;20;21;22;23;24;25;26;27;28;29;30})),0)))))))))))))))))))),
IF(Arrangörslista!$U$5&lt;4,0,
IF(Arrangörslista!$U$5&lt;8,SUM(LARGE(BV36:CB36,1)),
IF(Arrangörslista!$U$5&lt;12,SUM(LARGE(BV36:CF36,{1;2})),
IF(Arrangörslista!$U$5&lt;16,SUM(LARGE(BV36:CJ36,{1;2;3})),
IF(Arrangörslista!$U$5&lt;20,SUM(LARGE(BV36:CN36,{1;2;3;4})),
IF(Arrangörslista!$U$5&lt;24,SUM(LARGE(BV36:CR36,{1;2;3;4;5})),
IF(Arrangörslista!$U$5&lt;28,SUM(LARGE(BV36:CV36,{1;2;3;4;5;6})),
IF(Arrangörslista!$U$5&lt;32,SUM(LARGE(BV36:CZ36,{1;2;3;4;5;6;7})),
IF(Arrangörslista!$U$5&lt;36,SUM(LARGE(BV36:DD36,{1;2;3;4;5;6;7;8})),
IF(Arrangörslista!$U$5&lt;40,SUM(LARGE(BV36:DH36,{1;2;3;4;5;6;7;8;9})),
IF(Arrangörslista!$U$5&lt;44,SUM(LARGE(BV36:DL36,{1;2;3;4;5;6;7;8;9;10})),
IF(Arrangörslista!$U$5&lt;48,SUM(LARGE(BV36:DP36,{1;2;3;4;5;6;7;8;9;10;11})),
IF(Arrangörslista!$U$5&lt;52,SUM(LARGE(BV36:DT36,{1;2;3;4;5;6;7;8;9;10;11;12})),
IF(Arrangörslista!$U$5&lt;56,SUM(LARGE(BV36:DX36,{1;2;3;4;5;6;7;8;9;10;11;12;13})),
IF(Arrangörslista!$U$5&lt;60,SUM(LARGE(BV36:EB36,{1;2;3;4;5;6;7;8;9;10;11;12;13;14})),
IF(Arrangörslista!$U$5=60,SUM(LARGE(BV36:EC36,{1;2;3;4;5;6;7;8;9;10;11;12;13;14;15})),0))))))))))))))))))</f>
        <v>0</v>
      </c>
      <c r="EG36" s="67">
        <f>IF(F36="",,1)</f>
        <v>0</v>
      </c>
      <c r="EH36" s="61"/>
      <c r="EI36" s="61"/>
      <c r="EK36" s="62">
        <f>SMALL($J99:$BQ99,1)</f>
        <v>61</v>
      </c>
      <c r="EL36" s="62">
        <f>SMALL($J99:$BQ99,2)</f>
        <v>61</v>
      </c>
      <c r="EM36" s="62">
        <f>SMALL($J99:$BQ99,3)</f>
        <v>61</v>
      </c>
      <c r="EN36" s="62">
        <f>SMALL($J99:$BQ99,4)</f>
        <v>61</v>
      </c>
      <c r="EO36" s="62">
        <f>SMALL($J99:$BQ99,5)</f>
        <v>61</v>
      </c>
      <c r="EP36" s="62">
        <f>SMALL($J99:$BQ99,6)</f>
        <v>61</v>
      </c>
      <c r="EQ36" s="62">
        <f>SMALL($J99:$BQ99,7)</f>
        <v>61</v>
      </c>
      <c r="ER36" s="62">
        <f>SMALL($J99:$BQ99,8)</f>
        <v>61</v>
      </c>
      <c r="ES36" s="62">
        <f>SMALL($J99:$BQ99,9)</f>
        <v>61</v>
      </c>
      <c r="ET36" s="62">
        <f>SMALL($J99:$BQ99,10)</f>
        <v>61</v>
      </c>
      <c r="EU36" s="62">
        <f>SMALL($J99:$BQ99,11)</f>
        <v>61</v>
      </c>
      <c r="EV36" s="62">
        <f>SMALL($J99:$BQ99,12)</f>
        <v>61</v>
      </c>
      <c r="EW36" s="62">
        <f>SMALL($J99:$BQ99,13)</f>
        <v>61</v>
      </c>
      <c r="EX36" s="62">
        <f>SMALL($J99:$BQ99,14)</f>
        <v>61</v>
      </c>
      <c r="EY36" s="62">
        <f>SMALL($J99:$BQ99,15)</f>
        <v>61</v>
      </c>
      <c r="EZ36" s="62">
        <f>SMALL($J99:$BQ99,16)</f>
        <v>61</v>
      </c>
      <c r="FA36" s="62">
        <f>SMALL($J99:$BQ99,17)</f>
        <v>61</v>
      </c>
      <c r="FB36" s="62">
        <f>SMALL($J99:$BQ99,18)</f>
        <v>61</v>
      </c>
      <c r="FC36" s="62">
        <f>SMALL($J99:$BQ99,19)</f>
        <v>61</v>
      </c>
      <c r="FD36" s="62">
        <f>SMALL($J99:$BQ99,20)</f>
        <v>61</v>
      </c>
      <c r="FE36" s="62">
        <f>SMALL($J99:$BQ99,21)</f>
        <v>61</v>
      </c>
      <c r="FF36" s="62">
        <f>SMALL($J99:$BQ99,22)</f>
        <v>61</v>
      </c>
      <c r="FG36" s="62">
        <f>SMALL($J99:$BQ99,23)</f>
        <v>61</v>
      </c>
      <c r="FH36" s="62">
        <f>SMALL($J99:$BQ99,24)</f>
        <v>61</v>
      </c>
      <c r="FI36" s="62">
        <f>SMALL($J99:$BQ99,25)</f>
        <v>61</v>
      </c>
      <c r="FJ36" s="62">
        <f>SMALL($J99:$BQ99,26)</f>
        <v>61</v>
      </c>
      <c r="FK36" s="62">
        <f>SMALL($J99:$BQ99,27)</f>
        <v>61</v>
      </c>
      <c r="FL36" s="62">
        <f>SMALL($J99:$BQ99,28)</f>
        <v>61</v>
      </c>
      <c r="FM36" s="62">
        <f>SMALL($J99:$BQ99,29)</f>
        <v>61</v>
      </c>
      <c r="FN36" s="62">
        <f>SMALL($J99:$BQ99,30)</f>
        <v>61</v>
      </c>
      <c r="FO36" s="62">
        <f>SMALL($J99:$BQ99,31)</f>
        <v>61</v>
      </c>
      <c r="FP36" s="62">
        <f>SMALL($J99:$BQ99,32)</f>
        <v>61</v>
      </c>
      <c r="FQ36" s="62">
        <f>SMALL($J99:$BQ99,33)</f>
        <v>61</v>
      </c>
      <c r="FR36" s="62">
        <f>SMALL($J99:$BQ99,34)</f>
        <v>61</v>
      </c>
      <c r="FS36" s="62">
        <f>SMALL($J99:$BQ99,35)</f>
        <v>61</v>
      </c>
      <c r="FT36" s="62">
        <f>SMALL($J99:$BQ99,36)</f>
        <v>61</v>
      </c>
      <c r="FU36" s="62">
        <f>SMALL($J99:$BQ99,37)</f>
        <v>61</v>
      </c>
      <c r="FV36" s="62">
        <f>SMALL($J99:$BQ99,38)</f>
        <v>61</v>
      </c>
      <c r="FW36" s="62">
        <f>SMALL($J99:$BQ99,39)</f>
        <v>61</v>
      </c>
      <c r="FX36" s="62">
        <f>SMALL($J99:$BQ99,40)</f>
        <v>61</v>
      </c>
      <c r="FY36" s="62">
        <f>SMALL($J99:$BQ99,41)</f>
        <v>61</v>
      </c>
      <c r="FZ36" s="62">
        <f>SMALL($J99:$BQ99,42)</f>
        <v>61</v>
      </c>
      <c r="GA36" s="62">
        <f>SMALL($J99:$BQ99,43)</f>
        <v>61</v>
      </c>
      <c r="GB36" s="62">
        <f>SMALL($J99:$BQ99,44)</f>
        <v>61</v>
      </c>
      <c r="GC36" s="62">
        <f>SMALL($J99:$BQ99,45)</f>
        <v>61</v>
      </c>
      <c r="GD36" s="62">
        <f>SMALL($J99:$BQ99,46)</f>
        <v>61</v>
      </c>
      <c r="GE36" s="62">
        <f>SMALL($J99:$BQ99,47)</f>
        <v>61</v>
      </c>
      <c r="GF36" s="62">
        <f>SMALL($J99:$BQ99,48)</f>
        <v>61</v>
      </c>
      <c r="GG36" s="62">
        <f>SMALL($J99:$BQ99,49)</f>
        <v>61</v>
      </c>
      <c r="GH36" s="62">
        <f>SMALL($J99:$BQ99,50)</f>
        <v>61</v>
      </c>
      <c r="GI36" s="62">
        <f>SMALL($J99:$BQ99,51)</f>
        <v>61</v>
      </c>
      <c r="GJ36" s="62">
        <f>SMALL($J99:$BQ99,52)</f>
        <v>61</v>
      </c>
      <c r="GK36" s="62">
        <f>SMALL($J99:$BQ99,53)</f>
        <v>61</v>
      </c>
      <c r="GL36" s="62">
        <f>SMALL($J99:$BQ99,54)</f>
        <v>61</v>
      </c>
      <c r="GM36" s="62">
        <f>SMALL($J99:$BQ99,55)</f>
        <v>61</v>
      </c>
      <c r="GN36" s="62">
        <f>SMALL($J99:$BQ99,56)</f>
        <v>61</v>
      </c>
      <c r="GO36" s="62">
        <f>SMALL($J99:$BQ99,57)</f>
        <v>61</v>
      </c>
      <c r="GP36" s="62">
        <f>SMALL($J99:$BQ99,58)</f>
        <v>61</v>
      </c>
      <c r="GQ36" s="62">
        <f>SMALL($J99:$BQ99,59)</f>
        <v>61</v>
      </c>
      <c r="GR36" s="62">
        <f>SMALL($J99:$BQ99,60)</f>
        <v>61</v>
      </c>
      <c r="GT36" s="62">
        <f>IF(Deltagarlista!$K$3=2,
IF(GW36="1",
      IF(Arrangörslista!$U$5=1,J99,
IF(Arrangörslista!$U$5=2,K99,
IF(Arrangörslista!$U$5=3,L99,
IF(Arrangörslista!$U$5=4,M99,
IF(Arrangörslista!$U$5=5,N99,
IF(Arrangörslista!$U$5=6,O99,
IF(Arrangörslista!$U$5=7,P99,
IF(Arrangörslista!$U$5=8,Q99,
IF(Arrangörslista!$U$5=9,R99,
IF(Arrangörslista!$U$5=10,S99,
IF(Arrangörslista!$U$5=11,T99,
IF(Arrangörslista!$U$5=12,U99,
IF(Arrangörslista!$U$5=13,V99,
IF(Arrangörslista!$U$5=14,W99,
IF(Arrangörslista!$U$5=15,X99,
IF(Arrangörslista!$U$5=16,Y99,IF(Arrangörslista!$U$5=17,Z99,IF(Arrangörslista!$U$5=18,AA99,IF(Arrangörslista!$U$5=19,AB99,IF(Arrangörslista!$U$5=20,AC99,IF(Arrangörslista!$U$5=21,AD99,IF(Arrangörslista!$U$5=22,AE99,IF(Arrangörslista!$U$5=23,AF99, IF(Arrangörslista!$U$5=24,AG99, IF(Arrangörslista!$U$5=25,AH99, IF(Arrangörslista!$U$5=26,AI99, IF(Arrangörslista!$U$5=27,AJ99, IF(Arrangörslista!$U$5=28,AK99, IF(Arrangörslista!$U$5=29,AL99, IF(Arrangörslista!$U$5=30,AM99, IF(Arrangörslista!$U$5=31,AN99, IF(Arrangörslista!$U$5=32,AO99, IF(Arrangörslista!$U$5=33,AP99, IF(Arrangörslista!$U$5=34,AQ99, IF(Arrangörslista!$U$5=35,AR99, IF(Arrangörslista!$U$5=36,AS99, IF(Arrangörslista!$U$5=37,AT99, IF(Arrangörslista!$U$5=38,AU99, IF(Arrangörslista!$U$5=39,AV99, IF(Arrangörslista!$U$5=40,AW99, IF(Arrangörslista!$U$5=41,AX99, IF(Arrangörslista!$U$5=42,AY99, IF(Arrangörslista!$U$5=43,AZ99, IF(Arrangörslista!$U$5=44,BA99, IF(Arrangörslista!$U$5=45,BB99, IF(Arrangörslista!$U$5=46,BC99, IF(Arrangörslista!$U$5=47,BD99, IF(Arrangörslista!$U$5=48,BE99, IF(Arrangörslista!$U$5=49,BF99, IF(Arrangörslista!$U$5=50,BG99, IF(Arrangörslista!$U$5=51,BH99, IF(Arrangörslista!$U$5=52,BI99, IF(Arrangörslista!$U$5=53,BJ99, IF(Arrangörslista!$U$5=54,BK99, IF(Arrangörslista!$U$5=55,BL99, IF(Arrangörslista!$U$5=56,BM99, IF(Arrangörslista!$U$5=57,BN99, IF(Arrangörslista!$U$5=58,BO99, IF(Arrangörslista!$U$5=59,BP99, IF(Arrangörslista!$U$5=60,BQ99,0))))))))))))))))))))))))))))))))))))))))))))))))))))))))))))),IF(Deltagarlista!$K$3=4, IF(Arrangörslista!$U$5=1,J99,
IF(Arrangörslista!$U$5=2,J99,
IF(Arrangörslista!$U$5=3,K99,
IF(Arrangörslista!$U$5=4,K99,
IF(Arrangörslista!$U$5=5,L99,
IF(Arrangörslista!$U$5=6,L99,
IF(Arrangörslista!$U$5=7,M99,
IF(Arrangörslista!$U$5=8,M99,
IF(Arrangörslista!$U$5=9,N99,
IF(Arrangörslista!$U$5=10,N99,
IF(Arrangörslista!$U$5=11,O99,
IF(Arrangörslista!$U$5=12,O99,
IF(Arrangörslista!$U$5=13,P99,
IF(Arrangörslista!$U$5=14,P99,
IF(Arrangörslista!$U$5=15,Q99,
IF(Arrangörslista!$U$5=16,Q99,
IF(Arrangörslista!$U$5=17,R99,
IF(Arrangörslista!$U$5=18,R99,
IF(Arrangörslista!$U$5=19,S99,
IF(Arrangörslista!$U$5=20,S99,
IF(Arrangörslista!$U$5=21,T99,
IF(Arrangörslista!$U$5=22,T99,IF(Arrangörslista!$U$5=23,U99, IF(Arrangörslista!$U$5=24,U99, IF(Arrangörslista!$U$5=25,V99, IF(Arrangörslista!$U$5=26,V99, IF(Arrangörslista!$U$5=27,W99, IF(Arrangörslista!$U$5=28,W99, IF(Arrangörslista!$U$5=29,X99, IF(Arrangörslista!$U$5=30,X99, IF(Arrangörslista!$U$5=31,X99, IF(Arrangörslista!$U$5=32,Y99, IF(Arrangörslista!$U$5=33,AO99, IF(Arrangörslista!$U$5=34,Y99, IF(Arrangörslista!$U$5=35,Z99, IF(Arrangörslista!$U$5=36,AR99, IF(Arrangörslista!$U$5=37,Z99, IF(Arrangörslista!$U$5=38,AA99, IF(Arrangörslista!$U$5=39,AU99, IF(Arrangörslista!$U$5=40,AA99, IF(Arrangörslista!$U$5=41,AB99, IF(Arrangörslista!$U$5=42,AX99, IF(Arrangörslista!$U$5=43,AB99, IF(Arrangörslista!$U$5=44,AC99, IF(Arrangörslista!$U$5=45,BA99, IF(Arrangörslista!$U$5=46,AC99, IF(Arrangörslista!$U$5=47,AD99, IF(Arrangörslista!$U$5=48,BD99, IF(Arrangörslista!$U$5=49,AD99, IF(Arrangörslista!$U$5=50,AE99, IF(Arrangörslista!$U$5=51,BG99, IF(Arrangörslista!$U$5=52,AE99, IF(Arrangörslista!$U$5=53,AF99, IF(Arrangörslista!$U$5=54,BJ99, IF(Arrangörslista!$U$5=55,AF99, IF(Arrangörslista!$U$5=56,AG99, IF(Arrangörslista!$U$5=57,BM99, IF(Arrangörslista!$U$5=58,AG99, IF(Arrangörslista!$U$5=59,AH99, IF(Arrangörslista!$U$5=60,AH99,0)))))))))))))))))))))))))))))))))))))))))))))))))))))))))))),IF(Arrangörslista!$U$5=1,J99,
IF(Arrangörslista!$U$5=2,K99,
IF(Arrangörslista!$U$5=3,L99,
IF(Arrangörslista!$U$5=4,M99,
IF(Arrangörslista!$U$5=5,N99,
IF(Arrangörslista!$U$5=6,O99,
IF(Arrangörslista!$U$5=7,P99,
IF(Arrangörslista!$U$5=8,Q99,
IF(Arrangörslista!$U$5=9,R99,
IF(Arrangörslista!$U$5=10,S99,
IF(Arrangörslista!$U$5=11,T99,
IF(Arrangörslista!$U$5=12,U99,
IF(Arrangörslista!$U$5=13,V99,
IF(Arrangörslista!$U$5=14,W99,
IF(Arrangörslista!$U$5=15,X99,
IF(Arrangörslista!$U$5=16,Y99,IF(Arrangörslista!$U$5=17,Z99,IF(Arrangörslista!$U$5=18,AA99,IF(Arrangörslista!$U$5=19,AB99,IF(Arrangörslista!$U$5=20,AC99,IF(Arrangörslista!$U$5=21,AD99,IF(Arrangörslista!$U$5=22,AE99,IF(Arrangörslista!$U$5=23,AF99, IF(Arrangörslista!$U$5=24,AG99, IF(Arrangörslista!$U$5=25,AH99, IF(Arrangörslista!$U$5=26,AI99, IF(Arrangörslista!$U$5=27,AJ99, IF(Arrangörslista!$U$5=28,AK99, IF(Arrangörslista!$U$5=29,AL99, IF(Arrangörslista!$U$5=30,AM99, IF(Arrangörslista!$U$5=31,AN99, IF(Arrangörslista!$U$5=32,AO99, IF(Arrangörslista!$U$5=33,AP99, IF(Arrangörslista!$U$5=34,AQ99, IF(Arrangörslista!$U$5=35,AR99, IF(Arrangörslista!$U$5=36,AS99, IF(Arrangörslista!$U$5=37,AT99, IF(Arrangörslista!$U$5=38,AU99, IF(Arrangörslista!$U$5=39,AV99, IF(Arrangörslista!$U$5=40,AW99, IF(Arrangörslista!$U$5=41,AX99, IF(Arrangörslista!$U$5=42,AY99, IF(Arrangörslista!$U$5=43,AZ99, IF(Arrangörslista!$U$5=44,BA99, IF(Arrangörslista!$U$5=45,BB99, IF(Arrangörslista!$U$5=46,BC99, IF(Arrangörslista!$U$5=47,BD99, IF(Arrangörslista!$U$5=48,BE99, IF(Arrangörslista!$U$5=49,BF99, IF(Arrangörslista!$U$5=50,BG99, IF(Arrangörslista!$U$5=51,BH99, IF(Arrangörslista!$U$5=52,BI99, IF(Arrangörslista!$U$5=53,BJ99, IF(Arrangörslista!$U$5=54,BK99, IF(Arrangörslista!$U$5=55,BL99, IF(Arrangörslista!$U$5=56,BM99, IF(Arrangörslista!$U$5=57,BN99, IF(Arrangörslista!$U$5=58,BO99, IF(Arrangörslista!$U$5=59,BP99, IF(Arrangörslista!$U$5=60,BQ99,0))))))))))))))))))))))))))))))))))))))))))))))))))))))))))))
))</f>
        <v>0</v>
      </c>
      <c r="GV36" s="65" t="str">
        <f>IFERROR(IF(VLOOKUP(F36,Deltagarlista!$E$5:$I$64,5,FALSE)="Grön","Gr",IF(VLOOKUP(F36,Deltagarlista!$E$5:$I$64,5,FALSE)="Röd","R",IF(VLOOKUP(F36,Deltagarlista!$E$5:$I$64,5,FALSE)="Blå","B","Gu"))),"")</f>
        <v/>
      </c>
      <c r="GW36" s="62" t="str">
        <f t="shared" si="1"/>
        <v/>
      </c>
    </row>
    <row r="37" spans="1:205" ht="15.75" customHeight="1" x14ac:dyDescent="0.3">
      <c r="B37" s="23" t="str">
        <f>IF($BW$3&gt;33,34,"")</f>
        <v/>
      </c>
      <c r="C37" s="92" t="str">
        <f>IF(ISBLANK(Deltagarlista!C34),"",Deltagarlista!C34)</f>
        <v/>
      </c>
      <c r="D37" s="109" t="str">
        <f>CONCATENATE(IF(AND(Deltagarlista!H34="GM",Deltagarlista!$S$14=TRUE),"GM   ",""),  IF(OR(Deltagarlista!$K$3=4,Deltagarlista!$K$3=2),Deltagarlista!I34,""))</f>
        <v/>
      </c>
      <c r="E37" s="8" t="str">
        <f>IF(ISBLANK(Deltagarlista!D34),"",Deltagarlista!D34)</f>
        <v/>
      </c>
      <c r="F37" s="8" t="str">
        <f>IF(ISBLANK(Deltagarlista!E34),"",Deltagarlista!E34)</f>
        <v/>
      </c>
      <c r="G37" s="95" t="str">
        <f>IF(ISBLANK(Deltagarlista!F34),"",Deltagarlista!F34)</f>
        <v/>
      </c>
      <c r="H37" s="72" t="str">
        <f>IF(ISBLANK(Deltagarlista!C34),"",BU37-EE37)</f>
        <v/>
      </c>
      <c r="I37" s="13" t="str">
        <f>IF(ISBLANK(Deltagarlista!C34),"",IF(AND(Deltagarlista!$K$3=2,Deltagarlista!$L$3&lt;37),SUM(SUM(BV37:EC37)-(ROUNDDOWN(Arrangörslista!$U$5/3,1))*($BW$3+1)),SUM(BV37:EC37)))</f>
        <v/>
      </c>
      <c r="J37" s="79" t="str">
        <f>IF(Deltagarlista!$K$3=4,IF(ISBLANK(Deltagarlista!$C34),"",IF(ISBLANK(Arrangörslista!C$8),"",IFERROR(VLOOKUP($F37,Arrangörslista!C$8:$AG$45,16,FALSE),IF(ISBLANK(Deltagarlista!$C34),"",IF(ISBLANK(Arrangörslista!C$8),"",IFERROR(VLOOKUP($F37,Arrangörslista!D$8:$AG$45,16,FALSE),"DNS")))))),IF(Deltagarlista!$K$3=2,
IF(ISBLANK(Deltagarlista!$C34),"",IF(ISBLANK(Arrangörslista!C$8),"",IF($GV37=J$64," DNS ",IFERROR(VLOOKUP($F37,Arrangörslista!C$8:$AG$45,16,FALSE),"DNS")))),IF(ISBLANK(Deltagarlista!$C34),"",IF(ISBLANK(Arrangörslista!C$8),"",IFERROR(VLOOKUP($F37,Arrangörslista!C$8:$AG$45,16,FALSE),"DNS")))))</f>
        <v/>
      </c>
      <c r="K37" s="5" t="str">
        <f>IF(Deltagarlista!$K$3=4,IF(ISBLANK(Deltagarlista!$C34),"",IF(ISBLANK(Arrangörslista!E$8),"",IFERROR(VLOOKUP($F37,Arrangörslista!E$8:$AG$45,16,FALSE),IF(ISBLANK(Deltagarlista!$C34),"",IF(ISBLANK(Arrangörslista!E$8),"",IFERROR(VLOOKUP($F37,Arrangörslista!F$8:$AG$45,16,FALSE),"DNS")))))),IF(Deltagarlista!$K$3=2,
IF(ISBLANK(Deltagarlista!$C34),"",IF(ISBLANK(Arrangörslista!D$8),"",IF($GV37=K$64," DNS ",IFERROR(VLOOKUP($F37,Arrangörslista!D$8:$AG$45,16,FALSE),"DNS")))),IF(ISBLANK(Deltagarlista!$C34),"",IF(ISBLANK(Arrangörslista!D$8),"",IFERROR(VLOOKUP($F37,Arrangörslista!D$8:$AG$45,16,FALSE),"DNS")))))</f>
        <v/>
      </c>
      <c r="L37" s="5" t="str">
        <f>IF(Deltagarlista!$K$3=4,IF(ISBLANK(Deltagarlista!$C34),"",IF(ISBLANK(Arrangörslista!G$8),"",IFERROR(VLOOKUP($F37,Arrangörslista!G$8:$AG$45,16,FALSE),IF(ISBLANK(Deltagarlista!$C34),"",IF(ISBLANK(Arrangörslista!G$8),"",IFERROR(VLOOKUP($F37,Arrangörslista!H$8:$AG$45,16,FALSE),"DNS")))))),IF(Deltagarlista!$K$3=2,
IF(ISBLANK(Deltagarlista!$C34),"",IF(ISBLANK(Arrangörslista!E$8),"",IF($GV37=L$64," DNS ",IFERROR(VLOOKUP($F37,Arrangörslista!E$8:$AG$45,16,FALSE),"DNS")))),IF(ISBLANK(Deltagarlista!$C34),"",IF(ISBLANK(Arrangörslista!E$8),"",IFERROR(VLOOKUP($F37,Arrangörslista!E$8:$AG$45,16,FALSE),"DNS")))))</f>
        <v/>
      </c>
      <c r="M37" s="5" t="str">
        <f>IF(Deltagarlista!$K$3=4,IF(ISBLANK(Deltagarlista!$C34),"",IF(ISBLANK(Arrangörslista!I$8),"",IFERROR(VLOOKUP($F37,Arrangörslista!I$8:$AG$45,16,FALSE),IF(ISBLANK(Deltagarlista!$C34),"",IF(ISBLANK(Arrangörslista!I$8),"",IFERROR(VLOOKUP($F37,Arrangörslista!J$8:$AG$45,16,FALSE),"DNS")))))),IF(Deltagarlista!$K$3=2,
IF(ISBLANK(Deltagarlista!$C34),"",IF(ISBLANK(Arrangörslista!F$8),"",IF($GV37=M$64," DNS ",IFERROR(VLOOKUP($F37,Arrangörslista!F$8:$AG$45,16,FALSE),"DNS")))),IF(ISBLANK(Deltagarlista!$C34),"",IF(ISBLANK(Arrangörslista!F$8),"",IFERROR(VLOOKUP($F37,Arrangörslista!F$8:$AG$45,16,FALSE),"DNS")))))</f>
        <v/>
      </c>
      <c r="N37" s="5" t="str">
        <f>IF(Deltagarlista!$K$3=4,IF(ISBLANK(Deltagarlista!$C34),"",IF(ISBLANK(Arrangörslista!K$8),"",IFERROR(VLOOKUP($F37,Arrangörslista!K$8:$AG$45,16,FALSE),IF(ISBLANK(Deltagarlista!$C34),"",IF(ISBLANK(Arrangörslista!K$8),"",IFERROR(VLOOKUP($F37,Arrangörslista!L$8:$AG$45,16,FALSE),"DNS")))))),IF(Deltagarlista!$K$3=2,
IF(ISBLANK(Deltagarlista!$C34),"",IF(ISBLANK(Arrangörslista!G$8),"",IF($GV37=N$64," DNS ",IFERROR(VLOOKUP($F37,Arrangörslista!G$8:$AG$45,16,FALSE),"DNS")))),IF(ISBLANK(Deltagarlista!$C34),"",IF(ISBLANK(Arrangörslista!G$8),"",IFERROR(VLOOKUP($F37,Arrangörslista!G$8:$AG$45,16,FALSE),"DNS")))))</f>
        <v/>
      </c>
      <c r="O37" s="5" t="str">
        <f>IF(Deltagarlista!$K$3=4,IF(ISBLANK(Deltagarlista!$C34),"",IF(ISBLANK(Arrangörslista!M$8),"",IFERROR(VLOOKUP($F37,Arrangörslista!M$8:$AG$45,16,FALSE),IF(ISBLANK(Deltagarlista!$C34),"",IF(ISBLANK(Arrangörslista!M$8),"",IFERROR(VLOOKUP($F37,Arrangörslista!N$8:$AG$45,16,FALSE),"DNS")))))),IF(Deltagarlista!$K$3=2,
IF(ISBLANK(Deltagarlista!$C34),"",IF(ISBLANK(Arrangörslista!H$8),"",IF($GV37=O$64," DNS ",IFERROR(VLOOKUP($F37,Arrangörslista!H$8:$AG$45,16,FALSE),"DNS")))),IF(ISBLANK(Deltagarlista!$C34),"",IF(ISBLANK(Arrangörslista!H$8),"",IFERROR(VLOOKUP($F37,Arrangörslista!H$8:$AG$45,16,FALSE),"DNS")))))</f>
        <v/>
      </c>
      <c r="P37" s="5" t="str">
        <f>IF(Deltagarlista!$K$3=4,IF(ISBLANK(Deltagarlista!$C34),"",IF(ISBLANK(Arrangörslista!O$8),"",IFERROR(VLOOKUP($F37,Arrangörslista!O$8:$AG$45,16,FALSE),IF(ISBLANK(Deltagarlista!$C34),"",IF(ISBLANK(Arrangörslista!O$8),"",IFERROR(VLOOKUP($F37,Arrangörslista!P$8:$AG$45,16,FALSE),"DNS")))))),IF(Deltagarlista!$K$3=2,
IF(ISBLANK(Deltagarlista!$C34),"",IF(ISBLANK(Arrangörslista!I$8),"",IF($GV37=P$64," DNS ",IFERROR(VLOOKUP($F37,Arrangörslista!I$8:$AG$45,16,FALSE),"DNS")))),IF(ISBLANK(Deltagarlista!$C34),"",IF(ISBLANK(Arrangörslista!I$8),"",IFERROR(VLOOKUP($F37,Arrangörslista!I$8:$AG$45,16,FALSE),"DNS")))))</f>
        <v/>
      </c>
      <c r="Q37" s="5" t="str">
        <f>IF(Deltagarlista!$K$3=4,IF(ISBLANK(Deltagarlista!$C34),"",IF(ISBLANK(Arrangörslista!Q$8),"",IFERROR(VLOOKUP($F37,Arrangörslista!Q$8:$AG$45,16,FALSE),IF(ISBLANK(Deltagarlista!$C34),"",IF(ISBLANK(Arrangörslista!Q$8),"",IFERROR(VLOOKUP($F37,Arrangörslista!C$53:$AG$90,16,FALSE),"DNS")))))),IF(Deltagarlista!$K$3=2,
IF(ISBLANK(Deltagarlista!$C34),"",IF(ISBLANK(Arrangörslista!J$8),"",IF($GV37=Q$64," DNS ",IFERROR(VLOOKUP($F37,Arrangörslista!J$8:$AG$45,16,FALSE),"DNS")))),IF(ISBLANK(Deltagarlista!$C34),"",IF(ISBLANK(Arrangörslista!J$8),"",IFERROR(VLOOKUP($F37,Arrangörslista!J$8:$AG$45,16,FALSE),"DNS")))))</f>
        <v/>
      </c>
      <c r="R37" s="5" t="str">
        <f>IF(Deltagarlista!$K$3=4,IF(ISBLANK(Deltagarlista!$C34),"",IF(ISBLANK(Arrangörslista!D$53),"",IFERROR(VLOOKUP($F37,Arrangörslista!D$53:$AG$90,16,FALSE),IF(ISBLANK(Deltagarlista!$C34),"",IF(ISBLANK(Arrangörslista!D$53),"",IFERROR(VLOOKUP($F37,Arrangörslista!E$53:$AG$90,16,FALSE),"DNS")))))),IF(Deltagarlista!$K$3=2,
IF(ISBLANK(Deltagarlista!$C34),"",IF(ISBLANK(Arrangörslista!K$8),"",IF($GV37=R$64," DNS ",IFERROR(VLOOKUP($F37,Arrangörslista!K$8:$AG$45,16,FALSE),"DNS")))),IF(ISBLANK(Deltagarlista!$C34),"",IF(ISBLANK(Arrangörslista!K$8),"",IFERROR(VLOOKUP($F37,Arrangörslista!K$8:$AG$45,16,FALSE),"DNS")))))</f>
        <v/>
      </c>
      <c r="S37" s="5" t="str">
        <f>IF(Deltagarlista!$K$3=4,IF(ISBLANK(Deltagarlista!$C34),"",IF(ISBLANK(Arrangörslista!F$53),"",IFERROR(VLOOKUP($F37,Arrangörslista!F$53:$AG$90,16,FALSE),IF(ISBLANK(Deltagarlista!$C34),"",IF(ISBLANK(Arrangörslista!F$53),"",IFERROR(VLOOKUP($F37,Arrangörslista!G$53:$AG$90,16,FALSE),"DNS")))))),IF(Deltagarlista!$K$3=2,
IF(ISBLANK(Deltagarlista!$C34),"",IF(ISBLANK(Arrangörslista!L$8),"",IF($GV37=S$64," DNS ",IFERROR(VLOOKUP($F37,Arrangörslista!L$8:$AG$45,16,FALSE),"DNS")))),IF(ISBLANK(Deltagarlista!$C34),"",IF(ISBLANK(Arrangörslista!L$8),"",IFERROR(VLOOKUP($F37,Arrangörslista!L$8:$AG$45,16,FALSE),"DNS")))))</f>
        <v/>
      </c>
      <c r="T37" s="5" t="str">
        <f>IF(Deltagarlista!$K$3=4,IF(ISBLANK(Deltagarlista!$C34),"",IF(ISBLANK(Arrangörslista!H$53),"",IFERROR(VLOOKUP($F37,Arrangörslista!H$53:$AG$90,16,FALSE),IF(ISBLANK(Deltagarlista!$C34),"",IF(ISBLANK(Arrangörslista!H$53),"",IFERROR(VLOOKUP($F37,Arrangörslista!I$53:$AG$90,16,FALSE),"DNS")))))),IF(Deltagarlista!$K$3=2,
IF(ISBLANK(Deltagarlista!$C34),"",IF(ISBLANK(Arrangörslista!M$8),"",IF($GV37=T$64," DNS ",IFERROR(VLOOKUP($F37,Arrangörslista!M$8:$AG$45,16,FALSE),"DNS")))),IF(ISBLANK(Deltagarlista!$C34),"",IF(ISBLANK(Arrangörslista!M$8),"",IFERROR(VLOOKUP($F37,Arrangörslista!M$8:$AG$45,16,FALSE),"DNS")))))</f>
        <v/>
      </c>
      <c r="U37" s="5" t="str">
        <f>IF(Deltagarlista!$K$3=4,IF(ISBLANK(Deltagarlista!$C34),"",IF(ISBLANK(Arrangörslista!J$53),"",IFERROR(VLOOKUP($F37,Arrangörslista!J$53:$AG$90,16,FALSE),IF(ISBLANK(Deltagarlista!$C34),"",IF(ISBLANK(Arrangörslista!J$53),"",IFERROR(VLOOKUP($F37,Arrangörslista!K$53:$AG$90,16,FALSE),"DNS")))))),IF(Deltagarlista!$K$3=2,
IF(ISBLANK(Deltagarlista!$C34),"",IF(ISBLANK(Arrangörslista!N$8),"",IF($GV37=U$64," DNS ",IFERROR(VLOOKUP($F37,Arrangörslista!N$8:$AG$45,16,FALSE),"DNS")))),IF(ISBLANK(Deltagarlista!$C34),"",IF(ISBLANK(Arrangörslista!N$8),"",IFERROR(VLOOKUP($F37,Arrangörslista!N$8:$AG$45,16,FALSE),"DNS")))))</f>
        <v/>
      </c>
      <c r="V37" s="5" t="str">
        <f>IF(Deltagarlista!$K$3=4,IF(ISBLANK(Deltagarlista!$C34),"",IF(ISBLANK(Arrangörslista!L$53),"",IFERROR(VLOOKUP($F37,Arrangörslista!L$53:$AG$90,16,FALSE),IF(ISBLANK(Deltagarlista!$C34),"",IF(ISBLANK(Arrangörslista!L$53),"",IFERROR(VLOOKUP($F37,Arrangörslista!M$53:$AG$90,16,FALSE),"DNS")))))),IF(Deltagarlista!$K$3=2,
IF(ISBLANK(Deltagarlista!$C34),"",IF(ISBLANK(Arrangörslista!O$8),"",IF($GV37=V$64," DNS ",IFERROR(VLOOKUP($F37,Arrangörslista!O$8:$AG$45,16,FALSE),"DNS")))),IF(ISBLANK(Deltagarlista!$C34),"",IF(ISBLANK(Arrangörslista!O$8),"",IFERROR(VLOOKUP($F37,Arrangörslista!O$8:$AG$45,16,FALSE),"DNS")))))</f>
        <v/>
      </c>
      <c r="W37" s="5" t="str">
        <f>IF(Deltagarlista!$K$3=4,IF(ISBLANK(Deltagarlista!$C34),"",IF(ISBLANK(Arrangörslista!N$53),"",IFERROR(VLOOKUP($F37,Arrangörslista!N$53:$AG$90,16,FALSE),IF(ISBLANK(Deltagarlista!$C34),"",IF(ISBLANK(Arrangörslista!N$53),"",IFERROR(VLOOKUP($F37,Arrangörslista!O$53:$AG$90,16,FALSE),"DNS")))))),IF(Deltagarlista!$K$3=2,
IF(ISBLANK(Deltagarlista!$C34),"",IF(ISBLANK(Arrangörslista!P$8),"",IF($GV37=W$64," DNS ",IFERROR(VLOOKUP($F37,Arrangörslista!P$8:$AG$45,16,FALSE),"DNS")))),IF(ISBLANK(Deltagarlista!$C34),"",IF(ISBLANK(Arrangörslista!P$8),"",IFERROR(VLOOKUP($F37,Arrangörslista!P$8:$AG$45,16,FALSE),"DNS")))))</f>
        <v/>
      </c>
      <c r="X37" s="5" t="str">
        <f>IF(Deltagarlista!$K$3=4,IF(ISBLANK(Deltagarlista!$C34),"",IF(ISBLANK(Arrangörslista!P$53),"",IFERROR(VLOOKUP($F37,Arrangörslista!P$53:$AG$90,16,FALSE),IF(ISBLANK(Deltagarlista!$C34),"",IF(ISBLANK(Arrangörslista!P$53),"",IFERROR(VLOOKUP($F37,Arrangörslista!Q$53:$AG$90,16,FALSE),"DNS")))))),IF(Deltagarlista!$K$3=2,
IF(ISBLANK(Deltagarlista!$C34),"",IF(ISBLANK(Arrangörslista!Q$8),"",IF($GV37=X$64," DNS ",IFERROR(VLOOKUP($F37,Arrangörslista!Q$8:$AG$45,16,FALSE),"DNS")))),IF(ISBLANK(Deltagarlista!$C34),"",IF(ISBLANK(Arrangörslista!Q$8),"",IFERROR(VLOOKUP($F37,Arrangörslista!Q$8:$AG$45,16,FALSE),"DNS")))))</f>
        <v/>
      </c>
      <c r="Y37" s="5" t="str">
        <f>IF(Deltagarlista!$K$3=4,IF(ISBLANK(Deltagarlista!$C34),"",IF(ISBLANK(Arrangörslista!C$98),"",IFERROR(VLOOKUP($F37,Arrangörslista!C$98:$AG$135,16,FALSE),IF(ISBLANK(Deltagarlista!$C34),"",IF(ISBLANK(Arrangörslista!C$98),"",IFERROR(VLOOKUP($F37,Arrangörslista!D$98:$AG$135,16,FALSE),"DNS")))))),IF(Deltagarlista!$K$3=2,
IF(ISBLANK(Deltagarlista!$C34),"",IF(ISBLANK(Arrangörslista!C$53),"",IF($GV37=Y$64," DNS ",IFERROR(VLOOKUP($F37,Arrangörslista!C$53:$AG$90,16,FALSE),"DNS")))),IF(ISBLANK(Deltagarlista!$C34),"",IF(ISBLANK(Arrangörslista!C$53),"",IFERROR(VLOOKUP($F37,Arrangörslista!C$53:$AG$90,16,FALSE),"DNS")))))</f>
        <v/>
      </c>
      <c r="Z37" s="5" t="str">
        <f>IF(Deltagarlista!$K$3=4,IF(ISBLANK(Deltagarlista!$C34),"",IF(ISBLANK(Arrangörslista!E$98),"",IFERROR(VLOOKUP($F37,Arrangörslista!E$98:$AG$135,16,FALSE),IF(ISBLANK(Deltagarlista!$C34),"",IF(ISBLANK(Arrangörslista!E$98),"",IFERROR(VLOOKUP($F37,Arrangörslista!F$98:$AG$135,16,FALSE),"DNS")))))),IF(Deltagarlista!$K$3=2,
IF(ISBLANK(Deltagarlista!$C34),"",IF(ISBLANK(Arrangörslista!D$53),"",IF($GV37=Z$64," DNS ",IFERROR(VLOOKUP($F37,Arrangörslista!D$53:$AG$90,16,FALSE),"DNS")))),IF(ISBLANK(Deltagarlista!$C34),"",IF(ISBLANK(Arrangörslista!D$53),"",IFERROR(VLOOKUP($F37,Arrangörslista!D$53:$AG$90,16,FALSE),"DNS")))))</f>
        <v/>
      </c>
      <c r="AA37" s="5" t="str">
        <f>IF(Deltagarlista!$K$3=4,IF(ISBLANK(Deltagarlista!$C34),"",IF(ISBLANK(Arrangörslista!G$98),"",IFERROR(VLOOKUP($F37,Arrangörslista!G$98:$AG$135,16,FALSE),IF(ISBLANK(Deltagarlista!$C34),"",IF(ISBLANK(Arrangörslista!G$98),"",IFERROR(VLOOKUP($F37,Arrangörslista!H$98:$AG$135,16,FALSE),"DNS")))))),IF(Deltagarlista!$K$3=2,
IF(ISBLANK(Deltagarlista!$C34),"",IF(ISBLANK(Arrangörslista!E$53),"",IF($GV37=AA$64," DNS ",IFERROR(VLOOKUP($F37,Arrangörslista!E$53:$AG$90,16,FALSE),"DNS")))),IF(ISBLANK(Deltagarlista!$C34),"",IF(ISBLANK(Arrangörslista!E$53),"",IFERROR(VLOOKUP($F37,Arrangörslista!E$53:$AG$90,16,FALSE),"DNS")))))</f>
        <v/>
      </c>
      <c r="AB37" s="5" t="str">
        <f>IF(Deltagarlista!$K$3=4,IF(ISBLANK(Deltagarlista!$C34),"",IF(ISBLANK(Arrangörslista!I$98),"",IFERROR(VLOOKUP($F37,Arrangörslista!I$98:$AG$135,16,FALSE),IF(ISBLANK(Deltagarlista!$C34),"",IF(ISBLANK(Arrangörslista!I$98),"",IFERROR(VLOOKUP($F37,Arrangörslista!J$98:$AG$135,16,FALSE),"DNS")))))),IF(Deltagarlista!$K$3=2,
IF(ISBLANK(Deltagarlista!$C34),"",IF(ISBLANK(Arrangörslista!F$53),"",IF($GV37=AB$64," DNS ",IFERROR(VLOOKUP($F37,Arrangörslista!F$53:$AG$90,16,FALSE),"DNS")))),IF(ISBLANK(Deltagarlista!$C34),"",IF(ISBLANK(Arrangörslista!F$53),"",IFERROR(VLOOKUP($F37,Arrangörslista!F$53:$AG$90,16,FALSE),"DNS")))))</f>
        <v/>
      </c>
      <c r="AC37" s="5" t="str">
        <f>IF(Deltagarlista!$K$3=4,IF(ISBLANK(Deltagarlista!$C34),"",IF(ISBLANK(Arrangörslista!K$98),"",IFERROR(VLOOKUP($F37,Arrangörslista!K$98:$AG$135,16,FALSE),IF(ISBLANK(Deltagarlista!$C34),"",IF(ISBLANK(Arrangörslista!K$98),"",IFERROR(VLOOKUP($F37,Arrangörslista!L$98:$AG$135,16,FALSE),"DNS")))))),IF(Deltagarlista!$K$3=2,
IF(ISBLANK(Deltagarlista!$C34),"",IF(ISBLANK(Arrangörslista!G$53),"",IF($GV37=AC$64," DNS ",IFERROR(VLOOKUP($F37,Arrangörslista!G$53:$AG$90,16,FALSE),"DNS")))),IF(ISBLANK(Deltagarlista!$C34),"",IF(ISBLANK(Arrangörslista!G$53),"",IFERROR(VLOOKUP($F37,Arrangörslista!G$53:$AG$90,16,FALSE),"DNS")))))</f>
        <v/>
      </c>
      <c r="AD37" s="5" t="str">
        <f>IF(Deltagarlista!$K$3=4,IF(ISBLANK(Deltagarlista!$C34),"",IF(ISBLANK(Arrangörslista!M$98),"",IFERROR(VLOOKUP($F37,Arrangörslista!M$98:$AG$135,16,FALSE),IF(ISBLANK(Deltagarlista!$C34),"",IF(ISBLANK(Arrangörslista!M$98),"",IFERROR(VLOOKUP($F37,Arrangörslista!N$98:$AG$135,16,FALSE),"DNS")))))),IF(Deltagarlista!$K$3=2,
IF(ISBLANK(Deltagarlista!$C34),"",IF(ISBLANK(Arrangörslista!H$53),"",IF($GV37=AD$64," DNS ",IFERROR(VLOOKUP($F37,Arrangörslista!H$53:$AG$90,16,FALSE),"DNS")))),IF(ISBLANK(Deltagarlista!$C34),"",IF(ISBLANK(Arrangörslista!H$53),"",IFERROR(VLOOKUP($F37,Arrangörslista!H$53:$AG$90,16,FALSE),"DNS")))))</f>
        <v/>
      </c>
      <c r="AE37" s="5" t="str">
        <f>IF(Deltagarlista!$K$3=4,IF(ISBLANK(Deltagarlista!$C34),"",IF(ISBLANK(Arrangörslista!O$98),"",IFERROR(VLOOKUP($F37,Arrangörslista!O$98:$AG$135,16,FALSE),IF(ISBLANK(Deltagarlista!$C34),"",IF(ISBLANK(Arrangörslista!O$98),"",IFERROR(VLOOKUP($F37,Arrangörslista!P$98:$AG$135,16,FALSE),"DNS")))))),IF(Deltagarlista!$K$3=2,
IF(ISBLANK(Deltagarlista!$C34),"",IF(ISBLANK(Arrangörslista!I$53),"",IF($GV37=AE$64," DNS ",IFERROR(VLOOKUP($F37,Arrangörslista!I$53:$AG$90,16,FALSE),"DNS")))),IF(ISBLANK(Deltagarlista!$C34),"",IF(ISBLANK(Arrangörslista!I$53),"",IFERROR(VLOOKUP($F37,Arrangörslista!I$53:$AG$90,16,FALSE),"DNS")))))</f>
        <v/>
      </c>
      <c r="AF37" s="5" t="str">
        <f>IF(Deltagarlista!$K$3=4,IF(ISBLANK(Deltagarlista!$C34),"",IF(ISBLANK(Arrangörslista!Q$98),"",IFERROR(VLOOKUP($F37,Arrangörslista!Q$98:$AG$135,16,FALSE),IF(ISBLANK(Deltagarlista!$C34),"",IF(ISBLANK(Arrangörslista!Q$98),"",IFERROR(VLOOKUP($F37,Arrangörslista!C$143:$AG$180,16,FALSE),"DNS")))))),IF(Deltagarlista!$K$3=2,
IF(ISBLANK(Deltagarlista!$C34),"",IF(ISBLANK(Arrangörslista!J$53),"",IF($GV37=AF$64," DNS ",IFERROR(VLOOKUP($F37,Arrangörslista!J$53:$AG$90,16,FALSE),"DNS")))),IF(ISBLANK(Deltagarlista!$C34),"",IF(ISBLANK(Arrangörslista!J$53),"",IFERROR(VLOOKUP($F37,Arrangörslista!J$53:$AG$90,16,FALSE),"DNS")))))</f>
        <v/>
      </c>
      <c r="AG37" s="5" t="str">
        <f>IF(Deltagarlista!$K$3=4,IF(ISBLANK(Deltagarlista!$C34),"",IF(ISBLANK(Arrangörslista!D$143),"",IFERROR(VLOOKUP($F37,Arrangörslista!D$143:$AG$180,16,FALSE),IF(ISBLANK(Deltagarlista!$C34),"",IF(ISBLANK(Arrangörslista!D$143),"",IFERROR(VLOOKUP($F37,Arrangörslista!E$143:$AG$180,16,FALSE),"DNS")))))),IF(Deltagarlista!$K$3=2,
IF(ISBLANK(Deltagarlista!$C34),"",IF(ISBLANK(Arrangörslista!K$53),"",IF($GV37=AG$64," DNS ",IFERROR(VLOOKUP($F37,Arrangörslista!K$53:$AG$90,16,FALSE),"DNS")))),IF(ISBLANK(Deltagarlista!$C34),"",IF(ISBLANK(Arrangörslista!K$53),"",IFERROR(VLOOKUP($F37,Arrangörslista!K$53:$AG$90,16,FALSE),"DNS")))))</f>
        <v/>
      </c>
      <c r="AH37" s="5" t="str">
        <f>IF(Deltagarlista!$K$3=4,IF(ISBLANK(Deltagarlista!$C34),"",IF(ISBLANK(Arrangörslista!F$143),"",IFERROR(VLOOKUP($F37,Arrangörslista!F$143:$AG$180,16,FALSE),IF(ISBLANK(Deltagarlista!$C34),"",IF(ISBLANK(Arrangörslista!F$143),"",IFERROR(VLOOKUP($F37,Arrangörslista!G$143:$AG$180,16,FALSE),"DNS")))))),IF(Deltagarlista!$K$3=2,
IF(ISBLANK(Deltagarlista!$C34),"",IF(ISBLANK(Arrangörslista!L$53),"",IF($GV37=AH$64," DNS ",IFERROR(VLOOKUP($F37,Arrangörslista!L$53:$AG$90,16,FALSE),"DNS")))),IF(ISBLANK(Deltagarlista!$C34),"",IF(ISBLANK(Arrangörslista!L$53),"",IFERROR(VLOOKUP($F37,Arrangörslista!L$53:$AG$90,16,FALSE),"DNS")))))</f>
        <v/>
      </c>
      <c r="AI37" s="5" t="str">
        <f>IF(Deltagarlista!$K$3=4,IF(ISBLANK(Deltagarlista!$C34),"",IF(ISBLANK(Arrangörslista!H$143),"",IFERROR(VLOOKUP($F37,Arrangörslista!H$143:$AG$180,16,FALSE),IF(ISBLANK(Deltagarlista!$C34),"",IF(ISBLANK(Arrangörslista!H$143),"",IFERROR(VLOOKUP($F37,Arrangörslista!I$143:$AG$180,16,FALSE),"DNS")))))),IF(Deltagarlista!$K$3=2,
IF(ISBLANK(Deltagarlista!$C34),"",IF(ISBLANK(Arrangörslista!M$53),"",IF($GV37=AI$64," DNS ",IFERROR(VLOOKUP($F37,Arrangörslista!M$53:$AG$90,16,FALSE),"DNS")))),IF(ISBLANK(Deltagarlista!$C34),"",IF(ISBLANK(Arrangörslista!M$53),"",IFERROR(VLOOKUP($F37,Arrangörslista!M$53:$AG$90,16,FALSE),"DNS")))))</f>
        <v/>
      </c>
      <c r="AJ37" s="5" t="str">
        <f>IF(Deltagarlista!$K$3=4,IF(ISBLANK(Deltagarlista!$C34),"",IF(ISBLANK(Arrangörslista!J$143),"",IFERROR(VLOOKUP($F37,Arrangörslista!J$143:$AG$180,16,FALSE),IF(ISBLANK(Deltagarlista!$C34),"",IF(ISBLANK(Arrangörslista!J$143),"",IFERROR(VLOOKUP($F37,Arrangörslista!K$143:$AG$180,16,FALSE),"DNS")))))),IF(Deltagarlista!$K$3=2,
IF(ISBLANK(Deltagarlista!$C34),"",IF(ISBLANK(Arrangörslista!N$53),"",IF($GV37=AJ$64," DNS ",IFERROR(VLOOKUP($F37,Arrangörslista!N$53:$AG$90,16,FALSE),"DNS")))),IF(ISBLANK(Deltagarlista!$C34),"",IF(ISBLANK(Arrangörslista!N$53),"",IFERROR(VLOOKUP($F37,Arrangörslista!N$53:$AG$90,16,FALSE),"DNS")))))</f>
        <v/>
      </c>
      <c r="AK37" s="5" t="str">
        <f>IF(Deltagarlista!$K$3=4,IF(ISBLANK(Deltagarlista!$C34),"",IF(ISBLANK(Arrangörslista!L$143),"",IFERROR(VLOOKUP($F37,Arrangörslista!L$143:$AG$180,16,FALSE),IF(ISBLANK(Deltagarlista!$C34),"",IF(ISBLANK(Arrangörslista!L$143),"",IFERROR(VLOOKUP($F37,Arrangörslista!M$143:$AG$180,16,FALSE),"DNS")))))),IF(Deltagarlista!$K$3=2,
IF(ISBLANK(Deltagarlista!$C34),"",IF(ISBLANK(Arrangörslista!O$53),"",IF($GV37=AK$64," DNS ",IFERROR(VLOOKUP($F37,Arrangörslista!O$53:$AG$90,16,FALSE),"DNS")))),IF(ISBLANK(Deltagarlista!$C34),"",IF(ISBLANK(Arrangörslista!O$53),"",IFERROR(VLOOKUP($F37,Arrangörslista!O$53:$AG$90,16,FALSE),"DNS")))))</f>
        <v/>
      </c>
      <c r="AL37" s="5" t="str">
        <f>IF(Deltagarlista!$K$3=4,IF(ISBLANK(Deltagarlista!$C34),"",IF(ISBLANK(Arrangörslista!N$143),"",IFERROR(VLOOKUP($F37,Arrangörslista!N$143:$AG$180,16,FALSE),IF(ISBLANK(Deltagarlista!$C34),"",IF(ISBLANK(Arrangörslista!N$143),"",IFERROR(VLOOKUP($F37,Arrangörslista!O$143:$AG$180,16,FALSE),"DNS")))))),IF(Deltagarlista!$K$3=2,
IF(ISBLANK(Deltagarlista!$C34),"",IF(ISBLANK(Arrangörslista!P$53),"",IF($GV37=AL$64," DNS ",IFERROR(VLOOKUP($F37,Arrangörslista!P$53:$AG$90,16,FALSE),"DNS")))),IF(ISBLANK(Deltagarlista!$C34),"",IF(ISBLANK(Arrangörslista!P$53),"",IFERROR(VLOOKUP($F37,Arrangörslista!P$53:$AG$90,16,FALSE),"DNS")))))</f>
        <v/>
      </c>
      <c r="AM37" s="5" t="str">
        <f>IF(Deltagarlista!$K$3=4,IF(ISBLANK(Deltagarlista!$C34),"",IF(ISBLANK(Arrangörslista!P$143),"",IFERROR(VLOOKUP($F37,Arrangörslista!P$143:$AG$180,16,FALSE),IF(ISBLANK(Deltagarlista!$C34),"",IF(ISBLANK(Arrangörslista!P$143),"",IFERROR(VLOOKUP($F37,Arrangörslista!Q$143:$AG$180,16,FALSE),"DNS")))))),IF(Deltagarlista!$K$3=2,
IF(ISBLANK(Deltagarlista!$C34),"",IF(ISBLANK(Arrangörslista!Q$53),"",IF($GV37=AM$64," DNS ",IFERROR(VLOOKUP($F37,Arrangörslista!Q$53:$AG$90,16,FALSE),"DNS")))),IF(ISBLANK(Deltagarlista!$C34),"",IF(ISBLANK(Arrangörslista!Q$53),"",IFERROR(VLOOKUP($F37,Arrangörslista!Q$53:$AG$90,16,FALSE),"DNS")))))</f>
        <v/>
      </c>
      <c r="AN37" s="5" t="str">
        <f>IF(Deltagarlista!$K$3=2,
IF(ISBLANK(Deltagarlista!$C34),"",IF(ISBLANK(Arrangörslista!C$98),"",IF($GV37=AN$64," DNS ",IFERROR(VLOOKUP($F37,Arrangörslista!C$98:$AG$135,16,FALSE), "DNS")))), IF(Deltagarlista!$K$3=1,IF(ISBLANK(Deltagarlista!$C34),"",IF(ISBLANK(Arrangörslista!C$98),"",IFERROR(VLOOKUP($F37,Arrangörslista!C$98:$AG$135,16,FALSE), "DNS"))),""))</f>
        <v/>
      </c>
      <c r="AO37" s="5" t="str">
        <f>IF(Deltagarlista!$K$3=2,
IF(ISBLANK(Deltagarlista!$C34),"",IF(ISBLANK(Arrangörslista!D$98),"",IF($GV37=AO$64," DNS ",IFERROR(VLOOKUP($F37,Arrangörslista!D$98:$AG$135,16,FALSE), "DNS")))), IF(Deltagarlista!$K$3=1,IF(ISBLANK(Deltagarlista!$C34),"",IF(ISBLANK(Arrangörslista!D$98),"",IFERROR(VLOOKUP($F37,Arrangörslista!D$98:$AG$135,16,FALSE), "DNS"))),""))</f>
        <v/>
      </c>
      <c r="AP37" s="5" t="str">
        <f>IF(Deltagarlista!$K$3=2,
IF(ISBLANK(Deltagarlista!$C34),"",IF(ISBLANK(Arrangörslista!E$98),"",IF($GV37=AP$64," DNS ",IFERROR(VLOOKUP($F37,Arrangörslista!E$98:$AG$135,16,FALSE), "DNS")))), IF(Deltagarlista!$K$3=1,IF(ISBLANK(Deltagarlista!$C34),"",IF(ISBLANK(Arrangörslista!E$98),"",IFERROR(VLOOKUP($F37,Arrangörslista!E$98:$AG$135,16,FALSE), "DNS"))),""))</f>
        <v/>
      </c>
      <c r="AQ37" s="5" t="str">
        <f>IF(Deltagarlista!$K$3=2,
IF(ISBLANK(Deltagarlista!$C34),"",IF(ISBLANK(Arrangörslista!F$98),"",IF($GV37=AQ$64," DNS ",IFERROR(VLOOKUP($F37,Arrangörslista!F$98:$AG$135,16,FALSE), "DNS")))), IF(Deltagarlista!$K$3=1,IF(ISBLANK(Deltagarlista!$C34),"",IF(ISBLANK(Arrangörslista!F$98),"",IFERROR(VLOOKUP($F37,Arrangörslista!F$98:$AG$135,16,FALSE), "DNS"))),""))</f>
        <v/>
      </c>
      <c r="AR37" s="5" t="str">
        <f>IF(Deltagarlista!$K$3=2,
IF(ISBLANK(Deltagarlista!$C34),"",IF(ISBLANK(Arrangörslista!G$98),"",IF($GV37=AR$64," DNS ",IFERROR(VLOOKUP($F37,Arrangörslista!G$98:$AG$135,16,FALSE), "DNS")))), IF(Deltagarlista!$K$3=1,IF(ISBLANK(Deltagarlista!$C34),"",IF(ISBLANK(Arrangörslista!G$98),"",IFERROR(VLOOKUP($F37,Arrangörslista!G$98:$AG$135,16,FALSE), "DNS"))),""))</f>
        <v/>
      </c>
      <c r="AS37" s="5" t="str">
        <f>IF(Deltagarlista!$K$3=2,
IF(ISBLANK(Deltagarlista!$C34),"",IF(ISBLANK(Arrangörslista!H$98),"",IF($GV37=AS$64," DNS ",IFERROR(VLOOKUP($F37,Arrangörslista!H$98:$AG$135,16,FALSE), "DNS")))), IF(Deltagarlista!$K$3=1,IF(ISBLANK(Deltagarlista!$C34),"",IF(ISBLANK(Arrangörslista!H$98),"",IFERROR(VLOOKUP($F37,Arrangörslista!H$98:$AG$135,16,FALSE), "DNS"))),""))</f>
        <v/>
      </c>
      <c r="AT37" s="5" t="str">
        <f>IF(Deltagarlista!$K$3=2,
IF(ISBLANK(Deltagarlista!$C34),"",IF(ISBLANK(Arrangörslista!I$98),"",IF($GV37=AT$64," DNS ",IFERROR(VLOOKUP($F37,Arrangörslista!I$98:$AG$135,16,FALSE), "DNS")))), IF(Deltagarlista!$K$3=1,IF(ISBLANK(Deltagarlista!$C34),"",IF(ISBLANK(Arrangörslista!I$98),"",IFERROR(VLOOKUP($F37,Arrangörslista!I$98:$AG$135,16,FALSE), "DNS"))),""))</f>
        <v/>
      </c>
      <c r="AU37" s="5" t="str">
        <f>IF(Deltagarlista!$K$3=2,
IF(ISBLANK(Deltagarlista!$C34),"",IF(ISBLANK(Arrangörslista!J$98),"",IF($GV37=AU$64," DNS ",IFERROR(VLOOKUP($F37,Arrangörslista!J$98:$AG$135,16,FALSE), "DNS")))), IF(Deltagarlista!$K$3=1,IF(ISBLANK(Deltagarlista!$C34),"",IF(ISBLANK(Arrangörslista!J$98),"",IFERROR(VLOOKUP($F37,Arrangörslista!J$98:$AG$135,16,FALSE), "DNS"))),""))</f>
        <v/>
      </c>
      <c r="AV37" s="5" t="str">
        <f>IF(Deltagarlista!$K$3=2,
IF(ISBLANK(Deltagarlista!$C34),"",IF(ISBLANK(Arrangörslista!K$98),"",IF($GV37=AV$64," DNS ",IFERROR(VLOOKUP($F37,Arrangörslista!K$98:$AG$135,16,FALSE), "DNS")))), IF(Deltagarlista!$K$3=1,IF(ISBLANK(Deltagarlista!$C34),"",IF(ISBLANK(Arrangörslista!K$98),"",IFERROR(VLOOKUP($F37,Arrangörslista!K$98:$AG$135,16,FALSE), "DNS"))),""))</f>
        <v/>
      </c>
      <c r="AW37" s="5" t="str">
        <f>IF(Deltagarlista!$K$3=2,
IF(ISBLANK(Deltagarlista!$C34),"",IF(ISBLANK(Arrangörslista!L$98),"",IF($GV37=AW$64," DNS ",IFERROR(VLOOKUP($F37,Arrangörslista!L$98:$AG$135,16,FALSE), "DNS")))), IF(Deltagarlista!$K$3=1,IF(ISBLANK(Deltagarlista!$C34),"",IF(ISBLANK(Arrangörslista!L$98),"",IFERROR(VLOOKUP($F37,Arrangörslista!L$98:$AG$135,16,FALSE), "DNS"))),""))</f>
        <v/>
      </c>
      <c r="AX37" s="5" t="str">
        <f>IF(Deltagarlista!$K$3=2,
IF(ISBLANK(Deltagarlista!$C34),"",IF(ISBLANK(Arrangörslista!M$98),"",IF($GV37=AX$64," DNS ",IFERROR(VLOOKUP($F37,Arrangörslista!M$98:$AG$135,16,FALSE), "DNS")))), IF(Deltagarlista!$K$3=1,IF(ISBLANK(Deltagarlista!$C34),"",IF(ISBLANK(Arrangörslista!M$98),"",IFERROR(VLOOKUP($F37,Arrangörslista!M$98:$AG$135,16,FALSE), "DNS"))),""))</f>
        <v/>
      </c>
      <c r="AY37" s="5" t="str">
        <f>IF(Deltagarlista!$K$3=2,
IF(ISBLANK(Deltagarlista!$C34),"",IF(ISBLANK(Arrangörslista!N$98),"",IF($GV37=AY$64," DNS ",IFERROR(VLOOKUP($F37,Arrangörslista!N$98:$AG$135,16,FALSE), "DNS")))), IF(Deltagarlista!$K$3=1,IF(ISBLANK(Deltagarlista!$C34),"",IF(ISBLANK(Arrangörslista!N$98),"",IFERROR(VLOOKUP($F37,Arrangörslista!N$98:$AG$135,16,FALSE), "DNS"))),""))</f>
        <v/>
      </c>
      <c r="AZ37" s="5" t="str">
        <f>IF(Deltagarlista!$K$3=2,
IF(ISBLANK(Deltagarlista!$C34),"",IF(ISBLANK(Arrangörslista!O$98),"",IF($GV37=AZ$64," DNS ",IFERROR(VLOOKUP($F37,Arrangörslista!O$98:$AG$135,16,FALSE), "DNS")))), IF(Deltagarlista!$K$3=1,IF(ISBLANK(Deltagarlista!$C34),"",IF(ISBLANK(Arrangörslista!O$98),"",IFERROR(VLOOKUP($F37,Arrangörslista!O$98:$AG$135,16,FALSE), "DNS"))),""))</f>
        <v/>
      </c>
      <c r="BA37" s="5" t="str">
        <f>IF(Deltagarlista!$K$3=2,
IF(ISBLANK(Deltagarlista!$C34),"",IF(ISBLANK(Arrangörslista!P$98),"",IF($GV37=BA$64," DNS ",IFERROR(VLOOKUP($F37,Arrangörslista!P$98:$AG$135,16,FALSE), "DNS")))), IF(Deltagarlista!$K$3=1,IF(ISBLANK(Deltagarlista!$C34),"",IF(ISBLANK(Arrangörslista!P$98),"",IFERROR(VLOOKUP($F37,Arrangörslista!P$98:$AG$135,16,FALSE), "DNS"))),""))</f>
        <v/>
      </c>
      <c r="BB37" s="5" t="str">
        <f>IF(Deltagarlista!$K$3=2,
IF(ISBLANK(Deltagarlista!$C34),"",IF(ISBLANK(Arrangörslista!Q$98),"",IF($GV37=BB$64," DNS ",IFERROR(VLOOKUP($F37,Arrangörslista!Q$98:$AG$135,16,FALSE), "DNS")))), IF(Deltagarlista!$K$3=1,IF(ISBLANK(Deltagarlista!$C34),"",IF(ISBLANK(Arrangörslista!Q$98),"",IFERROR(VLOOKUP($F37,Arrangörslista!Q$98:$AG$135,16,FALSE), "DNS"))),""))</f>
        <v/>
      </c>
      <c r="BC37" s="5" t="str">
        <f>IF(Deltagarlista!$K$3=2,
IF(ISBLANK(Deltagarlista!$C34),"",IF(ISBLANK(Arrangörslista!C$143),"",IF($GV37=BC$64," DNS ",IFERROR(VLOOKUP($F37,Arrangörslista!C$143:$AG$180,16,FALSE), "DNS")))), IF(Deltagarlista!$K$3=1,IF(ISBLANK(Deltagarlista!$C34),"",IF(ISBLANK(Arrangörslista!C$143),"",IFERROR(VLOOKUP($F37,Arrangörslista!C$143:$AG$180,16,FALSE), "DNS"))),""))</f>
        <v/>
      </c>
      <c r="BD37" s="5" t="str">
        <f>IF(Deltagarlista!$K$3=2,
IF(ISBLANK(Deltagarlista!$C34),"",IF(ISBLANK(Arrangörslista!D$143),"",IF($GV37=BD$64," DNS ",IFERROR(VLOOKUP($F37,Arrangörslista!D$143:$AG$180,16,FALSE), "DNS")))), IF(Deltagarlista!$K$3=1,IF(ISBLANK(Deltagarlista!$C34),"",IF(ISBLANK(Arrangörslista!D$143),"",IFERROR(VLOOKUP($F37,Arrangörslista!D$143:$AG$180,16,FALSE), "DNS"))),""))</f>
        <v/>
      </c>
      <c r="BE37" s="5" t="str">
        <f>IF(Deltagarlista!$K$3=2,
IF(ISBLANK(Deltagarlista!$C34),"",IF(ISBLANK(Arrangörslista!E$143),"",IF($GV37=BE$64," DNS ",IFERROR(VLOOKUP($F37,Arrangörslista!E$143:$AG$180,16,FALSE), "DNS")))), IF(Deltagarlista!$K$3=1,IF(ISBLANK(Deltagarlista!$C34),"",IF(ISBLANK(Arrangörslista!E$143),"",IFERROR(VLOOKUP($F37,Arrangörslista!E$143:$AG$180,16,FALSE), "DNS"))),""))</f>
        <v/>
      </c>
      <c r="BF37" s="5" t="str">
        <f>IF(Deltagarlista!$K$3=2,
IF(ISBLANK(Deltagarlista!$C34),"",IF(ISBLANK(Arrangörslista!F$143),"",IF($GV37=BF$64," DNS ",IFERROR(VLOOKUP($F37,Arrangörslista!F$143:$AG$180,16,FALSE), "DNS")))), IF(Deltagarlista!$K$3=1,IF(ISBLANK(Deltagarlista!$C34),"",IF(ISBLANK(Arrangörslista!F$143),"",IFERROR(VLOOKUP($F37,Arrangörslista!F$143:$AG$180,16,FALSE), "DNS"))),""))</f>
        <v/>
      </c>
      <c r="BG37" s="5" t="str">
        <f>IF(Deltagarlista!$K$3=2,
IF(ISBLANK(Deltagarlista!$C34),"",IF(ISBLANK(Arrangörslista!G$143),"",IF($GV37=BG$64," DNS ",IFERROR(VLOOKUP($F37,Arrangörslista!G$143:$AG$180,16,FALSE), "DNS")))), IF(Deltagarlista!$K$3=1,IF(ISBLANK(Deltagarlista!$C34),"",IF(ISBLANK(Arrangörslista!G$143),"",IFERROR(VLOOKUP($F37,Arrangörslista!G$143:$AG$180,16,FALSE), "DNS"))),""))</f>
        <v/>
      </c>
      <c r="BH37" s="5" t="str">
        <f>IF(Deltagarlista!$K$3=2,
IF(ISBLANK(Deltagarlista!$C34),"",IF(ISBLANK(Arrangörslista!H$143),"",IF($GV37=BH$64," DNS ",IFERROR(VLOOKUP($F37,Arrangörslista!H$143:$AG$180,16,FALSE), "DNS")))), IF(Deltagarlista!$K$3=1,IF(ISBLANK(Deltagarlista!$C34),"",IF(ISBLANK(Arrangörslista!H$143),"",IFERROR(VLOOKUP($F37,Arrangörslista!H$143:$AG$180,16,FALSE), "DNS"))),""))</f>
        <v/>
      </c>
      <c r="BI37" s="5" t="str">
        <f>IF(Deltagarlista!$K$3=2,
IF(ISBLANK(Deltagarlista!$C34),"",IF(ISBLANK(Arrangörslista!I$143),"",IF($GV37=BI$64," DNS ",IFERROR(VLOOKUP($F37,Arrangörslista!I$143:$AG$180,16,FALSE), "DNS")))), IF(Deltagarlista!$K$3=1,IF(ISBLANK(Deltagarlista!$C34),"",IF(ISBLANK(Arrangörslista!I$143),"",IFERROR(VLOOKUP($F37,Arrangörslista!I$143:$AG$180,16,FALSE), "DNS"))),""))</f>
        <v/>
      </c>
      <c r="BJ37" s="5" t="str">
        <f>IF(Deltagarlista!$K$3=2,
IF(ISBLANK(Deltagarlista!$C34),"",IF(ISBLANK(Arrangörslista!J$143),"",IF($GV37=BJ$64," DNS ",IFERROR(VLOOKUP($F37,Arrangörslista!J$143:$AG$180,16,FALSE), "DNS")))), IF(Deltagarlista!$K$3=1,IF(ISBLANK(Deltagarlista!$C34),"",IF(ISBLANK(Arrangörslista!J$143),"",IFERROR(VLOOKUP($F37,Arrangörslista!J$143:$AG$180,16,FALSE), "DNS"))),""))</f>
        <v/>
      </c>
      <c r="BK37" s="5" t="str">
        <f>IF(Deltagarlista!$K$3=2,
IF(ISBLANK(Deltagarlista!$C34),"",IF(ISBLANK(Arrangörslista!K$143),"",IF($GV37=BK$64," DNS ",IFERROR(VLOOKUP($F37,Arrangörslista!K$143:$AG$180,16,FALSE), "DNS")))), IF(Deltagarlista!$K$3=1,IF(ISBLANK(Deltagarlista!$C34),"",IF(ISBLANK(Arrangörslista!K$143),"",IFERROR(VLOOKUP($F37,Arrangörslista!K$143:$AG$180,16,FALSE), "DNS"))),""))</f>
        <v/>
      </c>
      <c r="BL37" s="5" t="str">
        <f>IF(Deltagarlista!$K$3=2,
IF(ISBLANK(Deltagarlista!$C34),"",IF(ISBLANK(Arrangörslista!L$143),"",IF($GV37=BL$64," DNS ",IFERROR(VLOOKUP($F37,Arrangörslista!L$143:$AG$180,16,FALSE), "DNS")))), IF(Deltagarlista!$K$3=1,IF(ISBLANK(Deltagarlista!$C34),"",IF(ISBLANK(Arrangörslista!L$143),"",IFERROR(VLOOKUP($F37,Arrangörslista!L$143:$AG$180,16,FALSE), "DNS"))),""))</f>
        <v/>
      </c>
      <c r="BM37" s="5" t="str">
        <f>IF(Deltagarlista!$K$3=2,
IF(ISBLANK(Deltagarlista!$C34),"",IF(ISBLANK(Arrangörslista!M$143),"",IF($GV37=BM$64," DNS ",IFERROR(VLOOKUP($F37,Arrangörslista!M$143:$AG$180,16,FALSE), "DNS")))), IF(Deltagarlista!$K$3=1,IF(ISBLANK(Deltagarlista!$C34),"",IF(ISBLANK(Arrangörslista!M$143),"",IFERROR(VLOOKUP($F37,Arrangörslista!M$143:$AG$180,16,FALSE), "DNS"))),""))</f>
        <v/>
      </c>
      <c r="BN37" s="5" t="str">
        <f>IF(Deltagarlista!$K$3=2,
IF(ISBLANK(Deltagarlista!$C34),"",IF(ISBLANK(Arrangörslista!N$143),"",IF($GV37=BN$64," DNS ",IFERROR(VLOOKUP($F37,Arrangörslista!N$143:$AG$180,16,FALSE), "DNS")))), IF(Deltagarlista!$K$3=1,IF(ISBLANK(Deltagarlista!$C34),"",IF(ISBLANK(Arrangörslista!N$143),"",IFERROR(VLOOKUP($F37,Arrangörslista!N$143:$AG$180,16,FALSE), "DNS"))),""))</f>
        <v/>
      </c>
      <c r="BO37" s="5" t="str">
        <f>IF(Deltagarlista!$K$3=2,
IF(ISBLANK(Deltagarlista!$C34),"",IF(ISBLANK(Arrangörslista!O$143),"",IF($GV37=BO$64," DNS ",IFERROR(VLOOKUP($F37,Arrangörslista!O$143:$AG$180,16,FALSE), "DNS")))), IF(Deltagarlista!$K$3=1,IF(ISBLANK(Deltagarlista!$C34),"",IF(ISBLANK(Arrangörslista!O$143),"",IFERROR(VLOOKUP($F37,Arrangörslista!O$143:$AG$180,16,FALSE), "DNS"))),""))</f>
        <v/>
      </c>
      <c r="BP37" s="5" t="str">
        <f>IF(Deltagarlista!$K$3=2,
IF(ISBLANK(Deltagarlista!$C34),"",IF(ISBLANK(Arrangörslista!P$143),"",IF($GV37=BP$64," DNS ",IFERROR(VLOOKUP($F37,Arrangörslista!P$143:$AG$180,16,FALSE), "DNS")))), IF(Deltagarlista!$K$3=1,IF(ISBLANK(Deltagarlista!$C34),"",IF(ISBLANK(Arrangörslista!P$143),"",IFERROR(VLOOKUP($F37,Arrangörslista!P$143:$AG$180,16,FALSE), "DNS"))),""))</f>
        <v/>
      </c>
      <c r="BQ37" s="80" t="str">
        <f>IF(Deltagarlista!$K$3=2,
IF(ISBLANK(Deltagarlista!$C34),"",IF(ISBLANK(Arrangörslista!Q$143),"",IF($GV37=BQ$64," DNS ",IFERROR(VLOOKUP($F37,Arrangörslista!Q$143:$AG$180,16,FALSE), "DNS")))), IF(Deltagarlista!$K$3=1,IF(ISBLANK(Deltagarlista!$C34),"",IF(ISBLANK(Arrangörslista!Q$143),"",IFERROR(VLOOKUP($F37,Arrangörslista!Q$143:$AG$180,16,FALSE), "DNS"))),""))</f>
        <v/>
      </c>
      <c r="BR37" s="51"/>
      <c r="BS37" s="51"/>
      <c r="BT37" s="51"/>
      <c r="BU37" s="71">
        <f>SUM(BV37:EC37)</f>
        <v>0</v>
      </c>
      <c r="BV37" s="61">
        <f>IF(J37="",0,IF(OR(J37="DNF",J37="OCS",J37="DSQ",J37="DNS",J37=" DNS "),$BW$3+1,J37))</f>
        <v>0</v>
      </c>
      <c r="BW37" s="61">
        <f>IF(K37="",0,IF(OR(K37="DNF",K37="OCS",K37="DSQ",K37="DNS",K37=" DNS "),$BW$3+1,K37))</f>
        <v>0</v>
      </c>
      <c r="BX37" s="61">
        <f>IF(L37="",0,IF(OR(L37="DNF",L37="OCS",L37="DSQ",L37="DNS",L37=" DNS "),$BW$3+1,L37))</f>
        <v>0</v>
      </c>
      <c r="BY37" s="61">
        <f>IF(M37="",0,IF(OR(M37="DNF",M37="OCS",M37="DSQ",M37="DNS",M37=" DNS "),$BW$3+1,M37))</f>
        <v>0</v>
      </c>
      <c r="BZ37" s="61">
        <f>IF(N37="",0,IF(OR(N37="DNF",N37="OCS",N37="DSQ",N37="DNS",N37=" DNS "),$BW$3+1,N37))</f>
        <v>0</v>
      </c>
      <c r="CA37" s="61">
        <f>IF(O37="",0,IF(OR(O37="DNF",O37="OCS",O37="DSQ",O37="DNS",O37=" DNS "),$BW$3+1,O37))</f>
        <v>0</v>
      </c>
      <c r="CB37" s="61">
        <f>IF(P37="",0,IF(OR(P37="DNF",P37="OCS",P37="DSQ",P37="DNS",P37=" DNS "),$BW$3+1,P37))</f>
        <v>0</v>
      </c>
      <c r="CC37" s="61">
        <f>IF(Q37="",0,IF(OR(Q37="DNF",Q37="OCS",Q37="DSQ",Q37="DNS",Q37=" DNS "),$BW$3+1,Q37))</f>
        <v>0</v>
      </c>
      <c r="CD37" s="61">
        <f>IF(R37="",0,IF(OR(R37="DNF",R37="OCS",R37="DSQ",R37="DNS",R37=" DNS "),$BW$3+1,R37))</f>
        <v>0</v>
      </c>
      <c r="CE37" s="61">
        <f>IF(S37="",0,IF(OR(S37="DNF",S37="OCS",S37="DSQ",S37="DNS",S37=" DNS "),$BW$3+1,S37))</f>
        <v>0</v>
      </c>
      <c r="CF37" s="61">
        <f>IF(T37="",0,IF(OR(T37="DNF",T37="OCS",T37="DSQ",T37="DNS",T37=" DNS "),$BW$3+1,T37))</f>
        <v>0</v>
      </c>
      <c r="CG37" s="61">
        <f>IF(U37="",0,IF(OR(U37="DNF",U37="OCS",U37="DSQ",U37="DNS",U37=" DNS "),$BW$3+1,U37))</f>
        <v>0</v>
      </c>
      <c r="CH37" s="61">
        <f>IF(V37="",0,IF(OR(V37="DNF",V37="OCS",V37="DSQ",V37="DNS",V37=" DNS "),$BW$3+1,V37))</f>
        <v>0</v>
      </c>
      <c r="CI37" s="61">
        <f>IF(W37="",0,IF(OR(W37="DNF",W37="OCS",W37="DSQ",W37="DNS",W37=" DNS "),$BW$3+1,W37))</f>
        <v>0</v>
      </c>
      <c r="CJ37" s="61">
        <f>IF(X37="",0,IF(OR(X37="DNF",X37="OCS",X37="DSQ",X37="DNS",X37=" DNS "),$BW$3+1,X37))</f>
        <v>0</v>
      </c>
      <c r="CK37" s="61">
        <f>IF(Y37="",0,IF(OR(Y37="DNF",Y37="OCS",Y37="DSQ",Y37="DNS",Y37=" DNS "),$BW$3+1,Y37))</f>
        <v>0</v>
      </c>
      <c r="CL37" s="61">
        <f>IF(Z37="",0,IF(OR(Z37="DNF",Z37="OCS",Z37="DSQ",Z37="DNS",Z37=" DNS "),$BW$3+1,Z37))</f>
        <v>0</v>
      </c>
      <c r="CM37" s="61">
        <f>IF(AA37="",0,IF(OR(AA37="DNF",AA37="OCS",AA37="DSQ",AA37="DNS",AA37=" DNS "),$BW$3+1,AA37))</f>
        <v>0</v>
      </c>
      <c r="CN37" s="61">
        <f>IF(AB37="",0,IF(OR(AB37="DNF",AB37="OCS",AB37="DSQ",AB37="DNS",AB37=" DNS "),$BW$3+1,AB37))</f>
        <v>0</v>
      </c>
      <c r="CO37" s="61">
        <f>IF(AC37="",0,IF(OR(AC37="DNF",AC37="OCS",AC37="DSQ",AC37="DNS",AC37=" DNS "),$BW$3+1,AC37))</f>
        <v>0</v>
      </c>
      <c r="CP37" s="61">
        <f>IF(AD37="",0,IF(OR(AD37="DNF",AD37="OCS",AD37="DSQ",AD37="DNS",AD37=" DNS "),$BW$3+1,AD37))</f>
        <v>0</v>
      </c>
      <c r="CQ37" s="61">
        <f>IF(AE37="",0,IF(OR(AE37="DNF",AE37="OCS",AE37="DSQ",AE37="DNS",AE37=" DNS "),$BW$3+1,AE37))</f>
        <v>0</v>
      </c>
      <c r="CR37" s="61">
        <f>IF(AF37="",0,IF(OR(AF37="DNF",AF37="OCS",AF37="DSQ",AF37="DNS",AF37=" DNS "),$BW$3+1,AF37))</f>
        <v>0</v>
      </c>
      <c r="CS37" s="61">
        <f>IF(AG37="",0,IF(OR(AG37="DNF",AG37="OCS",AG37="DSQ",AG37="DNS",AG37=" DNS "),$BW$3+1,AG37))</f>
        <v>0</v>
      </c>
      <c r="CT37" s="61">
        <f>IF(AH37="",0,IF(OR(AH37="DNF",AH37="OCS",AH37="DSQ",AH37="DNS",AH37=" DNS "),$BW$3+1,AH37))</f>
        <v>0</v>
      </c>
      <c r="CU37" s="61">
        <f>IF(AI37="",0,IF(OR(AI37="DNF",AI37="OCS",AI37="DSQ",AI37="DNS",AI37=" DNS "),$BW$3+1,AI37))</f>
        <v>0</v>
      </c>
      <c r="CV37" s="61">
        <f>IF(AJ37="",0,IF(OR(AJ37="DNF",AJ37="OCS",AJ37="DSQ",AJ37="DNS",AJ37=" DNS "),$BW$3+1,AJ37))</f>
        <v>0</v>
      </c>
      <c r="CW37" s="61">
        <f>IF(AK37="",0,IF(OR(AK37="DNF",AK37="OCS",AK37="DSQ",AK37="DNS",AK37=" DNS "),$BW$3+1,AK37))</f>
        <v>0</v>
      </c>
      <c r="CX37" s="61">
        <f>IF(AL37="",0,IF(OR(AL37="DNF",AL37="OCS",AL37="DSQ",AL37="DNS",AL37=" DNS "),$BW$3+1,AL37))</f>
        <v>0</v>
      </c>
      <c r="CY37" s="61">
        <f>IF(AM37="",0,IF(OR(AM37="DNF",AM37="OCS",AM37="DSQ",AM37="DNS",AM37=" DNS "),$BW$3+1,AM37))</f>
        <v>0</v>
      </c>
      <c r="CZ37" s="61">
        <f>IF(AN37="",0,IF(OR(AN37="DNF",AN37="OCS",AN37="DSQ",AN37="DNS",AN37=" DNS "),$BW$3+1,AN37))</f>
        <v>0</v>
      </c>
      <c r="DA37" s="61">
        <f>IF(AO37="",0,IF(OR(AO37="DNF",AO37="OCS",AO37="DSQ",AO37="DNS",AO37=" DNS "),$BW$3+1,AO37))</f>
        <v>0</v>
      </c>
      <c r="DB37" s="61">
        <f>IF(AP37="",0,IF(OR(AP37="DNF",AP37="OCS",AP37="DSQ",AP37="DNS",AP37=" DNS "),$BW$3+1,AP37))</f>
        <v>0</v>
      </c>
      <c r="DC37" s="61">
        <f>IF(AQ37="",0,IF(OR(AQ37="DNF",AQ37="OCS",AQ37="DSQ",AQ37="DNS",AQ37=" DNS "),$BW$3+1,AQ37))</f>
        <v>0</v>
      </c>
      <c r="DD37" s="61">
        <f>IF(AR37="",0,IF(OR(AR37="DNF",AR37="OCS",AR37="DSQ",AR37="DNS",AR37=" DNS "),$BW$3+1,AR37))</f>
        <v>0</v>
      </c>
      <c r="DE37" s="61">
        <f>IF(AS37="",0,IF(OR(AS37="DNF",AS37="OCS",AS37="DSQ",AS37="DNS",AS37=" DNS "),$BW$3+1,AS37))</f>
        <v>0</v>
      </c>
      <c r="DF37" s="61">
        <f>IF(AT37="",0,IF(OR(AT37="DNF",AT37="OCS",AT37="DSQ",AT37="DNS",AT37=" DNS "),$BW$3+1,AT37))</f>
        <v>0</v>
      </c>
      <c r="DG37" s="61">
        <f>IF(AU37="",0,IF(OR(AU37="DNF",AU37="OCS",AU37="DSQ",AU37="DNS",AU37=" DNS "),$BW$3+1,AU37))</f>
        <v>0</v>
      </c>
      <c r="DH37" s="61">
        <f>IF(AV37="",0,IF(OR(AV37="DNF",AV37="OCS",AV37="DSQ",AV37="DNS",AV37=" DNS "),$BW$3+1,AV37))</f>
        <v>0</v>
      </c>
      <c r="DI37" s="61">
        <f>IF(AW37="",0,IF(OR(AW37="DNF",AW37="OCS",AW37="DSQ",AW37="DNS",AW37=" DNS "),$BW$3+1,AW37))</f>
        <v>0</v>
      </c>
      <c r="DJ37" s="61">
        <f>IF(AX37="",0,IF(OR(AX37="DNF",AX37="OCS",AX37="DSQ",AX37="DNS",AX37=" DNS "),$BW$3+1,AX37))</f>
        <v>0</v>
      </c>
      <c r="DK37" s="61">
        <f>IF(AY37="",0,IF(OR(AY37="DNF",AY37="OCS",AY37="DSQ",AY37="DNS",AY37=" DNS "),$BW$3+1,AY37))</f>
        <v>0</v>
      </c>
      <c r="DL37" s="61">
        <f>IF(AZ37="",0,IF(OR(AZ37="DNF",AZ37="OCS",AZ37="DSQ",AZ37="DNS",AZ37=" DNS "),$BW$3+1,AZ37))</f>
        <v>0</v>
      </c>
      <c r="DM37" s="61">
        <f>IF(BA37="",0,IF(OR(BA37="DNF",BA37="OCS",BA37="DSQ",BA37="DNS",BA37=" DNS "),$BW$3+1,BA37))</f>
        <v>0</v>
      </c>
      <c r="DN37" s="61">
        <f>IF(BB37="",0,IF(OR(BB37="DNF",BB37="OCS",BB37="DSQ",BB37="DNS",BB37=" DNS "),$BW$3+1,BB37))</f>
        <v>0</v>
      </c>
      <c r="DO37" s="61">
        <f>IF(BC37="",0,IF(OR(BC37="DNF",BC37="OCS",BC37="DSQ",BC37="DNS",BC37=" DNS "),$BW$3+1,BC37))</f>
        <v>0</v>
      </c>
      <c r="DP37" s="61">
        <f>IF(BD37="",0,IF(OR(BD37="DNF",BD37="OCS",BD37="DSQ",BD37="DNS",BD37=" DNS "),$BW$3+1,BD37))</f>
        <v>0</v>
      </c>
      <c r="DQ37" s="61">
        <f>IF(BE37="",0,IF(OR(BE37="DNF",BE37="OCS",BE37="DSQ",BE37="DNS",BE37=" DNS "),$BW$3+1,BE37))</f>
        <v>0</v>
      </c>
      <c r="DR37" s="61">
        <f>IF(BF37="",0,IF(OR(BF37="DNF",BF37="OCS",BF37="DSQ",BF37="DNS",BF37=" DNS "),$BW$3+1,BF37))</f>
        <v>0</v>
      </c>
      <c r="DS37" s="61">
        <f>IF(BG37="",0,IF(OR(BG37="DNF",BG37="OCS",BG37="DSQ",BG37="DNS",BG37=" DNS "),$BW$3+1,BG37))</f>
        <v>0</v>
      </c>
      <c r="DT37" s="61">
        <f>IF(BH37="",0,IF(OR(BH37="DNF",BH37="OCS",BH37="DSQ",BH37="DNS",BH37=" DNS "),$BW$3+1,BH37))</f>
        <v>0</v>
      </c>
      <c r="DU37" s="61">
        <f>IF(BI37="",0,IF(OR(BI37="DNF",BI37="OCS",BI37="DSQ",BI37="DNS",BI37=" DNS "),$BW$3+1,BI37))</f>
        <v>0</v>
      </c>
      <c r="DV37" s="61">
        <f>IF(BJ37="",0,IF(OR(BJ37="DNF",BJ37="OCS",BJ37="DSQ",BJ37="DNS",BJ37=" DNS "),$BW$3+1,BJ37))</f>
        <v>0</v>
      </c>
      <c r="DW37" s="61">
        <f>IF(BK37="",0,IF(OR(BK37="DNF",BK37="OCS",BK37="DSQ",BK37="DNS",BK37=" DNS "),$BW$3+1,BK37))</f>
        <v>0</v>
      </c>
      <c r="DX37" s="61">
        <f>IF(BL37="",0,IF(OR(BL37="DNF",BL37="OCS",BL37="DSQ",BL37="DNS",BL37=" DNS "),$BW$3+1,BL37))</f>
        <v>0</v>
      </c>
      <c r="DY37" s="61">
        <f>IF(BM37="",0,IF(OR(BM37="DNF",BM37="OCS",BM37="DSQ",BM37="DNS",BM37=" DNS "),$BW$3+1,BM37))</f>
        <v>0</v>
      </c>
      <c r="DZ37" s="61">
        <f>IF(BN37="",0,IF(OR(BN37="DNF",BN37="OCS",BN37="DSQ",BN37="DNS",BN37=" DNS "),$BW$3+1,BN37))</f>
        <v>0</v>
      </c>
      <c r="EA37" s="61">
        <f>IF(BO37="",0,IF(OR(BO37="DNF",BO37="OCS",BO37="DSQ",BO37="DNS",BO37=" DNS "),$BW$3+1,BO37))</f>
        <v>0</v>
      </c>
      <c r="EB37" s="61">
        <f>IF(BP37="",0,IF(OR(BP37="DNF",BP37="OCS",BP37="DSQ",BP37="DNS",BP37=" DNS "),$BW$3+1,BP37))</f>
        <v>0</v>
      </c>
      <c r="EC37" s="61">
        <f>IF(BQ37="",0,IF(OR(BQ37="DNF",BQ37="OCS",BQ37="DSQ",BQ37="DNS",BQ37=" DNS "),$BW$3+1,BQ37))</f>
        <v>0</v>
      </c>
      <c r="EE37" s="61">
        <f xml:space="preserve">
IF(OR(Deltagarlista!$K$3=3,Deltagarlista!$K$3=4),
IF(Arrangörslista!$U$5&lt;8,0,
IF(Arrangörslista!$U$5&lt;16,SUM(LARGE(BV37:CJ37,1)),
IF(Arrangörslista!$U$5&lt;24,SUM(LARGE(BV37:CR37,{1;2})),
IF(Arrangörslista!$U$5&lt;32,SUM(LARGE(BV37:CZ37,{1;2;3})),
IF(Arrangörslista!$U$5&lt;40,SUM(LARGE(BV37:DH37,{1;2;3;4})),
IF(Arrangörslista!$U$5&lt;48,SUM(LARGE(BV37:DP37,{1;2;3;4;5})),
IF(Arrangörslista!$U$5&lt;56,SUM(LARGE(BV37:DX37,{1;2;3;4;5;6})),
IF(Arrangörslista!$U$5&lt;64,SUM(LARGE(BV37:EC37,{1;2;3;4;5;6;7})),0)))))))),
IF(Deltagarlista!$K$3=2,
IF(Arrangörslista!$U$5&lt;4,LARGE(BV37:BX37,1),
IF(Arrangörslista!$U$5&lt;7,SUM(LARGE(BV37:CA37,{1;2;3})),
IF(Arrangörslista!$U$5&lt;10,SUM(LARGE(BV37:CD37,{1;2;3;4})),
IF(Arrangörslista!$U$5&lt;13,SUM(LARGE(BV37:CG37,{1;2;3;4;5;6})),
IF(Arrangörslista!$U$5&lt;16,SUM(LARGE(BV37:CJ37,{1;2;3;4;5;6;7})),
IF(Arrangörslista!$U$5&lt;19,SUM(LARGE(BV37:CM37,{1;2;3;4;5;6;7;8;9})),
IF(Arrangörslista!$U$5&lt;22,SUM(LARGE(BV37:CP37,{1;2;3;4;5;6;7;8;9;10})),
IF(Arrangörslista!$U$5&lt;25,SUM(LARGE(BV37:CS37,{1;2;3;4;5;6;7;8;9;10;11;12})),
IF(Arrangörslista!$U$5&lt;28,SUM(LARGE(BV37:CV37,{1;2;3;4;5;6;7;8;9;10;11;12;13})),
IF(Arrangörslista!$U$5&lt;31,SUM(LARGE(BV37:CY37,{1;2;3;4;5;6;7;8;9;10;11;12;13;14;15})),
IF(Arrangörslista!$U$5&lt;34,SUM(LARGE(BV37:DB37,{1;2;3;4;5;6;7;8;9;10;11;12;13;14;15;16})),
IF(Arrangörslista!$U$5&lt;37,SUM(LARGE(BV37:DE37,{1;2;3;4;5;6;7;8;9;10;11;12;13;14;15;16;17;18})),
IF(Arrangörslista!$U$5&lt;40,SUM(LARGE(BV37:DH37,{1;2;3;4;5;6;7;8;9;10;11;12;13;14;15;16;17;18;19})),
IF(Arrangörslista!$U$5&lt;43,SUM(LARGE(BV37:DK37,{1;2;3;4;5;6;7;8;9;10;11;12;13;14;15;16;17;18;19;20;21})),
IF(Arrangörslista!$U$5&lt;46,SUM(LARGE(BV37:DN37,{1;2;3;4;5;6;7;8;9;10;11;12;13;14;15;16;17;18;19;20;21;22})),
IF(Arrangörslista!$U$5&lt;49,SUM(LARGE(BV37:DQ37,{1;2;3;4;5;6;7;8;9;10;11;12;13;14;15;16;17;18;19;20;21;22;23;24})),
IF(Arrangörslista!$U$5&lt;52,SUM(LARGE(BV37:DT37,{1;2;3;4;5;6;7;8;9;10;11;12;13;14;15;16;17;18;19;20;21;22;23;24;25})),
IF(Arrangörslista!$U$5&lt;55,SUM(LARGE(BV37:DW37,{1;2;3;4;5;6;7;8;9;10;11;12;13;14;15;16;17;18;19;20;21;22;23;24;25;26;27})),
IF(Arrangörslista!$U$5&lt;58,SUM(LARGE(BV37:DZ37,{1;2;3;4;5;6;7;8;9;10;11;12;13;14;15;16;17;18;19;20;21;22;23;24;25;26;27;28})),
IF(Arrangörslista!$U$5&lt;61,SUM(LARGE(BV37:EC37,{1;2;3;4;5;6;7;8;9;10;11;12;13;14;15;16;17;18;19;20;21;22;23;24;25;26;27;28;29;30})),0)))))))))))))))))))),
IF(Arrangörslista!$U$5&lt;4,0,
IF(Arrangörslista!$U$5&lt;8,SUM(LARGE(BV37:CB37,1)),
IF(Arrangörslista!$U$5&lt;12,SUM(LARGE(BV37:CF37,{1;2})),
IF(Arrangörslista!$U$5&lt;16,SUM(LARGE(BV37:CJ37,{1;2;3})),
IF(Arrangörslista!$U$5&lt;20,SUM(LARGE(BV37:CN37,{1;2;3;4})),
IF(Arrangörslista!$U$5&lt;24,SUM(LARGE(BV37:CR37,{1;2;3;4;5})),
IF(Arrangörslista!$U$5&lt;28,SUM(LARGE(BV37:CV37,{1;2;3;4;5;6})),
IF(Arrangörslista!$U$5&lt;32,SUM(LARGE(BV37:CZ37,{1;2;3;4;5;6;7})),
IF(Arrangörslista!$U$5&lt;36,SUM(LARGE(BV37:DD37,{1;2;3;4;5;6;7;8})),
IF(Arrangörslista!$U$5&lt;40,SUM(LARGE(BV37:DH37,{1;2;3;4;5;6;7;8;9})),
IF(Arrangörslista!$U$5&lt;44,SUM(LARGE(BV37:DL37,{1;2;3;4;5;6;7;8;9;10})),
IF(Arrangörslista!$U$5&lt;48,SUM(LARGE(BV37:DP37,{1;2;3;4;5;6;7;8;9;10;11})),
IF(Arrangörslista!$U$5&lt;52,SUM(LARGE(BV37:DT37,{1;2;3;4;5;6;7;8;9;10;11;12})),
IF(Arrangörslista!$U$5&lt;56,SUM(LARGE(BV37:DX37,{1;2;3;4;5;6;7;8;9;10;11;12;13})),
IF(Arrangörslista!$U$5&lt;60,SUM(LARGE(BV37:EB37,{1;2;3;4;5;6;7;8;9;10;11;12;13;14})),
IF(Arrangörslista!$U$5=60,SUM(LARGE(BV37:EC37,{1;2;3;4;5;6;7;8;9;10;11;12;13;14;15})),0))))))))))))))))))</f>
        <v>0</v>
      </c>
      <c r="EG37" s="67">
        <f>IF(F37="",,1)</f>
        <v>0</v>
      </c>
      <c r="EH37" s="61"/>
      <c r="EI37" s="61"/>
      <c r="EK37" s="62">
        <f>SMALL($J100:$BQ100,1)</f>
        <v>61</v>
      </c>
      <c r="EL37" s="62">
        <f>SMALL($J100:$BQ100,2)</f>
        <v>61</v>
      </c>
      <c r="EM37" s="62">
        <f>SMALL($J100:$BQ100,3)</f>
        <v>61</v>
      </c>
      <c r="EN37" s="62">
        <f>SMALL($J100:$BQ100,4)</f>
        <v>61</v>
      </c>
      <c r="EO37" s="62">
        <f>SMALL($J100:$BQ100,5)</f>
        <v>61</v>
      </c>
      <c r="EP37" s="62">
        <f>SMALL($J100:$BQ100,6)</f>
        <v>61</v>
      </c>
      <c r="EQ37" s="62">
        <f>SMALL($J100:$BQ100,7)</f>
        <v>61</v>
      </c>
      <c r="ER37" s="62">
        <f>SMALL($J100:$BQ100,8)</f>
        <v>61</v>
      </c>
      <c r="ES37" s="62">
        <f>SMALL($J100:$BQ100,9)</f>
        <v>61</v>
      </c>
      <c r="ET37" s="62">
        <f>SMALL($J100:$BQ100,10)</f>
        <v>61</v>
      </c>
      <c r="EU37" s="62">
        <f>SMALL($J100:$BQ100,11)</f>
        <v>61</v>
      </c>
      <c r="EV37" s="62">
        <f>SMALL($J100:$BQ100,12)</f>
        <v>61</v>
      </c>
      <c r="EW37" s="62">
        <f>SMALL($J100:$BQ100,13)</f>
        <v>61</v>
      </c>
      <c r="EX37" s="62">
        <f>SMALL($J100:$BQ100,14)</f>
        <v>61</v>
      </c>
      <c r="EY37" s="62">
        <f>SMALL($J100:$BQ100,15)</f>
        <v>61</v>
      </c>
      <c r="EZ37" s="62">
        <f>SMALL($J100:$BQ100,16)</f>
        <v>61</v>
      </c>
      <c r="FA37" s="62">
        <f>SMALL($J100:$BQ100,17)</f>
        <v>61</v>
      </c>
      <c r="FB37" s="62">
        <f>SMALL($J100:$BQ100,18)</f>
        <v>61</v>
      </c>
      <c r="FC37" s="62">
        <f>SMALL($J100:$BQ100,19)</f>
        <v>61</v>
      </c>
      <c r="FD37" s="62">
        <f>SMALL($J100:$BQ100,20)</f>
        <v>61</v>
      </c>
      <c r="FE37" s="62">
        <f>SMALL($J100:$BQ100,21)</f>
        <v>61</v>
      </c>
      <c r="FF37" s="62">
        <f>SMALL($J100:$BQ100,22)</f>
        <v>61</v>
      </c>
      <c r="FG37" s="62">
        <f>SMALL($J100:$BQ100,23)</f>
        <v>61</v>
      </c>
      <c r="FH37" s="62">
        <f>SMALL($J100:$BQ100,24)</f>
        <v>61</v>
      </c>
      <c r="FI37" s="62">
        <f>SMALL($J100:$BQ100,25)</f>
        <v>61</v>
      </c>
      <c r="FJ37" s="62">
        <f>SMALL($J100:$BQ100,26)</f>
        <v>61</v>
      </c>
      <c r="FK37" s="62">
        <f>SMALL($J100:$BQ100,27)</f>
        <v>61</v>
      </c>
      <c r="FL37" s="62">
        <f>SMALL($J100:$BQ100,28)</f>
        <v>61</v>
      </c>
      <c r="FM37" s="62">
        <f>SMALL($J100:$BQ100,29)</f>
        <v>61</v>
      </c>
      <c r="FN37" s="62">
        <f>SMALL($J100:$BQ100,30)</f>
        <v>61</v>
      </c>
      <c r="FO37" s="62">
        <f>SMALL($J100:$BQ100,31)</f>
        <v>61</v>
      </c>
      <c r="FP37" s="62">
        <f>SMALL($J100:$BQ100,32)</f>
        <v>61</v>
      </c>
      <c r="FQ37" s="62">
        <f>SMALL($J100:$BQ100,33)</f>
        <v>61</v>
      </c>
      <c r="FR37" s="62">
        <f>SMALL($J100:$BQ100,34)</f>
        <v>61</v>
      </c>
      <c r="FS37" s="62">
        <f>SMALL($J100:$BQ100,35)</f>
        <v>61</v>
      </c>
      <c r="FT37" s="62">
        <f>SMALL($J100:$BQ100,36)</f>
        <v>61</v>
      </c>
      <c r="FU37" s="62">
        <f>SMALL($J100:$BQ100,37)</f>
        <v>61</v>
      </c>
      <c r="FV37" s="62">
        <f>SMALL($J100:$BQ100,38)</f>
        <v>61</v>
      </c>
      <c r="FW37" s="62">
        <f>SMALL($J100:$BQ100,39)</f>
        <v>61</v>
      </c>
      <c r="FX37" s="62">
        <f>SMALL($J100:$BQ100,40)</f>
        <v>61</v>
      </c>
      <c r="FY37" s="62">
        <f>SMALL($J100:$BQ100,41)</f>
        <v>61</v>
      </c>
      <c r="FZ37" s="62">
        <f>SMALL($J100:$BQ100,42)</f>
        <v>61</v>
      </c>
      <c r="GA37" s="62">
        <f>SMALL($J100:$BQ100,43)</f>
        <v>61</v>
      </c>
      <c r="GB37" s="62">
        <f>SMALL($J100:$BQ100,44)</f>
        <v>61</v>
      </c>
      <c r="GC37" s="62">
        <f>SMALL($J100:$BQ100,45)</f>
        <v>61</v>
      </c>
      <c r="GD37" s="62">
        <f>SMALL($J100:$BQ100,46)</f>
        <v>61</v>
      </c>
      <c r="GE37" s="62">
        <f>SMALL($J100:$BQ100,47)</f>
        <v>61</v>
      </c>
      <c r="GF37" s="62">
        <f>SMALL($J100:$BQ100,48)</f>
        <v>61</v>
      </c>
      <c r="GG37" s="62">
        <f>SMALL($J100:$BQ100,49)</f>
        <v>61</v>
      </c>
      <c r="GH37" s="62">
        <f>SMALL($J100:$BQ100,50)</f>
        <v>61</v>
      </c>
      <c r="GI37" s="62">
        <f>SMALL($J100:$BQ100,51)</f>
        <v>61</v>
      </c>
      <c r="GJ37" s="62">
        <f>SMALL($J100:$BQ100,52)</f>
        <v>61</v>
      </c>
      <c r="GK37" s="62">
        <f>SMALL($J100:$BQ100,53)</f>
        <v>61</v>
      </c>
      <c r="GL37" s="62">
        <f>SMALL($J100:$BQ100,54)</f>
        <v>61</v>
      </c>
      <c r="GM37" s="62">
        <f>SMALL($J100:$BQ100,55)</f>
        <v>61</v>
      </c>
      <c r="GN37" s="62">
        <f>SMALL($J100:$BQ100,56)</f>
        <v>61</v>
      </c>
      <c r="GO37" s="62">
        <f>SMALL($J100:$BQ100,57)</f>
        <v>61</v>
      </c>
      <c r="GP37" s="62">
        <f>SMALL($J100:$BQ100,58)</f>
        <v>61</v>
      </c>
      <c r="GQ37" s="62">
        <f>SMALL($J100:$BQ100,59)</f>
        <v>61</v>
      </c>
      <c r="GR37" s="62">
        <f>SMALL($J100:$BQ100,60)</f>
        <v>61</v>
      </c>
      <c r="GT37" s="62">
        <f>IF(Deltagarlista!$K$3=2,
IF(GW37="1",
      IF(Arrangörslista!$U$5=1,J100,
IF(Arrangörslista!$U$5=2,K100,
IF(Arrangörslista!$U$5=3,L100,
IF(Arrangörslista!$U$5=4,M100,
IF(Arrangörslista!$U$5=5,N100,
IF(Arrangörslista!$U$5=6,O100,
IF(Arrangörslista!$U$5=7,P100,
IF(Arrangörslista!$U$5=8,Q100,
IF(Arrangörslista!$U$5=9,R100,
IF(Arrangörslista!$U$5=10,S100,
IF(Arrangörslista!$U$5=11,T100,
IF(Arrangörslista!$U$5=12,U100,
IF(Arrangörslista!$U$5=13,V100,
IF(Arrangörslista!$U$5=14,W100,
IF(Arrangörslista!$U$5=15,X100,
IF(Arrangörslista!$U$5=16,Y100,IF(Arrangörslista!$U$5=17,Z100,IF(Arrangörslista!$U$5=18,AA100,IF(Arrangörslista!$U$5=19,AB100,IF(Arrangörslista!$U$5=20,AC100,IF(Arrangörslista!$U$5=21,AD100,IF(Arrangörslista!$U$5=22,AE100,IF(Arrangörslista!$U$5=23,AF100, IF(Arrangörslista!$U$5=24,AG100, IF(Arrangörslista!$U$5=25,AH100, IF(Arrangörslista!$U$5=26,AI100, IF(Arrangörslista!$U$5=27,AJ100, IF(Arrangörslista!$U$5=28,AK100, IF(Arrangörslista!$U$5=29,AL100, IF(Arrangörslista!$U$5=30,AM100, IF(Arrangörslista!$U$5=31,AN100, IF(Arrangörslista!$U$5=32,AO100, IF(Arrangörslista!$U$5=33,AP100, IF(Arrangörslista!$U$5=34,AQ100, IF(Arrangörslista!$U$5=35,AR100, IF(Arrangörslista!$U$5=36,AS100, IF(Arrangörslista!$U$5=37,AT100, IF(Arrangörslista!$U$5=38,AU100, IF(Arrangörslista!$U$5=39,AV100, IF(Arrangörslista!$U$5=40,AW100, IF(Arrangörslista!$U$5=41,AX100, IF(Arrangörslista!$U$5=42,AY100, IF(Arrangörslista!$U$5=43,AZ100, IF(Arrangörslista!$U$5=44,BA100, IF(Arrangörslista!$U$5=45,BB100, IF(Arrangörslista!$U$5=46,BC100, IF(Arrangörslista!$U$5=47,BD100, IF(Arrangörslista!$U$5=48,BE100, IF(Arrangörslista!$U$5=49,BF100, IF(Arrangörslista!$U$5=50,BG100, IF(Arrangörslista!$U$5=51,BH100, IF(Arrangörslista!$U$5=52,BI100, IF(Arrangörslista!$U$5=53,BJ100, IF(Arrangörslista!$U$5=54,BK100, IF(Arrangörslista!$U$5=55,BL100, IF(Arrangörslista!$U$5=56,BM100, IF(Arrangörslista!$U$5=57,BN100, IF(Arrangörslista!$U$5=58,BO100, IF(Arrangörslista!$U$5=59,BP100, IF(Arrangörslista!$U$5=60,BQ100,0))))))))))))))))))))))))))))))))))))))))))))))))))))))))))))),IF(Deltagarlista!$K$3=4, IF(Arrangörslista!$U$5=1,J100,
IF(Arrangörslista!$U$5=2,J100,
IF(Arrangörslista!$U$5=3,K100,
IF(Arrangörslista!$U$5=4,K100,
IF(Arrangörslista!$U$5=5,L100,
IF(Arrangörslista!$U$5=6,L100,
IF(Arrangörslista!$U$5=7,M100,
IF(Arrangörslista!$U$5=8,M100,
IF(Arrangörslista!$U$5=9,N100,
IF(Arrangörslista!$U$5=10,N100,
IF(Arrangörslista!$U$5=11,O100,
IF(Arrangörslista!$U$5=12,O100,
IF(Arrangörslista!$U$5=13,P100,
IF(Arrangörslista!$U$5=14,P100,
IF(Arrangörslista!$U$5=15,Q100,
IF(Arrangörslista!$U$5=16,Q100,
IF(Arrangörslista!$U$5=17,R100,
IF(Arrangörslista!$U$5=18,R100,
IF(Arrangörslista!$U$5=19,S100,
IF(Arrangörslista!$U$5=20,S100,
IF(Arrangörslista!$U$5=21,T100,
IF(Arrangörslista!$U$5=22,T100,IF(Arrangörslista!$U$5=23,U100, IF(Arrangörslista!$U$5=24,U100, IF(Arrangörslista!$U$5=25,V100, IF(Arrangörslista!$U$5=26,V100, IF(Arrangörslista!$U$5=27,W100, IF(Arrangörslista!$U$5=28,W100, IF(Arrangörslista!$U$5=29,X100, IF(Arrangörslista!$U$5=30,X100, IF(Arrangörslista!$U$5=31,X100, IF(Arrangörslista!$U$5=32,Y100, IF(Arrangörslista!$U$5=33,AO100, IF(Arrangörslista!$U$5=34,Y100, IF(Arrangörslista!$U$5=35,Z100, IF(Arrangörslista!$U$5=36,AR100, IF(Arrangörslista!$U$5=37,Z100, IF(Arrangörslista!$U$5=38,AA100, IF(Arrangörslista!$U$5=39,AU100, IF(Arrangörslista!$U$5=40,AA100, IF(Arrangörslista!$U$5=41,AB100, IF(Arrangörslista!$U$5=42,AX100, IF(Arrangörslista!$U$5=43,AB100, IF(Arrangörslista!$U$5=44,AC100, IF(Arrangörslista!$U$5=45,BA100, IF(Arrangörslista!$U$5=46,AC100, IF(Arrangörslista!$U$5=47,AD100, IF(Arrangörslista!$U$5=48,BD100, IF(Arrangörslista!$U$5=49,AD100, IF(Arrangörslista!$U$5=50,AE100, IF(Arrangörslista!$U$5=51,BG100, IF(Arrangörslista!$U$5=52,AE100, IF(Arrangörslista!$U$5=53,AF100, IF(Arrangörslista!$U$5=54,BJ100, IF(Arrangörslista!$U$5=55,AF100, IF(Arrangörslista!$U$5=56,AG100, IF(Arrangörslista!$U$5=57,BM100, IF(Arrangörslista!$U$5=58,AG100, IF(Arrangörslista!$U$5=59,AH100, IF(Arrangörslista!$U$5=60,AH100,0)))))))))))))))))))))))))))))))))))))))))))))))))))))))))))),IF(Arrangörslista!$U$5=1,J100,
IF(Arrangörslista!$U$5=2,K100,
IF(Arrangörslista!$U$5=3,L100,
IF(Arrangörslista!$U$5=4,M100,
IF(Arrangörslista!$U$5=5,N100,
IF(Arrangörslista!$U$5=6,O100,
IF(Arrangörslista!$U$5=7,P100,
IF(Arrangörslista!$U$5=8,Q100,
IF(Arrangörslista!$U$5=9,R100,
IF(Arrangörslista!$U$5=10,S100,
IF(Arrangörslista!$U$5=11,T100,
IF(Arrangörslista!$U$5=12,U100,
IF(Arrangörslista!$U$5=13,V100,
IF(Arrangörslista!$U$5=14,W100,
IF(Arrangörslista!$U$5=15,X100,
IF(Arrangörslista!$U$5=16,Y100,IF(Arrangörslista!$U$5=17,Z100,IF(Arrangörslista!$U$5=18,AA100,IF(Arrangörslista!$U$5=19,AB100,IF(Arrangörslista!$U$5=20,AC100,IF(Arrangörslista!$U$5=21,AD100,IF(Arrangörslista!$U$5=22,AE100,IF(Arrangörslista!$U$5=23,AF100, IF(Arrangörslista!$U$5=24,AG100, IF(Arrangörslista!$U$5=25,AH100, IF(Arrangörslista!$U$5=26,AI100, IF(Arrangörslista!$U$5=27,AJ100, IF(Arrangörslista!$U$5=28,AK100, IF(Arrangörslista!$U$5=29,AL100, IF(Arrangörslista!$U$5=30,AM100, IF(Arrangörslista!$U$5=31,AN100, IF(Arrangörslista!$U$5=32,AO100, IF(Arrangörslista!$U$5=33,AP100, IF(Arrangörslista!$U$5=34,AQ100, IF(Arrangörslista!$U$5=35,AR100, IF(Arrangörslista!$U$5=36,AS100, IF(Arrangörslista!$U$5=37,AT100, IF(Arrangörslista!$U$5=38,AU100, IF(Arrangörslista!$U$5=39,AV100, IF(Arrangörslista!$U$5=40,AW100, IF(Arrangörslista!$U$5=41,AX100, IF(Arrangörslista!$U$5=42,AY100, IF(Arrangörslista!$U$5=43,AZ100, IF(Arrangörslista!$U$5=44,BA100, IF(Arrangörslista!$U$5=45,BB100, IF(Arrangörslista!$U$5=46,BC100, IF(Arrangörslista!$U$5=47,BD100, IF(Arrangörslista!$U$5=48,BE100, IF(Arrangörslista!$U$5=49,BF100, IF(Arrangörslista!$U$5=50,BG100, IF(Arrangörslista!$U$5=51,BH100, IF(Arrangörslista!$U$5=52,BI100, IF(Arrangörslista!$U$5=53,BJ100, IF(Arrangörslista!$U$5=54,BK100, IF(Arrangörslista!$U$5=55,BL100, IF(Arrangörslista!$U$5=56,BM100, IF(Arrangörslista!$U$5=57,BN100, IF(Arrangörslista!$U$5=58,BO100, IF(Arrangörslista!$U$5=59,BP100, IF(Arrangörslista!$U$5=60,BQ100,0))))))))))))))))))))))))))))))))))))))))))))))))))))))))))))
))</f>
        <v>0</v>
      </c>
      <c r="GV37" s="65" t="str">
        <f>IFERROR(IF(VLOOKUP(F37,Deltagarlista!$E$5:$I$64,5,FALSE)="Grön","Gr",IF(VLOOKUP(F37,Deltagarlista!$E$5:$I$64,5,FALSE)="Röd","R",IF(VLOOKUP(F37,Deltagarlista!$E$5:$I$64,5,FALSE)="Blå","B","Gu"))),"")</f>
        <v/>
      </c>
      <c r="GW37" s="62" t="str">
        <f t="shared" si="1"/>
        <v/>
      </c>
    </row>
    <row r="38" spans="1:205" ht="15.75" customHeight="1" x14ac:dyDescent="0.3">
      <c r="B38" s="23" t="str">
        <f>IF($BW$3&gt;34,35,"")</f>
        <v/>
      </c>
      <c r="C38" s="92" t="str">
        <f>IF(ISBLANK(Deltagarlista!C35),"",Deltagarlista!C35)</f>
        <v/>
      </c>
      <c r="D38" s="109" t="str">
        <f>CONCATENATE(IF(AND(Deltagarlista!H35="GM",Deltagarlista!$S$14=TRUE),"GM   ",""), IF(OR(Deltagarlista!$K$3=4,Deltagarlista!$K$3=2),Deltagarlista!I35,""))</f>
        <v/>
      </c>
      <c r="E38" s="8" t="str">
        <f>IF(ISBLANK(Deltagarlista!D35),"",Deltagarlista!D35)</f>
        <v/>
      </c>
      <c r="F38" s="8" t="str">
        <f>IF(ISBLANK(Deltagarlista!E35),"",Deltagarlista!E35)</f>
        <v/>
      </c>
      <c r="G38" s="95" t="str">
        <f>IF(ISBLANK(Deltagarlista!F35),"",Deltagarlista!F35)</f>
        <v/>
      </c>
      <c r="H38" s="72" t="str">
        <f>IF(ISBLANK(Deltagarlista!C35),"",BU38-EE38)</f>
        <v/>
      </c>
      <c r="I38" s="13" t="str">
        <f>IF(ISBLANK(Deltagarlista!C35),"",IF(AND(Deltagarlista!$K$3=2,Deltagarlista!$L$3&lt;37),SUM(SUM(BV38:EC38)-(ROUNDDOWN(Arrangörslista!$U$5/3,1))*($BW$3+1)),SUM(BV38:EC38)))</f>
        <v/>
      </c>
      <c r="J38" s="79" t="str">
        <f>IF(Deltagarlista!$K$3=4,IF(ISBLANK(Deltagarlista!$C35),"",IF(ISBLANK(Arrangörslista!C$8),"",IFERROR(VLOOKUP($F38,Arrangörslista!C$8:$AG$45,16,FALSE),IF(ISBLANK(Deltagarlista!$C35),"",IF(ISBLANK(Arrangörslista!C$8),"",IFERROR(VLOOKUP($F38,Arrangörslista!D$8:$AG$45,16,FALSE),"DNS")))))),IF(Deltagarlista!$K$3=2,
IF(ISBLANK(Deltagarlista!$C35),"",IF(ISBLANK(Arrangörslista!C$8),"",IF($GV38=J$64," DNS ",IFERROR(VLOOKUP($F38,Arrangörslista!C$8:$AG$45,16,FALSE),"DNS")))),IF(ISBLANK(Deltagarlista!$C35),"",IF(ISBLANK(Arrangörslista!C$8),"",IFERROR(VLOOKUP($F38,Arrangörslista!C$8:$AG$45,16,FALSE),"DNS")))))</f>
        <v/>
      </c>
      <c r="K38" s="5" t="str">
        <f>IF(Deltagarlista!$K$3=4,IF(ISBLANK(Deltagarlista!$C35),"",IF(ISBLANK(Arrangörslista!E$8),"",IFERROR(VLOOKUP($F38,Arrangörslista!E$8:$AG$45,16,FALSE),IF(ISBLANK(Deltagarlista!$C35),"",IF(ISBLANK(Arrangörslista!E$8),"",IFERROR(VLOOKUP($F38,Arrangörslista!F$8:$AG$45,16,FALSE),"DNS")))))),IF(Deltagarlista!$K$3=2,
IF(ISBLANK(Deltagarlista!$C35),"",IF(ISBLANK(Arrangörslista!D$8),"",IF($GV38=K$64," DNS ",IFERROR(VLOOKUP($F38,Arrangörslista!D$8:$AG$45,16,FALSE),"DNS")))),IF(ISBLANK(Deltagarlista!$C35),"",IF(ISBLANK(Arrangörslista!D$8),"",IFERROR(VLOOKUP($F38,Arrangörslista!D$8:$AG$45,16,FALSE),"DNS")))))</f>
        <v/>
      </c>
      <c r="L38" s="5" t="str">
        <f>IF(Deltagarlista!$K$3=4,IF(ISBLANK(Deltagarlista!$C35),"",IF(ISBLANK(Arrangörslista!G$8),"",IFERROR(VLOOKUP($F38,Arrangörslista!G$8:$AG$45,16,FALSE),IF(ISBLANK(Deltagarlista!$C35),"",IF(ISBLANK(Arrangörslista!G$8),"",IFERROR(VLOOKUP($F38,Arrangörslista!H$8:$AG$45,16,FALSE),"DNS")))))),IF(Deltagarlista!$K$3=2,
IF(ISBLANK(Deltagarlista!$C35),"",IF(ISBLANK(Arrangörslista!E$8),"",IF($GV38=L$64," DNS ",IFERROR(VLOOKUP($F38,Arrangörslista!E$8:$AG$45,16,FALSE),"DNS")))),IF(ISBLANK(Deltagarlista!$C35),"",IF(ISBLANK(Arrangörslista!E$8),"",IFERROR(VLOOKUP($F38,Arrangörslista!E$8:$AG$45,16,FALSE),"DNS")))))</f>
        <v/>
      </c>
      <c r="M38" s="5" t="str">
        <f>IF(Deltagarlista!$K$3=4,IF(ISBLANK(Deltagarlista!$C35),"",IF(ISBLANK(Arrangörslista!I$8),"",IFERROR(VLOOKUP($F38,Arrangörslista!I$8:$AG$45,16,FALSE),IF(ISBLANK(Deltagarlista!$C35),"",IF(ISBLANK(Arrangörslista!I$8),"",IFERROR(VLOOKUP($F38,Arrangörslista!J$8:$AG$45,16,FALSE),"DNS")))))),IF(Deltagarlista!$K$3=2,
IF(ISBLANK(Deltagarlista!$C35),"",IF(ISBLANK(Arrangörslista!F$8),"",IF($GV38=M$64," DNS ",IFERROR(VLOOKUP($F38,Arrangörslista!F$8:$AG$45,16,FALSE),"DNS")))),IF(ISBLANK(Deltagarlista!$C35),"",IF(ISBLANK(Arrangörslista!F$8),"",IFERROR(VLOOKUP($F38,Arrangörslista!F$8:$AG$45,16,FALSE),"DNS")))))</f>
        <v/>
      </c>
      <c r="N38" s="5" t="str">
        <f>IF(Deltagarlista!$K$3=4,IF(ISBLANK(Deltagarlista!$C35),"",IF(ISBLANK(Arrangörslista!K$8),"",IFERROR(VLOOKUP($F38,Arrangörslista!K$8:$AG$45,16,FALSE),IF(ISBLANK(Deltagarlista!$C35),"",IF(ISBLANK(Arrangörslista!K$8),"",IFERROR(VLOOKUP($F38,Arrangörslista!L$8:$AG$45,16,FALSE),"DNS")))))),IF(Deltagarlista!$K$3=2,
IF(ISBLANK(Deltagarlista!$C35),"",IF(ISBLANK(Arrangörslista!G$8),"",IF($GV38=N$64," DNS ",IFERROR(VLOOKUP($F38,Arrangörslista!G$8:$AG$45,16,FALSE),"DNS")))),IF(ISBLANK(Deltagarlista!$C35),"",IF(ISBLANK(Arrangörslista!G$8),"",IFERROR(VLOOKUP($F38,Arrangörslista!G$8:$AG$45,16,FALSE),"DNS")))))</f>
        <v/>
      </c>
      <c r="O38" s="5" t="str">
        <f>IF(Deltagarlista!$K$3=4,IF(ISBLANK(Deltagarlista!$C35),"",IF(ISBLANK(Arrangörslista!M$8),"",IFERROR(VLOOKUP($F38,Arrangörslista!M$8:$AG$45,16,FALSE),IF(ISBLANK(Deltagarlista!$C35),"",IF(ISBLANK(Arrangörslista!M$8),"",IFERROR(VLOOKUP($F38,Arrangörslista!N$8:$AG$45,16,FALSE),"DNS")))))),IF(Deltagarlista!$K$3=2,
IF(ISBLANK(Deltagarlista!$C35),"",IF(ISBLANK(Arrangörslista!H$8),"",IF($GV38=O$64," DNS ",IFERROR(VLOOKUP($F38,Arrangörslista!H$8:$AG$45,16,FALSE),"DNS")))),IF(ISBLANK(Deltagarlista!$C35),"",IF(ISBLANK(Arrangörslista!H$8),"",IFERROR(VLOOKUP($F38,Arrangörslista!H$8:$AG$45,16,FALSE),"DNS")))))</f>
        <v/>
      </c>
      <c r="P38" s="5" t="str">
        <f>IF(Deltagarlista!$K$3=4,IF(ISBLANK(Deltagarlista!$C35),"",IF(ISBLANK(Arrangörslista!O$8),"",IFERROR(VLOOKUP($F38,Arrangörslista!O$8:$AG$45,16,FALSE),IF(ISBLANK(Deltagarlista!$C35),"",IF(ISBLANK(Arrangörslista!O$8),"",IFERROR(VLOOKUP($F38,Arrangörslista!P$8:$AG$45,16,FALSE),"DNS")))))),IF(Deltagarlista!$K$3=2,
IF(ISBLANK(Deltagarlista!$C35),"",IF(ISBLANK(Arrangörslista!I$8),"",IF($GV38=P$64," DNS ",IFERROR(VLOOKUP($F38,Arrangörslista!I$8:$AG$45,16,FALSE),"DNS")))),IF(ISBLANK(Deltagarlista!$C35),"",IF(ISBLANK(Arrangörslista!I$8),"",IFERROR(VLOOKUP($F38,Arrangörslista!I$8:$AG$45,16,FALSE),"DNS")))))</f>
        <v/>
      </c>
      <c r="Q38" s="5" t="str">
        <f>IF(Deltagarlista!$K$3=4,IF(ISBLANK(Deltagarlista!$C35),"",IF(ISBLANK(Arrangörslista!Q$8),"",IFERROR(VLOOKUP($F38,Arrangörslista!Q$8:$AG$45,16,FALSE),IF(ISBLANK(Deltagarlista!$C35),"",IF(ISBLANK(Arrangörslista!Q$8),"",IFERROR(VLOOKUP($F38,Arrangörslista!C$53:$AG$90,16,FALSE),"DNS")))))),IF(Deltagarlista!$K$3=2,
IF(ISBLANK(Deltagarlista!$C35),"",IF(ISBLANK(Arrangörslista!J$8),"",IF($GV38=Q$64," DNS ",IFERROR(VLOOKUP($F38,Arrangörslista!J$8:$AG$45,16,FALSE),"DNS")))),IF(ISBLANK(Deltagarlista!$C35),"",IF(ISBLANK(Arrangörslista!J$8),"",IFERROR(VLOOKUP($F38,Arrangörslista!J$8:$AG$45,16,FALSE),"DNS")))))</f>
        <v/>
      </c>
      <c r="R38" s="5" t="str">
        <f>IF(Deltagarlista!$K$3=4,IF(ISBLANK(Deltagarlista!$C35),"",IF(ISBLANK(Arrangörslista!D$53),"",IFERROR(VLOOKUP($F38,Arrangörslista!D$53:$AG$90,16,FALSE),IF(ISBLANK(Deltagarlista!$C35),"",IF(ISBLANK(Arrangörslista!D$53),"",IFERROR(VLOOKUP($F38,Arrangörslista!E$53:$AG$90,16,FALSE),"DNS")))))),IF(Deltagarlista!$K$3=2,
IF(ISBLANK(Deltagarlista!$C35),"",IF(ISBLANK(Arrangörslista!K$8),"",IF($GV38=R$64," DNS ",IFERROR(VLOOKUP($F38,Arrangörslista!K$8:$AG$45,16,FALSE),"DNS")))),IF(ISBLANK(Deltagarlista!$C35),"",IF(ISBLANK(Arrangörslista!K$8),"",IFERROR(VLOOKUP($F38,Arrangörslista!K$8:$AG$45,16,FALSE),"DNS")))))</f>
        <v/>
      </c>
      <c r="S38" s="5" t="str">
        <f>IF(Deltagarlista!$K$3=4,IF(ISBLANK(Deltagarlista!$C35),"",IF(ISBLANK(Arrangörslista!F$53),"",IFERROR(VLOOKUP($F38,Arrangörslista!F$53:$AG$90,16,FALSE),IF(ISBLANK(Deltagarlista!$C35),"",IF(ISBLANK(Arrangörslista!F$53),"",IFERROR(VLOOKUP($F38,Arrangörslista!G$53:$AG$90,16,FALSE),"DNS")))))),IF(Deltagarlista!$K$3=2,
IF(ISBLANK(Deltagarlista!$C35),"",IF(ISBLANK(Arrangörslista!L$8),"",IF($GV38=S$64," DNS ",IFERROR(VLOOKUP($F38,Arrangörslista!L$8:$AG$45,16,FALSE),"DNS")))),IF(ISBLANK(Deltagarlista!$C35),"",IF(ISBLANK(Arrangörslista!L$8),"",IFERROR(VLOOKUP($F38,Arrangörslista!L$8:$AG$45,16,FALSE),"DNS")))))</f>
        <v/>
      </c>
      <c r="T38" s="5" t="str">
        <f>IF(Deltagarlista!$K$3=4,IF(ISBLANK(Deltagarlista!$C35),"",IF(ISBLANK(Arrangörslista!H$53),"",IFERROR(VLOOKUP($F38,Arrangörslista!H$53:$AG$90,16,FALSE),IF(ISBLANK(Deltagarlista!$C35),"",IF(ISBLANK(Arrangörslista!H$53),"",IFERROR(VLOOKUP($F38,Arrangörslista!I$53:$AG$90,16,FALSE),"DNS")))))),IF(Deltagarlista!$K$3=2,
IF(ISBLANK(Deltagarlista!$C35),"",IF(ISBLANK(Arrangörslista!M$8),"",IF($GV38=T$64," DNS ",IFERROR(VLOOKUP($F38,Arrangörslista!M$8:$AG$45,16,FALSE),"DNS")))),IF(ISBLANK(Deltagarlista!$C35),"",IF(ISBLANK(Arrangörslista!M$8),"",IFERROR(VLOOKUP($F38,Arrangörslista!M$8:$AG$45,16,FALSE),"DNS")))))</f>
        <v/>
      </c>
      <c r="U38" s="5" t="str">
        <f>IF(Deltagarlista!$K$3=4,IF(ISBLANK(Deltagarlista!$C35),"",IF(ISBLANK(Arrangörslista!J$53),"",IFERROR(VLOOKUP($F38,Arrangörslista!J$53:$AG$90,16,FALSE),IF(ISBLANK(Deltagarlista!$C35),"",IF(ISBLANK(Arrangörslista!J$53),"",IFERROR(VLOOKUP($F38,Arrangörslista!K$53:$AG$90,16,FALSE),"DNS")))))),IF(Deltagarlista!$K$3=2,
IF(ISBLANK(Deltagarlista!$C35),"",IF(ISBLANK(Arrangörslista!N$8),"",IF($GV38=U$64," DNS ",IFERROR(VLOOKUP($F38,Arrangörslista!N$8:$AG$45,16,FALSE),"DNS")))),IF(ISBLANK(Deltagarlista!$C35),"",IF(ISBLANK(Arrangörslista!N$8),"",IFERROR(VLOOKUP($F38,Arrangörslista!N$8:$AG$45,16,FALSE),"DNS")))))</f>
        <v/>
      </c>
      <c r="V38" s="5" t="str">
        <f>IF(Deltagarlista!$K$3=4,IF(ISBLANK(Deltagarlista!$C35),"",IF(ISBLANK(Arrangörslista!L$53),"",IFERROR(VLOOKUP($F38,Arrangörslista!L$53:$AG$90,16,FALSE),IF(ISBLANK(Deltagarlista!$C35),"",IF(ISBLANK(Arrangörslista!L$53),"",IFERROR(VLOOKUP($F38,Arrangörslista!M$53:$AG$90,16,FALSE),"DNS")))))),IF(Deltagarlista!$K$3=2,
IF(ISBLANK(Deltagarlista!$C35),"",IF(ISBLANK(Arrangörslista!O$8),"",IF($GV38=V$64," DNS ",IFERROR(VLOOKUP($F38,Arrangörslista!O$8:$AG$45,16,FALSE),"DNS")))),IF(ISBLANK(Deltagarlista!$C35),"",IF(ISBLANK(Arrangörslista!O$8),"",IFERROR(VLOOKUP($F38,Arrangörslista!O$8:$AG$45,16,FALSE),"DNS")))))</f>
        <v/>
      </c>
      <c r="W38" s="5" t="str">
        <f>IF(Deltagarlista!$K$3=4,IF(ISBLANK(Deltagarlista!$C35),"",IF(ISBLANK(Arrangörslista!N$53),"",IFERROR(VLOOKUP($F38,Arrangörslista!N$53:$AG$90,16,FALSE),IF(ISBLANK(Deltagarlista!$C35),"",IF(ISBLANK(Arrangörslista!N$53),"",IFERROR(VLOOKUP($F38,Arrangörslista!O$53:$AG$90,16,FALSE),"DNS")))))),IF(Deltagarlista!$K$3=2,
IF(ISBLANK(Deltagarlista!$C35),"",IF(ISBLANK(Arrangörslista!P$8),"",IF($GV38=W$64," DNS ",IFERROR(VLOOKUP($F38,Arrangörslista!P$8:$AG$45,16,FALSE),"DNS")))),IF(ISBLANK(Deltagarlista!$C35),"",IF(ISBLANK(Arrangörslista!P$8),"",IFERROR(VLOOKUP($F38,Arrangörslista!P$8:$AG$45,16,FALSE),"DNS")))))</f>
        <v/>
      </c>
      <c r="X38" s="5" t="str">
        <f>IF(Deltagarlista!$K$3=4,IF(ISBLANK(Deltagarlista!$C35),"",IF(ISBLANK(Arrangörslista!P$53),"",IFERROR(VLOOKUP($F38,Arrangörslista!P$53:$AG$90,16,FALSE),IF(ISBLANK(Deltagarlista!$C35),"",IF(ISBLANK(Arrangörslista!P$53),"",IFERROR(VLOOKUP($F38,Arrangörslista!Q$53:$AG$90,16,FALSE),"DNS")))))),IF(Deltagarlista!$K$3=2,
IF(ISBLANK(Deltagarlista!$C35),"",IF(ISBLANK(Arrangörslista!Q$8),"",IF($GV38=X$64," DNS ",IFERROR(VLOOKUP($F38,Arrangörslista!Q$8:$AG$45,16,FALSE),"DNS")))),IF(ISBLANK(Deltagarlista!$C35),"",IF(ISBLANK(Arrangörslista!Q$8),"",IFERROR(VLOOKUP($F38,Arrangörslista!Q$8:$AG$45,16,FALSE),"DNS")))))</f>
        <v/>
      </c>
      <c r="Y38" s="5" t="str">
        <f>IF(Deltagarlista!$K$3=4,IF(ISBLANK(Deltagarlista!$C35),"",IF(ISBLANK(Arrangörslista!C$98),"",IFERROR(VLOOKUP($F38,Arrangörslista!C$98:$AG$135,16,FALSE),IF(ISBLANK(Deltagarlista!$C35),"",IF(ISBLANK(Arrangörslista!C$98),"",IFERROR(VLOOKUP($F38,Arrangörslista!D$98:$AG$135,16,FALSE),"DNS")))))),IF(Deltagarlista!$K$3=2,
IF(ISBLANK(Deltagarlista!$C35),"",IF(ISBLANK(Arrangörslista!C$53),"",IF($GV38=Y$64," DNS ",IFERROR(VLOOKUP($F38,Arrangörslista!C$53:$AG$90,16,FALSE),"DNS")))),IF(ISBLANK(Deltagarlista!$C35),"",IF(ISBLANK(Arrangörslista!C$53),"",IFERROR(VLOOKUP($F38,Arrangörslista!C$53:$AG$90,16,FALSE),"DNS")))))</f>
        <v/>
      </c>
      <c r="Z38" s="5" t="str">
        <f>IF(Deltagarlista!$K$3=4,IF(ISBLANK(Deltagarlista!$C35),"",IF(ISBLANK(Arrangörslista!E$98),"",IFERROR(VLOOKUP($F38,Arrangörslista!E$98:$AG$135,16,FALSE),IF(ISBLANK(Deltagarlista!$C35),"",IF(ISBLANK(Arrangörslista!E$98),"",IFERROR(VLOOKUP($F38,Arrangörslista!F$98:$AG$135,16,FALSE),"DNS")))))),IF(Deltagarlista!$K$3=2,
IF(ISBLANK(Deltagarlista!$C35),"",IF(ISBLANK(Arrangörslista!D$53),"",IF($GV38=Z$64," DNS ",IFERROR(VLOOKUP($F38,Arrangörslista!D$53:$AG$90,16,FALSE),"DNS")))),IF(ISBLANK(Deltagarlista!$C35),"",IF(ISBLANK(Arrangörslista!D$53),"",IFERROR(VLOOKUP($F38,Arrangörslista!D$53:$AG$90,16,FALSE),"DNS")))))</f>
        <v/>
      </c>
      <c r="AA38" s="5" t="str">
        <f>IF(Deltagarlista!$K$3=4,IF(ISBLANK(Deltagarlista!$C35),"",IF(ISBLANK(Arrangörslista!G$98),"",IFERROR(VLOOKUP($F38,Arrangörslista!G$98:$AG$135,16,FALSE),IF(ISBLANK(Deltagarlista!$C35),"",IF(ISBLANK(Arrangörslista!G$98),"",IFERROR(VLOOKUP($F38,Arrangörslista!H$98:$AG$135,16,FALSE),"DNS")))))),IF(Deltagarlista!$K$3=2,
IF(ISBLANK(Deltagarlista!$C35),"",IF(ISBLANK(Arrangörslista!E$53),"",IF($GV38=AA$64," DNS ",IFERROR(VLOOKUP($F38,Arrangörslista!E$53:$AG$90,16,FALSE),"DNS")))),IF(ISBLANK(Deltagarlista!$C35),"",IF(ISBLANK(Arrangörslista!E$53),"",IFERROR(VLOOKUP($F38,Arrangörslista!E$53:$AG$90,16,FALSE),"DNS")))))</f>
        <v/>
      </c>
      <c r="AB38" s="5" t="str">
        <f>IF(Deltagarlista!$K$3=4,IF(ISBLANK(Deltagarlista!$C35),"",IF(ISBLANK(Arrangörslista!I$98),"",IFERROR(VLOOKUP($F38,Arrangörslista!I$98:$AG$135,16,FALSE),IF(ISBLANK(Deltagarlista!$C35),"",IF(ISBLANK(Arrangörslista!I$98),"",IFERROR(VLOOKUP($F38,Arrangörslista!J$98:$AG$135,16,FALSE),"DNS")))))),IF(Deltagarlista!$K$3=2,
IF(ISBLANK(Deltagarlista!$C35),"",IF(ISBLANK(Arrangörslista!F$53),"",IF($GV38=AB$64," DNS ",IFERROR(VLOOKUP($F38,Arrangörslista!F$53:$AG$90,16,FALSE),"DNS")))),IF(ISBLANK(Deltagarlista!$C35),"",IF(ISBLANK(Arrangörslista!F$53),"",IFERROR(VLOOKUP($F38,Arrangörslista!F$53:$AG$90,16,FALSE),"DNS")))))</f>
        <v/>
      </c>
      <c r="AC38" s="5" t="str">
        <f>IF(Deltagarlista!$K$3=4,IF(ISBLANK(Deltagarlista!$C35),"",IF(ISBLANK(Arrangörslista!K$98),"",IFERROR(VLOOKUP($F38,Arrangörslista!K$98:$AG$135,16,FALSE),IF(ISBLANK(Deltagarlista!$C35),"",IF(ISBLANK(Arrangörslista!K$98),"",IFERROR(VLOOKUP($F38,Arrangörslista!L$98:$AG$135,16,FALSE),"DNS")))))),IF(Deltagarlista!$K$3=2,
IF(ISBLANK(Deltagarlista!$C35),"",IF(ISBLANK(Arrangörslista!G$53),"",IF($GV38=AC$64," DNS ",IFERROR(VLOOKUP($F38,Arrangörslista!G$53:$AG$90,16,FALSE),"DNS")))),IF(ISBLANK(Deltagarlista!$C35),"",IF(ISBLANK(Arrangörslista!G$53),"",IFERROR(VLOOKUP($F38,Arrangörslista!G$53:$AG$90,16,FALSE),"DNS")))))</f>
        <v/>
      </c>
      <c r="AD38" s="5" t="str">
        <f>IF(Deltagarlista!$K$3=4,IF(ISBLANK(Deltagarlista!$C35),"",IF(ISBLANK(Arrangörslista!M$98),"",IFERROR(VLOOKUP($F38,Arrangörslista!M$98:$AG$135,16,FALSE),IF(ISBLANK(Deltagarlista!$C35),"",IF(ISBLANK(Arrangörslista!M$98),"",IFERROR(VLOOKUP($F38,Arrangörslista!N$98:$AG$135,16,FALSE),"DNS")))))),IF(Deltagarlista!$K$3=2,
IF(ISBLANK(Deltagarlista!$C35),"",IF(ISBLANK(Arrangörslista!H$53),"",IF($GV38=AD$64," DNS ",IFERROR(VLOOKUP($F38,Arrangörslista!H$53:$AG$90,16,FALSE),"DNS")))),IF(ISBLANK(Deltagarlista!$C35),"",IF(ISBLANK(Arrangörslista!H$53),"",IFERROR(VLOOKUP($F38,Arrangörslista!H$53:$AG$90,16,FALSE),"DNS")))))</f>
        <v/>
      </c>
      <c r="AE38" s="5" t="str">
        <f>IF(Deltagarlista!$K$3=4,IF(ISBLANK(Deltagarlista!$C35),"",IF(ISBLANK(Arrangörslista!O$98),"",IFERROR(VLOOKUP($F38,Arrangörslista!O$98:$AG$135,16,FALSE),IF(ISBLANK(Deltagarlista!$C35),"",IF(ISBLANK(Arrangörslista!O$98),"",IFERROR(VLOOKUP($F38,Arrangörslista!P$98:$AG$135,16,FALSE),"DNS")))))),IF(Deltagarlista!$K$3=2,
IF(ISBLANK(Deltagarlista!$C35),"",IF(ISBLANK(Arrangörslista!I$53),"",IF($GV38=AE$64," DNS ",IFERROR(VLOOKUP($F38,Arrangörslista!I$53:$AG$90,16,FALSE),"DNS")))),IF(ISBLANK(Deltagarlista!$C35),"",IF(ISBLANK(Arrangörslista!I$53),"",IFERROR(VLOOKUP($F38,Arrangörslista!I$53:$AG$90,16,FALSE),"DNS")))))</f>
        <v/>
      </c>
      <c r="AF38" s="5" t="str">
        <f>IF(Deltagarlista!$K$3=4,IF(ISBLANK(Deltagarlista!$C35),"",IF(ISBLANK(Arrangörslista!Q$98),"",IFERROR(VLOOKUP($F38,Arrangörslista!Q$98:$AG$135,16,FALSE),IF(ISBLANK(Deltagarlista!$C35),"",IF(ISBLANK(Arrangörslista!Q$98),"",IFERROR(VLOOKUP($F38,Arrangörslista!C$143:$AG$180,16,FALSE),"DNS")))))),IF(Deltagarlista!$K$3=2,
IF(ISBLANK(Deltagarlista!$C35),"",IF(ISBLANK(Arrangörslista!J$53),"",IF($GV38=AF$64," DNS ",IFERROR(VLOOKUP($F38,Arrangörslista!J$53:$AG$90,16,FALSE),"DNS")))),IF(ISBLANK(Deltagarlista!$C35),"",IF(ISBLANK(Arrangörslista!J$53),"",IFERROR(VLOOKUP($F38,Arrangörslista!J$53:$AG$90,16,FALSE),"DNS")))))</f>
        <v/>
      </c>
      <c r="AG38" s="5" t="str">
        <f>IF(Deltagarlista!$K$3=4,IF(ISBLANK(Deltagarlista!$C35),"",IF(ISBLANK(Arrangörslista!D$143),"",IFERROR(VLOOKUP($F38,Arrangörslista!D$143:$AG$180,16,FALSE),IF(ISBLANK(Deltagarlista!$C35),"",IF(ISBLANK(Arrangörslista!D$143),"",IFERROR(VLOOKUP($F38,Arrangörslista!E$143:$AG$180,16,FALSE),"DNS")))))),IF(Deltagarlista!$K$3=2,
IF(ISBLANK(Deltagarlista!$C35),"",IF(ISBLANK(Arrangörslista!K$53),"",IF($GV38=AG$64," DNS ",IFERROR(VLOOKUP($F38,Arrangörslista!K$53:$AG$90,16,FALSE),"DNS")))),IF(ISBLANK(Deltagarlista!$C35),"",IF(ISBLANK(Arrangörslista!K$53),"",IFERROR(VLOOKUP($F38,Arrangörslista!K$53:$AG$90,16,FALSE),"DNS")))))</f>
        <v/>
      </c>
      <c r="AH38" s="5" t="str">
        <f>IF(Deltagarlista!$K$3=4,IF(ISBLANK(Deltagarlista!$C35),"",IF(ISBLANK(Arrangörslista!F$143),"",IFERROR(VLOOKUP($F38,Arrangörslista!F$143:$AG$180,16,FALSE),IF(ISBLANK(Deltagarlista!$C35),"",IF(ISBLANK(Arrangörslista!F$143),"",IFERROR(VLOOKUP($F38,Arrangörslista!G$143:$AG$180,16,FALSE),"DNS")))))),IF(Deltagarlista!$K$3=2,
IF(ISBLANK(Deltagarlista!$C35),"",IF(ISBLANK(Arrangörslista!L$53),"",IF($GV38=AH$64," DNS ",IFERROR(VLOOKUP($F38,Arrangörslista!L$53:$AG$90,16,FALSE),"DNS")))),IF(ISBLANK(Deltagarlista!$C35),"",IF(ISBLANK(Arrangörslista!L$53),"",IFERROR(VLOOKUP($F38,Arrangörslista!L$53:$AG$90,16,FALSE),"DNS")))))</f>
        <v/>
      </c>
      <c r="AI38" s="5" t="str">
        <f>IF(Deltagarlista!$K$3=4,IF(ISBLANK(Deltagarlista!$C35),"",IF(ISBLANK(Arrangörslista!H$143),"",IFERROR(VLOOKUP($F38,Arrangörslista!H$143:$AG$180,16,FALSE),IF(ISBLANK(Deltagarlista!$C35),"",IF(ISBLANK(Arrangörslista!H$143),"",IFERROR(VLOOKUP($F38,Arrangörslista!I$143:$AG$180,16,FALSE),"DNS")))))),IF(Deltagarlista!$K$3=2,
IF(ISBLANK(Deltagarlista!$C35),"",IF(ISBLANK(Arrangörslista!M$53),"",IF($GV38=AI$64," DNS ",IFERROR(VLOOKUP($F38,Arrangörslista!M$53:$AG$90,16,FALSE),"DNS")))),IF(ISBLANK(Deltagarlista!$C35),"",IF(ISBLANK(Arrangörslista!M$53),"",IFERROR(VLOOKUP($F38,Arrangörslista!M$53:$AG$90,16,FALSE),"DNS")))))</f>
        <v/>
      </c>
      <c r="AJ38" s="5" t="str">
        <f>IF(Deltagarlista!$K$3=4,IF(ISBLANK(Deltagarlista!$C35),"",IF(ISBLANK(Arrangörslista!J$143),"",IFERROR(VLOOKUP($F38,Arrangörslista!J$143:$AG$180,16,FALSE),IF(ISBLANK(Deltagarlista!$C35),"",IF(ISBLANK(Arrangörslista!J$143),"",IFERROR(VLOOKUP($F38,Arrangörslista!K$143:$AG$180,16,FALSE),"DNS")))))),IF(Deltagarlista!$K$3=2,
IF(ISBLANK(Deltagarlista!$C35),"",IF(ISBLANK(Arrangörslista!N$53),"",IF($GV38=AJ$64," DNS ",IFERROR(VLOOKUP($F38,Arrangörslista!N$53:$AG$90,16,FALSE),"DNS")))),IF(ISBLANK(Deltagarlista!$C35),"",IF(ISBLANK(Arrangörslista!N$53),"",IFERROR(VLOOKUP($F38,Arrangörslista!N$53:$AG$90,16,FALSE),"DNS")))))</f>
        <v/>
      </c>
      <c r="AK38" s="5" t="str">
        <f>IF(Deltagarlista!$K$3=4,IF(ISBLANK(Deltagarlista!$C35),"",IF(ISBLANK(Arrangörslista!L$143),"",IFERROR(VLOOKUP($F38,Arrangörslista!L$143:$AG$180,16,FALSE),IF(ISBLANK(Deltagarlista!$C35),"",IF(ISBLANK(Arrangörslista!L$143),"",IFERROR(VLOOKUP($F38,Arrangörslista!M$143:$AG$180,16,FALSE),"DNS")))))),IF(Deltagarlista!$K$3=2,
IF(ISBLANK(Deltagarlista!$C35),"",IF(ISBLANK(Arrangörslista!O$53),"",IF($GV38=AK$64," DNS ",IFERROR(VLOOKUP($F38,Arrangörslista!O$53:$AG$90,16,FALSE),"DNS")))),IF(ISBLANK(Deltagarlista!$C35),"",IF(ISBLANK(Arrangörslista!O$53),"",IFERROR(VLOOKUP($F38,Arrangörslista!O$53:$AG$90,16,FALSE),"DNS")))))</f>
        <v/>
      </c>
      <c r="AL38" s="5" t="str">
        <f>IF(Deltagarlista!$K$3=4,IF(ISBLANK(Deltagarlista!$C35),"",IF(ISBLANK(Arrangörslista!N$143),"",IFERROR(VLOOKUP($F38,Arrangörslista!N$143:$AG$180,16,FALSE),IF(ISBLANK(Deltagarlista!$C35),"",IF(ISBLANK(Arrangörslista!N$143),"",IFERROR(VLOOKUP($F38,Arrangörslista!O$143:$AG$180,16,FALSE),"DNS")))))),IF(Deltagarlista!$K$3=2,
IF(ISBLANK(Deltagarlista!$C35),"",IF(ISBLANK(Arrangörslista!P$53),"",IF($GV38=AL$64," DNS ",IFERROR(VLOOKUP($F38,Arrangörslista!P$53:$AG$90,16,FALSE),"DNS")))),IF(ISBLANK(Deltagarlista!$C35),"",IF(ISBLANK(Arrangörslista!P$53),"",IFERROR(VLOOKUP($F38,Arrangörslista!P$53:$AG$90,16,FALSE),"DNS")))))</f>
        <v/>
      </c>
      <c r="AM38" s="5" t="str">
        <f>IF(Deltagarlista!$K$3=4,IF(ISBLANK(Deltagarlista!$C35),"",IF(ISBLANK(Arrangörslista!P$143),"",IFERROR(VLOOKUP($F38,Arrangörslista!P$143:$AG$180,16,FALSE),IF(ISBLANK(Deltagarlista!$C35),"",IF(ISBLANK(Arrangörslista!P$143),"",IFERROR(VLOOKUP($F38,Arrangörslista!Q$143:$AG$180,16,FALSE),"DNS")))))),IF(Deltagarlista!$K$3=2,
IF(ISBLANK(Deltagarlista!$C35),"",IF(ISBLANK(Arrangörslista!Q$53),"",IF($GV38=AM$64," DNS ",IFERROR(VLOOKUP($F38,Arrangörslista!Q$53:$AG$90,16,FALSE),"DNS")))),IF(ISBLANK(Deltagarlista!$C35),"",IF(ISBLANK(Arrangörslista!Q$53),"",IFERROR(VLOOKUP($F38,Arrangörslista!Q$53:$AG$90,16,FALSE),"DNS")))))</f>
        <v/>
      </c>
      <c r="AN38" s="5" t="str">
        <f>IF(Deltagarlista!$K$3=2,
IF(ISBLANK(Deltagarlista!$C35),"",IF(ISBLANK(Arrangörslista!C$98),"",IF($GV38=AN$64," DNS ",IFERROR(VLOOKUP($F38,Arrangörslista!C$98:$AG$135,16,FALSE), "DNS")))), IF(Deltagarlista!$K$3=1,IF(ISBLANK(Deltagarlista!$C35),"",IF(ISBLANK(Arrangörslista!C$98),"",IFERROR(VLOOKUP($F38,Arrangörslista!C$98:$AG$135,16,FALSE), "DNS"))),""))</f>
        <v/>
      </c>
      <c r="AO38" s="5" t="str">
        <f>IF(Deltagarlista!$K$3=2,
IF(ISBLANK(Deltagarlista!$C35),"",IF(ISBLANK(Arrangörslista!D$98),"",IF($GV38=AO$64," DNS ",IFERROR(VLOOKUP($F38,Arrangörslista!D$98:$AG$135,16,FALSE), "DNS")))), IF(Deltagarlista!$K$3=1,IF(ISBLANK(Deltagarlista!$C35),"",IF(ISBLANK(Arrangörslista!D$98),"",IFERROR(VLOOKUP($F38,Arrangörslista!D$98:$AG$135,16,FALSE), "DNS"))),""))</f>
        <v/>
      </c>
      <c r="AP38" s="5" t="str">
        <f>IF(Deltagarlista!$K$3=2,
IF(ISBLANK(Deltagarlista!$C35),"",IF(ISBLANK(Arrangörslista!E$98),"",IF($GV38=AP$64," DNS ",IFERROR(VLOOKUP($F38,Arrangörslista!E$98:$AG$135,16,FALSE), "DNS")))), IF(Deltagarlista!$K$3=1,IF(ISBLANK(Deltagarlista!$C35),"",IF(ISBLANK(Arrangörslista!E$98),"",IFERROR(VLOOKUP($F38,Arrangörslista!E$98:$AG$135,16,FALSE), "DNS"))),""))</f>
        <v/>
      </c>
      <c r="AQ38" s="5" t="str">
        <f>IF(Deltagarlista!$K$3=2,
IF(ISBLANK(Deltagarlista!$C35),"",IF(ISBLANK(Arrangörslista!F$98),"",IF($GV38=AQ$64," DNS ",IFERROR(VLOOKUP($F38,Arrangörslista!F$98:$AG$135,16,FALSE), "DNS")))), IF(Deltagarlista!$K$3=1,IF(ISBLANK(Deltagarlista!$C35),"",IF(ISBLANK(Arrangörslista!F$98),"",IFERROR(VLOOKUP($F38,Arrangörslista!F$98:$AG$135,16,FALSE), "DNS"))),""))</f>
        <v/>
      </c>
      <c r="AR38" s="5" t="str">
        <f>IF(Deltagarlista!$K$3=2,
IF(ISBLANK(Deltagarlista!$C35),"",IF(ISBLANK(Arrangörslista!G$98),"",IF($GV38=AR$64," DNS ",IFERROR(VLOOKUP($F38,Arrangörslista!G$98:$AG$135,16,FALSE), "DNS")))), IF(Deltagarlista!$K$3=1,IF(ISBLANK(Deltagarlista!$C35),"",IF(ISBLANK(Arrangörslista!G$98),"",IFERROR(VLOOKUP($F38,Arrangörslista!G$98:$AG$135,16,FALSE), "DNS"))),""))</f>
        <v/>
      </c>
      <c r="AS38" s="5" t="str">
        <f>IF(Deltagarlista!$K$3=2,
IF(ISBLANK(Deltagarlista!$C35),"",IF(ISBLANK(Arrangörslista!H$98),"",IF($GV38=AS$64," DNS ",IFERROR(VLOOKUP($F38,Arrangörslista!H$98:$AG$135,16,FALSE), "DNS")))), IF(Deltagarlista!$K$3=1,IF(ISBLANK(Deltagarlista!$C35),"",IF(ISBLANK(Arrangörslista!H$98),"",IFERROR(VLOOKUP($F38,Arrangörslista!H$98:$AG$135,16,FALSE), "DNS"))),""))</f>
        <v/>
      </c>
      <c r="AT38" s="5" t="str">
        <f>IF(Deltagarlista!$K$3=2,
IF(ISBLANK(Deltagarlista!$C35),"",IF(ISBLANK(Arrangörslista!I$98),"",IF($GV38=AT$64," DNS ",IFERROR(VLOOKUP($F38,Arrangörslista!I$98:$AG$135,16,FALSE), "DNS")))), IF(Deltagarlista!$K$3=1,IF(ISBLANK(Deltagarlista!$C35),"",IF(ISBLANK(Arrangörslista!I$98),"",IFERROR(VLOOKUP($F38,Arrangörslista!I$98:$AG$135,16,FALSE), "DNS"))),""))</f>
        <v/>
      </c>
      <c r="AU38" s="5" t="str">
        <f>IF(Deltagarlista!$K$3=2,
IF(ISBLANK(Deltagarlista!$C35),"",IF(ISBLANK(Arrangörslista!J$98),"",IF($GV38=AU$64," DNS ",IFERROR(VLOOKUP($F38,Arrangörslista!J$98:$AG$135,16,FALSE), "DNS")))), IF(Deltagarlista!$K$3=1,IF(ISBLANK(Deltagarlista!$C35),"",IF(ISBLANK(Arrangörslista!J$98),"",IFERROR(VLOOKUP($F38,Arrangörslista!J$98:$AG$135,16,FALSE), "DNS"))),""))</f>
        <v/>
      </c>
      <c r="AV38" s="5" t="str">
        <f>IF(Deltagarlista!$K$3=2,
IF(ISBLANK(Deltagarlista!$C35),"",IF(ISBLANK(Arrangörslista!K$98),"",IF($GV38=AV$64," DNS ",IFERROR(VLOOKUP($F38,Arrangörslista!K$98:$AG$135,16,FALSE), "DNS")))), IF(Deltagarlista!$K$3=1,IF(ISBLANK(Deltagarlista!$C35),"",IF(ISBLANK(Arrangörslista!K$98),"",IFERROR(VLOOKUP($F38,Arrangörslista!K$98:$AG$135,16,FALSE), "DNS"))),""))</f>
        <v/>
      </c>
      <c r="AW38" s="5" t="str">
        <f>IF(Deltagarlista!$K$3=2,
IF(ISBLANK(Deltagarlista!$C35),"",IF(ISBLANK(Arrangörslista!L$98),"",IF($GV38=AW$64," DNS ",IFERROR(VLOOKUP($F38,Arrangörslista!L$98:$AG$135,16,FALSE), "DNS")))), IF(Deltagarlista!$K$3=1,IF(ISBLANK(Deltagarlista!$C35),"",IF(ISBLANK(Arrangörslista!L$98),"",IFERROR(VLOOKUP($F38,Arrangörslista!L$98:$AG$135,16,FALSE), "DNS"))),""))</f>
        <v/>
      </c>
      <c r="AX38" s="5" t="str">
        <f>IF(Deltagarlista!$K$3=2,
IF(ISBLANK(Deltagarlista!$C35),"",IF(ISBLANK(Arrangörslista!M$98),"",IF($GV38=AX$64," DNS ",IFERROR(VLOOKUP($F38,Arrangörslista!M$98:$AG$135,16,FALSE), "DNS")))), IF(Deltagarlista!$K$3=1,IF(ISBLANK(Deltagarlista!$C35),"",IF(ISBLANK(Arrangörslista!M$98),"",IFERROR(VLOOKUP($F38,Arrangörslista!M$98:$AG$135,16,FALSE), "DNS"))),""))</f>
        <v/>
      </c>
      <c r="AY38" s="5" t="str">
        <f>IF(Deltagarlista!$K$3=2,
IF(ISBLANK(Deltagarlista!$C35),"",IF(ISBLANK(Arrangörslista!N$98),"",IF($GV38=AY$64," DNS ",IFERROR(VLOOKUP($F38,Arrangörslista!N$98:$AG$135,16,FALSE), "DNS")))), IF(Deltagarlista!$K$3=1,IF(ISBLANK(Deltagarlista!$C35),"",IF(ISBLANK(Arrangörslista!N$98),"",IFERROR(VLOOKUP($F38,Arrangörslista!N$98:$AG$135,16,FALSE), "DNS"))),""))</f>
        <v/>
      </c>
      <c r="AZ38" s="5" t="str">
        <f>IF(Deltagarlista!$K$3=2,
IF(ISBLANK(Deltagarlista!$C35),"",IF(ISBLANK(Arrangörslista!O$98),"",IF($GV38=AZ$64," DNS ",IFERROR(VLOOKUP($F38,Arrangörslista!O$98:$AG$135,16,FALSE), "DNS")))), IF(Deltagarlista!$K$3=1,IF(ISBLANK(Deltagarlista!$C35),"",IF(ISBLANK(Arrangörslista!O$98),"",IFERROR(VLOOKUP($F38,Arrangörslista!O$98:$AG$135,16,FALSE), "DNS"))),""))</f>
        <v/>
      </c>
      <c r="BA38" s="5" t="str">
        <f>IF(Deltagarlista!$K$3=2,
IF(ISBLANK(Deltagarlista!$C35),"",IF(ISBLANK(Arrangörslista!P$98),"",IF($GV38=BA$64," DNS ",IFERROR(VLOOKUP($F38,Arrangörslista!P$98:$AG$135,16,FALSE), "DNS")))), IF(Deltagarlista!$K$3=1,IF(ISBLANK(Deltagarlista!$C35),"",IF(ISBLANK(Arrangörslista!P$98),"",IFERROR(VLOOKUP($F38,Arrangörslista!P$98:$AG$135,16,FALSE), "DNS"))),""))</f>
        <v/>
      </c>
      <c r="BB38" s="5" t="str">
        <f>IF(Deltagarlista!$K$3=2,
IF(ISBLANK(Deltagarlista!$C35),"",IF(ISBLANK(Arrangörslista!Q$98),"",IF($GV38=BB$64," DNS ",IFERROR(VLOOKUP($F38,Arrangörslista!Q$98:$AG$135,16,FALSE), "DNS")))), IF(Deltagarlista!$K$3=1,IF(ISBLANK(Deltagarlista!$C35),"",IF(ISBLANK(Arrangörslista!Q$98),"",IFERROR(VLOOKUP($F38,Arrangörslista!Q$98:$AG$135,16,FALSE), "DNS"))),""))</f>
        <v/>
      </c>
      <c r="BC38" s="5" t="str">
        <f>IF(Deltagarlista!$K$3=2,
IF(ISBLANK(Deltagarlista!$C35),"",IF(ISBLANK(Arrangörslista!C$143),"",IF($GV38=BC$64," DNS ",IFERROR(VLOOKUP($F38,Arrangörslista!C$143:$AG$180,16,FALSE), "DNS")))), IF(Deltagarlista!$K$3=1,IF(ISBLANK(Deltagarlista!$C35),"",IF(ISBLANK(Arrangörslista!C$143),"",IFERROR(VLOOKUP($F38,Arrangörslista!C$143:$AG$180,16,FALSE), "DNS"))),""))</f>
        <v/>
      </c>
      <c r="BD38" s="5" t="str">
        <f>IF(Deltagarlista!$K$3=2,
IF(ISBLANK(Deltagarlista!$C35),"",IF(ISBLANK(Arrangörslista!D$143),"",IF($GV38=BD$64," DNS ",IFERROR(VLOOKUP($F38,Arrangörslista!D$143:$AG$180,16,FALSE), "DNS")))), IF(Deltagarlista!$K$3=1,IF(ISBLANK(Deltagarlista!$C35),"",IF(ISBLANK(Arrangörslista!D$143),"",IFERROR(VLOOKUP($F38,Arrangörslista!D$143:$AG$180,16,FALSE), "DNS"))),""))</f>
        <v/>
      </c>
      <c r="BE38" s="5" t="str">
        <f>IF(Deltagarlista!$K$3=2,
IF(ISBLANK(Deltagarlista!$C35),"",IF(ISBLANK(Arrangörslista!E$143),"",IF($GV38=BE$64," DNS ",IFERROR(VLOOKUP($F38,Arrangörslista!E$143:$AG$180,16,FALSE), "DNS")))), IF(Deltagarlista!$K$3=1,IF(ISBLANK(Deltagarlista!$C35),"",IF(ISBLANK(Arrangörslista!E$143),"",IFERROR(VLOOKUP($F38,Arrangörslista!E$143:$AG$180,16,FALSE), "DNS"))),""))</f>
        <v/>
      </c>
      <c r="BF38" s="5" t="str">
        <f>IF(Deltagarlista!$K$3=2,
IF(ISBLANK(Deltagarlista!$C35),"",IF(ISBLANK(Arrangörslista!F$143),"",IF($GV38=BF$64," DNS ",IFERROR(VLOOKUP($F38,Arrangörslista!F$143:$AG$180,16,FALSE), "DNS")))), IF(Deltagarlista!$K$3=1,IF(ISBLANK(Deltagarlista!$C35),"",IF(ISBLANK(Arrangörslista!F$143),"",IFERROR(VLOOKUP($F38,Arrangörslista!F$143:$AG$180,16,FALSE), "DNS"))),""))</f>
        <v/>
      </c>
      <c r="BG38" s="5" t="str">
        <f>IF(Deltagarlista!$K$3=2,
IF(ISBLANK(Deltagarlista!$C35),"",IF(ISBLANK(Arrangörslista!G$143),"",IF($GV38=BG$64," DNS ",IFERROR(VLOOKUP($F38,Arrangörslista!G$143:$AG$180,16,FALSE), "DNS")))), IF(Deltagarlista!$K$3=1,IF(ISBLANK(Deltagarlista!$C35),"",IF(ISBLANK(Arrangörslista!G$143),"",IFERROR(VLOOKUP($F38,Arrangörslista!G$143:$AG$180,16,FALSE), "DNS"))),""))</f>
        <v/>
      </c>
      <c r="BH38" s="5" t="str">
        <f>IF(Deltagarlista!$K$3=2,
IF(ISBLANK(Deltagarlista!$C35),"",IF(ISBLANK(Arrangörslista!H$143),"",IF($GV38=BH$64," DNS ",IFERROR(VLOOKUP($F38,Arrangörslista!H$143:$AG$180,16,FALSE), "DNS")))), IF(Deltagarlista!$K$3=1,IF(ISBLANK(Deltagarlista!$C35),"",IF(ISBLANK(Arrangörslista!H$143),"",IFERROR(VLOOKUP($F38,Arrangörslista!H$143:$AG$180,16,FALSE), "DNS"))),""))</f>
        <v/>
      </c>
      <c r="BI38" s="5" t="str">
        <f>IF(Deltagarlista!$K$3=2,
IF(ISBLANK(Deltagarlista!$C35),"",IF(ISBLANK(Arrangörslista!I$143),"",IF($GV38=BI$64," DNS ",IFERROR(VLOOKUP($F38,Arrangörslista!I$143:$AG$180,16,FALSE), "DNS")))), IF(Deltagarlista!$K$3=1,IF(ISBLANK(Deltagarlista!$C35),"",IF(ISBLANK(Arrangörslista!I$143),"",IFERROR(VLOOKUP($F38,Arrangörslista!I$143:$AG$180,16,FALSE), "DNS"))),""))</f>
        <v/>
      </c>
      <c r="BJ38" s="5" t="str">
        <f>IF(Deltagarlista!$K$3=2,
IF(ISBLANK(Deltagarlista!$C35),"",IF(ISBLANK(Arrangörslista!J$143),"",IF($GV38=BJ$64," DNS ",IFERROR(VLOOKUP($F38,Arrangörslista!J$143:$AG$180,16,FALSE), "DNS")))), IF(Deltagarlista!$K$3=1,IF(ISBLANK(Deltagarlista!$C35),"",IF(ISBLANK(Arrangörslista!J$143),"",IFERROR(VLOOKUP($F38,Arrangörslista!J$143:$AG$180,16,FALSE), "DNS"))),""))</f>
        <v/>
      </c>
      <c r="BK38" s="5" t="str">
        <f>IF(Deltagarlista!$K$3=2,
IF(ISBLANK(Deltagarlista!$C35),"",IF(ISBLANK(Arrangörslista!K$143),"",IF($GV38=BK$64," DNS ",IFERROR(VLOOKUP($F38,Arrangörslista!K$143:$AG$180,16,FALSE), "DNS")))), IF(Deltagarlista!$K$3=1,IF(ISBLANK(Deltagarlista!$C35),"",IF(ISBLANK(Arrangörslista!K$143),"",IFERROR(VLOOKUP($F38,Arrangörslista!K$143:$AG$180,16,FALSE), "DNS"))),""))</f>
        <v/>
      </c>
      <c r="BL38" s="5" t="str">
        <f>IF(Deltagarlista!$K$3=2,
IF(ISBLANK(Deltagarlista!$C35),"",IF(ISBLANK(Arrangörslista!L$143),"",IF($GV38=BL$64," DNS ",IFERROR(VLOOKUP($F38,Arrangörslista!L$143:$AG$180,16,FALSE), "DNS")))), IF(Deltagarlista!$K$3=1,IF(ISBLANK(Deltagarlista!$C35),"",IF(ISBLANK(Arrangörslista!L$143),"",IFERROR(VLOOKUP($F38,Arrangörslista!L$143:$AG$180,16,FALSE), "DNS"))),""))</f>
        <v/>
      </c>
      <c r="BM38" s="5" t="str">
        <f>IF(Deltagarlista!$K$3=2,
IF(ISBLANK(Deltagarlista!$C35),"",IF(ISBLANK(Arrangörslista!M$143),"",IF($GV38=BM$64," DNS ",IFERROR(VLOOKUP($F38,Arrangörslista!M$143:$AG$180,16,FALSE), "DNS")))), IF(Deltagarlista!$K$3=1,IF(ISBLANK(Deltagarlista!$C35),"",IF(ISBLANK(Arrangörslista!M$143),"",IFERROR(VLOOKUP($F38,Arrangörslista!M$143:$AG$180,16,FALSE), "DNS"))),""))</f>
        <v/>
      </c>
      <c r="BN38" s="5" t="str">
        <f>IF(Deltagarlista!$K$3=2,
IF(ISBLANK(Deltagarlista!$C35),"",IF(ISBLANK(Arrangörslista!N$143),"",IF($GV38=BN$64," DNS ",IFERROR(VLOOKUP($F38,Arrangörslista!N$143:$AG$180,16,FALSE), "DNS")))), IF(Deltagarlista!$K$3=1,IF(ISBLANK(Deltagarlista!$C35),"",IF(ISBLANK(Arrangörslista!N$143),"",IFERROR(VLOOKUP($F38,Arrangörslista!N$143:$AG$180,16,FALSE), "DNS"))),""))</f>
        <v/>
      </c>
      <c r="BO38" s="5" t="str">
        <f>IF(Deltagarlista!$K$3=2,
IF(ISBLANK(Deltagarlista!$C35),"",IF(ISBLANK(Arrangörslista!O$143),"",IF($GV38=BO$64," DNS ",IFERROR(VLOOKUP($F38,Arrangörslista!O$143:$AG$180,16,FALSE), "DNS")))), IF(Deltagarlista!$K$3=1,IF(ISBLANK(Deltagarlista!$C35),"",IF(ISBLANK(Arrangörslista!O$143),"",IFERROR(VLOOKUP($F38,Arrangörslista!O$143:$AG$180,16,FALSE), "DNS"))),""))</f>
        <v/>
      </c>
      <c r="BP38" s="5" t="str">
        <f>IF(Deltagarlista!$K$3=2,
IF(ISBLANK(Deltagarlista!$C35),"",IF(ISBLANK(Arrangörslista!P$143),"",IF($GV38=BP$64," DNS ",IFERROR(VLOOKUP($F38,Arrangörslista!P$143:$AG$180,16,FALSE), "DNS")))), IF(Deltagarlista!$K$3=1,IF(ISBLANK(Deltagarlista!$C35),"",IF(ISBLANK(Arrangörslista!P$143),"",IFERROR(VLOOKUP($F38,Arrangörslista!P$143:$AG$180,16,FALSE), "DNS"))),""))</f>
        <v/>
      </c>
      <c r="BQ38" s="80" t="str">
        <f>IF(Deltagarlista!$K$3=2,
IF(ISBLANK(Deltagarlista!$C35),"",IF(ISBLANK(Arrangörslista!Q$143),"",IF($GV38=BQ$64," DNS ",IFERROR(VLOOKUP($F38,Arrangörslista!Q$143:$AG$180,16,FALSE), "DNS")))), IF(Deltagarlista!$K$3=1,IF(ISBLANK(Deltagarlista!$C35),"",IF(ISBLANK(Arrangörslista!Q$143),"",IFERROR(VLOOKUP($F38,Arrangörslista!Q$143:$AG$180,16,FALSE), "DNS"))),""))</f>
        <v/>
      </c>
      <c r="BR38" s="51"/>
      <c r="BS38" s="51"/>
      <c r="BT38" s="51"/>
      <c r="BU38" s="71">
        <f>SUM(BV38:EC38)</f>
        <v>0</v>
      </c>
      <c r="BV38" s="61">
        <f>IF(J38="",0,IF(OR(J38="DNF",J38="OCS",J38="DSQ",J38="DNS",J38=" DNS "),$BW$3+1,J38))</f>
        <v>0</v>
      </c>
      <c r="BW38" s="61">
        <f>IF(K38="",0,IF(OR(K38="DNF",K38="OCS",K38="DSQ",K38="DNS",K38=" DNS "),$BW$3+1,K38))</f>
        <v>0</v>
      </c>
      <c r="BX38" s="61">
        <f>IF(L38="",0,IF(OR(L38="DNF",L38="OCS",L38="DSQ",L38="DNS",L38=" DNS "),$BW$3+1,L38))</f>
        <v>0</v>
      </c>
      <c r="BY38" s="61">
        <f>IF(M38="",0,IF(OR(M38="DNF",M38="OCS",M38="DSQ",M38="DNS",M38=" DNS "),$BW$3+1,M38))</f>
        <v>0</v>
      </c>
      <c r="BZ38" s="61">
        <f>IF(N38="",0,IF(OR(N38="DNF",N38="OCS",N38="DSQ",N38="DNS",N38=" DNS "),$BW$3+1,N38))</f>
        <v>0</v>
      </c>
      <c r="CA38" s="61">
        <f>IF(O38="",0,IF(OR(O38="DNF",O38="OCS",O38="DSQ",O38="DNS",O38=" DNS "),$BW$3+1,O38))</f>
        <v>0</v>
      </c>
      <c r="CB38" s="61">
        <f>IF(P38="",0,IF(OR(P38="DNF",P38="OCS",P38="DSQ",P38="DNS",P38=" DNS "),$BW$3+1,P38))</f>
        <v>0</v>
      </c>
      <c r="CC38" s="61">
        <f>IF(Q38="",0,IF(OR(Q38="DNF",Q38="OCS",Q38="DSQ",Q38="DNS",Q38=" DNS "),$BW$3+1,Q38))</f>
        <v>0</v>
      </c>
      <c r="CD38" s="61">
        <f>IF(R38="",0,IF(OR(R38="DNF",R38="OCS",R38="DSQ",R38="DNS",R38=" DNS "),$BW$3+1,R38))</f>
        <v>0</v>
      </c>
      <c r="CE38" s="61">
        <f>IF(S38="",0,IF(OR(S38="DNF",S38="OCS",S38="DSQ",S38="DNS",S38=" DNS "),$BW$3+1,S38))</f>
        <v>0</v>
      </c>
      <c r="CF38" s="61">
        <f>IF(T38="",0,IF(OR(T38="DNF",T38="OCS",T38="DSQ",T38="DNS",T38=" DNS "),$BW$3+1,T38))</f>
        <v>0</v>
      </c>
      <c r="CG38" s="61">
        <f>IF(U38="",0,IF(OR(U38="DNF",U38="OCS",U38="DSQ",U38="DNS",U38=" DNS "),$BW$3+1,U38))</f>
        <v>0</v>
      </c>
      <c r="CH38" s="61">
        <f>IF(V38="",0,IF(OR(V38="DNF",V38="OCS",V38="DSQ",V38="DNS",V38=" DNS "),$BW$3+1,V38))</f>
        <v>0</v>
      </c>
      <c r="CI38" s="61">
        <f>IF(W38="",0,IF(OR(W38="DNF",W38="OCS",W38="DSQ",W38="DNS",W38=" DNS "),$BW$3+1,W38))</f>
        <v>0</v>
      </c>
      <c r="CJ38" s="61">
        <f>IF(X38="",0,IF(OR(X38="DNF",X38="OCS",X38="DSQ",X38="DNS",X38=" DNS "),$BW$3+1,X38))</f>
        <v>0</v>
      </c>
      <c r="CK38" s="61">
        <f>IF(Y38="",0,IF(OR(Y38="DNF",Y38="OCS",Y38="DSQ",Y38="DNS",Y38=" DNS "),$BW$3+1,Y38))</f>
        <v>0</v>
      </c>
      <c r="CL38" s="61">
        <f>IF(Z38="",0,IF(OR(Z38="DNF",Z38="OCS",Z38="DSQ",Z38="DNS",Z38=" DNS "),$BW$3+1,Z38))</f>
        <v>0</v>
      </c>
      <c r="CM38" s="61">
        <f>IF(AA38="",0,IF(OR(AA38="DNF",AA38="OCS",AA38="DSQ",AA38="DNS",AA38=" DNS "),$BW$3+1,AA38))</f>
        <v>0</v>
      </c>
      <c r="CN38" s="61">
        <f>IF(AB38="",0,IF(OR(AB38="DNF",AB38="OCS",AB38="DSQ",AB38="DNS",AB38=" DNS "),$BW$3+1,AB38))</f>
        <v>0</v>
      </c>
      <c r="CO38" s="61">
        <f>IF(AC38="",0,IF(OR(AC38="DNF",AC38="OCS",AC38="DSQ",AC38="DNS",AC38=" DNS "),$BW$3+1,AC38))</f>
        <v>0</v>
      </c>
      <c r="CP38" s="61">
        <f>IF(AD38="",0,IF(OR(AD38="DNF",AD38="OCS",AD38="DSQ",AD38="DNS",AD38=" DNS "),$BW$3+1,AD38))</f>
        <v>0</v>
      </c>
      <c r="CQ38" s="61">
        <f>IF(AE38="",0,IF(OR(AE38="DNF",AE38="OCS",AE38="DSQ",AE38="DNS",AE38=" DNS "),$BW$3+1,AE38))</f>
        <v>0</v>
      </c>
      <c r="CR38" s="61">
        <f>IF(AF38="",0,IF(OR(AF38="DNF",AF38="OCS",AF38="DSQ",AF38="DNS",AF38=" DNS "),$BW$3+1,AF38))</f>
        <v>0</v>
      </c>
      <c r="CS38" s="61">
        <f>IF(AG38="",0,IF(OR(AG38="DNF",AG38="OCS",AG38="DSQ",AG38="DNS",AG38=" DNS "),$BW$3+1,AG38))</f>
        <v>0</v>
      </c>
      <c r="CT38" s="61">
        <f>IF(AH38="",0,IF(OR(AH38="DNF",AH38="OCS",AH38="DSQ",AH38="DNS",AH38=" DNS "),$BW$3+1,AH38))</f>
        <v>0</v>
      </c>
      <c r="CU38" s="61">
        <f>IF(AI38="",0,IF(OR(AI38="DNF",AI38="OCS",AI38="DSQ",AI38="DNS",AI38=" DNS "),$BW$3+1,AI38))</f>
        <v>0</v>
      </c>
      <c r="CV38" s="61">
        <f>IF(AJ38="",0,IF(OR(AJ38="DNF",AJ38="OCS",AJ38="DSQ",AJ38="DNS",AJ38=" DNS "),$BW$3+1,AJ38))</f>
        <v>0</v>
      </c>
      <c r="CW38" s="61">
        <f>IF(AK38="",0,IF(OR(AK38="DNF",AK38="OCS",AK38="DSQ",AK38="DNS",AK38=" DNS "),$BW$3+1,AK38))</f>
        <v>0</v>
      </c>
      <c r="CX38" s="61">
        <f>IF(AL38="",0,IF(OR(AL38="DNF",AL38="OCS",AL38="DSQ",AL38="DNS",AL38=" DNS "),$BW$3+1,AL38))</f>
        <v>0</v>
      </c>
      <c r="CY38" s="61">
        <f>IF(AM38="",0,IF(OR(AM38="DNF",AM38="OCS",AM38="DSQ",AM38="DNS",AM38=" DNS "),$BW$3+1,AM38))</f>
        <v>0</v>
      </c>
      <c r="CZ38" s="61">
        <f>IF(AN38="",0,IF(OR(AN38="DNF",AN38="OCS",AN38="DSQ",AN38="DNS",AN38=" DNS "),$BW$3+1,AN38))</f>
        <v>0</v>
      </c>
      <c r="DA38" s="61">
        <f>IF(AO38="",0,IF(OR(AO38="DNF",AO38="OCS",AO38="DSQ",AO38="DNS",AO38=" DNS "),$BW$3+1,AO38))</f>
        <v>0</v>
      </c>
      <c r="DB38" s="61">
        <f>IF(AP38="",0,IF(OR(AP38="DNF",AP38="OCS",AP38="DSQ",AP38="DNS",AP38=" DNS "),$BW$3+1,AP38))</f>
        <v>0</v>
      </c>
      <c r="DC38" s="61">
        <f>IF(AQ38="",0,IF(OR(AQ38="DNF",AQ38="OCS",AQ38="DSQ",AQ38="DNS",AQ38=" DNS "),$BW$3+1,AQ38))</f>
        <v>0</v>
      </c>
      <c r="DD38" s="61">
        <f>IF(AR38="",0,IF(OR(AR38="DNF",AR38="OCS",AR38="DSQ",AR38="DNS",AR38=" DNS "),$BW$3+1,AR38))</f>
        <v>0</v>
      </c>
      <c r="DE38" s="61">
        <f>IF(AS38="",0,IF(OR(AS38="DNF",AS38="OCS",AS38="DSQ",AS38="DNS",AS38=" DNS "),$BW$3+1,AS38))</f>
        <v>0</v>
      </c>
      <c r="DF38" s="61">
        <f>IF(AT38="",0,IF(OR(AT38="DNF",AT38="OCS",AT38="DSQ",AT38="DNS",AT38=" DNS "),$BW$3+1,AT38))</f>
        <v>0</v>
      </c>
      <c r="DG38" s="61">
        <f>IF(AU38="",0,IF(OR(AU38="DNF",AU38="OCS",AU38="DSQ",AU38="DNS",AU38=" DNS "),$BW$3+1,AU38))</f>
        <v>0</v>
      </c>
      <c r="DH38" s="61">
        <f>IF(AV38="",0,IF(OR(AV38="DNF",AV38="OCS",AV38="DSQ",AV38="DNS",AV38=" DNS "),$BW$3+1,AV38))</f>
        <v>0</v>
      </c>
      <c r="DI38" s="61">
        <f>IF(AW38="",0,IF(OR(AW38="DNF",AW38="OCS",AW38="DSQ",AW38="DNS",AW38=" DNS "),$BW$3+1,AW38))</f>
        <v>0</v>
      </c>
      <c r="DJ38" s="61">
        <f>IF(AX38="",0,IF(OR(AX38="DNF",AX38="OCS",AX38="DSQ",AX38="DNS",AX38=" DNS "),$BW$3+1,AX38))</f>
        <v>0</v>
      </c>
      <c r="DK38" s="61">
        <f>IF(AY38="",0,IF(OR(AY38="DNF",AY38="OCS",AY38="DSQ",AY38="DNS",AY38=" DNS "),$BW$3+1,AY38))</f>
        <v>0</v>
      </c>
      <c r="DL38" s="61">
        <f>IF(AZ38="",0,IF(OR(AZ38="DNF",AZ38="OCS",AZ38="DSQ",AZ38="DNS",AZ38=" DNS "),$BW$3+1,AZ38))</f>
        <v>0</v>
      </c>
      <c r="DM38" s="61">
        <f>IF(BA38="",0,IF(OR(BA38="DNF",BA38="OCS",BA38="DSQ",BA38="DNS",BA38=" DNS "),$BW$3+1,BA38))</f>
        <v>0</v>
      </c>
      <c r="DN38" s="61">
        <f>IF(BB38="",0,IF(OR(BB38="DNF",BB38="OCS",BB38="DSQ",BB38="DNS",BB38=" DNS "),$BW$3+1,BB38))</f>
        <v>0</v>
      </c>
      <c r="DO38" s="61">
        <f>IF(BC38="",0,IF(OR(BC38="DNF",BC38="OCS",BC38="DSQ",BC38="DNS",BC38=" DNS "),$BW$3+1,BC38))</f>
        <v>0</v>
      </c>
      <c r="DP38" s="61">
        <f>IF(BD38="",0,IF(OR(BD38="DNF",BD38="OCS",BD38="DSQ",BD38="DNS",BD38=" DNS "),$BW$3+1,BD38))</f>
        <v>0</v>
      </c>
      <c r="DQ38" s="61">
        <f>IF(BE38="",0,IF(OR(BE38="DNF",BE38="OCS",BE38="DSQ",BE38="DNS",BE38=" DNS "),$BW$3+1,BE38))</f>
        <v>0</v>
      </c>
      <c r="DR38" s="61">
        <f>IF(BF38="",0,IF(OR(BF38="DNF",BF38="OCS",BF38="DSQ",BF38="DNS",BF38=" DNS "),$BW$3+1,BF38))</f>
        <v>0</v>
      </c>
      <c r="DS38" s="61">
        <f>IF(BG38="",0,IF(OR(BG38="DNF",BG38="OCS",BG38="DSQ",BG38="DNS",BG38=" DNS "),$BW$3+1,BG38))</f>
        <v>0</v>
      </c>
      <c r="DT38" s="61">
        <f>IF(BH38="",0,IF(OR(BH38="DNF",BH38="OCS",BH38="DSQ",BH38="DNS",BH38=" DNS "),$BW$3+1,BH38))</f>
        <v>0</v>
      </c>
      <c r="DU38" s="61">
        <f>IF(BI38="",0,IF(OR(BI38="DNF",BI38="OCS",BI38="DSQ",BI38="DNS",BI38=" DNS "),$BW$3+1,BI38))</f>
        <v>0</v>
      </c>
      <c r="DV38" s="61">
        <f>IF(BJ38="",0,IF(OR(BJ38="DNF",BJ38="OCS",BJ38="DSQ",BJ38="DNS",BJ38=" DNS "),$BW$3+1,BJ38))</f>
        <v>0</v>
      </c>
      <c r="DW38" s="61">
        <f>IF(BK38="",0,IF(OR(BK38="DNF",BK38="OCS",BK38="DSQ",BK38="DNS",BK38=" DNS "),$BW$3+1,BK38))</f>
        <v>0</v>
      </c>
      <c r="DX38" s="61">
        <f>IF(BL38="",0,IF(OR(BL38="DNF",BL38="OCS",BL38="DSQ",BL38="DNS",BL38=" DNS "),$BW$3+1,BL38))</f>
        <v>0</v>
      </c>
      <c r="DY38" s="61">
        <f>IF(BM38="",0,IF(OR(BM38="DNF",BM38="OCS",BM38="DSQ",BM38="DNS",BM38=" DNS "),$BW$3+1,BM38))</f>
        <v>0</v>
      </c>
      <c r="DZ38" s="61">
        <f>IF(BN38="",0,IF(OR(BN38="DNF",BN38="OCS",BN38="DSQ",BN38="DNS",BN38=" DNS "),$BW$3+1,BN38))</f>
        <v>0</v>
      </c>
      <c r="EA38" s="61">
        <f>IF(BO38="",0,IF(OR(BO38="DNF",BO38="OCS",BO38="DSQ",BO38="DNS",BO38=" DNS "),$BW$3+1,BO38))</f>
        <v>0</v>
      </c>
      <c r="EB38" s="61">
        <f>IF(BP38="",0,IF(OR(BP38="DNF",BP38="OCS",BP38="DSQ",BP38="DNS",BP38=" DNS "),$BW$3+1,BP38))</f>
        <v>0</v>
      </c>
      <c r="EC38" s="61">
        <f>IF(BQ38="",0,IF(OR(BQ38="DNF",BQ38="OCS",BQ38="DSQ",BQ38="DNS",BQ38=" DNS "),$BW$3+1,BQ38))</f>
        <v>0</v>
      </c>
      <c r="EE38" s="61">
        <f xml:space="preserve">
IF(OR(Deltagarlista!$K$3=3,Deltagarlista!$K$3=4),
IF(Arrangörslista!$U$5&lt;8,0,
IF(Arrangörslista!$U$5&lt;16,SUM(LARGE(BV38:CJ38,1)),
IF(Arrangörslista!$U$5&lt;24,SUM(LARGE(BV38:CR38,{1;2})),
IF(Arrangörslista!$U$5&lt;32,SUM(LARGE(BV38:CZ38,{1;2;3})),
IF(Arrangörslista!$U$5&lt;40,SUM(LARGE(BV38:DH38,{1;2;3;4})),
IF(Arrangörslista!$U$5&lt;48,SUM(LARGE(BV38:DP38,{1;2;3;4;5})),
IF(Arrangörslista!$U$5&lt;56,SUM(LARGE(BV38:DX38,{1;2;3;4;5;6})),
IF(Arrangörslista!$U$5&lt;64,SUM(LARGE(BV38:EC38,{1;2;3;4;5;6;7})),0)))))))),
IF(Deltagarlista!$K$3=2,
IF(Arrangörslista!$U$5&lt;4,LARGE(BV38:BX38,1),
IF(Arrangörslista!$U$5&lt;7,SUM(LARGE(BV38:CA38,{1;2;3})),
IF(Arrangörslista!$U$5&lt;10,SUM(LARGE(BV38:CD38,{1;2;3;4})),
IF(Arrangörslista!$U$5&lt;13,SUM(LARGE(BV38:CG38,{1;2;3;4;5;6})),
IF(Arrangörslista!$U$5&lt;16,SUM(LARGE(BV38:CJ38,{1;2;3;4;5;6;7})),
IF(Arrangörslista!$U$5&lt;19,SUM(LARGE(BV38:CM38,{1;2;3;4;5;6;7;8;9})),
IF(Arrangörslista!$U$5&lt;22,SUM(LARGE(BV38:CP38,{1;2;3;4;5;6;7;8;9;10})),
IF(Arrangörslista!$U$5&lt;25,SUM(LARGE(BV38:CS38,{1;2;3;4;5;6;7;8;9;10;11;12})),
IF(Arrangörslista!$U$5&lt;28,SUM(LARGE(BV38:CV38,{1;2;3;4;5;6;7;8;9;10;11;12;13})),
IF(Arrangörslista!$U$5&lt;31,SUM(LARGE(BV38:CY38,{1;2;3;4;5;6;7;8;9;10;11;12;13;14;15})),
IF(Arrangörslista!$U$5&lt;34,SUM(LARGE(BV38:DB38,{1;2;3;4;5;6;7;8;9;10;11;12;13;14;15;16})),
IF(Arrangörslista!$U$5&lt;37,SUM(LARGE(BV38:DE38,{1;2;3;4;5;6;7;8;9;10;11;12;13;14;15;16;17;18})),
IF(Arrangörslista!$U$5&lt;40,SUM(LARGE(BV38:DH38,{1;2;3;4;5;6;7;8;9;10;11;12;13;14;15;16;17;18;19})),
IF(Arrangörslista!$U$5&lt;43,SUM(LARGE(BV38:DK38,{1;2;3;4;5;6;7;8;9;10;11;12;13;14;15;16;17;18;19;20;21})),
IF(Arrangörslista!$U$5&lt;46,SUM(LARGE(BV38:DN38,{1;2;3;4;5;6;7;8;9;10;11;12;13;14;15;16;17;18;19;20;21;22})),
IF(Arrangörslista!$U$5&lt;49,SUM(LARGE(BV38:DQ38,{1;2;3;4;5;6;7;8;9;10;11;12;13;14;15;16;17;18;19;20;21;22;23;24})),
IF(Arrangörslista!$U$5&lt;52,SUM(LARGE(BV38:DT38,{1;2;3;4;5;6;7;8;9;10;11;12;13;14;15;16;17;18;19;20;21;22;23;24;25})),
IF(Arrangörslista!$U$5&lt;55,SUM(LARGE(BV38:DW38,{1;2;3;4;5;6;7;8;9;10;11;12;13;14;15;16;17;18;19;20;21;22;23;24;25;26;27})),
IF(Arrangörslista!$U$5&lt;58,SUM(LARGE(BV38:DZ38,{1;2;3;4;5;6;7;8;9;10;11;12;13;14;15;16;17;18;19;20;21;22;23;24;25;26;27;28})),
IF(Arrangörslista!$U$5&lt;61,SUM(LARGE(BV38:EC38,{1;2;3;4;5;6;7;8;9;10;11;12;13;14;15;16;17;18;19;20;21;22;23;24;25;26;27;28;29;30})),0)))))))))))))))))))),
IF(Arrangörslista!$U$5&lt;4,0,
IF(Arrangörslista!$U$5&lt;8,SUM(LARGE(BV38:CB38,1)),
IF(Arrangörslista!$U$5&lt;12,SUM(LARGE(BV38:CF38,{1;2})),
IF(Arrangörslista!$U$5&lt;16,SUM(LARGE(BV38:CJ38,{1;2;3})),
IF(Arrangörslista!$U$5&lt;20,SUM(LARGE(BV38:CN38,{1;2;3;4})),
IF(Arrangörslista!$U$5&lt;24,SUM(LARGE(BV38:CR38,{1;2;3;4;5})),
IF(Arrangörslista!$U$5&lt;28,SUM(LARGE(BV38:CV38,{1;2;3;4;5;6})),
IF(Arrangörslista!$U$5&lt;32,SUM(LARGE(BV38:CZ38,{1;2;3;4;5;6;7})),
IF(Arrangörslista!$U$5&lt;36,SUM(LARGE(BV38:DD38,{1;2;3;4;5;6;7;8})),
IF(Arrangörslista!$U$5&lt;40,SUM(LARGE(BV38:DH38,{1;2;3;4;5;6;7;8;9})),
IF(Arrangörslista!$U$5&lt;44,SUM(LARGE(BV38:DL38,{1;2;3;4;5;6;7;8;9;10})),
IF(Arrangörslista!$U$5&lt;48,SUM(LARGE(BV38:DP38,{1;2;3;4;5;6;7;8;9;10;11})),
IF(Arrangörslista!$U$5&lt;52,SUM(LARGE(BV38:DT38,{1;2;3;4;5;6;7;8;9;10;11;12})),
IF(Arrangörslista!$U$5&lt;56,SUM(LARGE(BV38:DX38,{1;2;3;4;5;6;7;8;9;10;11;12;13})),
IF(Arrangörslista!$U$5&lt;60,SUM(LARGE(BV38:EB38,{1;2;3;4;5;6;7;8;9;10;11;12;13;14})),
IF(Arrangörslista!$U$5=60,SUM(LARGE(BV38:EC38,{1;2;3;4;5;6;7;8;9;10;11;12;13;14;15})),0))))))))))))))))))</f>
        <v>0</v>
      </c>
      <c r="EG38" s="67">
        <f>IF(F38="",,1)</f>
        <v>0</v>
      </c>
      <c r="EH38" s="61"/>
      <c r="EI38" s="61"/>
      <c r="EK38" s="62">
        <f>SMALL($J101:$BQ101,1)</f>
        <v>61</v>
      </c>
      <c r="EL38" s="62">
        <f>SMALL($J101:$BQ101,2)</f>
        <v>61</v>
      </c>
      <c r="EM38" s="62">
        <f>SMALL($J101:$BQ101,3)</f>
        <v>61</v>
      </c>
      <c r="EN38" s="62">
        <f>SMALL($J101:$BQ101,4)</f>
        <v>61</v>
      </c>
      <c r="EO38" s="62">
        <f>SMALL($J101:$BQ101,5)</f>
        <v>61</v>
      </c>
      <c r="EP38" s="62">
        <f>SMALL($J101:$BQ101,6)</f>
        <v>61</v>
      </c>
      <c r="EQ38" s="62">
        <f>SMALL($J101:$BQ101,7)</f>
        <v>61</v>
      </c>
      <c r="ER38" s="62">
        <f>SMALL($J101:$BQ101,8)</f>
        <v>61</v>
      </c>
      <c r="ES38" s="62">
        <f>SMALL($J101:$BQ101,9)</f>
        <v>61</v>
      </c>
      <c r="ET38" s="62">
        <f>SMALL($J101:$BQ101,10)</f>
        <v>61</v>
      </c>
      <c r="EU38" s="62">
        <f>SMALL($J101:$BQ101,11)</f>
        <v>61</v>
      </c>
      <c r="EV38" s="62">
        <f>SMALL($J101:$BQ101,12)</f>
        <v>61</v>
      </c>
      <c r="EW38" s="62">
        <f>SMALL($J101:$BQ101,13)</f>
        <v>61</v>
      </c>
      <c r="EX38" s="62">
        <f>SMALL($J101:$BQ101,14)</f>
        <v>61</v>
      </c>
      <c r="EY38" s="62">
        <f>SMALL($J101:$BQ101,15)</f>
        <v>61</v>
      </c>
      <c r="EZ38" s="62">
        <f>SMALL($J101:$BQ101,16)</f>
        <v>61</v>
      </c>
      <c r="FA38" s="62">
        <f>SMALL($J101:$BQ101,17)</f>
        <v>61</v>
      </c>
      <c r="FB38" s="62">
        <f>SMALL($J101:$BQ101,18)</f>
        <v>61</v>
      </c>
      <c r="FC38" s="62">
        <f>SMALL($J101:$BQ101,19)</f>
        <v>61</v>
      </c>
      <c r="FD38" s="62">
        <f>SMALL($J101:$BQ101,20)</f>
        <v>61</v>
      </c>
      <c r="FE38" s="62">
        <f>SMALL($J101:$BQ101,21)</f>
        <v>61</v>
      </c>
      <c r="FF38" s="62">
        <f>SMALL($J101:$BQ101,22)</f>
        <v>61</v>
      </c>
      <c r="FG38" s="62">
        <f>SMALL($J101:$BQ101,23)</f>
        <v>61</v>
      </c>
      <c r="FH38" s="62">
        <f>SMALL($J101:$BQ101,24)</f>
        <v>61</v>
      </c>
      <c r="FI38" s="62">
        <f>SMALL($J101:$BQ101,25)</f>
        <v>61</v>
      </c>
      <c r="FJ38" s="62">
        <f>SMALL($J101:$BQ101,26)</f>
        <v>61</v>
      </c>
      <c r="FK38" s="62">
        <f>SMALL($J101:$BQ101,27)</f>
        <v>61</v>
      </c>
      <c r="FL38" s="62">
        <f>SMALL($J101:$BQ101,28)</f>
        <v>61</v>
      </c>
      <c r="FM38" s="62">
        <f>SMALL($J101:$BQ101,29)</f>
        <v>61</v>
      </c>
      <c r="FN38" s="62">
        <f>SMALL($J101:$BQ101,30)</f>
        <v>61</v>
      </c>
      <c r="FO38" s="62">
        <f>SMALL($J101:$BQ101,31)</f>
        <v>61</v>
      </c>
      <c r="FP38" s="62">
        <f>SMALL($J101:$BQ101,32)</f>
        <v>61</v>
      </c>
      <c r="FQ38" s="62">
        <f>SMALL($J101:$BQ101,33)</f>
        <v>61</v>
      </c>
      <c r="FR38" s="62">
        <f>SMALL($J101:$BQ101,34)</f>
        <v>61</v>
      </c>
      <c r="FS38" s="62">
        <f>SMALL($J101:$BQ101,35)</f>
        <v>61</v>
      </c>
      <c r="FT38" s="62">
        <f>SMALL($J101:$BQ101,36)</f>
        <v>61</v>
      </c>
      <c r="FU38" s="62">
        <f>SMALL($J101:$BQ101,37)</f>
        <v>61</v>
      </c>
      <c r="FV38" s="62">
        <f>SMALL($J101:$BQ101,38)</f>
        <v>61</v>
      </c>
      <c r="FW38" s="62">
        <f>SMALL($J101:$BQ101,39)</f>
        <v>61</v>
      </c>
      <c r="FX38" s="62">
        <f>SMALL($J101:$BQ101,40)</f>
        <v>61</v>
      </c>
      <c r="FY38" s="62">
        <f>SMALL($J101:$BQ101,41)</f>
        <v>61</v>
      </c>
      <c r="FZ38" s="62">
        <f>SMALL($J101:$BQ101,42)</f>
        <v>61</v>
      </c>
      <c r="GA38" s="62">
        <f>SMALL($J101:$BQ101,43)</f>
        <v>61</v>
      </c>
      <c r="GB38" s="62">
        <f>SMALL($J101:$BQ101,44)</f>
        <v>61</v>
      </c>
      <c r="GC38" s="62">
        <f>SMALL($J101:$BQ101,45)</f>
        <v>61</v>
      </c>
      <c r="GD38" s="62">
        <f>SMALL($J101:$BQ101,46)</f>
        <v>61</v>
      </c>
      <c r="GE38" s="62">
        <f>SMALL($J101:$BQ101,47)</f>
        <v>61</v>
      </c>
      <c r="GF38" s="62">
        <f>SMALL($J101:$BQ101,48)</f>
        <v>61</v>
      </c>
      <c r="GG38" s="62">
        <f>SMALL($J101:$BQ101,49)</f>
        <v>61</v>
      </c>
      <c r="GH38" s="62">
        <f>SMALL($J101:$BQ101,50)</f>
        <v>61</v>
      </c>
      <c r="GI38" s="62">
        <f>SMALL($J101:$BQ101,51)</f>
        <v>61</v>
      </c>
      <c r="GJ38" s="62">
        <f>SMALL($J101:$BQ101,52)</f>
        <v>61</v>
      </c>
      <c r="GK38" s="62">
        <f>SMALL($J101:$BQ101,53)</f>
        <v>61</v>
      </c>
      <c r="GL38" s="62">
        <f>SMALL($J101:$BQ101,54)</f>
        <v>61</v>
      </c>
      <c r="GM38" s="62">
        <f>SMALL($J101:$BQ101,55)</f>
        <v>61</v>
      </c>
      <c r="GN38" s="62">
        <f>SMALL($J101:$BQ101,56)</f>
        <v>61</v>
      </c>
      <c r="GO38" s="62">
        <f>SMALL($J101:$BQ101,57)</f>
        <v>61</v>
      </c>
      <c r="GP38" s="62">
        <f>SMALL($J101:$BQ101,58)</f>
        <v>61</v>
      </c>
      <c r="GQ38" s="62">
        <f>SMALL($J101:$BQ101,59)</f>
        <v>61</v>
      </c>
      <c r="GR38" s="62">
        <f>SMALL($J101:$BQ101,60)</f>
        <v>61</v>
      </c>
      <c r="GT38" s="62">
        <f>IF(Deltagarlista!$K$3=2,
IF(GW38="1",
      IF(Arrangörslista!$U$5=1,J101,
IF(Arrangörslista!$U$5=2,K101,
IF(Arrangörslista!$U$5=3,L101,
IF(Arrangörslista!$U$5=4,M101,
IF(Arrangörslista!$U$5=5,N101,
IF(Arrangörslista!$U$5=6,O101,
IF(Arrangörslista!$U$5=7,P101,
IF(Arrangörslista!$U$5=8,Q101,
IF(Arrangörslista!$U$5=9,R101,
IF(Arrangörslista!$U$5=10,S101,
IF(Arrangörslista!$U$5=11,T101,
IF(Arrangörslista!$U$5=12,U101,
IF(Arrangörslista!$U$5=13,V101,
IF(Arrangörslista!$U$5=14,W101,
IF(Arrangörslista!$U$5=15,X101,
IF(Arrangörslista!$U$5=16,Y101,IF(Arrangörslista!$U$5=17,Z101,IF(Arrangörslista!$U$5=18,AA101,IF(Arrangörslista!$U$5=19,AB101,IF(Arrangörslista!$U$5=20,AC101,IF(Arrangörslista!$U$5=21,AD101,IF(Arrangörslista!$U$5=22,AE101,IF(Arrangörslista!$U$5=23,AF101, IF(Arrangörslista!$U$5=24,AG101, IF(Arrangörslista!$U$5=25,AH101, IF(Arrangörslista!$U$5=26,AI101, IF(Arrangörslista!$U$5=27,AJ101, IF(Arrangörslista!$U$5=28,AK101, IF(Arrangörslista!$U$5=29,AL101, IF(Arrangörslista!$U$5=30,AM101, IF(Arrangörslista!$U$5=31,AN101, IF(Arrangörslista!$U$5=32,AO101, IF(Arrangörslista!$U$5=33,AP101, IF(Arrangörslista!$U$5=34,AQ101, IF(Arrangörslista!$U$5=35,AR101, IF(Arrangörslista!$U$5=36,AS101, IF(Arrangörslista!$U$5=37,AT101, IF(Arrangörslista!$U$5=38,AU101, IF(Arrangörslista!$U$5=39,AV101, IF(Arrangörslista!$U$5=40,AW101, IF(Arrangörslista!$U$5=41,AX101, IF(Arrangörslista!$U$5=42,AY101, IF(Arrangörslista!$U$5=43,AZ101, IF(Arrangörslista!$U$5=44,BA101, IF(Arrangörslista!$U$5=45,BB101, IF(Arrangörslista!$U$5=46,BC101, IF(Arrangörslista!$U$5=47,BD101, IF(Arrangörslista!$U$5=48,BE101, IF(Arrangörslista!$U$5=49,BF101, IF(Arrangörslista!$U$5=50,BG101, IF(Arrangörslista!$U$5=51,BH101, IF(Arrangörslista!$U$5=52,BI101, IF(Arrangörslista!$U$5=53,BJ101, IF(Arrangörslista!$U$5=54,BK101, IF(Arrangörslista!$U$5=55,BL101, IF(Arrangörslista!$U$5=56,BM101, IF(Arrangörslista!$U$5=57,BN101, IF(Arrangörslista!$U$5=58,BO101, IF(Arrangörslista!$U$5=59,BP101, IF(Arrangörslista!$U$5=60,BQ101,0))))))))))))))))))))))))))))))))))))))))))))))))))))))))))))),IF(Deltagarlista!$K$3=4, IF(Arrangörslista!$U$5=1,J101,
IF(Arrangörslista!$U$5=2,J101,
IF(Arrangörslista!$U$5=3,K101,
IF(Arrangörslista!$U$5=4,K101,
IF(Arrangörslista!$U$5=5,L101,
IF(Arrangörslista!$U$5=6,L101,
IF(Arrangörslista!$U$5=7,M101,
IF(Arrangörslista!$U$5=8,M101,
IF(Arrangörslista!$U$5=9,N101,
IF(Arrangörslista!$U$5=10,N101,
IF(Arrangörslista!$U$5=11,O101,
IF(Arrangörslista!$U$5=12,O101,
IF(Arrangörslista!$U$5=13,P101,
IF(Arrangörslista!$U$5=14,P101,
IF(Arrangörslista!$U$5=15,Q101,
IF(Arrangörslista!$U$5=16,Q101,
IF(Arrangörslista!$U$5=17,R101,
IF(Arrangörslista!$U$5=18,R101,
IF(Arrangörslista!$U$5=19,S101,
IF(Arrangörslista!$U$5=20,S101,
IF(Arrangörslista!$U$5=21,T101,
IF(Arrangörslista!$U$5=22,T101,IF(Arrangörslista!$U$5=23,U101, IF(Arrangörslista!$U$5=24,U101, IF(Arrangörslista!$U$5=25,V101, IF(Arrangörslista!$U$5=26,V101, IF(Arrangörslista!$U$5=27,W101, IF(Arrangörslista!$U$5=28,W101, IF(Arrangörslista!$U$5=29,X101, IF(Arrangörslista!$U$5=30,X101, IF(Arrangörslista!$U$5=31,X101, IF(Arrangörslista!$U$5=32,Y101, IF(Arrangörslista!$U$5=33,AO101, IF(Arrangörslista!$U$5=34,Y101, IF(Arrangörslista!$U$5=35,Z101, IF(Arrangörslista!$U$5=36,AR101, IF(Arrangörslista!$U$5=37,Z101, IF(Arrangörslista!$U$5=38,AA101, IF(Arrangörslista!$U$5=39,AU101, IF(Arrangörslista!$U$5=40,AA101, IF(Arrangörslista!$U$5=41,AB101, IF(Arrangörslista!$U$5=42,AX101, IF(Arrangörslista!$U$5=43,AB101, IF(Arrangörslista!$U$5=44,AC101, IF(Arrangörslista!$U$5=45,BA101, IF(Arrangörslista!$U$5=46,AC101, IF(Arrangörslista!$U$5=47,AD101, IF(Arrangörslista!$U$5=48,BD101, IF(Arrangörslista!$U$5=49,AD101, IF(Arrangörslista!$U$5=50,AE101, IF(Arrangörslista!$U$5=51,BG101, IF(Arrangörslista!$U$5=52,AE101, IF(Arrangörslista!$U$5=53,AF101, IF(Arrangörslista!$U$5=54,BJ101, IF(Arrangörslista!$U$5=55,AF101, IF(Arrangörslista!$U$5=56,AG101, IF(Arrangörslista!$U$5=57,BM101, IF(Arrangörslista!$U$5=58,AG101, IF(Arrangörslista!$U$5=59,AH101, IF(Arrangörslista!$U$5=60,AH101,0)))))))))))))))))))))))))))))))))))))))))))))))))))))))))))),IF(Arrangörslista!$U$5=1,J101,
IF(Arrangörslista!$U$5=2,K101,
IF(Arrangörslista!$U$5=3,L101,
IF(Arrangörslista!$U$5=4,M101,
IF(Arrangörslista!$U$5=5,N101,
IF(Arrangörslista!$U$5=6,O101,
IF(Arrangörslista!$U$5=7,P101,
IF(Arrangörslista!$U$5=8,Q101,
IF(Arrangörslista!$U$5=9,R101,
IF(Arrangörslista!$U$5=10,S101,
IF(Arrangörslista!$U$5=11,T101,
IF(Arrangörslista!$U$5=12,U101,
IF(Arrangörslista!$U$5=13,V101,
IF(Arrangörslista!$U$5=14,W101,
IF(Arrangörslista!$U$5=15,X101,
IF(Arrangörslista!$U$5=16,Y101,IF(Arrangörslista!$U$5=17,Z101,IF(Arrangörslista!$U$5=18,AA101,IF(Arrangörslista!$U$5=19,AB101,IF(Arrangörslista!$U$5=20,AC101,IF(Arrangörslista!$U$5=21,AD101,IF(Arrangörslista!$U$5=22,AE101,IF(Arrangörslista!$U$5=23,AF101, IF(Arrangörslista!$U$5=24,AG101, IF(Arrangörslista!$U$5=25,AH101, IF(Arrangörslista!$U$5=26,AI101, IF(Arrangörslista!$U$5=27,AJ101, IF(Arrangörslista!$U$5=28,AK101, IF(Arrangörslista!$U$5=29,AL101, IF(Arrangörslista!$U$5=30,AM101, IF(Arrangörslista!$U$5=31,AN101, IF(Arrangörslista!$U$5=32,AO101, IF(Arrangörslista!$U$5=33,AP101, IF(Arrangörslista!$U$5=34,AQ101, IF(Arrangörslista!$U$5=35,AR101, IF(Arrangörslista!$U$5=36,AS101, IF(Arrangörslista!$U$5=37,AT101, IF(Arrangörslista!$U$5=38,AU101, IF(Arrangörslista!$U$5=39,AV101, IF(Arrangörslista!$U$5=40,AW101, IF(Arrangörslista!$U$5=41,AX101, IF(Arrangörslista!$U$5=42,AY101, IF(Arrangörslista!$U$5=43,AZ101, IF(Arrangörslista!$U$5=44,BA101, IF(Arrangörslista!$U$5=45,BB101, IF(Arrangörslista!$U$5=46,BC101, IF(Arrangörslista!$U$5=47,BD101, IF(Arrangörslista!$U$5=48,BE101, IF(Arrangörslista!$U$5=49,BF101, IF(Arrangörslista!$U$5=50,BG101, IF(Arrangörslista!$U$5=51,BH101, IF(Arrangörslista!$U$5=52,BI101, IF(Arrangörslista!$U$5=53,BJ101, IF(Arrangörslista!$U$5=54,BK101, IF(Arrangörslista!$U$5=55,BL101, IF(Arrangörslista!$U$5=56,BM101, IF(Arrangörslista!$U$5=57,BN101, IF(Arrangörslista!$U$5=58,BO101, IF(Arrangörslista!$U$5=59,BP101, IF(Arrangörslista!$U$5=60,BQ101,0))))))))))))))))))))))))))))))))))))))))))))))))))))))))))))
))</f>
        <v>0</v>
      </c>
      <c r="GV38" s="65" t="str">
        <f>IFERROR(IF(VLOOKUP(F38,Deltagarlista!$E$5:$I$64,5,FALSE)="Grön","Gr",IF(VLOOKUP(F38,Deltagarlista!$E$5:$I$64,5,FALSE)="Röd","R",IF(VLOOKUP(F38,Deltagarlista!$E$5:$I$64,5,FALSE)="Blå","B","Gu"))),"")</f>
        <v/>
      </c>
      <c r="GW38" s="62" t="str">
        <f t="shared" si="1"/>
        <v/>
      </c>
    </row>
    <row r="39" spans="1:205" ht="15.75" customHeight="1" x14ac:dyDescent="0.3">
      <c r="B39" s="23" t="str">
        <f>IF($BW$3&gt;35,36,"")</f>
        <v/>
      </c>
      <c r="C39" s="92" t="str">
        <f>IF(ISBLANK(Deltagarlista!C36),"",Deltagarlista!C36)</f>
        <v/>
      </c>
      <c r="D39" s="109" t="str">
        <f>CONCATENATE(IF(AND(Deltagarlista!H36="GM",Deltagarlista!$S$14=TRUE),"GM   ",""),  IF(OR(Deltagarlista!$K$3=4,Deltagarlista!$K$3=2),Deltagarlista!I36,""))</f>
        <v/>
      </c>
      <c r="E39" s="8" t="str">
        <f>IF(ISBLANK(Deltagarlista!D36),"",Deltagarlista!D36)</f>
        <v/>
      </c>
      <c r="F39" s="8" t="str">
        <f>IF(ISBLANK(Deltagarlista!E36),"",Deltagarlista!E36)</f>
        <v/>
      </c>
      <c r="G39" s="95" t="str">
        <f>IF(ISBLANK(Deltagarlista!F36),"",Deltagarlista!F36)</f>
        <v/>
      </c>
      <c r="H39" s="72" t="str">
        <f>IF(ISBLANK(Deltagarlista!C36),"",BU39-EE39)</f>
        <v/>
      </c>
      <c r="I39" s="13" t="str">
        <f>IF(ISBLANK(Deltagarlista!C36),"",IF(AND(Deltagarlista!$K$3=2,Deltagarlista!$L$3&lt;37),SUM(SUM(BV39:EC39)-(ROUNDDOWN(Arrangörslista!$U$5/3,1))*($BW$3+1)),SUM(BV39:EC39)))</f>
        <v/>
      </c>
      <c r="J39" s="79" t="str">
        <f>IF(Deltagarlista!$K$3=4,IF(ISBLANK(Deltagarlista!$C36),"",IF(ISBLANK(Arrangörslista!C$8),"",IFERROR(VLOOKUP($F39,Arrangörslista!C$8:$AG$45,16,FALSE),IF(ISBLANK(Deltagarlista!$C36),"",IF(ISBLANK(Arrangörslista!C$8),"",IFERROR(VLOOKUP($F39,Arrangörslista!D$8:$AG$45,16,FALSE),"DNS")))))),IF(Deltagarlista!$K$3=2,
IF(ISBLANK(Deltagarlista!$C36),"",IF(ISBLANK(Arrangörslista!C$8),"",IF($GV39=J$64," DNS ",IFERROR(VLOOKUP($F39,Arrangörslista!C$8:$AG$45,16,FALSE),"DNS")))),IF(ISBLANK(Deltagarlista!$C36),"",IF(ISBLANK(Arrangörslista!C$8),"",IFERROR(VLOOKUP($F39,Arrangörslista!C$8:$AG$45,16,FALSE),"DNS")))))</f>
        <v/>
      </c>
      <c r="K39" s="5" t="str">
        <f>IF(Deltagarlista!$K$3=4,IF(ISBLANK(Deltagarlista!$C36),"",IF(ISBLANK(Arrangörslista!E$8),"",IFERROR(VLOOKUP($F39,Arrangörslista!E$8:$AG$45,16,FALSE),IF(ISBLANK(Deltagarlista!$C36),"",IF(ISBLANK(Arrangörslista!E$8),"",IFERROR(VLOOKUP($F39,Arrangörslista!F$8:$AG$45,16,FALSE),"DNS")))))),IF(Deltagarlista!$K$3=2,
IF(ISBLANK(Deltagarlista!$C36),"",IF(ISBLANK(Arrangörslista!D$8),"",IF($GV39=K$64," DNS ",IFERROR(VLOOKUP($F39,Arrangörslista!D$8:$AG$45,16,FALSE),"DNS")))),IF(ISBLANK(Deltagarlista!$C36),"",IF(ISBLANK(Arrangörslista!D$8),"",IFERROR(VLOOKUP($F39,Arrangörslista!D$8:$AG$45,16,FALSE),"DNS")))))</f>
        <v/>
      </c>
      <c r="L39" s="5" t="str">
        <f>IF(Deltagarlista!$K$3=4,IF(ISBLANK(Deltagarlista!$C36),"",IF(ISBLANK(Arrangörslista!G$8),"",IFERROR(VLOOKUP($F39,Arrangörslista!G$8:$AG$45,16,FALSE),IF(ISBLANK(Deltagarlista!$C36),"",IF(ISBLANK(Arrangörslista!G$8),"",IFERROR(VLOOKUP($F39,Arrangörslista!H$8:$AG$45,16,FALSE),"DNS")))))),IF(Deltagarlista!$K$3=2,
IF(ISBLANK(Deltagarlista!$C36),"",IF(ISBLANK(Arrangörslista!E$8),"",IF($GV39=L$64," DNS ",IFERROR(VLOOKUP($F39,Arrangörslista!E$8:$AG$45,16,FALSE),"DNS")))),IF(ISBLANK(Deltagarlista!$C36),"",IF(ISBLANK(Arrangörslista!E$8),"",IFERROR(VLOOKUP($F39,Arrangörslista!E$8:$AG$45,16,FALSE),"DNS")))))</f>
        <v/>
      </c>
      <c r="M39" s="5" t="str">
        <f>IF(Deltagarlista!$K$3=4,IF(ISBLANK(Deltagarlista!$C36),"",IF(ISBLANK(Arrangörslista!I$8),"",IFERROR(VLOOKUP($F39,Arrangörslista!I$8:$AG$45,16,FALSE),IF(ISBLANK(Deltagarlista!$C36),"",IF(ISBLANK(Arrangörslista!I$8),"",IFERROR(VLOOKUP($F39,Arrangörslista!J$8:$AG$45,16,FALSE),"DNS")))))),IF(Deltagarlista!$K$3=2,
IF(ISBLANK(Deltagarlista!$C36),"",IF(ISBLANK(Arrangörslista!F$8),"",IF($GV39=M$64," DNS ",IFERROR(VLOOKUP($F39,Arrangörslista!F$8:$AG$45,16,FALSE),"DNS")))),IF(ISBLANK(Deltagarlista!$C36),"",IF(ISBLANK(Arrangörslista!F$8),"",IFERROR(VLOOKUP($F39,Arrangörslista!F$8:$AG$45,16,FALSE),"DNS")))))</f>
        <v/>
      </c>
      <c r="N39" s="5" t="str">
        <f>IF(Deltagarlista!$K$3=4,IF(ISBLANK(Deltagarlista!$C36),"",IF(ISBLANK(Arrangörslista!K$8),"",IFERROR(VLOOKUP($F39,Arrangörslista!K$8:$AG$45,16,FALSE),IF(ISBLANK(Deltagarlista!$C36),"",IF(ISBLANK(Arrangörslista!K$8),"",IFERROR(VLOOKUP($F39,Arrangörslista!L$8:$AG$45,16,FALSE),"DNS")))))),IF(Deltagarlista!$K$3=2,
IF(ISBLANK(Deltagarlista!$C36),"",IF(ISBLANK(Arrangörslista!G$8),"",IF($GV39=N$64," DNS ",IFERROR(VLOOKUP($F39,Arrangörslista!G$8:$AG$45,16,FALSE),"DNS")))),IF(ISBLANK(Deltagarlista!$C36),"",IF(ISBLANK(Arrangörslista!G$8),"",IFERROR(VLOOKUP($F39,Arrangörslista!G$8:$AG$45,16,FALSE),"DNS")))))</f>
        <v/>
      </c>
      <c r="O39" s="5" t="str">
        <f>IF(Deltagarlista!$K$3=4,IF(ISBLANK(Deltagarlista!$C36),"",IF(ISBLANK(Arrangörslista!M$8),"",IFERROR(VLOOKUP($F39,Arrangörslista!M$8:$AG$45,16,FALSE),IF(ISBLANK(Deltagarlista!$C36),"",IF(ISBLANK(Arrangörslista!M$8),"",IFERROR(VLOOKUP($F39,Arrangörslista!N$8:$AG$45,16,FALSE),"DNS")))))),IF(Deltagarlista!$K$3=2,
IF(ISBLANK(Deltagarlista!$C36),"",IF(ISBLANK(Arrangörslista!H$8),"",IF($GV39=O$64," DNS ",IFERROR(VLOOKUP($F39,Arrangörslista!H$8:$AG$45,16,FALSE),"DNS")))),IF(ISBLANK(Deltagarlista!$C36),"",IF(ISBLANK(Arrangörslista!H$8),"",IFERROR(VLOOKUP($F39,Arrangörslista!H$8:$AG$45,16,FALSE),"DNS")))))</f>
        <v/>
      </c>
      <c r="P39" s="5" t="str">
        <f>IF(Deltagarlista!$K$3=4,IF(ISBLANK(Deltagarlista!$C36),"",IF(ISBLANK(Arrangörslista!O$8),"",IFERROR(VLOOKUP($F39,Arrangörslista!O$8:$AG$45,16,FALSE),IF(ISBLANK(Deltagarlista!$C36),"",IF(ISBLANK(Arrangörslista!O$8),"",IFERROR(VLOOKUP($F39,Arrangörslista!P$8:$AG$45,16,FALSE),"DNS")))))),IF(Deltagarlista!$K$3=2,
IF(ISBLANK(Deltagarlista!$C36),"",IF(ISBLANK(Arrangörslista!I$8),"",IF($GV39=P$64," DNS ",IFERROR(VLOOKUP($F39,Arrangörslista!I$8:$AG$45,16,FALSE),"DNS")))),IF(ISBLANK(Deltagarlista!$C36),"",IF(ISBLANK(Arrangörslista!I$8),"",IFERROR(VLOOKUP($F39,Arrangörslista!I$8:$AG$45,16,FALSE),"DNS")))))</f>
        <v/>
      </c>
      <c r="Q39" s="5" t="str">
        <f>IF(Deltagarlista!$K$3=4,IF(ISBLANK(Deltagarlista!$C36),"",IF(ISBLANK(Arrangörslista!Q$8),"",IFERROR(VLOOKUP($F39,Arrangörslista!Q$8:$AG$45,16,FALSE),IF(ISBLANK(Deltagarlista!$C36),"",IF(ISBLANK(Arrangörslista!Q$8),"",IFERROR(VLOOKUP($F39,Arrangörslista!C$53:$AG$90,16,FALSE),"DNS")))))),IF(Deltagarlista!$K$3=2,
IF(ISBLANK(Deltagarlista!$C36),"",IF(ISBLANK(Arrangörslista!J$8),"",IF($GV39=Q$64," DNS ",IFERROR(VLOOKUP($F39,Arrangörslista!J$8:$AG$45,16,FALSE),"DNS")))),IF(ISBLANK(Deltagarlista!$C36),"",IF(ISBLANK(Arrangörslista!J$8),"",IFERROR(VLOOKUP($F39,Arrangörslista!J$8:$AG$45,16,FALSE),"DNS")))))</f>
        <v/>
      </c>
      <c r="R39" s="5" t="str">
        <f>IF(Deltagarlista!$K$3=4,IF(ISBLANK(Deltagarlista!$C36),"",IF(ISBLANK(Arrangörslista!D$53),"",IFERROR(VLOOKUP($F39,Arrangörslista!D$53:$AG$90,16,FALSE),IF(ISBLANK(Deltagarlista!$C36),"",IF(ISBLANK(Arrangörslista!D$53),"",IFERROR(VLOOKUP($F39,Arrangörslista!E$53:$AG$90,16,FALSE),"DNS")))))),IF(Deltagarlista!$K$3=2,
IF(ISBLANK(Deltagarlista!$C36),"",IF(ISBLANK(Arrangörslista!K$8),"",IF($GV39=R$64," DNS ",IFERROR(VLOOKUP($F39,Arrangörslista!K$8:$AG$45,16,FALSE),"DNS")))),IF(ISBLANK(Deltagarlista!$C36),"",IF(ISBLANK(Arrangörslista!K$8),"",IFERROR(VLOOKUP($F39,Arrangörslista!K$8:$AG$45,16,FALSE),"DNS")))))</f>
        <v/>
      </c>
      <c r="S39" s="5" t="str">
        <f>IF(Deltagarlista!$K$3=4,IF(ISBLANK(Deltagarlista!$C36),"",IF(ISBLANK(Arrangörslista!F$53),"",IFERROR(VLOOKUP($F39,Arrangörslista!F$53:$AG$90,16,FALSE),IF(ISBLANK(Deltagarlista!$C36),"",IF(ISBLANK(Arrangörslista!F$53),"",IFERROR(VLOOKUP($F39,Arrangörslista!G$53:$AG$90,16,FALSE),"DNS")))))),IF(Deltagarlista!$K$3=2,
IF(ISBLANK(Deltagarlista!$C36),"",IF(ISBLANK(Arrangörslista!L$8),"",IF($GV39=S$64," DNS ",IFERROR(VLOOKUP($F39,Arrangörslista!L$8:$AG$45,16,FALSE),"DNS")))),IF(ISBLANK(Deltagarlista!$C36),"",IF(ISBLANK(Arrangörslista!L$8),"",IFERROR(VLOOKUP($F39,Arrangörslista!L$8:$AG$45,16,FALSE),"DNS")))))</f>
        <v/>
      </c>
      <c r="T39" s="5" t="str">
        <f>IF(Deltagarlista!$K$3=4,IF(ISBLANK(Deltagarlista!$C36),"",IF(ISBLANK(Arrangörslista!H$53),"",IFERROR(VLOOKUP($F39,Arrangörslista!H$53:$AG$90,16,FALSE),IF(ISBLANK(Deltagarlista!$C36),"",IF(ISBLANK(Arrangörslista!H$53),"",IFERROR(VLOOKUP($F39,Arrangörslista!I$53:$AG$90,16,FALSE),"DNS")))))),IF(Deltagarlista!$K$3=2,
IF(ISBLANK(Deltagarlista!$C36),"",IF(ISBLANK(Arrangörslista!M$8),"",IF($GV39=T$64," DNS ",IFERROR(VLOOKUP($F39,Arrangörslista!M$8:$AG$45,16,FALSE),"DNS")))),IF(ISBLANK(Deltagarlista!$C36),"",IF(ISBLANK(Arrangörslista!M$8),"",IFERROR(VLOOKUP($F39,Arrangörslista!M$8:$AG$45,16,FALSE),"DNS")))))</f>
        <v/>
      </c>
      <c r="U39" s="5" t="str">
        <f>IF(Deltagarlista!$K$3=4,IF(ISBLANK(Deltagarlista!$C36),"",IF(ISBLANK(Arrangörslista!J$53),"",IFERROR(VLOOKUP($F39,Arrangörslista!J$53:$AG$90,16,FALSE),IF(ISBLANK(Deltagarlista!$C36),"",IF(ISBLANK(Arrangörslista!J$53),"",IFERROR(VLOOKUP($F39,Arrangörslista!K$53:$AG$90,16,FALSE),"DNS")))))),IF(Deltagarlista!$K$3=2,
IF(ISBLANK(Deltagarlista!$C36),"",IF(ISBLANK(Arrangörslista!N$8),"",IF($GV39=U$64," DNS ",IFERROR(VLOOKUP($F39,Arrangörslista!N$8:$AG$45,16,FALSE),"DNS")))),IF(ISBLANK(Deltagarlista!$C36),"",IF(ISBLANK(Arrangörslista!N$8),"",IFERROR(VLOOKUP($F39,Arrangörslista!N$8:$AG$45,16,FALSE),"DNS")))))</f>
        <v/>
      </c>
      <c r="V39" s="5" t="str">
        <f>IF(Deltagarlista!$K$3=4,IF(ISBLANK(Deltagarlista!$C36),"",IF(ISBLANK(Arrangörslista!L$53),"",IFERROR(VLOOKUP($F39,Arrangörslista!L$53:$AG$90,16,FALSE),IF(ISBLANK(Deltagarlista!$C36),"",IF(ISBLANK(Arrangörslista!L$53),"",IFERROR(VLOOKUP($F39,Arrangörslista!M$53:$AG$90,16,FALSE),"DNS")))))),IF(Deltagarlista!$K$3=2,
IF(ISBLANK(Deltagarlista!$C36),"",IF(ISBLANK(Arrangörslista!O$8),"",IF($GV39=V$64," DNS ",IFERROR(VLOOKUP($F39,Arrangörslista!O$8:$AG$45,16,FALSE),"DNS")))),IF(ISBLANK(Deltagarlista!$C36),"",IF(ISBLANK(Arrangörslista!O$8),"",IFERROR(VLOOKUP($F39,Arrangörslista!O$8:$AG$45,16,FALSE),"DNS")))))</f>
        <v/>
      </c>
      <c r="W39" s="5" t="str">
        <f>IF(Deltagarlista!$K$3=4,IF(ISBLANK(Deltagarlista!$C36),"",IF(ISBLANK(Arrangörslista!N$53),"",IFERROR(VLOOKUP($F39,Arrangörslista!N$53:$AG$90,16,FALSE),IF(ISBLANK(Deltagarlista!$C36),"",IF(ISBLANK(Arrangörslista!N$53),"",IFERROR(VLOOKUP($F39,Arrangörslista!O$53:$AG$90,16,FALSE),"DNS")))))),IF(Deltagarlista!$K$3=2,
IF(ISBLANK(Deltagarlista!$C36),"",IF(ISBLANK(Arrangörslista!P$8),"",IF($GV39=W$64," DNS ",IFERROR(VLOOKUP($F39,Arrangörslista!P$8:$AG$45,16,FALSE),"DNS")))),IF(ISBLANK(Deltagarlista!$C36),"",IF(ISBLANK(Arrangörslista!P$8),"",IFERROR(VLOOKUP($F39,Arrangörslista!P$8:$AG$45,16,FALSE),"DNS")))))</f>
        <v/>
      </c>
      <c r="X39" s="5" t="str">
        <f>IF(Deltagarlista!$K$3=4,IF(ISBLANK(Deltagarlista!$C36),"",IF(ISBLANK(Arrangörslista!P$53),"",IFERROR(VLOOKUP($F39,Arrangörslista!P$53:$AG$90,16,FALSE),IF(ISBLANK(Deltagarlista!$C36),"",IF(ISBLANK(Arrangörslista!P$53),"",IFERROR(VLOOKUP($F39,Arrangörslista!Q$53:$AG$90,16,FALSE),"DNS")))))),IF(Deltagarlista!$K$3=2,
IF(ISBLANK(Deltagarlista!$C36),"",IF(ISBLANK(Arrangörslista!Q$8),"",IF($GV39=X$64," DNS ",IFERROR(VLOOKUP($F39,Arrangörslista!Q$8:$AG$45,16,FALSE),"DNS")))),IF(ISBLANK(Deltagarlista!$C36),"",IF(ISBLANK(Arrangörslista!Q$8),"",IFERROR(VLOOKUP($F39,Arrangörslista!Q$8:$AG$45,16,FALSE),"DNS")))))</f>
        <v/>
      </c>
      <c r="Y39" s="5" t="str">
        <f>IF(Deltagarlista!$K$3=4,IF(ISBLANK(Deltagarlista!$C36),"",IF(ISBLANK(Arrangörslista!C$98),"",IFERROR(VLOOKUP($F39,Arrangörslista!C$98:$AG$135,16,FALSE),IF(ISBLANK(Deltagarlista!$C36),"",IF(ISBLANK(Arrangörslista!C$98),"",IFERROR(VLOOKUP($F39,Arrangörslista!D$98:$AG$135,16,FALSE),"DNS")))))),IF(Deltagarlista!$K$3=2,
IF(ISBLANK(Deltagarlista!$C36),"",IF(ISBLANK(Arrangörslista!C$53),"",IF($GV39=Y$64," DNS ",IFERROR(VLOOKUP($F39,Arrangörslista!C$53:$AG$90,16,FALSE),"DNS")))),IF(ISBLANK(Deltagarlista!$C36),"",IF(ISBLANK(Arrangörslista!C$53),"",IFERROR(VLOOKUP($F39,Arrangörslista!C$53:$AG$90,16,FALSE),"DNS")))))</f>
        <v/>
      </c>
      <c r="Z39" s="5" t="str">
        <f>IF(Deltagarlista!$K$3=4,IF(ISBLANK(Deltagarlista!$C36),"",IF(ISBLANK(Arrangörslista!E$98),"",IFERROR(VLOOKUP($F39,Arrangörslista!E$98:$AG$135,16,FALSE),IF(ISBLANK(Deltagarlista!$C36),"",IF(ISBLANK(Arrangörslista!E$98),"",IFERROR(VLOOKUP($F39,Arrangörslista!F$98:$AG$135,16,FALSE),"DNS")))))),IF(Deltagarlista!$K$3=2,
IF(ISBLANK(Deltagarlista!$C36),"",IF(ISBLANK(Arrangörslista!D$53),"",IF($GV39=Z$64," DNS ",IFERROR(VLOOKUP($F39,Arrangörslista!D$53:$AG$90,16,FALSE),"DNS")))),IF(ISBLANK(Deltagarlista!$C36),"",IF(ISBLANK(Arrangörslista!D$53),"",IFERROR(VLOOKUP($F39,Arrangörslista!D$53:$AG$90,16,FALSE),"DNS")))))</f>
        <v/>
      </c>
      <c r="AA39" s="5" t="str">
        <f>IF(Deltagarlista!$K$3=4,IF(ISBLANK(Deltagarlista!$C36),"",IF(ISBLANK(Arrangörslista!G$98),"",IFERROR(VLOOKUP($F39,Arrangörslista!G$98:$AG$135,16,FALSE),IF(ISBLANK(Deltagarlista!$C36),"",IF(ISBLANK(Arrangörslista!G$98),"",IFERROR(VLOOKUP($F39,Arrangörslista!H$98:$AG$135,16,FALSE),"DNS")))))),IF(Deltagarlista!$K$3=2,
IF(ISBLANK(Deltagarlista!$C36),"",IF(ISBLANK(Arrangörslista!E$53),"",IF($GV39=AA$64," DNS ",IFERROR(VLOOKUP($F39,Arrangörslista!E$53:$AG$90,16,FALSE),"DNS")))),IF(ISBLANK(Deltagarlista!$C36),"",IF(ISBLANK(Arrangörslista!E$53),"",IFERROR(VLOOKUP($F39,Arrangörslista!E$53:$AG$90,16,FALSE),"DNS")))))</f>
        <v/>
      </c>
      <c r="AB39" s="5" t="str">
        <f>IF(Deltagarlista!$K$3=4,IF(ISBLANK(Deltagarlista!$C36),"",IF(ISBLANK(Arrangörslista!I$98),"",IFERROR(VLOOKUP($F39,Arrangörslista!I$98:$AG$135,16,FALSE),IF(ISBLANK(Deltagarlista!$C36),"",IF(ISBLANK(Arrangörslista!I$98),"",IFERROR(VLOOKUP($F39,Arrangörslista!J$98:$AG$135,16,FALSE),"DNS")))))),IF(Deltagarlista!$K$3=2,
IF(ISBLANK(Deltagarlista!$C36),"",IF(ISBLANK(Arrangörslista!F$53),"",IF($GV39=AB$64," DNS ",IFERROR(VLOOKUP($F39,Arrangörslista!F$53:$AG$90,16,FALSE),"DNS")))),IF(ISBLANK(Deltagarlista!$C36),"",IF(ISBLANK(Arrangörslista!F$53),"",IFERROR(VLOOKUP($F39,Arrangörslista!F$53:$AG$90,16,FALSE),"DNS")))))</f>
        <v/>
      </c>
      <c r="AC39" s="5" t="str">
        <f>IF(Deltagarlista!$K$3=4,IF(ISBLANK(Deltagarlista!$C36),"",IF(ISBLANK(Arrangörslista!K$98),"",IFERROR(VLOOKUP($F39,Arrangörslista!K$98:$AG$135,16,FALSE),IF(ISBLANK(Deltagarlista!$C36),"",IF(ISBLANK(Arrangörslista!K$98),"",IFERROR(VLOOKUP($F39,Arrangörslista!L$98:$AG$135,16,FALSE),"DNS")))))),IF(Deltagarlista!$K$3=2,
IF(ISBLANK(Deltagarlista!$C36),"",IF(ISBLANK(Arrangörslista!G$53),"",IF($GV39=AC$64," DNS ",IFERROR(VLOOKUP($F39,Arrangörslista!G$53:$AG$90,16,FALSE),"DNS")))),IF(ISBLANK(Deltagarlista!$C36),"",IF(ISBLANK(Arrangörslista!G$53),"",IFERROR(VLOOKUP($F39,Arrangörslista!G$53:$AG$90,16,FALSE),"DNS")))))</f>
        <v/>
      </c>
      <c r="AD39" s="5" t="str">
        <f>IF(Deltagarlista!$K$3=4,IF(ISBLANK(Deltagarlista!$C36),"",IF(ISBLANK(Arrangörslista!M$98),"",IFERROR(VLOOKUP($F39,Arrangörslista!M$98:$AG$135,16,FALSE),IF(ISBLANK(Deltagarlista!$C36),"",IF(ISBLANK(Arrangörslista!M$98),"",IFERROR(VLOOKUP($F39,Arrangörslista!N$98:$AG$135,16,FALSE),"DNS")))))),IF(Deltagarlista!$K$3=2,
IF(ISBLANK(Deltagarlista!$C36),"",IF(ISBLANK(Arrangörslista!H$53),"",IF($GV39=AD$64," DNS ",IFERROR(VLOOKUP($F39,Arrangörslista!H$53:$AG$90,16,FALSE),"DNS")))),IF(ISBLANK(Deltagarlista!$C36),"",IF(ISBLANK(Arrangörslista!H$53),"",IFERROR(VLOOKUP($F39,Arrangörslista!H$53:$AG$90,16,FALSE),"DNS")))))</f>
        <v/>
      </c>
      <c r="AE39" s="5" t="str">
        <f>IF(Deltagarlista!$K$3=4,IF(ISBLANK(Deltagarlista!$C36),"",IF(ISBLANK(Arrangörslista!O$98),"",IFERROR(VLOOKUP($F39,Arrangörslista!O$98:$AG$135,16,FALSE),IF(ISBLANK(Deltagarlista!$C36),"",IF(ISBLANK(Arrangörslista!O$98),"",IFERROR(VLOOKUP($F39,Arrangörslista!P$98:$AG$135,16,FALSE),"DNS")))))),IF(Deltagarlista!$K$3=2,
IF(ISBLANK(Deltagarlista!$C36),"",IF(ISBLANK(Arrangörslista!I$53),"",IF($GV39=AE$64," DNS ",IFERROR(VLOOKUP($F39,Arrangörslista!I$53:$AG$90,16,FALSE),"DNS")))),IF(ISBLANK(Deltagarlista!$C36),"",IF(ISBLANK(Arrangörslista!I$53),"",IFERROR(VLOOKUP($F39,Arrangörslista!I$53:$AG$90,16,FALSE),"DNS")))))</f>
        <v/>
      </c>
      <c r="AF39" s="5" t="str">
        <f>IF(Deltagarlista!$K$3=4,IF(ISBLANK(Deltagarlista!$C36),"",IF(ISBLANK(Arrangörslista!Q$98),"",IFERROR(VLOOKUP($F39,Arrangörslista!Q$98:$AG$135,16,FALSE),IF(ISBLANK(Deltagarlista!$C36),"",IF(ISBLANK(Arrangörslista!Q$98),"",IFERROR(VLOOKUP($F39,Arrangörslista!C$143:$AG$180,16,FALSE),"DNS")))))),IF(Deltagarlista!$K$3=2,
IF(ISBLANK(Deltagarlista!$C36),"",IF(ISBLANK(Arrangörslista!J$53),"",IF($GV39=AF$64," DNS ",IFERROR(VLOOKUP($F39,Arrangörslista!J$53:$AG$90,16,FALSE),"DNS")))),IF(ISBLANK(Deltagarlista!$C36),"",IF(ISBLANK(Arrangörslista!J$53),"",IFERROR(VLOOKUP($F39,Arrangörslista!J$53:$AG$90,16,FALSE),"DNS")))))</f>
        <v/>
      </c>
      <c r="AG39" s="5" t="str">
        <f>IF(Deltagarlista!$K$3=4,IF(ISBLANK(Deltagarlista!$C36),"",IF(ISBLANK(Arrangörslista!D$143),"",IFERROR(VLOOKUP($F39,Arrangörslista!D$143:$AG$180,16,FALSE),IF(ISBLANK(Deltagarlista!$C36),"",IF(ISBLANK(Arrangörslista!D$143),"",IFERROR(VLOOKUP($F39,Arrangörslista!E$143:$AG$180,16,FALSE),"DNS")))))),IF(Deltagarlista!$K$3=2,
IF(ISBLANK(Deltagarlista!$C36),"",IF(ISBLANK(Arrangörslista!K$53),"",IF($GV39=AG$64," DNS ",IFERROR(VLOOKUP($F39,Arrangörslista!K$53:$AG$90,16,FALSE),"DNS")))),IF(ISBLANK(Deltagarlista!$C36),"",IF(ISBLANK(Arrangörslista!K$53),"",IFERROR(VLOOKUP($F39,Arrangörslista!K$53:$AG$90,16,FALSE),"DNS")))))</f>
        <v/>
      </c>
      <c r="AH39" s="5" t="str">
        <f>IF(Deltagarlista!$K$3=4,IF(ISBLANK(Deltagarlista!$C36),"",IF(ISBLANK(Arrangörslista!F$143),"",IFERROR(VLOOKUP($F39,Arrangörslista!F$143:$AG$180,16,FALSE),IF(ISBLANK(Deltagarlista!$C36),"",IF(ISBLANK(Arrangörslista!F$143),"",IFERROR(VLOOKUP($F39,Arrangörslista!G$143:$AG$180,16,FALSE),"DNS")))))),IF(Deltagarlista!$K$3=2,
IF(ISBLANK(Deltagarlista!$C36),"",IF(ISBLANK(Arrangörslista!L$53),"",IF($GV39=AH$64," DNS ",IFERROR(VLOOKUP($F39,Arrangörslista!L$53:$AG$90,16,FALSE),"DNS")))),IF(ISBLANK(Deltagarlista!$C36),"",IF(ISBLANK(Arrangörslista!L$53),"",IFERROR(VLOOKUP($F39,Arrangörslista!L$53:$AG$90,16,FALSE),"DNS")))))</f>
        <v/>
      </c>
      <c r="AI39" s="5" t="str">
        <f>IF(Deltagarlista!$K$3=4,IF(ISBLANK(Deltagarlista!$C36),"",IF(ISBLANK(Arrangörslista!H$143),"",IFERROR(VLOOKUP($F39,Arrangörslista!H$143:$AG$180,16,FALSE),IF(ISBLANK(Deltagarlista!$C36),"",IF(ISBLANK(Arrangörslista!H$143),"",IFERROR(VLOOKUP($F39,Arrangörslista!I$143:$AG$180,16,FALSE),"DNS")))))),IF(Deltagarlista!$K$3=2,
IF(ISBLANK(Deltagarlista!$C36),"",IF(ISBLANK(Arrangörslista!M$53),"",IF($GV39=AI$64," DNS ",IFERROR(VLOOKUP($F39,Arrangörslista!M$53:$AG$90,16,FALSE),"DNS")))),IF(ISBLANK(Deltagarlista!$C36),"",IF(ISBLANK(Arrangörslista!M$53),"",IFERROR(VLOOKUP($F39,Arrangörslista!M$53:$AG$90,16,FALSE),"DNS")))))</f>
        <v/>
      </c>
      <c r="AJ39" s="5" t="str">
        <f>IF(Deltagarlista!$K$3=4,IF(ISBLANK(Deltagarlista!$C36),"",IF(ISBLANK(Arrangörslista!J$143),"",IFERROR(VLOOKUP($F39,Arrangörslista!J$143:$AG$180,16,FALSE),IF(ISBLANK(Deltagarlista!$C36),"",IF(ISBLANK(Arrangörslista!J$143),"",IFERROR(VLOOKUP($F39,Arrangörslista!K$143:$AG$180,16,FALSE),"DNS")))))),IF(Deltagarlista!$K$3=2,
IF(ISBLANK(Deltagarlista!$C36),"",IF(ISBLANK(Arrangörslista!N$53),"",IF($GV39=AJ$64," DNS ",IFERROR(VLOOKUP($F39,Arrangörslista!N$53:$AG$90,16,FALSE),"DNS")))),IF(ISBLANK(Deltagarlista!$C36),"",IF(ISBLANK(Arrangörslista!N$53),"",IFERROR(VLOOKUP($F39,Arrangörslista!N$53:$AG$90,16,FALSE),"DNS")))))</f>
        <v/>
      </c>
      <c r="AK39" s="5" t="str">
        <f>IF(Deltagarlista!$K$3=4,IF(ISBLANK(Deltagarlista!$C36),"",IF(ISBLANK(Arrangörslista!L$143),"",IFERROR(VLOOKUP($F39,Arrangörslista!L$143:$AG$180,16,FALSE),IF(ISBLANK(Deltagarlista!$C36),"",IF(ISBLANK(Arrangörslista!L$143),"",IFERROR(VLOOKUP($F39,Arrangörslista!M$143:$AG$180,16,FALSE),"DNS")))))),IF(Deltagarlista!$K$3=2,
IF(ISBLANK(Deltagarlista!$C36),"",IF(ISBLANK(Arrangörslista!O$53),"",IF($GV39=AK$64," DNS ",IFERROR(VLOOKUP($F39,Arrangörslista!O$53:$AG$90,16,FALSE),"DNS")))),IF(ISBLANK(Deltagarlista!$C36),"",IF(ISBLANK(Arrangörslista!O$53),"",IFERROR(VLOOKUP($F39,Arrangörslista!O$53:$AG$90,16,FALSE),"DNS")))))</f>
        <v/>
      </c>
      <c r="AL39" s="5" t="str">
        <f>IF(Deltagarlista!$K$3=4,IF(ISBLANK(Deltagarlista!$C36),"",IF(ISBLANK(Arrangörslista!N$143),"",IFERROR(VLOOKUP($F39,Arrangörslista!N$143:$AG$180,16,FALSE),IF(ISBLANK(Deltagarlista!$C36),"",IF(ISBLANK(Arrangörslista!N$143),"",IFERROR(VLOOKUP($F39,Arrangörslista!O$143:$AG$180,16,FALSE),"DNS")))))),IF(Deltagarlista!$K$3=2,
IF(ISBLANK(Deltagarlista!$C36),"",IF(ISBLANK(Arrangörslista!P$53),"",IF($GV39=AL$64," DNS ",IFERROR(VLOOKUP($F39,Arrangörslista!P$53:$AG$90,16,FALSE),"DNS")))),IF(ISBLANK(Deltagarlista!$C36),"",IF(ISBLANK(Arrangörslista!P$53),"",IFERROR(VLOOKUP($F39,Arrangörslista!P$53:$AG$90,16,FALSE),"DNS")))))</f>
        <v/>
      </c>
      <c r="AM39" s="5" t="str">
        <f>IF(Deltagarlista!$K$3=4,IF(ISBLANK(Deltagarlista!$C36),"",IF(ISBLANK(Arrangörslista!P$143),"",IFERROR(VLOOKUP($F39,Arrangörslista!P$143:$AG$180,16,FALSE),IF(ISBLANK(Deltagarlista!$C36),"",IF(ISBLANK(Arrangörslista!P$143),"",IFERROR(VLOOKUP($F39,Arrangörslista!Q$143:$AG$180,16,FALSE),"DNS")))))),IF(Deltagarlista!$K$3=2,
IF(ISBLANK(Deltagarlista!$C36),"",IF(ISBLANK(Arrangörslista!Q$53),"",IF($GV39=AM$64," DNS ",IFERROR(VLOOKUP($F39,Arrangörslista!Q$53:$AG$90,16,FALSE),"DNS")))),IF(ISBLANK(Deltagarlista!$C36),"",IF(ISBLANK(Arrangörslista!Q$53),"",IFERROR(VLOOKUP($F39,Arrangörslista!Q$53:$AG$90,16,FALSE),"DNS")))))</f>
        <v/>
      </c>
      <c r="AN39" s="5" t="str">
        <f>IF(Deltagarlista!$K$3=2,
IF(ISBLANK(Deltagarlista!$C36),"",IF(ISBLANK(Arrangörslista!C$98),"",IF($GV39=AN$64," DNS ",IFERROR(VLOOKUP($F39,Arrangörslista!C$98:$AG$135,16,FALSE), "DNS")))), IF(Deltagarlista!$K$3=1,IF(ISBLANK(Deltagarlista!$C36),"",IF(ISBLANK(Arrangörslista!C$98),"",IFERROR(VLOOKUP($F39,Arrangörslista!C$98:$AG$135,16,FALSE), "DNS"))),""))</f>
        <v/>
      </c>
      <c r="AO39" s="5" t="str">
        <f>IF(Deltagarlista!$K$3=2,
IF(ISBLANK(Deltagarlista!$C36),"",IF(ISBLANK(Arrangörslista!D$98),"",IF($GV39=AO$64," DNS ",IFERROR(VLOOKUP($F39,Arrangörslista!D$98:$AG$135,16,FALSE), "DNS")))), IF(Deltagarlista!$K$3=1,IF(ISBLANK(Deltagarlista!$C36),"",IF(ISBLANK(Arrangörslista!D$98),"",IFERROR(VLOOKUP($F39,Arrangörslista!D$98:$AG$135,16,FALSE), "DNS"))),""))</f>
        <v/>
      </c>
      <c r="AP39" s="5" t="str">
        <f>IF(Deltagarlista!$K$3=2,
IF(ISBLANK(Deltagarlista!$C36),"",IF(ISBLANK(Arrangörslista!E$98),"",IF($GV39=AP$64," DNS ",IFERROR(VLOOKUP($F39,Arrangörslista!E$98:$AG$135,16,FALSE), "DNS")))), IF(Deltagarlista!$K$3=1,IF(ISBLANK(Deltagarlista!$C36),"",IF(ISBLANK(Arrangörslista!E$98),"",IFERROR(VLOOKUP($F39,Arrangörslista!E$98:$AG$135,16,FALSE), "DNS"))),""))</f>
        <v/>
      </c>
      <c r="AQ39" s="5" t="str">
        <f>IF(Deltagarlista!$K$3=2,
IF(ISBLANK(Deltagarlista!$C36),"",IF(ISBLANK(Arrangörslista!F$98),"",IF($GV39=AQ$64," DNS ",IFERROR(VLOOKUP($F39,Arrangörslista!F$98:$AG$135,16,FALSE), "DNS")))), IF(Deltagarlista!$K$3=1,IF(ISBLANK(Deltagarlista!$C36),"",IF(ISBLANK(Arrangörslista!F$98),"",IFERROR(VLOOKUP($F39,Arrangörslista!F$98:$AG$135,16,FALSE), "DNS"))),""))</f>
        <v/>
      </c>
      <c r="AR39" s="5" t="str">
        <f>IF(Deltagarlista!$K$3=2,
IF(ISBLANK(Deltagarlista!$C36),"",IF(ISBLANK(Arrangörslista!G$98),"",IF($GV39=AR$64," DNS ",IFERROR(VLOOKUP($F39,Arrangörslista!G$98:$AG$135,16,FALSE), "DNS")))), IF(Deltagarlista!$K$3=1,IF(ISBLANK(Deltagarlista!$C36),"",IF(ISBLANK(Arrangörslista!G$98),"",IFERROR(VLOOKUP($F39,Arrangörslista!G$98:$AG$135,16,FALSE), "DNS"))),""))</f>
        <v/>
      </c>
      <c r="AS39" s="5" t="str">
        <f>IF(Deltagarlista!$K$3=2,
IF(ISBLANK(Deltagarlista!$C36),"",IF(ISBLANK(Arrangörslista!H$98),"",IF($GV39=AS$64," DNS ",IFERROR(VLOOKUP($F39,Arrangörslista!H$98:$AG$135,16,FALSE), "DNS")))), IF(Deltagarlista!$K$3=1,IF(ISBLANK(Deltagarlista!$C36),"",IF(ISBLANK(Arrangörslista!H$98),"",IFERROR(VLOOKUP($F39,Arrangörslista!H$98:$AG$135,16,FALSE), "DNS"))),""))</f>
        <v/>
      </c>
      <c r="AT39" s="5" t="str">
        <f>IF(Deltagarlista!$K$3=2,
IF(ISBLANK(Deltagarlista!$C36),"",IF(ISBLANK(Arrangörslista!I$98),"",IF($GV39=AT$64," DNS ",IFERROR(VLOOKUP($F39,Arrangörslista!I$98:$AG$135,16,FALSE), "DNS")))), IF(Deltagarlista!$K$3=1,IF(ISBLANK(Deltagarlista!$C36),"",IF(ISBLANK(Arrangörslista!I$98),"",IFERROR(VLOOKUP($F39,Arrangörslista!I$98:$AG$135,16,FALSE), "DNS"))),""))</f>
        <v/>
      </c>
      <c r="AU39" s="5" t="str">
        <f>IF(Deltagarlista!$K$3=2,
IF(ISBLANK(Deltagarlista!$C36),"",IF(ISBLANK(Arrangörslista!J$98),"",IF($GV39=AU$64," DNS ",IFERROR(VLOOKUP($F39,Arrangörslista!J$98:$AG$135,16,FALSE), "DNS")))), IF(Deltagarlista!$K$3=1,IF(ISBLANK(Deltagarlista!$C36),"",IF(ISBLANK(Arrangörslista!J$98),"",IFERROR(VLOOKUP($F39,Arrangörslista!J$98:$AG$135,16,FALSE), "DNS"))),""))</f>
        <v/>
      </c>
      <c r="AV39" s="5" t="str">
        <f>IF(Deltagarlista!$K$3=2,
IF(ISBLANK(Deltagarlista!$C36),"",IF(ISBLANK(Arrangörslista!K$98),"",IF($GV39=AV$64," DNS ",IFERROR(VLOOKUP($F39,Arrangörslista!K$98:$AG$135,16,FALSE), "DNS")))), IF(Deltagarlista!$K$3=1,IF(ISBLANK(Deltagarlista!$C36),"",IF(ISBLANK(Arrangörslista!K$98),"",IFERROR(VLOOKUP($F39,Arrangörslista!K$98:$AG$135,16,FALSE), "DNS"))),""))</f>
        <v/>
      </c>
      <c r="AW39" s="5" t="str">
        <f>IF(Deltagarlista!$K$3=2,
IF(ISBLANK(Deltagarlista!$C36),"",IF(ISBLANK(Arrangörslista!L$98),"",IF($GV39=AW$64," DNS ",IFERROR(VLOOKUP($F39,Arrangörslista!L$98:$AG$135,16,FALSE), "DNS")))), IF(Deltagarlista!$K$3=1,IF(ISBLANK(Deltagarlista!$C36),"",IF(ISBLANK(Arrangörslista!L$98),"",IFERROR(VLOOKUP($F39,Arrangörslista!L$98:$AG$135,16,FALSE), "DNS"))),""))</f>
        <v/>
      </c>
      <c r="AX39" s="5" t="str">
        <f>IF(Deltagarlista!$K$3=2,
IF(ISBLANK(Deltagarlista!$C36),"",IF(ISBLANK(Arrangörslista!M$98),"",IF($GV39=AX$64," DNS ",IFERROR(VLOOKUP($F39,Arrangörslista!M$98:$AG$135,16,FALSE), "DNS")))), IF(Deltagarlista!$K$3=1,IF(ISBLANK(Deltagarlista!$C36),"",IF(ISBLANK(Arrangörslista!M$98),"",IFERROR(VLOOKUP($F39,Arrangörslista!M$98:$AG$135,16,FALSE), "DNS"))),""))</f>
        <v/>
      </c>
      <c r="AY39" s="5" t="str">
        <f>IF(Deltagarlista!$K$3=2,
IF(ISBLANK(Deltagarlista!$C36),"",IF(ISBLANK(Arrangörslista!N$98),"",IF($GV39=AY$64," DNS ",IFERROR(VLOOKUP($F39,Arrangörslista!N$98:$AG$135,16,FALSE), "DNS")))), IF(Deltagarlista!$K$3=1,IF(ISBLANK(Deltagarlista!$C36),"",IF(ISBLANK(Arrangörslista!N$98),"",IFERROR(VLOOKUP($F39,Arrangörslista!N$98:$AG$135,16,FALSE), "DNS"))),""))</f>
        <v/>
      </c>
      <c r="AZ39" s="5" t="str">
        <f>IF(Deltagarlista!$K$3=2,
IF(ISBLANK(Deltagarlista!$C36),"",IF(ISBLANK(Arrangörslista!O$98),"",IF($GV39=AZ$64," DNS ",IFERROR(VLOOKUP($F39,Arrangörslista!O$98:$AG$135,16,FALSE), "DNS")))), IF(Deltagarlista!$K$3=1,IF(ISBLANK(Deltagarlista!$C36),"",IF(ISBLANK(Arrangörslista!O$98),"",IFERROR(VLOOKUP($F39,Arrangörslista!O$98:$AG$135,16,FALSE), "DNS"))),""))</f>
        <v/>
      </c>
      <c r="BA39" s="5" t="str">
        <f>IF(Deltagarlista!$K$3=2,
IF(ISBLANK(Deltagarlista!$C36),"",IF(ISBLANK(Arrangörslista!P$98),"",IF($GV39=BA$64," DNS ",IFERROR(VLOOKUP($F39,Arrangörslista!P$98:$AG$135,16,FALSE), "DNS")))), IF(Deltagarlista!$K$3=1,IF(ISBLANK(Deltagarlista!$C36),"",IF(ISBLANK(Arrangörslista!P$98),"",IFERROR(VLOOKUP($F39,Arrangörslista!P$98:$AG$135,16,FALSE), "DNS"))),""))</f>
        <v/>
      </c>
      <c r="BB39" s="5" t="str">
        <f>IF(Deltagarlista!$K$3=2,
IF(ISBLANK(Deltagarlista!$C36),"",IF(ISBLANK(Arrangörslista!Q$98),"",IF($GV39=BB$64," DNS ",IFERROR(VLOOKUP($F39,Arrangörslista!Q$98:$AG$135,16,FALSE), "DNS")))), IF(Deltagarlista!$K$3=1,IF(ISBLANK(Deltagarlista!$C36),"",IF(ISBLANK(Arrangörslista!Q$98),"",IFERROR(VLOOKUP($F39,Arrangörslista!Q$98:$AG$135,16,FALSE), "DNS"))),""))</f>
        <v/>
      </c>
      <c r="BC39" s="5" t="str">
        <f>IF(Deltagarlista!$K$3=2,
IF(ISBLANK(Deltagarlista!$C36),"",IF(ISBLANK(Arrangörslista!C$143),"",IF($GV39=BC$64," DNS ",IFERROR(VLOOKUP($F39,Arrangörslista!C$143:$AG$180,16,FALSE), "DNS")))), IF(Deltagarlista!$K$3=1,IF(ISBLANK(Deltagarlista!$C36),"",IF(ISBLANK(Arrangörslista!C$143),"",IFERROR(VLOOKUP($F39,Arrangörslista!C$143:$AG$180,16,FALSE), "DNS"))),""))</f>
        <v/>
      </c>
      <c r="BD39" s="5" t="str">
        <f>IF(Deltagarlista!$K$3=2,
IF(ISBLANK(Deltagarlista!$C36),"",IF(ISBLANK(Arrangörslista!D$143),"",IF($GV39=BD$64," DNS ",IFERROR(VLOOKUP($F39,Arrangörslista!D$143:$AG$180,16,FALSE), "DNS")))), IF(Deltagarlista!$K$3=1,IF(ISBLANK(Deltagarlista!$C36),"",IF(ISBLANK(Arrangörslista!D$143),"",IFERROR(VLOOKUP($F39,Arrangörslista!D$143:$AG$180,16,FALSE), "DNS"))),""))</f>
        <v/>
      </c>
      <c r="BE39" s="5" t="str">
        <f>IF(Deltagarlista!$K$3=2,
IF(ISBLANK(Deltagarlista!$C36),"",IF(ISBLANK(Arrangörslista!E$143),"",IF($GV39=BE$64," DNS ",IFERROR(VLOOKUP($F39,Arrangörslista!E$143:$AG$180,16,FALSE), "DNS")))), IF(Deltagarlista!$K$3=1,IF(ISBLANK(Deltagarlista!$C36),"",IF(ISBLANK(Arrangörslista!E$143),"",IFERROR(VLOOKUP($F39,Arrangörslista!E$143:$AG$180,16,FALSE), "DNS"))),""))</f>
        <v/>
      </c>
      <c r="BF39" s="5" t="str">
        <f>IF(Deltagarlista!$K$3=2,
IF(ISBLANK(Deltagarlista!$C36),"",IF(ISBLANK(Arrangörslista!F$143),"",IF($GV39=BF$64," DNS ",IFERROR(VLOOKUP($F39,Arrangörslista!F$143:$AG$180,16,FALSE), "DNS")))), IF(Deltagarlista!$K$3=1,IF(ISBLANK(Deltagarlista!$C36),"",IF(ISBLANK(Arrangörslista!F$143),"",IFERROR(VLOOKUP($F39,Arrangörslista!F$143:$AG$180,16,FALSE), "DNS"))),""))</f>
        <v/>
      </c>
      <c r="BG39" s="5" t="str">
        <f>IF(Deltagarlista!$K$3=2,
IF(ISBLANK(Deltagarlista!$C36),"",IF(ISBLANK(Arrangörslista!G$143),"",IF($GV39=BG$64," DNS ",IFERROR(VLOOKUP($F39,Arrangörslista!G$143:$AG$180,16,FALSE), "DNS")))), IF(Deltagarlista!$K$3=1,IF(ISBLANK(Deltagarlista!$C36),"",IF(ISBLANK(Arrangörslista!G$143),"",IFERROR(VLOOKUP($F39,Arrangörslista!G$143:$AG$180,16,FALSE), "DNS"))),""))</f>
        <v/>
      </c>
      <c r="BH39" s="5" t="str">
        <f>IF(Deltagarlista!$K$3=2,
IF(ISBLANK(Deltagarlista!$C36),"",IF(ISBLANK(Arrangörslista!H$143),"",IF($GV39=BH$64," DNS ",IFERROR(VLOOKUP($F39,Arrangörslista!H$143:$AG$180,16,FALSE), "DNS")))), IF(Deltagarlista!$K$3=1,IF(ISBLANK(Deltagarlista!$C36),"",IF(ISBLANK(Arrangörslista!H$143),"",IFERROR(VLOOKUP($F39,Arrangörslista!H$143:$AG$180,16,FALSE), "DNS"))),""))</f>
        <v/>
      </c>
      <c r="BI39" s="5" t="str">
        <f>IF(Deltagarlista!$K$3=2,
IF(ISBLANK(Deltagarlista!$C36),"",IF(ISBLANK(Arrangörslista!I$143),"",IF($GV39=BI$64," DNS ",IFERROR(VLOOKUP($F39,Arrangörslista!I$143:$AG$180,16,FALSE), "DNS")))), IF(Deltagarlista!$K$3=1,IF(ISBLANK(Deltagarlista!$C36),"",IF(ISBLANK(Arrangörslista!I$143),"",IFERROR(VLOOKUP($F39,Arrangörslista!I$143:$AG$180,16,FALSE), "DNS"))),""))</f>
        <v/>
      </c>
      <c r="BJ39" s="5" t="str">
        <f>IF(Deltagarlista!$K$3=2,
IF(ISBLANK(Deltagarlista!$C36),"",IF(ISBLANK(Arrangörslista!J$143),"",IF($GV39=BJ$64," DNS ",IFERROR(VLOOKUP($F39,Arrangörslista!J$143:$AG$180,16,FALSE), "DNS")))), IF(Deltagarlista!$K$3=1,IF(ISBLANK(Deltagarlista!$C36),"",IF(ISBLANK(Arrangörslista!J$143),"",IFERROR(VLOOKUP($F39,Arrangörslista!J$143:$AG$180,16,FALSE), "DNS"))),""))</f>
        <v/>
      </c>
      <c r="BK39" s="5" t="str">
        <f>IF(Deltagarlista!$K$3=2,
IF(ISBLANK(Deltagarlista!$C36),"",IF(ISBLANK(Arrangörslista!K$143),"",IF($GV39=BK$64," DNS ",IFERROR(VLOOKUP($F39,Arrangörslista!K$143:$AG$180,16,FALSE), "DNS")))), IF(Deltagarlista!$K$3=1,IF(ISBLANK(Deltagarlista!$C36),"",IF(ISBLANK(Arrangörslista!K$143),"",IFERROR(VLOOKUP($F39,Arrangörslista!K$143:$AG$180,16,FALSE), "DNS"))),""))</f>
        <v/>
      </c>
      <c r="BL39" s="5" t="str">
        <f>IF(Deltagarlista!$K$3=2,
IF(ISBLANK(Deltagarlista!$C36),"",IF(ISBLANK(Arrangörslista!L$143),"",IF($GV39=BL$64," DNS ",IFERROR(VLOOKUP($F39,Arrangörslista!L$143:$AG$180,16,FALSE), "DNS")))), IF(Deltagarlista!$K$3=1,IF(ISBLANK(Deltagarlista!$C36),"",IF(ISBLANK(Arrangörslista!L$143),"",IFERROR(VLOOKUP($F39,Arrangörslista!L$143:$AG$180,16,FALSE), "DNS"))),""))</f>
        <v/>
      </c>
      <c r="BM39" s="5" t="str">
        <f>IF(Deltagarlista!$K$3=2,
IF(ISBLANK(Deltagarlista!$C36),"",IF(ISBLANK(Arrangörslista!M$143),"",IF($GV39=BM$64," DNS ",IFERROR(VLOOKUP($F39,Arrangörslista!M$143:$AG$180,16,FALSE), "DNS")))), IF(Deltagarlista!$K$3=1,IF(ISBLANK(Deltagarlista!$C36),"",IF(ISBLANK(Arrangörslista!M$143),"",IFERROR(VLOOKUP($F39,Arrangörslista!M$143:$AG$180,16,FALSE), "DNS"))),""))</f>
        <v/>
      </c>
      <c r="BN39" s="5" t="str">
        <f>IF(Deltagarlista!$K$3=2,
IF(ISBLANK(Deltagarlista!$C36),"",IF(ISBLANK(Arrangörslista!N$143),"",IF($GV39=BN$64," DNS ",IFERROR(VLOOKUP($F39,Arrangörslista!N$143:$AG$180,16,FALSE), "DNS")))), IF(Deltagarlista!$K$3=1,IF(ISBLANK(Deltagarlista!$C36),"",IF(ISBLANK(Arrangörslista!N$143),"",IFERROR(VLOOKUP($F39,Arrangörslista!N$143:$AG$180,16,FALSE), "DNS"))),""))</f>
        <v/>
      </c>
      <c r="BO39" s="5" t="str">
        <f>IF(Deltagarlista!$K$3=2,
IF(ISBLANK(Deltagarlista!$C36),"",IF(ISBLANK(Arrangörslista!O$143),"",IF($GV39=BO$64," DNS ",IFERROR(VLOOKUP($F39,Arrangörslista!O$143:$AG$180,16,FALSE), "DNS")))), IF(Deltagarlista!$K$3=1,IF(ISBLANK(Deltagarlista!$C36),"",IF(ISBLANK(Arrangörslista!O$143),"",IFERROR(VLOOKUP($F39,Arrangörslista!O$143:$AG$180,16,FALSE), "DNS"))),""))</f>
        <v/>
      </c>
      <c r="BP39" s="5" t="str">
        <f>IF(Deltagarlista!$K$3=2,
IF(ISBLANK(Deltagarlista!$C36),"",IF(ISBLANK(Arrangörslista!P$143),"",IF($GV39=BP$64," DNS ",IFERROR(VLOOKUP($F39,Arrangörslista!P$143:$AG$180,16,FALSE), "DNS")))), IF(Deltagarlista!$K$3=1,IF(ISBLANK(Deltagarlista!$C36),"",IF(ISBLANK(Arrangörslista!P$143),"",IFERROR(VLOOKUP($F39,Arrangörslista!P$143:$AG$180,16,FALSE), "DNS"))),""))</f>
        <v/>
      </c>
      <c r="BQ39" s="80" t="str">
        <f>IF(Deltagarlista!$K$3=2,
IF(ISBLANK(Deltagarlista!$C36),"",IF(ISBLANK(Arrangörslista!Q$143),"",IF($GV39=BQ$64," DNS ",IFERROR(VLOOKUP($F39,Arrangörslista!Q$143:$AG$180,16,FALSE), "DNS")))), IF(Deltagarlista!$K$3=1,IF(ISBLANK(Deltagarlista!$C36),"",IF(ISBLANK(Arrangörslista!Q$143),"",IFERROR(VLOOKUP($F39,Arrangörslista!Q$143:$AG$180,16,FALSE), "DNS"))),""))</f>
        <v/>
      </c>
      <c r="BR39" s="51"/>
      <c r="BS39" s="51"/>
      <c r="BT39" s="51"/>
      <c r="BU39" s="71">
        <f>SUM(BV39:EC39)</f>
        <v>0</v>
      </c>
      <c r="BV39" s="61">
        <f>IF(J39="",0,IF(OR(J39="DNF",J39="OCS",J39="DSQ",J39="DNS",J39=" DNS "),$BW$3+1,J39))</f>
        <v>0</v>
      </c>
      <c r="BW39" s="61">
        <f>IF(K39="",0,IF(OR(K39="DNF",K39="OCS",K39="DSQ",K39="DNS",K39=" DNS "),$BW$3+1,K39))</f>
        <v>0</v>
      </c>
      <c r="BX39" s="61">
        <f>IF(L39="",0,IF(OR(L39="DNF",L39="OCS",L39="DSQ",L39="DNS",L39=" DNS "),$BW$3+1,L39))</f>
        <v>0</v>
      </c>
      <c r="BY39" s="61">
        <f>IF(M39="",0,IF(OR(M39="DNF",M39="OCS",M39="DSQ",M39="DNS",M39=" DNS "),$BW$3+1,M39))</f>
        <v>0</v>
      </c>
      <c r="BZ39" s="61">
        <f>IF(N39="",0,IF(OR(N39="DNF",N39="OCS",N39="DSQ",N39="DNS",N39=" DNS "),$BW$3+1,N39))</f>
        <v>0</v>
      </c>
      <c r="CA39" s="61">
        <f>IF(O39="",0,IF(OR(O39="DNF",O39="OCS",O39="DSQ",O39="DNS",O39=" DNS "),$BW$3+1,O39))</f>
        <v>0</v>
      </c>
      <c r="CB39" s="61">
        <f>IF(P39="",0,IF(OR(P39="DNF",P39="OCS",P39="DSQ",P39="DNS",P39=" DNS "),$BW$3+1,P39))</f>
        <v>0</v>
      </c>
      <c r="CC39" s="61">
        <f>IF(Q39="",0,IF(OR(Q39="DNF",Q39="OCS",Q39="DSQ",Q39="DNS",Q39=" DNS "),$BW$3+1,Q39))</f>
        <v>0</v>
      </c>
      <c r="CD39" s="61">
        <f>IF(R39="",0,IF(OR(R39="DNF",R39="OCS",R39="DSQ",R39="DNS",R39=" DNS "),$BW$3+1,R39))</f>
        <v>0</v>
      </c>
      <c r="CE39" s="61">
        <f>IF(S39="",0,IF(OR(S39="DNF",S39="OCS",S39="DSQ",S39="DNS",S39=" DNS "),$BW$3+1,S39))</f>
        <v>0</v>
      </c>
      <c r="CF39" s="61">
        <f>IF(T39="",0,IF(OR(T39="DNF",T39="OCS",T39="DSQ",T39="DNS",T39=" DNS "),$BW$3+1,T39))</f>
        <v>0</v>
      </c>
      <c r="CG39" s="61">
        <f>IF(U39="",0,IF(OR(U39="DNF",U39="OCS",U39="DSQ",U39="DNS",U39=" DNS "),$BW$3+1,U39))</f>
        <v>0</v>
      </c>
      <c r="CH39" s="61">
        <f>IF(V39="",0,IF(OR(V39="DNF",V39="OCS",V39="DSQ",V39="DNS",V39=" DNS "),$BW$3+1,V39))</f>
        <v>0</v>
      </c>
      <c r="CI39" s="61">
        <f>IF(W39="",0,IF(OR(W39="DNF",W39="OCS",W39="DSQ",W39="DNS",W39=" DNS "),$BW$3+1,W39))</f>
        <v>0</v>
      </c>
      <c r="CJ39" s="61">
        <f>IF(X39="",0,IF(OR(X39="DNF",X39="OCS",X39="DSQ",X39="DNS",X39=" DNS "),$BW$3+1,X39))</f>
        <v>0</v>
      </c>
      <c r="CK39" s="61">
        <f>IF(Y39="",0,IF(OR(Y39="DNF",Y39="OCS",Y39="DSQ",Y39="DNS",Y39=" DNS "),$BW$3+1,Y39))</f>
        <v>0</v>
      </c>
      <c r="CL39" s="61">
        <f>IF(Z39="",0,IF(OR(Z39="DNF",Z39="OCS",Z39="DSQ",Z39="DNS",Z39=" DNS "),$BW$3+1,Z39))</f>
        <v>0</v>
      </c>
      <c r="CM39" s="61">
        <f>IF(AA39="",0,IF(OR(AA39="DNF",AA39="OCS",AA39="DSQ",AA39="DNS",AA39=" DNS "),$BW$3+1,AA39))</f>
        <v>0</v>
      </c>
      <c r="CN39" s="61">
        <f>IF(AB39="",0,IF(OR(AB39="DNF",AB39="OCS",AB39="DSQ",AB39="DNS",AB39=" DNS "),$BW$3+1,AB39))</f>
        <v>0</v>
      </c>
      <c r="CO39" s="61">
        <f>IF(AC39="",0,IF(OR(AC39="DNF",AC39="OCS",AC39="DSQ",AC39="DNS",AC39=" DNS "),$BW$3+1,AC39))</f>
        <v>0</v>
      </c>
      <c r="CP39" s="61">
        <f>IF(AD39="",0,IF(OR(AD39="DNF",AD39="OCS",AD39="DSQ",AD39="DNS",AD39=" DNS "),$BW$3+1,AD39))</f>
        <v>0</v>
      </c>
      <c r="CQ39" s="61">
        <f>IF(AE39="",0,IF(OR(AE39="DNF",AE39="OCS",AE39="DSQ",AE39="DNS",AE39=" DNS "),$BW$3+1,AE39))</f>
        <v>0</v>
      </c>
      <c r="CR39" s="61">
        <f>IF(AF39="",0,IF(OR(AF39="DNF",AF39="OCS",AF39="DSQ",AF39="DNS",AF39=" DNS "),$BW$3+1,AF39))</f>
        <v>0</v>
      </c>
      <c r="CS39" s="61">
        <f>IF(AG39="",0,IF(OR(AG39="DNF",AG39="OCS",AG39="DSQ",AG39="DNS",AG39=" DNS "),$BW$3+1,AG39))</f>
        <v>0</v>
      </c>
      <c r="CT39" s="61">
        <f>IF(AH39="",0,IF(OR(AH39="DNF",AH39="OCS",AH39="DSQ",AH39="DNS",AH39=" DNS "),$BW$3+1,AH39))</f>
        <v>0</v>
      </c>
      <c r="CU39" s="61">
        <f>IF(AI39="",0,IF(OR(AI39="DNF",AI39="OCS",AI39="DSQ",AI39="DNS",AI39=" DNS "),$BW$3+1,AI39))</f>
        <v>0</v>
      </c>
      <c r="CV39" s="61">
        <f>IF(AJ39="",0,IF(OR(AJ39="DNF",AJ39="OCS",AJ39="DSQ",AJ39="DNS",AJ39=" DNS "),$BW$3+1,AJ39))</f>
        <v>0</v>
      </c>
      <c r="CW39" s="61">
        <f>IF(AK39="",0,IF(OR(AK39="DNF",AK39="OCS",AK39="DSQ",AK39="DNS",AK39=" DNS "),$BW$3+1,AK39))</f>
        <v>0</v>
      </c>
      <c r="CX39" s="61">
        <f>IF(AL39="",0,IF(OR(AL39="DNF",AL39="OCS",AL39="DSQ",AL39="DNS",AL39=" DNS "),$BW$3+1,AL39))</f>
        <v>0</v>
      </c>
      <c r="CY39" s="61">
        <f>IF(AM39="",0,IF(OR(AM39="DNF",AM39="OCS",AM39="DSQ",AM39="DNS",AM39=" DNS "),$BW$3+1,AM39))</f>
        <v>0</v>
      </c>
      <c r="CZ39" s="61">
        <f>IF(AN39="",0,IF(OR(AN39="DNF",AN39="OCS",AN39="DSQ",AN39="DNS",AN39=" DNS "),$BW$3+1,AN39))</f>
        <v>0</v>
      </c>
      <c r="DA39" s="61">
        <f>IF(AO39="",0,IF(OR(AO39="DNF",AO39="OCS",AO39="DSQ",AO39="DNS",AO39=" DNS "),$BW$3+1,AO39))</f>
        <v>0</v>
      </c>
      <c r="DB39" s="61">
        <f>IF(AP39="",0,IF(OR(AP39="DNF",AP39="OCS",AP39="DSQ",AP39="DNS",AP39=" DNS "),$BW$3+1,AP39))</f>
        <v>0</v>
      </c>
      <c r="DC39" s="61">
        <f>IF(AQ39="",0,IF(OR(AQ39="DNF",AQ39="OCS",AQ39="DSQ",AQ39="DNS",AQ39=" DNS "),$BW$3+1,AQ39))</f>
        <v>0</v>
      </c>
      <c r="DD39" s="61">
        <f>IF(AR39="",0,IF(OR(AR39="DNF",AR39="OCS",AR39="DSQ",AR39="DNS",AR39=" DNS "),$BW$3+1,AR39))</f>
        <v>0</v>
      </c>
      <c r="DE39" s="61">
        <f>IF(AS39="",0,IF(OR(AS39="DNF",AS39="OCS",AS39="DSQ",AS39="DNS",AS39=" DNS "),$BW$3+1,AS39))</f>
        <v>0</v>
      </c>
      <c r="DF39" s="61">
        <f>IF(AT39="",0,IF(OR(AT39="DNF",AT39="OCS",AT39="DSQ",AT39="DNS",AT39=" DNS "),$BW$3+1,AT39))</f>
        <v>0</v>
      </c>
      <c r="DG39" s="61">
        <f>IF(AU39="",0,IF(OR(AU39="DNF",AU39="OCS",AU39="DSQ",AU39="DNS",AU39=" DNS "),$BW$3+1,AU39))</f>
        <v>0</v>
      </c>
      <c r="DH39" s="61">
        <f>IF(AV39="",0,IF(OR(AV39="DNF",AV39="OCS",AV39="DSQ",AV39="DNS",AV39=" DNS "),$BW$3+1,AV39))</f>
        <v>0</v>
      </c>
      <c r="DI39" s="61">
        <f>IF(AW39="",0,IF(OR(AW39="DNF",AW39="OCS",AW39="DSQ",AW39="DNS",AW39=" DNS "),$BW$3+1,AW39))</f>
        <v>0</v>
      </c>
      <c r="DJ39" s="61">
        <f>IF(AX39="",0,IF(OR(AX39="DNF",AX39="OCS",AX39="DSQ",AX39="DNS",AX39=" DNS "),$BW$3+1,AX39))</f>
        <v>0</v>
      </c>
      <c r="DK39" s="61">
        <f>IF(AY39="",0,IF(OR(AY39="DNF",AY39="OCS",AY39="DSQ",AY39="DNS",AY39=" DNS "),$BW$3+1,AY39))</f>
        <v>0</v>
      </c>
      <c r="DL39" s="61">
        <f>IF(AZ39="",0,IF(OR(AZ39="DNF",AZ39="OCS",AZ39="DSQ",AZ39="DNS",AZ39=" DNS "),$BW$3+1,AZ39))</f>
        <v>0</v>
      </c>
      <c r="DM39" s="61">
        <f>IF(BA39="",0,IF(OR(BA39="DNF",BA39="OCS",BA39="DSQ",BA39="DNS",BA39=" DNS "),$BW$3+1,BA39))</f>
        <v>0</v>
      </c>
      <c r="DN39" s="61">
        <f>IF(BB39="",0,IF(OR(BB39="DNF",BB39="OCS",BB39="DSQ",BB39="DNS",BB39=" DNS "),$BW$3+1,BB39))</f>
        <v>0</v>
      </c>
      <c r="DO39" s="61">
        <f>IF(BC39="",0,IF(OR(BC39="DNF",BC39="OCS",BC39="DSQ",BC39="DNS",BC39=" DNS "),$BW$3+1,BC39))</f>
        <v>0</v>
      </c>
      <c r="DP39" s="61">
        <f>IF(BD39="",0,IF(OR(BD39="DNF",BD39="OCS",BD39="DSQ",BD39="DNS",BD39=" DNS "),$BW$3+1,BD39))</f>
        <v>0</v>
      </c>
      <c r="DQ39" s="61">
        <f>IF(BE39="",0,IF(OR(BE39="DNF",BE39="OCS",BE39="DSQ",BE39="DNS",BE39=" DNS "),$BW$3+1,BE39))</f>
        <v>0</v>
      </c>
      <c r="DR39" s="61">
        <f>IF(BF39="",0,IF(OR(BF39="DNF",BF39="OCS",BF39="DSQ",BF39="DNS",BF39=" DNS "),$BW$3+1,BF39))</f>
        <v>0</v>
      </c>
      <c r="DS39" s="61">
        <f>IF(BG39="",0,IF(OR(BG39="DNF",BG39="OCS",BG39="DSQ",BG39="DNS",BG39=" DNS "),$BW$3+1,BG39))</f>
        <v>0</v>
      </c>
      <c r="DT39" s="61">
        <f>IF(BH39="",0,IF(OR(BH39="DNF",BH39="OCS",BH39="DSQ",BH39="DNS",BH39=" DNS "),$BW$3+1,BH39))</f>
        <v>0</v>
      </c>
      <c r="DU39" s="61">
        <f>IF(BI39="",0,IF(OR(BI39="DNF",BI39="OCS",BI39="DSQ",BI39="DNS",BI39=" DNS "),$BW$3+1,BI39))</f>
        <v>0</v>
      </c>
      <c r="DV39" s="61">
        <f>IF(BJ39="",0,IF(OR(BJ39="DNF",BJ39="OCS",BJ39="DSQ",BJ39="DNS",BJ39=" DNS "),$BW$3+1,BJ39))</f>
        <v>0</v>
      </c>
      <c r="DW39" s="61">
        <f>IF(BK39="",0,IF(OR(BK39="DNF",BK39="OCS",BK39="DSQ",BK39="DNS",BK39=" DNS "),$BW$3+1,BK39))</f>
        <v>0</v>
      </c>
      <c r="DX39" s="61">
        <f>IF(BL39="",0,IF(OR(BL39="DNF",BL39="OCS",BL39="DSQ",BL39="DNS",BL39=" DNS "),$BW$3+1,BL39))</f>
        <v>0</v>
      </c>
      <c r="DY39" s="61">
        <f>IF(BM39="",0,IF(OR(BM39="DNF",BM39="OCS",BM39="DSQ",BM39="DNS",BM39=" DNS "),$BW$3+1,BM39))</f>
        <v>0</v>
      </c>
      <c r="DZ39" s="61">
        <f>IF(BN39="",0,IF(OR(BN39="DNF",BN39="OCS",BN39="DSQ",BN39="DNS",BN39=" DNS "),$BW$3+1,BN39))</f>
        <v>0</v>
      </c>
      <c r="EA39" s="61">
        <f>IF(BO39="",0,IF(OR(BO39="DNF",BO39="OCS",BO39="DSQ",BO39="DNS",BO39=" DNS "),$BW$3+1,BO39))</f>
        <v>0</v>
      </c>
      <c r="EB39" s="61">
        <f>IF(BP39="",0,IF(OR(BP39="DNF",BP39="OCS",BP39="DSQ",BP39="DNS",BP39=" DNS "),$BW$3+1,BP39))</f>
        <v>0</v>
      </c>
      <c r="EC39" s="61">
        <f>IF(BQ39="",0,IF(OR(BQ39="DNF",BQ39="OCS",BQ39="DSQ",BQ39="DNS",BQ39=" DNS "),$BW$3+1,BQ39))</f>
        <v>0</v>
      </c>
      <c r="EE39" s="61">
        <f xml:space="preserve">
IF(OR(Deltagarlista!$K$3=3,Deltagarlista!$K$3=4),
IF(Arrangörslista!$U$5&lt;8,0,
IF(Arrangörslista!$U$5&lt;16,SUM(LARGE(BV39:CJ39,1)),
IF(Arrangörslista!$U$5&lt;24,SUM(LARGE(BV39:CR39,{1;2})),
IF(Arrangörslista!$U$5&lt;32,SUM(LARGE(BV39:CZ39,{1;2;3})),
IF(Arrangörslista!$U$5&lt;40,SUM(LARGE(BV39:DH39,{1;2;3;4})),
IF(Arrangörslista!$U$5&lt;48,SUM(LARGE(BV39:DP39,{1;2;3;4;5})),
IF(Arrangörslista!$U$5&lt;56,SUM(LARGE(BV39:DX39,{1;2;3;4;5;6})),
IF(Arrangörslista!$U$5&lt;64,SUM(LARGE(BV39:EC39,{1;2;3;4;5;6;7})),0)))))))),
IF(Deltagarlista!$K$3=2,
IF(Arrangörslista!$U$5&lt;4,LARGE(BV39:BX39,1),
IF(Arrangörslista!$U$5&lt;7,SUM(LARGE(BV39:CA39,{1;2;3})),
IF(Arrangörslista!$U$5&lt;10,SUM(LARGE(BV39:CD39,{1;2;3;4})),
IF(Arrangörslista!$U$5&lt;13,SUM(LARGE(BV39:CG39,{1;2;3;4;5;6})),
IF(Arrangörslista!$U$5&lt;16,SUM(LARGE(BV39:CJ39,{1;2;3;4;5;6;7})),
IF(Arrangörslista!$U$5&lt;19,SUM(LARGE(BV39:CM39,{1;2;3;4;5;6;7;8;9})),
IF(Arrangörslista!$U$5&lt;22,SUM(LARGE(BV39:CP39,{1;2;3;4;5;6;7;8;9;10})),
IF(Arrangörslista!$U$5&lt;25,SUM(LARGE(BV39:CS39,{1;2;3;4;5;6;7;8;9;10;11;12})),
IF(Arrangörslista!$U$5&lt;28,SUM(LARGE(BV39:CV39,{1;2;3;4;5;6;7;8;9;10;11;12;13})),
IF(Arrangörslista!$U$5&lt;31,SUM(LARGE(BV39:CY39,{1;2;3;4;5;6;7;8;9;10;11;12;13;14;15})),
IF(Arrangörslista!$U$5&lt;34,SUM(LARGE(BV39:DB39,{1;2;3;4;5;6;7;8;9;10;11;12;13;14;15;16})),
IF(Arrangörslista!$U$5&lt;37,SUM(LARGE(BV39:DE39,{1;2;3;4;5;6;7;8;9;10;11;12;13;14;15;16;17;18})),
IF(Arrangörslista!$U$5&lt;40,SUM(LARGE(BV39:DH39,{1;2;3;4;5;6;7;8;9;10;11;12;13;14;15;16;17;18;19})),
IF(Arrangörslista!$U$5&lt;43,SUM(LARGE(BV39:DK39,{1;2;3;4;5;6;7;8;9;10;11;12;13;14;15;16;17;18;19;20;21})),
IF(Arrangörslista!$U$5&lt;46,SUM(LARGE(BV39:DN39,{1;2;3;4;5;6;7;8;9;10;11;12;13;14;15;16;17;18;19;20;21;22})),
IF(Arrangörslista!$U$5&lt;49,SUM(LARGE(BV39:DQ39,{1;2;3;4;5;6;7;8;9;10;11;12;13;14;15;16;17;18;19;20;21;22;23;24})),
IF(Arrangörslista!$U$5&lt;52,SUM(LARGE(BV39:DT39,{1;2;3;4;5;6;7;8;9;10;11;12;13;14;15;16;17;18;19;20;21;22;23;24;25})),
IF(Arrangörslista!$U$5&lt;55,SUM(LARGE(BV39:DW39,{1;2;3;4;5;6;7;8;9;10;11;12;13;14;15;16;17;18;19;20;21;22;23;24;25;26;27})),
IF(Arrangörslista!$U$5&lt;58,SUM(LARGE(BV39:DZ39,{1;2;3;4;5;6;7;8;9;10;11;12;13;14;15;16;17;18;19;20;21;22;23;24;25;26;27;28})),
IF(Arrangörslista!$U$5&lt;61,SUM(LARGE(BV39:EC39,{1;2;3;4;5;6;7;8;9;10;11;12;13;14;15;16;17;18;19;20;21;22;23;24;25;26;27;28;29;30})),0)))))))))))))))))))),
IF(Arrangörslista!$U$5&lt;4,0,
IF(Arrangörslista!$U$5&lt;8,SUM(LARGE(BV39:CB39,1)),
IF(Arrangörslista!$U$5&lt;12,SUM(LARGE(BV39:CF39,{1;2})),
IF(Arrangörslista!$U$5&lt;16,SUM(LARGE(BV39:CJ39,{1;2;3})),
IF(Arrangörslista!$U$5&lt;20,SUM(LARGE(BV39:CN39,{1;2;3;4})),
IF(Arrangörslista!$U$5&lt;24,SUM(LARGE(BV39:CR39,{1;2;3;4;5})),
IF(Arrangörslista!$U$5&lt;28,SUM(LARGE(BV39:CV39,{1;2;3;4;5;6})),
IF(Arrangörslista!$U$5&lt;32,SUM(LARGE(BV39:CZ39,{1;2;3;4;5;6;7})),
IF(Arrangörslista!$U$5&lt;36,SUM(LARGE(BV39:DD39,{1;2;3;4;5;6;7;8})),
IF(Arrangörslista!$U$5&lt;40,SUM(LARGE(BV39:DH39,{1;2;3;4;5;6;7;8;9})),
IF(Arrangörslista!$U$5&lt;44,SUM(LARGE(BV39:DL39,{1;2;3;4;5;6;7;8;9;10})),
IF(Arrangörslista!$U$5&lt;48,SUM(LARGE(BV39:DP39,{1;2;3;4;5;6;7;8;9;10;11})),
IF(Arrangörslista!$U$5&lt;52,SUM(LARGE(BV39:DT39,{1;2;3;4;5;6;7;8;9;10;11;12})),
IF(Arrangörslista!$U$5&lt;56,SUM(LARGE(BV39:DX39,{1;2;3;4;5;6;7;8;9;10;11;12;13})),
IF(Arrangörslista!$U$5&lt;60,SUM(LARGE(BV39:EB39,{1;2;3;4;5;6;7;8;9;10;11;12;13;14})),
IF(Arrangörslista!$U$5=60,SUM(LARGE(BV39:EC39,{1;2;3;4;5;6;7;8;9;10;11;12;13;14;15})),0))))))))))))))))))</f>
        <v>0</v>
      </c>
      <c r="EG39" s="67">
        <f>IF(F39="",,1)</f>
        <v>0</v>
      </c>
      <c r="EH39" s="61"/>
      <c r="EI39" s="61"/>
      <c r="EK39" s="62">
        <f>SMALL($J102:$BQ102,1)</f>
        <v>61</v>
      </c>
      <c r="EL39" s="62">
        <f>SMALL($J102:$BQ102,2)</f>
        <v>61</v>
      </c>
      <c r="EM39" s="62">
        <f>SMALL($J102:$BQ102,3)</f>
        <v>61</v>
      </c>
      <c r="EN39" s="62">
        <f>SMALL($J102:$BQ102,4)</f>
        <v>61</v>
      </c>
      <c r="EO39" s="62">
        <f>SMALL($J102:$BQ102,5)</f>
        <v>61</v>
      </c>
      <c r="EP39" s="62">
        <f>SMALL($J102:$BQ102,6)</f>
        <v>61</v>
      </c>
      <c r="EQ39" s="62">
        <f>SMALL($J102:$BQ102,7)</f>
        <v>61</v>
      </c>
      <c r="ER39" s="62">
        <f>SMALL($J102:$BQ102,8)</f>
        <v>61</v>
      </c>
      <c r="ES39" s="62">
        <f>SMALL($J102:$BQ102,9)</f>
        <v>61</v>
      </c>
      <c r="ET39" s="62">
        <f>SMALL($J102:$BQ102,10)</f>
        <v>61</v>
      </c>
      <c r="EU39" s="62">
        <f>SMALL($J102:$BQ102,11)</f>
        <v>61</v>
      </c>
      <c r="EV39" s="62">
        <f>SMALL($J102:$BQ102,12)</f>
        <v>61</v>
      </c>
      <c r="EW39" s="62">
        <f>SMALL($J102:$BQ102,13)</f>
        <v>61</v>
      </c>
      <c r="EX39" s="62">
        <f>SMALL($J102:$BQ102,14)</f>
        <v>61</v>
      </c>
      <c r="EY39" s="62">
        <f>SMALL($J102:$BQ102,15)</f>
        <v>61</v>
      </c>
      <c r="EZ39" s="62">
        <f>SMALL($J102:$BQ102,16)</f>
        <v>61</v>
      </c>
      <c r="FA39" s="62">
        <f>SMALL($J102:$BQ102,17)</f>
        <v>61</v>
      </c>
      <c r="FB39" s="62">
        <f>SMALL($J102:$BQ102,18)</f>
        <v>61</v>
      </c>
      <c r="FC39" s="62">
        <f>SMALL($J102:$BQ102,19)</f>
        <v>61</v>
      </c>
      <c r="FD39" s="62">
        <f>SMALL($J102:$BQ102,20)</f>
        <v>61</v>
      </c>
      <c r="FE39" s="62">
        <f>SMALL($J102:$BQ102,21)</f>
        <v>61</v>
      </c>
      <c r="FF39" s="62">
        <f>SMALL($J102:$BQ102,22)</f>
        <v>61</v>
      </c>
      <c r="FG39" s="62">
        <f>SMALL($J102:$BQ102,23)</f>
        <v>61</v>
      </c>
      <c r="FH39" s="62">
        <f>SMALL($J102:$BQ102,24)</f>
        <v>61</v>
      </c>
      <c r="FI39" s="62">
        <f>SMALL($J102:$BQ102,25)</f>
        <v>61</v>
      </c>
      <c r="FJ39" s="62">
        <f>SMALL($J102:$BQ102,26)</f>
        <v>61</v>
      </c>
      <c r="FK39" s="62">
        <f>SMALL($J102:$BQ102,27)</f>
        <v>61</v>
      </c>
      <c r="FL39" s="62">
        <f>SMALL($J102:$BQ102,28)</f>
        <v>61</v>
      </c>
      <c r="FM39" s="62">
        <f>SMALL($J102:$BQ102,29)</f>
        <v>61</v>
      </c>
      <c r="FN39" s="62">
        <f>SMALL($J102:$BQ102,30)</f>
        <v>61</v>
      </c>
      <c r="FO39" s="62">
        <f>SMALL($J102:$BQ102,31)</f>
        <v>61</v>
      </c>
      <c r="FP39" s="62">
        <f>SMALL($J102:$BQ102,32)</f>
        <v>61</v>
      </c>
      <c r="FQ39" s="62">
        <f>SMALL($J102:$BQ102,33)</f>
        <v>61</v>
      </c>
      <c r="FR39" s="62">
        <f>SMALL($J102:$BQ102,34)</f>
        <v>61</v>
      </c>
      <c r="FS39" s="62">
        <f>SMALL($J102:$BQ102,35)</f>
        <v>61</v>
      </c>
      <c r="FT39" s="62">
        <f>SMALL($J102:$BQ102,36)</f>
        <v>61</v>
      </c>
      <c r="FU39" s="62">
        <f>SMALL($J102:$BQ102,37)</f>
        <v>61</v>
      </c>
      <c r="FV39" s="62">
        <f>SMALL($J102:$BQ102,38)</f>
        <v>61</v>
      </c>
      <c r="FW39" s="62">
        <f>SMALL($J102:$BQ102,39)</f>
        <v>61</v>
      </c>
      <c r="FX39" s="62">
        <f>SMALL($J102:$BQ102,40)</f>
        <v>61</v>
      </c>
      <c r="FY39" s="62">
        <f>SMALL($J102:$BQ102,41)</f>
        <v>61</v>
      </c>
      <c r="FZ39" s="62">
        <f>SMALL($J102:$BQ102,42)</f>
        <v>61</v>
      </c>
      <c r="GA39" s="62">
        <f>SMALL($J102:$BQ102,43)</f>
        <v>61</v>
      </c>
      <c r="GB39" s="62">
        <f>SMALL($J102:$BQ102,44)</f>
        <v>61</v>
      </c>
      <c r="GC39" s="62">
        <f>SMALL($J102:$BQ102,45)</f>
        <v>61</v>
      </c>
      <c r="GD39" s="62">
        <f>SMALL($J102:$BQ102,46)</f>
        <v>61</v>
      </c>
      <c r="GE39" s="62">
        <f>SMALL($J102:$BQ102,47)</f>
        <v>61</v>
      </c>
      <c r="GF39" s="62">
        <f>SMALL($J102:$BQ102,48)</f>
        <v>61</v>
      </c>
      <c r="GG39" s="62">
        <f>SMALL($J102:$BQ102,49)</f>
        <v>61</v>
      </c>
      <c r="GH39" s="62">
        <f>SMALL($J102:$BQ102,50)</f>
        <v>61</v>
      </c>
      <c r="GI39" s="62">
        <f>SMALL($J102:$BQ102,51)</f>
        <v>61</v>
      </c>
      <c r="GJ39" s="62">
        <f>SMALL($J102:$BQ102,52)</f>
        <v>61</v>
      </c>
      <c r="GK39" s="62">
        <f>SMALL($J102:$BQ102,53)</f>
        <v>61</v>
      </c>
      <c r="GL39" s="62">
        <f>SMALL($J102:$BQ102,54)</f>
        <v>61</v>
      </c>
      <c r="GM39" s="62">
        <f>SMALL($J102:$BQ102,55)</f>
        <v>61</v>
      </c>
      <c r="GN39" s="62">
        <f>SMALL($J102:$BQ102,56)</f>
        <v>61</v>
      </c>
      <c r="GO39" s="62">
        <f>SMALL($J102:$BQ102,57)</f>
        <v>61</v>
      </c>
      <c r="GP39" s="62">
        <f>SMALL($J102:$BQ102,58)</f>
        <v>61</v>
      </c>
      <c r="GQ39" s="62">
        <f>SMALL($J102:$BQ102,59)</f>
        <v>61</v>
      </c>
      <c r="GR39" s="62">
        <f>SMALL($J102:$BQ102,60)</f>
        <v>61</v>
      </c>
      <c r="GT39" s="62">
        <f>IF(Deltagarlista!$K$3=2,
IF(GW39="1",
      IF(Arrangörslista!$U$5=1,J102,
IF(Arrangörslista!$U$5=2,K102,
IF(Arrangörslista!$U$5=3,L102,
IF(Arrangörslista!$U$5=4,M102,
IF(Arrangörslista!$U$5=5,N102,
IF(Arrangörslista!$U$5=6,O102,
IF(Arrangörslista!$U$5=7,P102,
IF(Arrangörslista!$U$5=8,Q102,
IF(Arrangörslista!$U$5=9,R102,
IF(Arrangörslista!$U$5=10,S102,
IF(Arrangörslista!$U$5=11,T102,
IF(Arrangörslista!$U$5=12,U102,
IF(Arrangörslista!$U$5=13,V102,
IF(Arrangörslista!$U$5=14,W102,
IF(Arrangörslista!$U$5=15,X102,
IF(Arrangörslista!$U$5=16,Y102,IF(Arrangörslista!$U$5=17,Z102,IF(Arrangörslista!$U$5=18,AA102,IF(Arrangörslista!$U$5=19,AB102,IF(Arrangörslista!$U$5=20,AC102,IF(Arrangörslista!$U$5=21,AD102,IF(Arrangörslista!$U$5=22,AE102,IF(Arrangörslista!$U$5=23,AF102, IF(Arrangörslista!$U$5=24,AG102, IF(Arrangörslista!$U$5=25,AH102, IF(Arrangörslista!$U$5=26,AI102, IF(Arrangörslista!$U$5=27,AJ102, IF(Arrangörslista!$U$5=28,AK102, IF(Arrangörslista!$U$5=29,AL102, IF(Arrangörslista!$U$5=30,AM102, IF(Arrangörslista!$U$5=31,AN102, IF(Arrangörslista!$U$5=32,AO102, IF(Arrangörslista!$U$5=33,AP102, IF(Arrangörslista!$U$5=34,AQ102, IF(Arrangörslista!$U$5=35,AR102, IF(Arrangörslista!$U$5=36,AS102, IF(Arrangörslista!$U$5=37,AT102, IF(Arrangörslista!$U$5=38,AU102, IF(Arrangörslista!$U$5=39,AV102, IF(Arrangörslista!$U$5=40,AW102, IF(Arrangörslista!$U$5=41,AX102, IF(Arrangörslista!$U$5=42,AY102, IF(Arrangörslista!$U$5=43,AZ102, IF(Arrangörslista!$U$5=44,BA102, IF(Arrangörslista!$U$5=45,BB102, IF(Arrangörslista!$U$5=46,BC102, IF(Arrangörslista!$U$5=47,BD102, IF(Arrangörslista!$U$5=48,BE102, IF(Arrangörslista!$U$5=49,BF102, IF(Arrangörslista!$U$5=50,BG102, IF(Arrangörslista!$U$5=51,BH102, IF(Arrangörslista!$U$5=52,BI102, IF(Arrangörslista!$U$5=53,BJ102, IF(Arrangörslista!$U$5=54,BK102, IF(Arrangörslista!$U$5=55,BL102, IF(Arrangörslista!$U$5=56,BM102, IF(Arrangörslista!$U$5=57,BN102, IF(Arrangörslista!$U$5=58,BO102, IF(Arrangörslista!$U$5=59,BP102, IF(Arrangörslista!$U$5=60,BQ102,0))))))))))))))))))))))))))))))))))))))))))))))))))))))))))))),IF(Deltagarlista!$K$3=4, IF(Arrangörslista!$U$5=1,J102,
IF(Arrangörslista!$U$5=2,J102,
IF(Arrangörslista!$U$5=3,K102,
IF(Arrangörslista!$U$5=4,K102,
IF(Arrangörslista!$U$5=5,L102,
IF(Arrangörslista!$U$5=6,L102,
IF(Arrangörslista!$U$5=7,M102,
IF(Arrangörslista!$U$5=8,M102,
IF(Arrangörslista!$U$5=9,N102,
IF(Arrangörslista!$U$5=10,N102,
IF(Arrangörslista!$U$5=11,O102,
IF(Arrangörslista!$U$5=12,O102,
IF(Arrangörslista!$U$5=13,P102,
IF(Arrangörslista!$U$5=14,P102,
IF(Arrangörslista!$U$5=15,Q102,
IF(Arrangörslista!$U$5=16,Q102,
IF(Arrangörslista!$U$5=17,R102,
IF(Arrangörslista!$U$5=18,R102,
IF(Arrangörslista!$U$5=19,S102,
IF(Arrangörslista!$U$5=20,S102,
IF(Arrangörslista!$U$5=21,T102,
IF(Arrangörslista!$U$5=22,T102,IF(Arrangörslista!$U$5=23,U102, IF(Arrangörslista!$U$5=24,U102, IF(Arrangörslista!$U$5=25,V102, IF(Arrangörslista!$U$5=26,V102, IF(Arrangörslista!$U$5=27,W102, IF(Arrangörslista!$U$5=28,W102, IF(Arrangörslista!$U$5=29,X102, IF(Arrangörslista!$U$5=30,X102, IF(Arrangörslista!$U$5=31,X102, IF(Arrangörslista!$U$5=32,Y102, IF(Arrangörslista!$U$5=33,AO102, IF(Arrangörslista!$U$5=34,Y102, IF(Arrangörslista!$U$5=35,Z102, IF(Arrangörslista!$U$5=36,AR102, IF(Arrangörslista!$U$5=37,Z102, IF(Arrangörslista!$U$5=38,AA102, IF(Arrangörslista!$U$5=39,AU102, IF(Arrangörslista!$U$5=40,AA102, IF(Arrangörslista!$U$5=41,AB102, IF(Arrangörslista!$U$5=42,AX102, IF(Arrangörslista!$U$5=43,AB102, IF(Arrangörslista!$U$5=44,AC102, IF(Arrangörslista!$U$5=45,BA102, IF(Arrangörslista!$U$5=46,AC102, IF(Arrangörslista!$U$5=47,AD102, IF(Arrangörslista!$U$5=48,BD102, IF(Arrangörslista!$U$5=49,AD102, IF(Arrangörslista!$U$5=50,AE102, IF(Arrangörslista!$U$5=51,BG102, IF(Arrangörslista!$U$5=52,AE102, IF(Arrangörslista!$U$5=53,AF102, IF(Arrangörslista!$U$5=54,BJ102, IF(Arrangörslista!$U$5=55,AF102, IF(Arrangörslista!$U$5=56,AG102, IF(Arrangörslista!$U$5=57,BM102, IF(Arrangörslista!$U$5=58,AG102, IF(Arrangörslista!$U$5=59,AH102, IF(Arrangörslista!$U$5=60,AH102,0)))))))))))))))))))))))))))))))))))))))))))))))))))))))))))),IF(Arrangörslista!$U$5=1,J102,
IF(Arrangörslista!$U$5=2,K102,
IF(Arrangörslista!$U$5=3,L102,
IF(Arrangörslista!$U$5=4,M102,
IF(Arrangörslista!$U$5=5,N102,
IF(Arrangörslista!$U$5=6,O102,
IF(Arrangörslista!$U$5=7,P102,
IF(Arrangörslista!$U$5=8,Q102,
IF(Arrangörslista!$U$5=9,R102,
IF(Arrangörslista!$U$5=10,S102,
IF(Arrangörslista!$U$5=11,T102,
IF(Arrangörslista!$U$5=12,U102,
IF(Arrangörslista!$U$5=13,V102,
IF(Arrangörslista!$U$5=14,W102,
IF(Arrangörslista!$U$5=15,X102,
IF(Arrangörslista!$U$5=16,Y102,IF(Arrangörslista!$U$5=17,Z102,IF(Arrangörslista!$U$5=18,AA102,IF(Arrangörslista!$U$5=19,AB102,IF(Arrangörslista!$U$5=20,AC102,IF(Arrangörslista!$U$5=21,AD102,IF(Arrangörslista!$U$5=22,AE102,IF(Arrangörslista!$U$5=23,AF102, IF(Arrangörslista!$U$5=24,AG102, IF(Arrangörslista!$U$5=25,AH102, IF(Arrangörslista!$U$5=26,AI102, IF(Arrangörslista!$U$5=27,AJ102, IF(Arrangörslista!$U$5=28,AK102, IF(Arrangörslista!$U$5=29,AL102, IF(Arrangörslista!$U$5=30,AM102, IF(Arrangörslista!$U$5=31,AN102, IF(Arrangörslista!$U$5=32,AO102, IF(Arrangörslista!$U$5=33,AP102, IF(Arrangörslista!$U$5=34,AQ102, IF(Arrangörslista!$U$5=35,AR102, IF(Arrangörslista!$U$5=36,AS102, IF(Arrangörslista!$U$5=37,AT102, IF(Arrangörslista!$U$5=38,AU102, IF(Arrangörslista!$U$5=39,AV102, IF(Arrangörslista!$U$5=40,AW102, IF(Arrangörslista!$U$5=41,AX102, IF(Arrangörslista!$U$5=42,AY102, IF(Arrangörslista!$U$5=43,AZ102, IF(Arrangörslista!$U$5=44,BA102, IF(Arrangörslista!$U$5=45,BB102, IF(Arrangörslista!$U$5=46,BC102, IF(Arrangörslista!$U$5=47,BD102, IF(Arrangörslista!$U$5=48,BE102, IF(Arrangörslista!$U$5=49,BF102, IF(Arrangörslista!$U$5=50,BG102, IF(Arrangörslista!$U$5=51,BH102, IF(Arrangörslista!$U$5=52,BI102, IF(Arrangörslista!$U$5=53,BJ102, IF(Arrangörslista!$U$5=54,BK102, IF(Arrangörslista!$U$5=55,BL102, IF(Arrangörslista!$U$5=56,BM102, IF(Arrangörslista!$U$5=57,BN102, IF(Arrangörslista!$U$5=58,BO102, IF(Arrangörslista!$U$5=59,BP102, IF(Arrangörslista!$U$5=60,BQ102,0))))))))))))))))))))))))))))))))))))))))))))))))))))))))))))
))</f>
        <v>0</v>
      </c>
      <c r="GV39" s="65" t="str">
        <f>IFERROR(IF(VLOOKUP(F39,Deltagarlista!$E$5:$I$64,5,FALSE)="Grön","Gr",IF(VLOOKUP(F39,Deltagarlista!$E$5:$I$64,5,FALSE)="Röd","R",IF(VLOOKUP(F39,Deltagarlista!$E$5:$I$64,5,FALSE)="Blå","B","Gu"))),"")</f>
        <v/>
      </c>
      <c r="GW39" s="62" t="str">
        <f t="shared" si="1"/>
        <v/>
      </c>
    </row>
    <row r="40" spans="1:205" ht="15.75" customHeight="1" x14ac:dyDescent="0.3">
      <c r="B40" s="23" t="str">
        <f>IF($BW$3&gt;36,37,"")</f>
        <v/>
      </c>
      <c r="C40" s="92" t="str">
        <f>IF(ISBLANK(Deltagarlista!C31),"",Deltagarlista!C31)</f>
        <v/>
      </c>
      <c r="D40" s="109" t="str">
        <f>CONCATENATE(IF(AND(Deltagarlista!H31="GM",Deltagarlista!$S$14=TRUE),"GM   ",""),  IF(OR(Deltagarlista!$K$3=4,Deltagarlista!$K$3=2),Deltagarlista!I31,""))</f>
        <v/>
      </c>
      <c r="E40" s="8" t="str">
        <f>IF(ISBLANK(Deltagarlista!D31),"",Deltagarlista!D31)</f>
        <v/>
      </c>
      <c r="F40" s="8" t="str">
        <f>IF(ISBLANK(Deltagarlista!E31),"",Deltagarlista!E31)</f>
        <v/>
      </c>
      <c r="G40" s="95" t="str">
        <f>IF(ISBLANK(Deltagarlista!F31),"",Deltagarlista!F31)</f>
        <v/>
      </c>
      <c r="H40" s="72" t="str">
        <f>IF(ISBLANK(Deltagarlista!C31),"",BU40-EE40)</f>
        <v/>
      </c>
      <c r="I40" s="13" t="str">
        <f>IF(ISBLANK(Deltagarlista!C31),"",IF(AND(Deltagarlista!$K$3=2,Deltagarlista!$L$3&lt;37),SUM(SUM(BV40:EC40)-(ROUNDDOWN(Arrangörslista!$U$5/3,1))*($BW$3+1)),SUM(BV40:EC40)))</f>
        <v/>
      </c>
      <c r="J40" s="79" t="str">
        <f>IF(Deltagarlista!$K$3=4,IF(ISBLANK(Deltagarlista!$C31),"",IF(ISBLANK(Arrangörslista!C$8),"",IFERROR(VLOOKUP($F40,Arrangörslista!C$8:$AG$45,16,FALSE),IF(ISBLANK(Deltagarlista!$C31),"",IF(ISBLANK(Arrangörslista!C$8),"",IFERROR(VLOOKUP($F40,Arrangörslista!D$8:$AG$45,16,FALSE),"DNS")))))),IF(Deltagarlista!$K$3=2,
IF(ISBLANK(Deltagarlista!$C31),"",IF(ISBLANK(Arrangörslista!C$8),"",IF($GV40=J$64," DNS ",IFERROR(VLOOKUP($F40,Arrangörslista!C$8:$AG$45,16,FALSE),"DNS")))),IF(ISBLANK(Deltagarlista!$C31),"",IF(ISBLANK(Arrangörslista!C$8),"",IFERROR(VLOOKUP($F40,Arrangörslista!C$8:$AG$45,16,FALSE),"DNS")))))</f>
        <v/>
      </c>
      <c r="K40" s="5" t="str">
        <f>IF(Deltagarlista!$K$3=4,IF(ISBLANK(Deltagarlista!$C31),"",IF(ISBLANK(Arrangörslista!E$8),"",IFERROR(VLOOKUP($F40,Arrangörslista!E$8:$AG$45,16,FALSE),IF(ISBLANK(Deltagarlista!$C31),"",IF(ISBLANK(Arrangörslista!E$8),"",IFERROR(VLOOKUP($F40,Arrangörslista!F$8:$AG$45,16,FALSE),"DNS")))))),IF(Deltagarlista!$K$3=2,
IF(ISBLANK(Deltagarlista!$C31),"",IF(ISBLANK(Arrangörslista!D$8),"",IF($GV40=K$64," DNS ",IFERROR(VLOOKUP($F40,Arrangörslista!D$8:$AG$45,16,FALSE),"DNS")))),IF(ISBLANK(Deltagarlista!$C31),"",IF(ISBLANK(Arrangörslista!D$8),"",IFERROR(VLOOKUP($F40,Arrangörslista!D$8:$AG$45,16,FALSE),"DNS")))))</f>
        <v/>
      </c>
      <c r="L40" s="5" t="str">
        <f>IF(Deltagarlista!$K$3=4,IF(ISBLANK(Deltagarlista!$C31),"",IF(ISBLANK(Arrangörslista!G$8),"",IFERROR(VLOOKUP($F40,Arrangörslista!G$8:$AG$45,16,FALSE),IF(ISBLANK(Deltagarlista!$C31),"",IF(ISBLANK(Arrangörslista!G$8),"",IFERROR(VLOOKUP($F40,Arrangörslista!H$8:$AG$45,16,FALSE),"DNS")))))),IF(Deltagarlista!$K$3=2,
IF(ISBLANK(Deltagarlista!$C31),"",IF(ISBLANK(Arrangörslista!E$8),"",IF($GV40=L$64," DNS ",IFERROR(VLOOKUP($F40,Arrangörslista!E$8:$AG$45,16,FALSE),"DNS")))),IF(ISBLANK(Deltagarlista!$C31),"",IF(ISBLANK(Arrangörslista!E$8),"",IFERROR(VLOOKUP($F40,Arrangörslista!E$8:$AG$45,16,FALSE),"DNS")))))</f>
        <v/>
      </c>
      <c r="M40" s="5" t="str">
        <f>IF(Deltagarlista!$K$3=4,IF(ISBLANK(Deltagarlista!$C31),"",IF(ISBLANK(Arrangörslista!I$8),"",IFERROR(VLOOKUP($F40,Arrangörslista!I$8:$AG$45,16,FALSE),IF(ISBLANK(Deltagarlista!$C31),"",IF(ISBLANK(Arrangörslista!I$8),"",IFERROR(VLOOKUP($F40,Arrangörslista!J$8:$AG$45,16,FALSE),"DNS")))))),IF(Deltagarlista!$K$3=2,
IF(ISBLANK(Deltagarlista!$C31),"",IF(ISBLANK(Arrangörslista!F$8),"",IF($GV40=M$64," DNS ",IFERROR(VLOOKUP($F40,Arrangörslista!F$8:$AG$45,16,FALSE),"DNS")))),IF(ISBLANK(Deltagarlista!$C31),"",IF(ISBLANK(Arrangörslista!F$8),"",IFERROR(VLOOKUP($F40,Arrangörslista!F$8:$AG$45,16,FALSE),"DNS")))))</f>
        <v/>
      </c>
      <c r="N40" s="5" t="str">
        <f>IF(Deltagarlista!$K$3=4,IF(ISBLANK(Deltagarlista!$C31),"",IF(ISBLANK(Arrangörslista!K$8),"",IFERROR(VLOOKUP($F40,Arrangörslista!K$8:$AG$45,16,FALSE),IF(ISBLANK(Deltagarlista!$C31),"",IF(ISBLANK(Arrangörslista!K$8),"",IFERROR(VLOOKUP($F40,Arrangörslista!L$8:$AG$45,16,FALSE),"DNS")))))),IF(Deltagarlista!$K$3=2,
IF(ISBLANK(Deltagarlista!$C31),"",IF(ISBLANK(Arrangörslista!G$8),"",IF($GV40=N$64," DNS ",IFERROR(VLOOKUP($F40,Arrangörslista!G$8:$AG$45,16,FALSE),"DNS")))),IF(ISBLANK(Deltagarlista!$C31),"",IF(ISBLANK(Arrangörslista!G$8),"",IFERROR(VLOOKUP($F40,Arrangörslista!G$8:$AG$45,16,FALSE),"DNS")))))</f>
        <v/>
      </c>
      <c r="O40" s="5" t="str">
        <f>IF(Deltagarlista!$K$3=4,IF(ISBLANK(Deltagarlista!$C31),"",IF(ISBLANK(Arrangörslista!M$8),"",IFERROR(VLOOKUP($F40,Arrangörslista!M$8:$AG$45,16,FALSE),IF(ISBLANK(Deltagarlista!$C31),"",IF(ISBLANK(Arrangörslista!M$8),"",IFERROR(VLOOKUP($F40,Arrangörslista!N$8:$AG$45,16,FALSE),"DNS")))))),IF(Deltagarlista!$K$3=2,
IF(ISBLANK(Deltagarlista!$C31),"",IF(ISBLANK(Arrangörslista!H$8),"",IF($GV40=O$64," DNS ",IFERROR(VLOOKUP($F40,Arrangörslista!H$8:$AG$45,16,FALSE),"DNS")))),IF(ISBLANK(Deltagarlista!$C31),"",IF(ISBLANK(Arrangörslista!H$8),"",IFERROR(VLOOKUP($F40,Arrangörslista!H$8:$AG$45,16,FALSE),"DNS")))))</f>
        <v/>
      </c>
      <c r="P40" s="5" t="str">
        <f>IF(Deltagarlista!$K$3=4,IF(ISBLANK(Deltagarlista!$C31),"",IF(ISBLANK(Arrangörslista!O$8),"",IFERROR(VLOOKUP($F40,Arrangörslista!O$8:$AG$45,16,FALSE),IF(ISBLANK(Deltagarlista!$C31),"",IF(ISBLANK(Arrangörslista!O$8),"",IFERROR(VLOOKUP($F40,Arrangörslista!P$8:$AG$45,16,FALSE),"DNS")))))),IF(Deltagarlista!$K$3=2,
IF(ISBLANK(Deltagarlista!$C31),"",IF(ISBLANK(Arrangörslista!I$8),"",IF($GV40=P$64," DNS ",IFERROR(VLOOKUP($F40,Arrangörslista!I$8:$AG$45,16,FALSE),"DNS")))),IF(ISBLANK(Deltagarlista!$C31),"",IF(ISBLANK(Arrangörslista!I$8),"",IFERROR(VLOOKUP($F40,Arrangörslista!I$8:$AG$45,16,FALSE),"DNS")))))</f>
        <v/>
      </c>
      <c r="Q40" s="5" t="str">
        <f>IF(Deltagarlista!$K$3=4,IF(ISBLANK(Deltagarlista!$C31),"",IF(ISBLANK(Arrangörslista!Q$8),"",IFERROR(VLOOKUP($F40,Arrangörslista!Q$8:$AG$45,16,FALSE),IF(ISBLANK(Deltagarlista!$C31),"",IF(ISBLANK(Arrangörslista!Q$8),"",IFERROR(VLOOKUP($F40,Arrangörslista!C$53:$AG$90,16,FALSE),"DNS")))))),IF(Deltagarlista!$K$3=2,
IF(ISBLANK(Deltagarlista!$C31),"",IF(ISBLANK(Arrangörslista!J$8),"",IF($GV40=Q$64," DNS ",IFERROR(VLOOKUP($F40,Arrangörslista!J$8:$AG$45,16,FALSE),"DNS")))),IF(ISBLANK(Deltagarlista!$C31),"",IF(ISBLANK(Arrangörslista!J$8),"",IFERROR(VLOOKUP($F40,Arrangörslista!J$8:$AG$45,16,FALSE),"DNS")))))</f>
        <v/>
      </c>
      <c r="R40" s="5" t="str">
        <f>IF(Deltagarlista!$K$3=4,IF(ISBLANK(Deltagarlista!$C31),"",IF(ISBLANK(Arrangörslista!D$53),"",IFERROR(VLOOKUP($F40,Arrangörslista!D$53:$AG$90,16,FALSE),IF(ISBLANK(Deltagarlista!$C31),"",IF(ISBLANK(Arrangörslista!D$53),"",IFERROR(VLOOKUP($F40,Arrangörslista!E$53:$AG$90,16,FALSE),"DNS")))))),IF(Deltagarlista!$K$3=2,
IF(ISBLANK(Deltagarlista!$C31),"",IF(ISBLANK(Arrangörslista!K$8),"",IF($GV40=R$64," DNS ",IFERROR(VLOOKUP($F40,Arrangörslista!K$8:$AG$45,16,FALSE),"DNS")))),IF(ISBLANK(Deltagarlista!$C31),"",IF(ISBLANK(Arrangörslista!K$8),"",IFERROR(VLOOKUP($F40,Arrangörslista!K$8:$AG$45,16,FALSE),"DNS")))))</f>
        <v/>
      </c>
      <c r="S40" s="5" t="str">
        <f>IF(Deltagarlista!$K$3=4,IF(ISBLANK(Deltagarlista!$C31),"",IF(ISBLANK(Arrangörslista!F$53),"",IFERROR(VLOOKUP($F40,Arrangörslista!F$53:$AG$90,16,FALSE),IF(ISBLANK(Deltagarlista!$C31),"",IF(ISBLANK(Arrangörslista!F$53),"",IFERROR(VLOOKUP($F40,Arrangörslista!G$53:$AG$90,16,FALSE),"DNS")))))),IF(Deltagarlista!$K$3=2,
IF(ISBLANK(Deltagarlista!$C31),"",IF(ISBLANK(Arrangörslista!L$8),"",IF($GV40=S$64," DNS ",IFERROR(VLOOKUP($F40,Arrangörslista!L$8:$AG$45,16,FALSE),"DNS")))),IF(ISBLANK(Deltagarlista!$C31),"",IF(ISBLANK(Arrangörslista!L$8),"",IFERROR(VLOOKUP($F40,Arrangörslista!L$8:$AG$45,16,FALSE),"DNS")))))</f>
        <v/>
      </c>
      <c r="T40" s="5" t="str">
        <f>IF(Deltagarlista!$K$3=4,IF(ISBLANK(Deltagarlista!$C31),"",IF(ISBLANK(Arrangörslista!H$53),"",IFERROR(VLOOKUP($F40,Arrangörslista!H$53:$AG$90,16,FALSE),IF(ISBLANK(Deltagarlista!$C31),"",IF(ISBLANK(Arrangörslista!H$53),"",IFERROR(VLOOKUP($F40,Arrangörslista!I$53:$AG$90,16,FALSE),"DNS")))))),IF(Deltagarlista!$K$3=2,
IF(ISBLANK(Deltagarlista!$C31),"",IF(ISBLANK(Arrangörslista!M$8),"",IF($GV40=T$64," DNS ",IFERROR(VLOOKUP($F40,Arrangörslista!M$8:$AG$45,16,FALSE),"DNS")))),IF(ISBLANK(Deltagarlista!$C31),"",IF(ISBLANK(Arrangörslista!M$8),"",IFERROR(VLOOKUP($F40,Arrangörslista!M$8:$AG$45,16,FALSE),"DNS")))))</f>
        <v/>
      </c>
      <c r="U40" s="5" t="str">
        <f>IF(Deltagarlista!$K$3=4,IF(ISBLANK(Deltagarlista!$C31),"",IF(ISBLANK(Arrangörslista!J$53),"",IFERROR(VLOOKUP($F40,Arrangörslista!J$53:$AG$90,16,FALSE),IF(ISBLANK(Deltagarlista!$C31),"",IF(ISBLANK(Arrangörslista!J$53),"",IFERROR(VLOOKUP($F40,Arrangörslista!K$53:$AG$90,16,FALSE),"DNS")))))),IF(Deltagarlista!$K$3=2,
IF(ISBLANK(Deltagarlista!$C31),"",IF(ISBLANK(Arrangörslista!N$8),"",IF($GV40=U$64," DNS ",IFERROR(VLOOKUP($F40,Arrangörslista!N$8:$AG$45,16,FALSE),"DNS")))),IF(ISBLANK(Deltagarlista!$C31),"",IF(ISBLANK(Arrangörslista!N$8),"",IFERROR(VLOOKUP($F40,Arrangörslista!N$8:$AG$45,16,FALSE),"DNS")))))</f>
        <v/>
      </c>
      <c r="V40" s="5" t="str">
        <f>IF(Deltagarlista!$K$3=4,IF(ISBLANK(Deltagarlista!$C31),"",IF(ISBLANK(Arrangörslista!L$53),"",IFERROR(VLOOKUP($F40,Arrangörslista!L$53:$AG$90,16,FALSE),IF(ISBLANK(Deltagarlista!$C31),"",IF(ISBLANK(Arrangörslista!L$53),"",IFERROR(VLOOKUP($F40,Arrangörslista!M$53:$AG$90,16,FALSE),"DNS")))))),IF(Deltagarlista!$K$3=2,
IF(ISBLANK(Deltagarlista!$C31),"",IF(ISBLANK(Arrangörslista!O$8),"",IF($GV40=V$64," DNS ",IFERROR(VLOOKUP($F40,Arrangörslista!O$8:$AG$45,16,FALSE),"DNS")))),IF(ISBLANK(Deltagarlista!$C31),"",IF(ISBLANK(Arrangörslista!O$8),"",IFERROR(VLOOKUP($F40,Arrangörslista!O$8:$AG$45,16,FALSE),"DNS")))))</f>
        <v/>
      </c>
      <c r="W40" s="5" t="str">
        <f>IF(Deltagarlista!$K$3=4,IF(ISBLANK(Deltagarlista!$C31),"",IF(ISBLANK(Arrangörslista!N$53),"",IFERROR(VLOOKUP($F40,Arrangörslista!N$53:$AG$90,16,FALSE),IF(ISBLANK(Deltagarlista!$C31),"",IF(ISBLANK(Arrangörslista!N$53),"",IFERROR(VLOOKUP($F40,Arrangörslista!O$53:$AG$90,16,FALSE),"DNS")))))),IF(Deltagarlista!$K$3=2,
IF(ISBLANK(Deltagarlista!$C31),"",IF(ISBLANK(Arrangörslista!P$8),"",IF($GV40=W$64," DNS ",IFERROR(VLOOKUP($F40,Arrangörslista!P$8:$AG$45,16,FALSE),"DNS")))),IF(ISBLANK(Deltagarlista!$C31),"",IF(ISBLANK(Arrangörslista!P$8),"",IFERROR(VLOOKUP($F40,Arrangörslista!P$8:$AG$45,16,FALSE),"DNS")))))</f>
        <v/>
      </c>
      <c r="X40" s="5" t="str">
        <f>IF(Deltagarlista!$K$3=4,IF(ISBLANK(Deltagarlista!$C31),"",IF(ISBLANK(Arrangörslista!P$53),"",IFERROR(VLOOKUP($F40,Arrangörslista!P$53:$AG$90,16,FALSE),IF(ISBLANK(Deltagarlista!$C31),"",IF(ISBLANK(Arrangörslista!P$53),"",IFERROR(VLOOKUP($F40,Arrangörslista!Q$53:$AG$90,16,FALSE),"DNS")))))),IF(Deltagarlista!$K$3=2,
IF(ISBLANK(Deltagarlista!$C31),"",IF(ISBLANK(Arrangörslista!Q$8),"",IF($GV40=X$64," DNS ",IFERROR(VLOOKUP($F40,Arrangörslista!Q$8:$AG$45,16,FALSE),"DNS")))),IF(ISBLANK(Deltagarlista!$C31),"",IF(ISBLANK(Arrangörslista!Q$8),"",IFERROR(VLOOKUP($F40,Arrangörslista!Q$8:$AG$45,16,FALSE),"DNS")))))</f>
        <v/>
      </c>
      <c r="Y40" s="5" t="str">
        <f>IF(Deltagarlista!$K$3=4,IF(ISBLANK(Deltagarlista!$C31),"",IF(ISBLANK(Arrangörslista!C$98),"",IFERROR(VLOOKUP($F40,Arrangörslista!C$98:$AG$135,16,FALSE),IF(ISBLANK(Deltagarlista!$C31),"",IF(ISBLANK(Arrangörslista!C$98),"",IFERROR(VLOOKUP($F40,Arrangörslista!D$98:$AG$135,16,FALSE),"DNS")))))),IF(Deltagarlista!$K$3=2,
IF(ISBLANK(Deltagarlista!$C31),"",IF(ISBLANK(Arrangörslista!C$53),"",IF($GV40=Y$64," DNS ",IFERROR(VLOOKUP($F40,Arrangörslista!C$53:$AG$90,16,FALSE),"DNS")))),IF(ISBLANK(Deltagarlista!$C31),"",IF(ISBLANK(Arrangörslista!C$53),"",IFERROR(VLOOKUP($F40,Arrangörslista!C$53:$AG$90,16,FALSE),"DNS")))))</f>
        <v/>
      </c>
      <c r="Z40" s="5" t="str">
        <f>IF(Deltagarlista!$K$3=4,IF(ISBLANK(Deltagarlista!$C31),"",IF(ISBLANK(Arrangörslista!E$98),"",IFERROR(VLOOKUP($F40,Arrangörslista!E$98:$AG$135,16,FALSE),IF(ISBLANK(Deltagarlista!$C31),"",IF(ISBLANK(Arrangörslista!E$98),"",IFERROR(VLOOKUP($F40,Arrangörslista!F$98:$AG$135,16,FALSE),"DNS")))))),IF(Deltagarlista!$K$3=2,
IF(ISBLANK(Deltagarlista!$C31),"",IF(ISBLANK(Arrangörslista!D$53),"",IF($GV40=Z$64," DNS ",IFERROR(VLOOKUP($F40,Arrangörslista!D$53:$AG$90,16,FALSE),"DNS")))),IF(ISBLANK(Deltagarlista!$C31),"",IF(ISBLANK(Arrangörslista!D$53),"",IFERROR(VLOOKUP($F40,Arrangörslista!D$53:$AG$90,16,FALSE),"DNS")))))</f>
        <v/>
      </c>
      <c r="AA40" s="5" t="str">
        <f>IF(Deltagarlista!$K$3=4,IF(ISBLANK(Deltagarlista!$C31),"",IF(ISBLANK(Arrangörslista!G$98),"",IFERROR(VLOOKUP($F40,Arrangörslista!G$98:$AG$135,16,FALSE),IF(ISBLANK(Deltagarlista!$C31),"",IF(ISBLANK(Arrangörslista!G$98),"",IFERROR(VLOOKUP($F40,Arrangörslista!H$98:$AG$135,16,FALSE),"DNS")))))),IF(Deltagarlista!$K$3=2,
IF(ISBLANK(Deltagarlista!$C31),"",IF(ISBLANK(Arrangörslista!E$53),"",IF($GV40=AA$64," DNS ",IFERROR(VLOOKUP($F40,Arrangörslista!E$53:$AG$90,16,FALSE),"DNS")))),IF(ISBLANK(Deltagarlista!$C31),"",IF(ISBLANK(Arrangörslista!E$53),"",IFERROR(VLOOKUP($F40,Arrangörslista!E$53:$AG$90,16,FALSE),"DNS")))))</f>
        <v/>
      </c>
      <c r="AB40" s="5" t="str">
        <f>IF(Deltagarlista!$K$3=4,IF(ISBLANK(Deltagarlista!$C31),"",IF(ISBLANK(Arrangörslista!I$98),"",IFERROR(VLOOKUP($F40,Arrangörslista!I$98:$AG$135,16,FALSE),IF(ISBLANK(Deltagarlista!$C31),"",IF(ISBLANK(Arrangörslista!I$98),"",IFERROR(VLOOKUP($F40,Arrangörslista!J$98:$AG$135,16,FALSE),"DNS")))))),IF(Deltagarlista!$K$3=2,
IF(ISBLANK(Deltagarlista!$C31),"",IF(ISBLANK(Arrangörslista!F$53),"",IF($GV40=AB$64," DNS ",IFERROR(VLOOKUP($F40,Arrangörslista!F$53:$AG$90,16,FALSE),"DNS")))),IF(ISBLANK(Deltagarlista!$C31),"",IF(ISBLANK(Arrangörslista!F$53),"",IFERROR(VLOOKUP($F40,Arrangörslista!F$53:$AG$90,16,FALSE),"DNS")))))</f>
        <v/>
      </c>
      <c r="AC40" s="5" t="str">
        <f>IF(Deltagarlista!$K$3=4,IF(ISBLANK(Deltagarlista!$C31),"",IF(ISBLANK(Arrangörslista!K$98),"",IFERROR(VLOOKUP($F40,Arrangörslista!K$98:$AG$135,16,FALSE),IF(ISBLANK(Deltagarlista!$C31),"",IF(ISBLANK(Arrangörslista!K$98),"",IFERROR(VLOOKUP($F40,Arrangörslista!L$98:$AG$135,16,FALSE),"DNS")))))),IF(Deltagarlista!$K$3=2,
IF(ISBLANK(Deltagarlista!$C31),"",IF(ISBLANK(Arrangörslista!G$53),"",IF($GV40=AC$64," DNS ",IFERROR(VLOOKUP($F40,Arrangörslista!G$53:$AG$90,16,FALSE),"DNS")))),IF(ISBLANK(Deltagarlista!$C31),"",IF(ISBLANK(Arrangörslista!G$53),"",IFERROR(VLOOKUP($F40,Arrangörslista!G$53:$AG$90,16,FALSE),"DNS")))))</f>
        <v/>
      </c>
      <c r="AD40" s="5" t="str">
        <f>IF(Deltagarlista!$K$3=4,IF(ISBLANK(Deltagarlista!$C31),"",IF(ISBLANK(Arrangörslista!M$98),"",IFERROR(VLOOKUP($F40,Arrangörslista!M$98:$AG$135,16,FALSE),IF(ISBLANK(Deltagarlista!$C31),"",IF(ISBLANK(Arrangörslista!M$98),"",IFERROR(VLOOKUP($F40,Arrangörslista!N$98:$AG$135,16,FALSE),"DNS")))))),IF(Deltagarlista!$K$3=2,
IF(ISBLANK(Deltagarlista!$C31),"",IF(ISBLANK(Arrangörslista!H$53),"",IF($GV40=AD$64," DNS ",IFERROR(VLOOKUP($F40,Arrangörslista!H$53:$AG$90,16,FALSE),"DNS")))),IF(ISBLANK(Deltagarlista!$C31),"",IF(ISBLANK(Arrangörslista!H$53),"",IFERROR(VLOOKUP($F40,Arrangörslista!H$53:$AG$90,16,FALSE),"DNS")))))</f>
        <v/>
      </c>
      <c r="AE40" s="5" t="str">
        <f>IF(Deltagarlista!$K$3=4,IF(ISBLANK(Deltagarlista!$C31),"",IF(ISBLANK(Arrangörslista!O$98),"",IFERROR(VLOOKUP($F40,Arrangörslista!O$98:$AG$135,16,FALSE),IF(ISBLANK(Deltagarlista!$C31),"",IF(ISBLANK(Arrangörslista!O$98),"",IFERROR(VLOOKUP($F40,Arrangörslista!P$98:$AG$135,16,FALSE),"DNS")))))),IF(Deltagarlista!$K$3=2,
IF(ISBLANK(Deltagarlista!$C31),"",IF(ISBLANK(Arrangörslista!I$53),"",IF($GV40=AE$64," DNS ",IFERROR(VLOOKUP($F40,Arrangörslista!I$53:$AG$90,16,FALSE),"DNS")))),IF(ISBLANK(Deltagarlista!$C31),"",IF(ISBLANK(Arrangörslista!I$53),"",IFERROR(VLOOKUP($F40,Arrangörslista!I$53:$AG$90,16,FALSE),"DNS")))))</f>
        <v/>
      </c>
      <c r="AF40" s="5" t="str">
        <f>IF(Deltagarlista!$K$3=4,IF(ISBLANK(Deltagarlista!$C31),"",IF(ISBLANK(Arrangörslista!Q$98),"",IFERROR(VLOOKUP($F40,Arrangörslista!Q$98:$AG$135,16,FALSE),IF(ISBLANK(Deltagarlista!$C31),"",IF(ISBLANK(Arrangörslista!Q$98),"",IFERROR(VLOOKUP($F40,Arrangörslista!C$143:$AG$180,16,FALSE),"DNS")))))),IF(Deltagarlista!$K$3=2,
IF(ISBLANK(Deltagarlista!$C31),"",IF(ISBLANK(Arrangörslista!J$53),"",IF($GV40=AF$64," DNS ",IFERROR(VLOOKUP($F40,Arrangörslista!J$53:$AG$90,16,FALSE),"DNS")))),IF(ISBLANK(Deltagarlista!$C31),"",IF(ISBLANK(Arrangörslista!J$53),"",IFERROR(VLOOKUP($F40,Arrangörslista!J$53:$AG$90,16,FALSE),"DNS")))))</f>
        <v/>
      </c>
      <c r="AG40" s="5" t="str">
        <f>IF(Deltagarlista!$K$3=4,IF(ISBLANK(Deltagarlista!$C31),"",IF(ISBLANK(Arrangörslista!D$143),"",IFERROR(VLOOKUP($F40,Arrangörslista!D$143:$AG$180,16,FALSE),IF(ISBLANK(Deltagarlista!$C31),"",IF(ISBLANK(Arrangörslista!D$143),"",IFERROR(VLOOKUP($F40,Arrangörslista!E$143:$AG$180,16,FALSE),"DNS")))))),IF(Deltagarlista!$K$3=2,
IF(ISBLANK(Deltagarlista!$C31),"",IF(ISBLANK(Arrangörslista!K$53),"",IF($GV40=AG$64," DNS ",IFERROR(VLOOKUP($F40,Arrangörslista!K$53:$AG$90,16,FALSE),"DNS")))),IF(ISBLANK(Deltagarlista!$C31),"",IF(ISBLANK(Arrangörslista!K$53),"",IFERROR(VLOOKUP($F40,Arrangörslista!K$53:$AG$90,16,FALSE),"DNS")))))</f>
        <v/>
      </c>
      <c r="AH40" s="5" t="str">
        <f>IF(Deltagarlista!$K$3=4,IF(ISBLANK(Deltagarlista!$C31),"",IF(ISBLANK(Arrangörslista!F$143),"",IFERROR(VLOOKUP($F40,Arrangörslista!F$143:$AG$180,16,FALSE),IF(ISBLANK(Deltagarlista!$C31),"",IF(ISBLANK(Arrangörslista!F$143),"",IFERROR(VLOOKUP($F40,Arrangörslista!G$143:$AG$180,16,FALSE),"DNS")))))),IF(Deltagarlista!$K$3=2,
IF(ISBLANK(Deltagarlista!$C31),"",IF(ISBLANK(Arrangörslista!L$53),"",IF($GV40=AH$64," DNS ",IFERROR(VLOOKUP($F40,Arrangörslista!L$53:$AG$90,16,FALSE),"DNS")))),IF(ISBLANK(Deltagarlista!$C31),"",IF(ISBLANK(Arrangörslista!L$53),"",IFERROR(VLOOKUP($F40,Arrangörslista!L$53:$AG$90,16,FALSE),"DNS")))))</f>
        <v/>
      </c>
      <c r="AI40" s="5" t="str">
        <f>IF(Deltagarlista!$K$3=4,IF(ISBLANK(Deltagarlista!$C31),"",IF(ISBLANK(Arrangörslista!H$143),"",IFERROR(VLOOKUP($F40,Arrangörslista!H$143:$AG$180,16,FALSE),IF(ISBLANK(Deltagarlista!$C31),"",IF(ISBLANK(Arrangörslista!H$143),"",IFERROR(VLOOKUP($F40,Arrangörslista!I$143:$AG$180,16,FALSE),"DNS")))))),IF(Deltagarlista!$K$3=2,
IF(ISBLANK(Deltagarlista!$C31),"",IF(ISBLANK(Arrangörslista!M$53),"",IF($GV40=AI$64," DNS ",IFERROR(VLOOKUP($F40,Arrangörslista!M$53:$AG$90,16,FALSE),"DNS")))),IF(ISBLANK(Deltagarlista!$C31),"",IF(ISBLANK(Arrangörslista!M$53),"",IFERROR(VLOOKUP($F40,Arrangörslista!M$53:$AG$90,16,FALSE),"DNS")))))</f>
        <v/>
      </c>
      <c r="AJ40" s="5" t="str">
        <f>IF(Deltagarlista!$K$3=4,IF(ISBLANK(Deltagarlista!$C31),"",IF(ISBLANK(Arrangörslista!J$143),"",IFERROR(VLOOKUP($F40,Arrangörslista!J$143:$AG$180,16,FALSE),IF(ISBLANK(Deltagarlista!$C31),"",IF(ISBLANK(Arrangörslista!J$143),"",IFERROR(VLOOKUP($F40,Arrangörslista!K$143:$AG$180,16,FALSE),"DNS")))))),IF(Deltagarlista!$K$3=2,
IF(ISBLANK(Deltagarlista!$C31),"",IF(ISBLANK(Arrangörslista!N$53),"",IF($GV40=AJ$64," DNS ",IFERROR(VLOOKUP($F40,Arrangörslista!N$53:$AG$90,16,FALSE),"DNS")))),IF(ISBLANK(Deltagarlista!$C31),"",IF(ISBLANK(Arrangörslista!N$53),"",IFERROR(VLOOKUP($F40,Arrangörslista!N$53:$AG$90,16,FALSE),"DNS")))))</f>
        <v/>
      </c>
      <c r="AK40" s="5" t="str">
        <f>IF(Deltagarlista!$K$3=4,IF(ISBLANK(Deltagarlista!$C31),"",IF(ISBLANK(Arrangörslista!L$143),"",IFERROR(VLOOKUP($F40,Arrangörslista!L$143:$AG$180,16,FALSE),IF(ISBLANK(Deltagarlista!$C31),"",IF(ISBLANK(Arrangörslista!L$143),"",IFERROR(VLOOKUP($F40,Arrangörslista!M$143:$AG$180,16,FALSE),"DNS")))))),IF(Deltagarlista!$K$3=2,
IF(ISBLANK(Deltagarlista!$C31),"",IF(ISBLANK(Arrangörslista!O$53),"",IF($GV40=AK$64," DNS ",IFERROR(VLOOKUP($F40,Arrangörslista!O$53:$AG$90,16,FALSE),"DNS")))),IF(ISBLANK(Deltagarlista!$C31),"",IF(ISBLANK(Arrangörslista!O$53),"",IFERROR(VLOOKUP($F40,Arrangörslista!O$53:$AG$90,16,FALSE),"DNS")))))</f>
        <v/>
      </c>
      <c r="AL40" s="5" t="str">
        <f>IF(Deltagarlista!$K$3=4,IF(ISBLANK(Deltagarlista!$C31),"",IF(ISBLANK(Arrangörslista!N$143),"",IFERROR(VLOOKUP($F40,Arrangörslista!N$143:$AG$180,16,FALSE),IF(ISBLANK(Deltagarlista!$C31),"",IF(ISBLANK(Arrangörslista!N$143),"",IFERROR(VLOOKUP($F40,Arrangörslista!O$143:$AG$180,16,FALSE),"DNS")))))),IF(Deltagarlista!$K$3=2,
IF(ISBLANK(Deltagarlista!$C31),"",IF(ISBLANK(Arrangörslista!P$53),"",IF($GV40=AL$64," DNS ",IFERROR(VLOOKUP($F40,Arrangörslista!P$53:$AG$90,16,FALSE),"DNS")))),IF(ISBLANK(Deltagarlista!$C31),"",IF(ISBLANK(Arrangörslista!P$53),"",IFERROR(VLOOKUP($F40,Arrangörslista!P$53:$AG$90,16,FALSE),"DNS")))))</f>
        <v/>
      </c>
      <c r="AM40" s="5" t="str">
        <f>IF(Deltagarlista!$K$3=4,IF(ISBLANK(Deltagarlista!$C31),"",IF(ISBLANK(Arrangörslista!P$143),"",IFERROR(VLOOKUP($F40,Arrangörslista!P$143:$AG$180,16,FALSE),IF(ISBLANK(Deltagarlista!$C31),"",IF(ISBLANK(Arrangörslista!P$143),"",IFERROR(VLOOKUP($F40,Arrangörslista!Q$143:$AG$180,16,FALSE),"DNS")))))),IF(Deltagarlista!$K$3=2,
IF(ISBLANK(Deltagarlista!$C31),"",IF(ISBLANK(Arrangörslista!Q$53),"",IF($GV40=AM$64," DNS ",IFERROR(VLOOKUP($F40,Arrangörslista!Q$53:$AG$90,16,FALSE),"DNS")))),IF(ISBLANK(Deltagarlista!$C31),"",IF(ISBLANK(Arrangörslista!Q$53),"",IFERROR(VLOOKUP($F40,Arrangörslista!Q$53:$AG$90,16,FALSE),"DNS")))))</f>
        <v/>
      </c>
      <c r="AN40" s="5" t="str">
        <f>IF(Deltagarlista!$K$3=2,
IF(ISBLANK(Deltagarlista!$C31),"",IF(ISBLANK(Arrangörslista!C$98),"",IF($GV40=AN$64," DNS ",IFERROR(VLOOKUP($F40,Arrangörslista!C$98:$AG$135,16,FALSE), "DNS")))), IF(Deltagarlista!$K$3=1,IF(ISBLANK(Deltagarlista!$C31),"",IF(ISBLANK(Arrangörslista!C$98),"",IFERROR(VLOOKUP($F40,Arrangörslista!C$98:$AG$135,16,FALSE), "DNS"))),""))</f>
        <v/>
      </c>
      <c r="AO40" s="5" t="str">
        <f>IF(Deltagarlista!$K$3=2,
IF(ISBLANK(Deltagarlista!$C31),"",IF(ISBLANK(Arrangörslista!D$98),"",IF($GV40=AO$64," DNS ",IFERROR(VLOOKUP($F40,Arrangörslista!D$98:$AG$135,16,FALSE), "DNS")))), IF(Deltagarlista!$K$3=1,IF(ISBLANK(Deltagarlista!$C31),"",IF(ISBLANK(Arrangörslista!D$98),"",IFERROR(VLOOKUP($F40,Arrangörslista!D$98:$AG$135,16,FALSE), "DNS"))),""))</f>
        <v/>
      </c>
      <c r="AP40" s="5" t="str">
        <f>IF(Deltagarlista!$K$3=2,
IF(ISBLANK(Deltagarlista!$C31),"",IF(ISBLANK(Arrangörslista!E$98),"",IF($GV40=AP$64," DNS ",IFERROR(VLOOKUP($F40,Arrangörslista!E$98:$AG$135,16,FALSE), "DNS")))), IF(Deltagarlista!$K$3=1,IF(ISBLANK(Deltagarlista!$C31),"",IF(ISBLANK(Arrangörslista!E$98),"",IFERROR(VLOOKUP($F40,Arrangörslista!E$98:$AG$135,16,FALSE), "DNS"))),""))</f>
        <v/>
      </c>
      <c r="AQ40" s="5" t="str">
        <f>IF(Deltagarlista!$K$3=2,
IF(ISBLANK(Deltagarlista!$C31),"",IF(ISBLANK(Arrangörslista!F$98),"",IF($GV40=AQ$64," DNS ",IFERROR(VLOOKUP($F40,Arrangörslista!F$98:$AG$135,16,FALSE), "DNS")))), IF(Deltagarlista!$K$3=1,IF(ISBLANK(Deltagarlista!$C31),"",IF(ISBLANK(Arrangörslista!F$98),"",IFERROR(VLOOKUP($F40,Arrangörslista!F$98:$AG$135,16,FALSE), "DNS"))),""))</f>
        <v/>
      </c>
      <c r="AR40" s="5" t="str">
        <f>IF(Deltagarlista!$K$3=2,
IF(ISBLANK(Deltagarlista!$C31),"",IF(ISBLANK(Arrangörslista!G$98),"",IF($GV40=AR$64," DNS ",IFERROR(VLOOKUP($F40,Arrangörslista!G$98:$AG$135,16,FALSE), "DNS")))), IF(Deltagarlista!$K$3=1,IF(ISBLANK(Deltagarlista!$C31),"",IF(ISBLANK(Arrangörslista!G$98),"",IFERROR(VLOOKUP($F40,Arrangörslista!G$98:$AG$135,16,FALSE), "DNS"))),""))</f>
        <v/>
      </c>
      <c r="AS40" s="5" t="str">
        <f>IF(Deltagarlista!$K$3=2,
IF(ISBLANK(Deltagarlista!$C31),"",IF(ISBLANK(Arrangörslista!H$98),"",IF($GV40=AS$64," DNS ",IFERROR(VLOOKUP($F40,Arrangörslista!H$98:$AG$135,16,FALSE), "DNS")))), IF(Deltagarlista!$K$3=1,IF(ISBLANK(Deltagarlista!$C31),"",IF(ISBLANK(Arrangörslista!H$98),"",IFERROR(VLOOKUP($F40,Arrangörslista!H$98:$AG$135,16,FALSE), "DNS"))),""))</f>
        <v/>
      </c>
      <c r="AT40" s="5" t="str">
        <f>IF(Deltagarlista!$K$3=2,
IF(ISBLANK(Deltagarlista!$C31),"",IF(ISBLANK(Arrangörslista!I$98),"",IF($GV40=AT$64," DNS ",IFERROR(VLOOKUP($F40,Arrangörslista!I$98:$AG$135,16,FALSE), "DNS")))), IF(Deltagarlista!$K$3=1,IF(ISBLANK(Deltagarlista!$C31),"",IF(ISBLANK(Arrangörslista!I$98),"",IFERROR(VLOOKUP($F40,Arrangörslista!I$98:$AG$135,16,FALSE), "DNS"))),""))</f>
        <v/>
      </c>
      <c r="AU40" s="5" t="str">
        <f>IF(Deltagarlista!$K$3=2,
IF(ISBLANK(Deltagarlista!$C31),"",IF(ISBLANK(Arrangörslista!J$98),"",IF($GV40=AU$64," DNS ",IFERROR(VLOOKUP($F40,Arrangörslista!J$98:$AG$135,16,FALSE), "DNS")))), IF(Deltagarlista!$K$3=1,IF(ISBLANK(Deltagarlista!$C31),"",IF(ISBLANK(Arrangörslista!J$98),"",IFERROR(VLOOKUP($F40,Arrangörslista!J$98:$AG$135,16,FALSE), "DNS"))),""))</f>
        <v/>
      </c>
      <c r="AV40" s="5" t="str">
        <f>IF(Deltagarlista!$K$3=2,
IF(ISBLANK(Deltagarlista!$C31),"",IF(ISBLANK(Arrangörslista!K$98),"",IF($GV40=AV$64," DNS ",IFERROR(VLOOKUP($F40,Arrangörslista!K$98:$AG$135,16,FALSE), "DNS")))), IF(Deltagarlista!$K$3=1,IF(ISBLANK(Deltagarlista!$C31),"",IF(ISBLANK(Arrangörslista!K$98),"",IFERROR(VLOOKUP($F40,Arrangörslista!K$98:$AG$135,16,FALSE), "DNS"))),""))</f>
        <v/>
      </c>
      <c r="AW40" s="5" t="str">
        <f>IF(Deltagarlista!$K$3=2,
IF(ISBLANK(Deltagarlista!$C31),"",IF(ISBLANK(Arrangörslista!L$98),"",IF($GV40=AW$64," DNS ",IFERROR(VLOOKUP($F40,Arrangörslista!L$98:$AG$135,16,FALSE), "DNS")))), IF(Deltagarlista!$K$3=1,IF(ISBLANK(Deltagarlista!$C31),"",IF(ISBLANK(Arrangörslista!L$98),"",IFERROR(VLOOKUP($F40,Arrangörslista!L$98:$AG$135,16,FALSE), "DNS"))),""))</f>
        <v/>
      </c>
      <c r="AX40" s="5" t="str">
        <f>IF(Deltagarlista!$K$3=2,
IF(ISBLANK(Deltagarlista!$C31),"",IF(ISBLANK(Arrangörslista!M$98),"",IF($GV40=AX$64," DNS ",IFERROR(VLOOKUP($F40,Arrangörslista!M$98:$AG$135,16,FALSE), "DNS")))), IF(Deltagarlista!$K$3=1,IF(ISBLANK(Deltagarlista!$C31),"",IF(ISBLANK(Arrangörslista!M$98),"",IFERROR(VLOOKUP($F40,Arrangörslista!M$98:$AG$135,16,FALSE), "DNS"))),""))</f>
        <v/>
      </c>
      <c r="AY40" s="5" t="str">
        <f>IF(Deltagarlista!$K$3=2,
IF(ISBLANK(Deltagarlista!$C31),"",IF(ISBLANK(Arrangörslista!N$98),"",IF($GV40=AY$64," DNS ",IFERROR(VLOOKUP($F40,Arrangörslista!N$98:$AG$135,16,FALSE), "DNS")))), IF(Deltagarlista!$K$3=1,IF(ISBLANK(Deltagarlista!$C31),"",IF(ISBLANK(Arrangörslista!N$98),"",IFERROR(VLOOKUP($F40,Arrangörslista!N$98:$AG$135,16,FALSE), "DNS"))),""))</f>
        <v/>
      </c>
      <c r="AZ40" s="5" t="str">
        <f>IF(Deltagarlista!$K$3=2,
IF(ISBLANK(Deltagarlista!$C31),"",IF(ISBLANK(Arrangörslista!O$98),"",IF($GV40=AZ$64," DNS ",IFERROR(VLOOKUP($F40,Arrangörslista!O$98:$AG$135,16,FALSE), "DNS")))), IF(Deltagarlista!$K$3=1,IF(ISBLANK(Deltagarlista!$C31),"",IF(ISBLANK(Arrangörslista!O$98),"",IFERROR(VLOOKUP($F40,Arrangörslista!O$98:$AG$135,16,FALSE), "DNS"))),""))</f>
        <v/>
      </c>
      <c r="BA40" s="5" t="str">
        <f>IF(Deltagarlista!$K$3=2,
IF(ISBLANK(Deltagarlista!$C31),"",IF(ISBLANK(Arrangörslista!P$98),"",IF($GV40=BA$64," DNS ",IFERROR(VLOOKUP($F40,Arrangörslista!P$98:$AG$135,16,FALSE), "DNS")))), IF(Deltagarlista!$K$3=1,IF(ISBLANK(Deltagarlista!$C31),"",IF(ISBLANK(Arrangörslista!P$98),"",IFERROR(VLOOKUP($F40,Arrangörslista!P$98:$AG$135,16,FALSE), "DNS"))),""))</f>
        <v/>
      </c>
      <c r="BB40" s="5" t="str">
        <f>IF(Deltagarlista!$K$3=2,
IF(ISBLANK(Deltagarlista!$C31),"",IF(ISBLANK(Arrangörslista!Q$98),"",IF($GV40=BB$64," DNS ",IFERROR(VLOOKUP($F40,Arrangörslista!Q$98:$AG$135,16,FALSE), "DNS")))), IF(Deltagarlista!$K$3=1,IF(ISBLANK(Deltagarlista!$C31),"",IF(ISBLANK(Arrangörslista!Q$98),"",IFERROR(VLOOKUP($F40,Arrangörslista!Q$98:$AG$135,16,FALSE), "DNS"))),""))</f>
        <v/>
      </c>
      <c r="BC40" s="5" t="str">
        <f>IF(Deltagarlista!$K$3=2,
IF(ISBLANK(Deltagarlista!$C31),"",IF(ISBLANK(Arrangörslista!C$143),"",IF($GV40=BC$64," DNS ",IFERROR(VLOOKUP($F40,Arrangörslista!C$143:$AG$180,16,FALSE), "DNS")))), IF(Deltagarlista!$K$3=1,IF(ISBLANK(Deltagarlista!$C31),"",IF(ISBLANK(Arrangörslista!C$143),"",IFERROR(VLOOKUP($F40,Arrangörslista!C$143:$AG$180,16,FALSE), "DNS"))),""))</f>
        <v/>
      </c>
      <c r="BD40" s="5" t="str">
        <f>IF(Deltagarlista!$K$3=2,
IF(ISBLANK(Deltagarlista!$C31),"",IF(ISBLANK(Arrangörslista!D$143),"",IF($GV40=BD$64," DNS ",IFERROR(VLOOKUP($F40,Arrangörslista!D$143:$AG$180,16,FALSE), "DNS")))), IF(Deltagarlista!$K$3=1,IF(ISBLANK(Deltagarlista!$C31),"",IF(ISBLANK(Arrangörslista!D$143),"",IFERROR(VLOOKUP($F40,Arrangörslista!D$143:$AG$180,16,FALSE), "DNS"))),""))</f>
        <v/>
      </c>
      <c r="BE40" s="5" t="str">
        <f>IF(Deltagarlista!$K$3=2,
IF(ISBLANK(Deltagarlista!$C31),"",IF(ISBLANK(Arrangörslista!E$143),"",IF($GV40=BE$64," DNS ",IFERROR(VLOOKUP($F40,Arrangörslista!E$143:$AG$180,16,FALSE), "DNS")))), IF(Deltagarlista!$K$3=1,IF(ISBLANK(Deltagarlista!$C31),"",IF(ISBLANK(Arrangörslista!E$143),"",IFERROR(VLOOKUP($F40,Arrangörslista!E$143:$AG$180,16,FALSE), "DNS"))),""))</f>
        <v/>
      </c>
      <c r="BF40" s="5" t="str">
        <f>IF(Deltagarlista!$K$3=2,
IF(ISBLANK(Deltagarlista!$C31),"",IF(ISBLANK(Arrangörslista!F$143),"",IF($GV40=BF$64," DNS ",IFERROR(VLOOKUP($F40,Arrangörslista!F$143:$AG$180,16,FALSE), "DNS")))), IF(Deltagarlista!$K$3=1,IF(ISBLANK(Deltagarlista!$C31),"",IF(ISBLANK(Arrangörslista!F$143),"",IFERROR(VLOOKUP($F40,Arrangörslista!F$143:$AG$180,16,FALSE), "DNS"))),""))</f>
        <v/>
      </c>
      <c r="BG40" s="5" t="str">
        <f>IF(Deltagarlista!$K$3=2,
IF(ISBLANK(Deltagarlista!$C31),"",IF(ISBLANK(Arrangörslista!G$143),"",IF($GV40=BG$64," DNS ",IFERROR(VLOOKUP($F40,Arrangörslista!G$143:$AG$180,16,FALSE), "DNS")))), IF(Deltagarlista!$K$3=1,IF(ISBLANK(Deltagarlista!$C31),"",IF(ISBLANK(Arrangörslista!G$143),"",IFERROR(VLOOKUP($F40,Arrangörslista!G$143:$AG$180,16,FALSE), "DNS"))),""))</f>
        <v/>
      </c>
      <c r="BH40" s="5" t="str">
        <f>IF(Deltagarlista!$K$3=2,
IF(ISBLANK(Deltagarlista!$C31),"",IF(ISBLANK(Arrangörslista!H$143),"",IF($GV40=BH$64," DNS ",IFERROR(VLOOKUP($F40,Arrangörslista!H$143:$AG$180,16,FALSE), "DNS")))), IF(Deltagarlista!$K$3=1,IF(ISBLANK(Deltagarlista!$C31),"",IF(ISBLANK(Arrangörslista!H$143),"",IFERROR(VLOOKUP($F40,Arrangörslista!H$143:$AG$180,16,FALSE), "DNS"))),""))</f>
        <v/>
      </c>
      <c r="BI40" s="5" t="str">
        <f>IF(Deltagarlista!$K$3=2,
IF(ISBLANK(Deltagarlista!$C31),"",IF(ISBLANK(Arrangörslista!I$143),"",IF($GV40=BI$64," DNS ",IFERROR(VLOOKUP($F40,Arrangörslista!I$143:$AG$180,16,FALSE), "DNS")))), IF(Deltagarlista!$K$3=1,IF(ISBLANK(Deltagarlista!$C31),"",IF(ISBLANK(Arrangörslista!I$143),"",IFERROR(VLOOKUP($F40,Arrangörslista!I$143:$AG$180,16,FALSE), "DNS"))),""))</f>
        <v/>
      </c>
      <c r="BJ40" s="5" t="str">
        <f>IF(Deltagarlista!$K$3=2,
IF(ISBLANK(Deltagarlista!$C31),"",IF(ISBLANK(Arrangörslista!J$143),"",IF($GV40=BJ$64," DNS ",IFERROR(VLOOKUP($F40,Arrangörslista!J$143:$AG$180,16,FALSE), "DNS")))), IF(Deltagarlista!$K$3=1,IF(ISBLANK(Deltagarlista!$C31),"",IF(ISBLANK(Arrangörslista!J$143),"",IFERROR(VLOOKUP($F40,Arrangörslista!J$143:$AG$180,16,FALSE), "DNS"))),""))</f>
        <v/>
      </c>
      <c r="BK40" s="5" t="str">
        <f>IF(Deltagarlista!$K$3=2,
IF(ISBLANK(Deltagarlista!$C31),"",IF(ISBLANK(Arrangörslista!K$143),"",IF($GV40=BK$64," DNS ",IFERROR(VLOOKUP($F40,Arrangörslista!K$143:$AG$180,16,FALSE), "DNS")))), IF(Deltagarlista!$K$3=1,IF(ISBLANK(Deltagarlista!$C31),"",IF(ISBLANK(Arrangörslista!K$143),"",IFERROR(VLOOKUP($F40,Arrangörslista!K$143:$AG$180,16,FALSE), "DNS"))),""))</f>
        <v/>
      </c>
      <c r="BL40" s="5" t="str">
        <f>IF(Deltagarlista!$K$3=2,
IF(ISBLANK(Deltagarlista!$C31),"",IF(ISBLANK(Arrangörslista!L$143),"",IF($GV40=BL$64," DNS ",IFERROR(VLOOKUP($F40,Arrangörslista!L$143:$AG$180,16,FALSE), "DNS")))), IF(Deltagarlista!$K$3=1,IF(ISBLANK(Deltagarlista!$C31),"",IF(ISBLANK(Arrangörslista!L$143),"",IFERROR(VLOOKUP($F40,Arrangörslista!L$143:$AG$180,16,FALSE), "DNS"))),""))</f>
        <v/>
      </c>
      <c r="BM40" s="5" t="str">
        <f>IF(Deltagarlista!$K$3=2,
IF(ISBLANK(Deltagarlista!$C31),"",IF(ISBLANK(Arrangörslista!M$143),"",IF($GV40=BM$64," DNS ",IFERROR(VLOOKUP($F40,Arrangörslista!M$143:$AG$180,16,FALSE), "DNS")))), IF(Deltagarlista!$K$3=1,IF(ISBLANK(Deltagarlista!$C31),"",IF(ISBLANK(Arrangörslista!M$143),"",IFERROR(VLOOKUP($F40,Arrangörslista!M$143:$AG$180,16,FALSE), "DNS"))),""))</f>
        <v/>
      </c>
      <c r="BN40" s="5" t="str">
        <f>IF(Deltagarlista!$K$3=2,
IF(ISBLANK(Deltagarlista!$C31),"",IF(ISBLANK(Arrangörslista!N$143),"",IF($GV40=BN$64," DNS ",IFERROR(VLOOKUP($F40,Arrangörslista!N$143:$AG$180,16,FALSE), "DNS")))), IF(Deltagarlista!$K$3=1,IF(ISBLANK(Deltagarlista!$C31),"",IF(ISBLANK(Arrangörslista!N$143),"",IFERROR(VLOOKUP($F40,Arrangörslista!N$143:$AG$180,16,FALSE), "DNS"))),""))</f>
        <v/>
      </c>
      <c r="BO40" s="5" t="str">
        <f>IF(Deltagarlista!$K$3=2,
IF(ISBLANK(Deltagarlista!$C31),"",IF(ISBLANK(Arrangörslista!O$143),"",IF($GV40=BO$64," DNS ",IFERROR(VLOOKUP($F40,Arrangörslista!O$143:$AG$180,16,FALSE), "DNS")))), IF(Deltagarlista!$K$3=1,IF(ISBLANK(Deltagarlista!$C31),"",IF(ISBLANK(Arrangörslista!O$143),"",IFERROR(VLOOKUP($F40,Arrangörslista!O$143:$AG$180,16,FALSE), "DNS"))),""))</f>
        <v/>
      </c>
      <c r="BP40" s="5" t="str">
        <f>IF(Deltagarlista!$K$3=2,
IF(ISBLANK(Deltagarlista!$C31),"",IF(ISBLANK(Arrangörslista!P$143),"",IF($GV40=BP$64," DNS ",IFERROR(VLOOKUP($F40,Arrangörslista!P$143:$AG$180,16,FALSE), "DNS")))), IF(Deltagarlista!$K$3=1,IF(ISBLANK(Deltagarlista!$C31),"",IF(ISBLANK(Arrangörslista!P$143),"",IFERROR(VLOOKUP($F40,Arrangörslista!P$143:$AG$180,16,FALSE), "DNS"))),""))</f>
        <v/>
      </c>
      <c r="BQ40" s="80" t="str">
        <f>IF(Deltagarlista!$K$3=2,
IF(ISBLANK(Deltagarlista!$C31),"",IF(ISBLANK(Arrangörslista!Q$143),"",IF($GV40=BQ$64," DNS ",IFERROR(VLOOKUP($F40,Arrangörslista!Q$143:$AG$180,16,FALSE), "DNS")))), IF(Deltagarlista!$K$3=1,IF(ISBLANK(Deltagarlista!$C31),"",IF(ISBLANK(Arrangörslista!Q$143),"",IFERROR(VLOOKUP($F40,Arrangörslista!Q$143:$AG$180,16,FALSE), "DNS"))),""))</f>
        <v/>
      </c>
      <c r="BR40" s="51"/>
      <c r="BS40" s="51"/>
      <c r="BT40" s="51"/>
      <c r="BU40" s="71">
        <f>SUM(BV40:EC40)</f>
        <v>0</v>
      </c>
      <c r="BV40" s="61">
        <f>IF(J40="",0,IF(OR(J40="DNF",J40="OCS",J40="DSQ",J40="DNS",J40=" DNS "),$BW$3+1,J40))</f>
        <v>0</v>
      </c>
      <c r="BW40" s="61">
        <f>IF(K40="",0,IF(OR(K40="DNF",K40="OCS",K40="DSQ",K40="DNS",K40=" DNS "),$BW$3+1,K40))</f>
        <v>0</v>
      </c>
      <c r="BX40" s="61">
        <f>IF(L40="",0,IF(OR(L40="DNF",L40="OCS",L40="DSQ",L40="DNS",L40=" DNS "),$BW$3+1,L40))</f>
        <v>0</v>
      </c>
      <c r="BY40" s="61">
        <f>IF(M40="",0,IF(OR(M40="DNF",M40="OCS",M40="DSQ",M40="DNS",M40=" DNS "),$BW$3+1,M40))</f>
        <v>0</v>
      </c>
      <c r="BZ40" s="61">
        <f>IF(N40="",0,IF(OR(N40="DNF",N40="OCS",N40="DSQ",N40="DNS",N40=" DNS "),$BW$3+1,N40))</f>
        <v>0</v>
      </c>
      <c r="CA40" s="61">
        <f>IF(O40="",0,IF(OR(O40="DNF",O40="OCS",O40="DSQ",O40="DNS",O40=" DNS "),$BW$3+1,O40))</f>
        <v>0</v>
      </c>
      <c r="CB40" s="61">
        <f>IF(P40="",0,IF(OR(P40="DNF",P40="OCS",P40="DSQ",P40="DNS",P40=" DNS "),$BW$3+1,P40))</f>
        <v>0</v>
      </c>
      <c r="CC40" s="61">
        <f>IF(Q40="",0,IF(OR(Q40="DNF",Q40="OCS",Q40="DSQ",Q40="DNS",Q40=" DNS "),$BW$3+1,Q40))</f>
        <v>0</v>
      </c>
      <c r="CD40" s="61">
        <f>IF(R40="",0,IF(OR(R40="DNF",R40="OCS",R40="DSQ",R40="DNS",R40=" DNS "),$BW$3+1,R40))</f>
        <v>0</v>
      </c>
      <c r="CE40" s="61">
        <f>IF(S40="",0,IF(OR(S40="DNF",S40="OCS",S40="DSQ",S40="DNS",S40=" DNS "),$BW$3+1,S40))</f>
        <v>0</v>
      </c>
      <c r="CF40" s="61">
        <f>IF(T40="",0,IF(OR(T40="DNF",T40="OCS",T40="DSQ",T40="DNS",T40=" DNS "),$BW$3+1,T40))</f>
        <v>0</v>
      </c>
      <c r="CG40" s="61">
        <f>IF(U40="",0,IF(OR(U40="DNF",U40="OCS",U40="DSQ",U40="DNS",U40=" DNS "),$BW$3+1,U40))</f>
        <v>0</v>
      </c>
      <c r="CH40" s="61">
        <f>IF(V40="",0,IF(OR(V40="DNF",V40="OCS",V40="DSQ",V40="DNS",V40=" DNS "),$BW$3+1,V40))</f>
        <v>0</v>
      </c>
      <c r="CI40" s="61">
        <f>IF(W40="",0,IF(OR(W40="DNF",W40="OCS",W40="DSQ",W40="DNS",W40=" DNS "),$BW$3+1,W40))</f>
        <v>0</v>
      </c>
      <c r="CJ40" s="61">
        <f>IF(X40="",0,IF(OR(X40="DNF",X40="OCS",X40="DSQ",X40="DNS",X40=" DNS "),$BW$3+1,X40))</f>
        <v>0</v>
      </c>
      <c r="CK40" s="61">
        <f>IF(Y40="",0,IF(OR(Y40="DNF",Y40="OCS",Y40="DSQ",Y40="DNS",Y40=" DNS "),$BW$3+1,Y40))</f>
        <v>0</v>
      </c>
      <c r="CL40" s="61">
        <f>IF(Z40="",0,IF(OR(Z40="DNF",Z40="OCS",Z40="DSQ",Z40="DNS",Z40=" DNS "),$BW$3+1,Z40))</f>
        <v>0</v>
      </c>
      <c r="CM40" s="61">
        <f>IF(AA40="",0,IF(OR(AA40="DNF",AA40="OCS",AA40="DSQ",AA40="DNS",AA40=" DNS "),$BW$3+1,AA40))</f>
        <v>0</v>
      </c>
      <c r="CN40" s="61">
        <f>IF(AB40="",0,IF(OR(AB40="DNF",AB40="OCS",AB40="DSQ",AB40="DNS",AB40=" DNS "),$BW$3+1,AB40))</f>
        <v>0</v>
      </c>
      <c r="CO40" s="61">
        <f>IF(AC40="",0,IF(OR(AC40="DNF",AC40="OCS",AC40="DSQ",AC40="DNS",AC40=" DNS "),$BW$3+1,AC40))</f>
        <v>0</v>
      </c>
      <c r="CP40" s="61">
        <f>IF(AD40="",0,IF(OR(AD40="DNF",AD40="OCS",AD40="DSQ",AD40="DNS",AD40=" DNS "),$BW$3+1,AD40))</f>
        <v>0</v>
      </c>
      <c r="CQ40" s="61">
        <f>IF(AE40="",0,IF(OR(AE40="DNF",AE40="OCS",AE40="DSQ",AE40="DNS",AE40=" DNS "),$BW$3+1,AE40))</f>
        <v>0</v>
      </c>
      <c r="CR40" s="61">
        <f>IF(AF40="",0,IF(OR(AF40="DNF",AF40="OCS",AF40="DSQ",AF40="DNS",AF40=" DNS "),$BW$3+1,AF40))</f>
        <v>0</v>
      </c>
      <c r="CS40" s="61">
        <f>IF(AG40="",0,IF(OR(AG40="DNF",AG40="OCS",AG40="DSQ",AG40="DNS",AG40=" DNS "),$BW$3+1,AG40))</f>
        <v>0</v>
      </c>
      <c r="CT40" s="61">
        <f>IF(AH40="",0,IF(OR(AH40="DNF",AH40="OCS",AH40="DSQ",AH40="DNS",AH40=" DNS "),$BW$3+1,AH40))</f>
        <v>0</v>
      </c>
      <c r="CU40" s="61">
        <f>IF(AI40="",0,IF(OR(AI40="DNF",AI40="OCS",AI40="DSQ",AI40="DNS",AI40=" DNS "),$BW$3+1,AI40))</f>
        <v>0</v>
      </c>
      <c r="CV40" s="61">
        <f>IF(AJ40="",0,IF(OR(AJ40="DNF",AJ40="OCS",AJ40="DSQ",AJ40="DNS",AJ40=" DNS "),$BW$3+1,AJ40))</f>
        <v>0</v>
      </c>
      <c r="CW40" s="61">
        <f>IF(AK40="",0,IF(OR(AK40="DNF",AK40="OCS",AK40="DSQ",AK40="DNS",AK40=" DNS "),$BW$3+1,AK40))</f>
        <v>0</v>
      </c>
      <c r="CX40" s="61">
        <f>IF(AL40="",0,IF(OR(AL40="DNF",AL40="OCS",AL40="DSQ",AL40="DNS",AL40=" DNS "),$BW$3+1,AL40))</f>
        <v>0</v>
      </c>
      <c r="CY40" s="61">
        <f>IF(AM40="",0,IF(OR(AM40="DNF",AM40="OCS",AM40="DSQ",AM40="DNS",AM40=" DNS "),$BW$3+1,AM40))</f>
        <v>0</v>
      </c>
      <c r="CZ40" s="61">
        <f>IF(AN40="",0,IF(OR(AN40="DNF",AN40="OCS",AN40="DSQ",AN40="DNS",AN40=" DNS "),$BW$3+1,AN40))</f>
        <v>0</v>
      </c>
      <c r="DA40" s="61">
        <f>IF(AO40="",0,IF(OR(AO40="DNF",AO40="OCS",AO40="DSQ",AO40="DNS",AO40=" DNS "),$BW$3+1,AO40))</f>
        <v>0</v>
      </c>
      <c r="DB40" s="61">
        <f>IF(AP40="",0,IF(OR(AP40="DNF",AP40="OCS",AP40="DSQ",AP40="DNS",AP40=" DNS "),$BW$3+1,AP40))</f>
        <v>0</v>
      </c>
      <c r="DC40" s="61">
        <f>IF(AQ40="",0,IF(OR(AQ40="DNF",AQ40="OCS",AQ40="DSQ",AQ40="DNS",AQ40=" DNS "),$BW$3+1,AQ40))</f>
        <v>0</v>
      </c>
      <c r="DD40" s="61">
        <f>IF(AR40="",0,IF(OR(AR40="DNF",AR40="OCS",AR40="DSQ",AR40="DNS",AR40=" DNS "),$BW$3+1,AR40))</f>
        <v>0</v>
      </c>
      <c r="DE40" s="61">
        <f>IF(AS40="",0,IF(OR(AS40="DNF",AS40="OCS",AS40="DSQ",AS40="DNS",AS40=" DNS "),$BW$3+1,AS40))</f>
        <v>0</v>
      </c>
      <c r="DF40" s="61">
        <f>IF(AT40="",0,IF(OR(AT40="DNF",AT40="OCS",AT40="DSQ",AT40="DNS",AT40=" DNS "),$BW$3+1,AT40))</f>
        <v>0</v>
      </c>
      <c r="DG40" s="61">
        <f>IF(AU40="",0,IF(OR(AU40="DNF",AU40="OCS",AU40="DSQ",AU40="DNS",AU40=" DNS "),$BW$3+1,AU40))</f>
        <v>0</v>
      </c>
      <c r="DH40" s="61">
        <f>IF(AV40="",0,IF(OR(AV40="DNF",AV40="OCS",AV40="DSQ",AV40="DNS",AV40=" DNS "),$BW$3+1,AV40))</f>
        <v>0</v>
      </c>
      <c r="DI40" s="61">
        <f>IF(AW40="",0,IF(OR(AW40="DNF",AW40="OCS",AW40="DSQ",AW40="DNS",AW40=" DNS "),$BW$3+1,AW40))</f>
        <v>0</v>
      </c>
      <c r="DJ40" s="61">
        <f>IF(AX40="",0,IF(OR(AX40="DNF",AX40="OCS",AX40="DSQ",AX40="DNS",AX40=" DNS "),$BW$3+1,AX40))</f>
        <v>0</v>
      </c>
      <c r="DK40" s="61">
        <f>IF(AY40="",0,IF(OR(AY40="DNF",AY40="OCS",AY40="DSQ",AY40="DNS",AY40=" DNS "),$BW$3+1,AY40))</f>
        <v>0</v>
      </c>
      <c r="DL40" s="61">
        <f>IF(AZ40="",0,IF(OR(AZ40="DNF",AZ40="OCS",AZ40="DSQ",AZ40="DNS",AZ40=" DNS "),$BW$3+1,AZ40))</f>
        <v>0</v>
      </c>
      <c r="DM40" s="61">
        <f>IF(BA40="",0,IF(OR(BA40="DNF",BA40="OCS",BA40="DSQ",BA40="DNS",BA40=" DNS "),$BW$3+1,BA40))</f>
        <v>0</v>
      </c>
      <c r="DN40" s="61">
        <f>IF(BB40="",0,IF(OR(BB40="DNF",BB40="OCS",BB40="DSQ",BB40="DNS",BB40=" DNS "),$BW$3+1,BB40))</f>
        <v>0</v>
      </c>
      <c r="DO40" s="61">
        <f>IF(BC40="",0,IF(OR(BC40="DNF",BC40="OCS",BC40="DSQ",BC40="DNS",BC40=" DNS "),$BW$3+1,BC40))</f>
        <v>0</v>
      </c>
      <c r="DP40" s="61">
        <f>IF(BD40="",0,IF(OR(BD40="DNF",BD40="OCS",BD40="DSQ",BD40="DNS",BD40=" DNS "),$BW$3+1,BD40))</f>
        <v>0</v>
      </c>
      <c r="DQ40" s="61">
        <f>IF(BE40="",0,IF(OR(BE40="DNF",BE40="OCS",BE40="DSQ",BE40="DNS",BE40=" DNS "),$BW$3+1,BE40))</f>
        <v>0</v>
      </c>
      <c r="DR40" s="61">
        <f>IF(BF40="",0,IF(OR(BF40="DNF",BF40="OCS",BF40="DSQ",BF40="DNS",BF40=" DNS "),$BW$3+1,BF40))</f>
        <v>0</v>
      </c>
      <c r="DS40" s="61">
        <f>IF(BG40="",0,IF(OR(BG40="DNF",BG40="OCS",BG40="DSQ",BG40="DNS",BG40=" DNS "),$BW$3+1,BG40))</f>
        <v>0</v>
      </c>
      <c r="DT40" s="61">
        <f>IF(BH40="",0,IF(OR(BH40="DNF",BH40="OCS",BH40="DSQ",BH40="DNS",BH40=" DNS "),$BW$3+1,BH40))</f>
        <v>0</v>
      </c>
      <c r="DU40" s="61">
        <f>IF(BI40="",0,IF(OR(BI40="DNF",BI40="OCS",BI40="DSQ",BI40="DNS",BI40=" DNS "),$BW$3+1,BI40))</f>
        <v>0</v>
      </c>
      <c r="DV40" s="61">
        <f>IF(BJ40="",0,IF(OR(BJ40="DNF",BJ40="OCS",BJ40="DSQ",BJ40="DNS",BJ40=" DNS "),$BW$3+1,BJ40))</f>
        <v>0</v>
      </c>
      <c r="DW40" s="61">
        <f>IF(BK40="",0,IF(OR(BK40="DNF",BK40="OCS",BK40="DSQ",BK40="DNS",BK40=" DNS "),$BW$3+1,BK40))</f>
        <v>0</v>
      </c>
      <c r="DX40" s="61">
        <f>IF(BL40="",0,IF(OR(BL40="DNF",BL40="OCS",BL40="DSQ",BL40="DNS",BL40=" DNS "),$BW$3+1,BL40))</f>
        <v>0</v>
      </c>
      <c r="DY40" s="61">
        <f>IF(BM40="",0,IF(OR(BM40="DNF",BM40="OCS",BM40="DSQ",BM40="DNS",BM40=" DNS "),$BW$3+1,BM40))</f>
        <v>0</v>
      </c>
      <c r="DZ40" s="61">
        <f>IF(BN40="",0,IF(OR(BN40="DNF",BN40="OCS",BN40="DSQ",BN40="DNS",BN40=" DNS "),$BW$3+1,BN40))</f>
        <v>0</v>
      </c>
      <c r="EA40" s="61">
        <f>IF(BO40="",0,IF(OR(BO40="DNF",BO40="OCS",BO40="DSQ",BO40="DNS",BO40=" DNS "),$BW$3+1,BO40))</f>
        <v>0</v>
      </c>
      <c r="EB40" s="61">
        <f>IF(BP40="",0,IF(OR(BP40="DNF",BP40="OCS",BP40="DSQ",BP40="DNS",BP40=" DNS "),$BW$3+1,BP40))</f>
        <v>0</v>
      </c>
      <c r="EC40" s="61">
        <f>IF(BQ40="",0,IF(OR(BQ40="DNF",BQ40="OCS",BQ40="DSQ",BQ40="DNS",BQ40=" DNS "),$BW$3+1,BQ40))</f>
        <v>0</v>
      </c>
      <c r="EE40" s="61">
        <f xml:space="preserve">
IF(OR(Deltagarlista!$K$3=3,Deltagarlista!$K$3=4),
IF(Arrangörslista!$U$5&lt;8,0,
IF(Arrangörslista!$U$5&lt;16,SUM(LARGE(BV40:CJ40,1)),
IF(Arrangörslista!$U$5&lt;24,SUM(LARGE(BV40:CR40,{1;2})),
IF(Arrangörslista!$U$5&lt;32,SUM(LARGE(BV40:CZ40,{1;2;3})),
IF(Arrangörslista!$U$5&lt;40,SUM(LARGE(BV40:DH40,{1;2;3;4})),
IF(Arrangörslista!$U$5&lt;48,SUM(LARGE(BV40:DP40,{1;2;3;4;5})),
IF(Arrangörslista!$U$5&lt;56,SUM(LARGE(BV40:DX40,{1;2;3;4;5;6})),
IF(Arrangörslista!$U$5&lt;64,SUM(LARGE(BV40:EC40,{1;2;3;4;5;6;7})),0)))))))),
IF(Deltagarlista!$K$3=2,
IF(Arrangörslista!$U$5&lt;4,LARGE(BV40:BX40,1),
IF(Arrangörslista!$U$5&lt;7,SUM(LARGE(BV40:CA40,{1;2;3})),
IF(Arrangörslista!$U$5&lt;10,SUM(LARGE(BV40:CD40,{1;2;3;4})),
IF(Arrangörslista!$U$5&lt;13,SUM(LARGE(BV40:CG40,{1;2;3;4;5;6})),
IF(Arrangörslista!$U$5&lt;16,SUM(LARGE(BV40:CJ40,{1;2;3;4;5;6;7})),
IF(Arrangörslista!$U$5&lt;19,SUM(LARGE(BV40:CM40,{1;2;3;4;5;6;7;8;9})),
IF(Arrangörslista!$U$5&lt;22,SUM(LARGE(BV40:CP40,{1;2;3;4;5;6;7;8;9;10})),
IF(Arrangörslista!$U$5&lt;25,SUM(LARGE(BV40:CS40,{1;2;3;4;5;6;7;8;9;10;11;12})),
IF(Arrangörslista!$U$5&lt;28,SUM(LARGE(BV40:CV40,{1;2;3;4;5;6;7;8;9;10;11;12;13})),
IF(Arrangörslista!$U$5&lt;31,SUM(LARGE(BV40:CY40,{1;2;3;4;5;6;7;8;9;10;11;12;13;14;15})),
IF(Arrangörslista!$U$5&lt;34,SUM(LARGE(BV40:DB40,{1;2;3;4;5;6;7;8;9;10;11;12;13;14;15;16})),
IF(Arrangörslista!$U$5&lt;37,SUM(LARGE(BV40:DE40,{1;2;3;4;5;6;7;8;9;10;11;12;13;14;15;16;17;18})),
IF(Arrangörslista!$U$5&lt;40,SUM(LARGE(BV40:DH40,{1;2;3;4;5;6;7;8;9;10;11;12;13;14;15;16;17;18;19})),
IF(Arrangörslista!$U$5&lt;43,SUM(LARGE(BV40:DK40,{1;2;3;4;5;6;7;8;9;10;11;12;13;14;15;16;17;18;19;20;21})),
IF(Arrangörslista!$U$5&lt;46,SUM(LARGE(BV40:DN40,{1;2;3;4;5;6;7;8;9;10;11;12;13;14;15;16;17;18;19;20;21;22})),
IF(Arrangörslista!$U$5&lt;49,SUM(LARGE(BV40:DQ40,{1;2;3;4;5;6;7;8;9;10;11;12;13;14;15;16;17;18;19;20;21;22;23;24})),
IF(Arrangörslista!$U$5&lt;52,SUM(LARGE(BV40:DT40,{1;2;3;4;5;6;7;8;9;10;11;12;13;14;15;16;17;18;19;20;21;22;23;24;25})),
IF(Arrangörslista!$U$5&lt;55,SUM(LARGE(BV40:DW40,{1;2;3;4;5;6;7;8;9;10;11;12;13;14;15;16;17;18;19;20;21;22;23;24;25;26;27})),
IF(Arrangörslista!$U$5&lt;58,SUM(LARGE(BV40:DZ40,{1;2;3;4;5;6;7;8;9;10;11;12;13;14;15;16;17;18;19;20;21;22;23;24;25;26;27;28})),
IF(Arrangörslista!$U$5&lt;61,SUM(LARGE(BV40:EC40,{1;2;3;4;5;6;7;8;9;10;11;12;13;14;15;16;17;18;19;20;21;22;23;24;25;26;27;28;29;30})),0)))))))))))))))))))),
IF(Arrangörslista!$U$5&lt;4,0,
IF(Arrangörslista!$U$5&lt;8,SUM(LARGE(BV40:CB40,1)),
IF(Arrangörslista!$U$5&lt;12,SUM(LARGE(BV40:CF40,{1;2})),
IF(Arrangörslista!$U$5&lt;16,SUM(LARGE(BV40:CJ40,{1;2;3})),
IF(Arrangörslista!$U$5&lt;20,SUM(LARGE(BV40:CN40,{1;2;3;4})),
IF(Arrangörslista!$U$5&lt;24,SUM(LARGE(BV40:CR40,{1;2;3;4;5})),
IF(Arrangörslista!$U$5&lt;28,SUM(LARGE(BV40:CV40,{1;2;3;4;5;6})),
IF(Arrangörslista!$U$5&lt;32,SUM(LARGE(BV40:CZ40,{1;2;3;4;5;6;7})),
IF(Arrangörslista!$U$5&lt;36,SUM(LARGE(BV40:DD40,{1;2;3;4;5;6;7;8})),
IF(Arrangörslista!$U$5&lt;40,SUM(LARGE(BV40:DH40,{1;2;3;4;5;6;7;8;9})),
IF(Arrangörslista!$U$5&lt;44,SUM(LARGE(BV40:DL40,{1;2;3;4;5;6;7;8;9;10})),
IF(Arrangörslista!$U$5&lt;48,SUM(LARGE(BV40:DP40,{1;2;3;4;5;6;7;8;9;10;11})),
IF(Arrangörslista!$U$5&lt;52,SUM(LARGE(BV40:DT40,{1;2;3;4;5;6;7;8;9;10;11;12})),
IF(Arrangörslista!$U$5&lt;56,SUM(LARGE(BV40:DX40,{1;2;3;4;5;6;7;8;9;10;11;12;13})),
IF(Arrangörslista!$U$5&lt;60,SUM(LARGE(BV40:EB40,{1;2;3;4;5;6;7;8;9;10;11;12;13;14})),
IF(Arrangörslista!$U$5=60,SUM(LARGE(BV40:EC40,{1;2;3;4;5;6;7;8;9;10;11;12;13;14;15})),0))))))))))))))))))</f>
        <v>0</v>
      </c>
      <c r="EG40" s="67">
        <f>IF(F40="",,1)</f>
        <v>0</v>
      </c>
      <c r="EH40" s="61"/>
      <c r="EI40" s="61"/>
      <c r="EK40" s="62">
        <f>SMALL($J103:$BQ103,1)</f>
        <v>61</v>
      </c>
      <c r="EL40" s="62">
        <f>SMALL($J103:$BQ103,2)</f>
        <v>61</v>
      </c>
      <c r="EM40" s="62">
        <f>SMALL($J103:$BQ103,3)</f>
        <v>61</v>
      </c>
      <c r="EN40" s="62">
        <f>SMALL($J103:$BQ103,4)</f>
        <v>61</v>
      </c>
      <c r="EO40" s="62">
        <f>SMALL($J103:$BQ103,5)</f>
        <v>61</v>
      </c>
      <c r="EP40" s="62">
        <f>SMALL($J103:$BQ103,6)</f>
        <v>61</v>
      </c>
      <c r="EQ40" s="62">
        <f>SMALL($J103:$BQ103,7)</f>
        <v>61</v>
      </c>
      <c r="ER40" s="62">
        <f>SMALL($J103:$BQ103,8)</f>
        <v>61</v>
      </c>
      <c r="ES40" s="62">
        <f>SMALL($J103:$BQ103,9)</f>
        <v>61</v>
      </c>
      <c r="ET40" s="62">
        <f>SMALL($J103:$BQ103,10)</f>
        <v>61</v>
      </c>
      <c r="EU40" s="62">
        <f>SMALL($J103:$BQ103,11)</f>
        <v>61</v>
      </c>
      <c r="EV40" s="62">
        <f>SMALL($J103:$BQ103,12)</f>
        <v>61</v>
      </c>
      <c r="EW40" s="62">
        <f>SMALL($J103:$BQ103,13)</f>
        <v>61</v>
      </c>
      <c r="EX40" s="62">
        <f>SMALL($J103:$BQ103,14)</f>
        <v>61</v>
      </c>
      <c r="EY40" s="62">
        <f>SMALL($J103:$BQ103,15)</f>
        <v>61</v>
      </c>
      <c r="EZ40" s="62">
        <f>SMALL($J103:$BQ103,16)</f>
        <v>61</v>
      </c>
      <c r="FA40" s="62">
        <f>SMALL($J103:$BQ103,17)</f>
        <v>61</v>
      </c>
      <c r="FB40" s="62">
        <f>SMALL($J103:$BQ103,18)</f>
        <v>61</v>
      </c>
      <c r="FC40" s="62">
        <f>SMALL($J103:$BQ103,19)</f>
        <v>61</v>
      </c>
      <c r="FD40" s="62">
        <f>SMALL($J103:$BQ103,20)</f>
        <v>61</v>
      </c>
      <c r="FE40" s="62">
        <f>SMALL($J103:$BQ103,21)</f>
        <v>61</v>
      </c>
      <c r="FF40" s="62">
        <f>SMALL($J103:$BQ103,22)</f>
        <v>61</v>
      </c>
      <c r="FG40" s="62">
        <f>SMALL($J103:$BQ103,23)</f>
        <v>61</v>
      </c>
      <c r="FH40" s="62">
        <f>SMALL($J103:$BQ103,24)</f>
        <v>61</v>
      </c>
      <c r="FI40" s="62">
        <f>SMALL($J103:$BQ103,25)</f>
        <v>61</v>
      </c>
      <c r="FJ40" s="62">
        <f>SMALL($J103:$BQ103,26)</f>
        <v>61</v>
      </c>
      <c r="FK40" s="62">
        <f>SMALL($J103:$BQ103,27)</f>
        <v>61</v>
      </c>
      <c r="FL40" s="62">
        <f>SMALL($J103:$BQ103,28)</f>
        <v>61</v>
      </c>
      <c r="FM40" s="62">
        <f>SMALL($J103:$BQ103,29)</f>
        <v>61</v>
      </c>
      <c r="FN40" s="62">
        <f>SMALL($J103:$BQ103,30)</f>
        <v>61</v>
      </c>
      <c r="FO40" s="62">
        <f>SMALL($J103:$BQ103,31)</f>
        <v>61</v>
      </c>
      <c r="FP40" s="62">
        <f>SMALL($J103:$BQ103,32)</f>
        <v>61</v>
      </c>
      <c r="FQ40" s="62">
        <f>SMALL($J103:$BQ103,33)</f>
        <v>61</v>
      </c>
      <c r="FR40" s="62">
        <f>SMALL($J103:$BQ103,34)</f>
        <v>61</v>
      </c>
      <c r="FS40" s="62">
        <f>SMALL($J103:$BQ103,35)</f>
        <v>61</v>
      </c>
      <c r="FT40" s="62">
        <f>SMALL($J103:$BQ103,36)</f>
        <v>61</v>
      </c>
      <c r="FU40" s="62">
        <f>SMALL($J103:$BQ103,37)</f>
        <v>61</v>
      </c>
      <c r="FV40" s="62">
        <f>SMALL($J103:$BQ103,38)</f>
        <v>61</v>
      </c>
      <c r="FW40" s="62">
        <f>SMALL($J103:$BQ103,39)</f>
        <v>61</v>
      </c>
      <c r="FX40" s="62">
        <f>SMALL($J103:$BQ103,40)</f>
        <v>61</v>
      </c>
      <c r="FY40" s="62">
        <f>SMALL($J103:$BQ103,41)</f>
        <v>61</v>
      </c>
      <c r="FZ40" s="62">
        <f>SMALL($J103:$BQ103,42)</f>
        <v>61</v>
      </c>
      <c r="GA40" s="62">
        <f>SMALL($J103:$BQ103,43)</f>
        <v>61</v>
      </c>
      <c r="GB40" s="62">
        <f>SMALL($J103:$BQ103,44)</f>
        <v>61</v>
      </c>
      <c r="GC40" s="62">
        <f>SMALL($J103:$BQ103,45)</f>
        <v>61</v>
      </c>
      <c r="GD40" s="62">
        <f>SMALL($J103:$BQ103,46)</f>
        <v>61</v>
      </c>
      <c r="GE40" s="62">
        <f>SMALL($J103:$BQ103,47)</f>
        <v>61</v>
      </c>
      <c r="GF40" s="62">
        <f>SMALL($J103:$BQ103,48)</f>
        <v>61</v>
      </c>
      <c r="GG40" s="62">
        <f>SMALL($J103:$BQ103,49)</f>
        <v>61</v>
      </c>
      <c r="GH40" s="62">
        <f>SMALL($J103:$BQ103,50)</f>
        <v>61</v>
      </c>
      <c r="GI40" s="62">
        <f>SMALL($J103:$BQ103,51)</f>
        <v>61</v>
      </c>
      <c r="GJ40" s="62">
        <f>SMALL($J103:$BQ103,52)</f>
        <v>61</v>
      </c>
      <c r="GK40" s="62">
        <f>SMALL($J103:$BQ103,53)</f>
        <v>61</v>
      </c>
      <c r="GL40" s="62">
        <f>SMALL($J103:$BQ103,54)</f>
        <v>61</v>
      </c>
      <c r="GM40" s="62">
        <f>SMALL($J103:$BQ103,55)</f>
        <v>61</v>
      </c>
      <c r="GN40" s="62">
        <f>SMALL($J103:$BQ103,56)</f>
        <v>61</v>
      </c>
      <c r="GO40" s="62">
        <f>SMALL($J103:$BQ103,57)</f>
        <v>61</v>
      </c>
      <c r="GP40" s="62">
        <f>SMALL($J103:$BQ103,58)</f>
        <v>61</v>
      </c>
      <c r="GQ40" s="62">
        <f>SMALL($J103:$BQ103,59)</f>
        <v>61</v>
      </c>
      <c r="GR40" s="62">
        <f>SMALL($J103:$BQ103,60)</f>
        <v>61</v>
      </c>
      <c r="GT40" s="62">
        <f>IF(Deltagarlista!$K$3=2,
IF(GW40="1",
      IF(Arrangörslista!$U$5=1,J103,
IF(Arrangörslista!$U$5=2,K103,
IF(Arrangörslista!$U$5=3,L103,
IF(Arrangörslista!$U$5=4,M103,
IF(Arrangörslista!$U$5=5,N103,
IF(Arrangörslista!$U$5=6,O103,
IF(Arrangörslista!$U$5=7,P103,
IF(Arrangörslista!$U$5=8,Q103,
IF(Arrangörslista!$U$5=9,R103,
IF(Arrangörslista!$U$5=10,S103,
IF(Arrangörslista!$U$5=11,T103,
IF(Arrangörslista!$U$5=12,U103,
IF(Arrangörslista!$U$5=13,V103,
IF(Arrangörslista!$U$5=14,W103,
IF(Arrangörslista!$U$5=15,X103,
IF(Arrangörslista!$U$5=16,Y103,IF(Arrangörslista!$U$5=17,Z103,IF(Arrangörslista!$U$5=18,AA103,IF(Arrangörslista!$U$5=19,AB103,IF(Arrangörslista!$U$5=20,AC103,IF(Arrangörslista!$U$5=21,AD103,IF(Arrangörslista!$U$5=22,AE103,IF(Arrangörslista!$U$5=23,AF103, IF(Arrangörslista!$U$5=24,AG103, IF(Arrangörslista!$U$5=25,AH103, IF(Arrangörslista!$U$5=26,AI103, IF(Arrangörslista!$U$5=27,AJ103, IF(Arrangörslista!$U$5=28,AK103, IF(Arrangörslista!$U$5=29,AL103, IF(Arrangörslista!$U$5=30,AM103, IF(Arrangörslista!$U$5=31,AN103, IF(Arrangörslista!$U$5=32,AO103, IF(Arrangörslista!$U$5=33,AP103, IF(Arrangörslista!$U$5=34,AQ103, IF(Arrangörslista!$U$5=35,AR103, IF(Arrangörslista!$U$5=36,AS103, IF(Arrangörslista!$U$5=37,AT103, IF(Arrangörslista!$U$5=38,AU103, IF(Arrangörslista!$U$5=39,AV103, IF(Arrangörslista!$U$5=40,AW103, IF(Arrangörslista!$U$5=41,AX103, IF(Arrangörslista!$U$5=42,AY103, IF(Arrangörslista!$U$5=43,AZ103, IF(Arrangörslista!$U$5=44,BA103, IF(Arrangörslista!$U$5=45,BB103, IF(Arrangörslista!$U$5=46,BC103, IF(Arrangörslista!$U$5=47,BD103, IF(Arrangörslista!$U$5=48,BE103, IF(Arrangörslista!$U$5=49,BF103, IF(Arrangörslista!$U$5=50,BG103, IF(Arrangörslista!$U$5=51,BH103, IF(Arrangörslista!$U$5=52,BI103, IF(Arrangörslista!$U$5=53,BJ103, IF(Arrangörslista!$U$5=54,BK103, IF(Arrangörslista!$U$5=55,BL103, IF(Arrangörslista!$U$5=56,BM103, IF(Arrangörslista!$U$5=57,BN103, IF(Arrangörslista!$U$5=58,BO103, IF(Arrangörslista!$U$5=59,BP103, IF(Arrangörslista!$U$5=60,BQ103,0))))))))))))))))))))))))))))))))))))))))))))))))))))))))))))),IF(Deltagarlista!$K$3=4, IF(Arrangörslista!$U$5=1,J103,
IF(Arrangörslista!$U$5=2,J103,
IF(Arrangörslista!$U$5=3,K103,
IF(Arrangörslista!$U$5=4,K103,
IF(Arrangörslista!$U$5=5,L103,
IF(Arrangörslista!$U$5=6,L103,
IF(Arrangörslista!$U$5=7,M103,
IF(Arrangörslista!$U$5=8,M103,
IF(Arrangörslista!$U$5=9,N103,
IF(Arrangörslista!$U$5=10,N103,
IF(Arrangörslista!$U$5=11,O103,
IF(Arrangörslista!$U$5=12,O103,
IF(Arrangörslista!$U$5=13,P103,
IF(Arrangörslista!$U$5=14,P103,
IF(Arrangörslista!$U$5=15,Q103,
IF(Arrangörslista!$U$5=16,Q103,
IF(Arrangörslista!$U$5=17,R103,
IF(Arrangörslista!$U$5=18,R103,
IF(Arrangörslista!$U$5=19,S103,
IF(Arrangörslista!$U$5=20,S103,
IF(Arrangörslista!$U$5=21,T103,
IF(Arrangörslista!$U$5=22,T103,IF(Arrangörslista!$U$5=23,U103, IF(Arrangörslista!$U$5=24,U103, IF(Arrangörslista!$U$5=25,V103, IF(Arrangörslista!$U$5=26,V103, IF(Arrangörslista!$U$5=27,W103, IF(Arrangörslista!$U$5=28,W103, IF(Arrangörslista!$U$5=29,X103, IF(Arrangörslista!$U$5=30,X103, IF(Arrangörslista!$U$5=31,X103, IF(Arrangörslista!$U$5=32,Y103, IF(Arrangörslista!$U$5=33,AO103, IF(Arrangörslista!$U$5=34,Y103, IF(Arrangörslista!$U$5=35,Z103, IF(Arrangörslista!$U$5=36,AR103, IF(Arrangörslista!$U$5=37,Z103, IF(Arrangörslista!$U$5=38,AA103, IF(Arrangörslista!$U$5=39,AU103, IF(Arrangörslista!$U$5=40,AA103, IF(Arrangörslista!$U$5=41,AB103, IF(Arrangörslista!$U$5=42,AX103, IF(Arrangörslista!$U$5=43,AB103, IF(Arrangörslista!$U$5=44,AC103, IF(Arrangörslista!$U$5=45,BA103, IF(Arrangörslista!$U$5=46,AC103, IF(Arrangörslista!$U$5=47,AD103, IF(Arrangörslista!$U$5=48,BD103, IF(Arrangörslista!$U$5=49,AD103, IF(Arrangörslista!$U$5=50,AE103, IF(Arrangörslista!$U$5=51,BG103, IF(Arrangörslista!$U$5=52,AE103, IF(Arrangörslista!$U$5=53,AF103, IF(Arrangörslista!$U$5=54,BJ103, IF(Arrangörslista!$U$5=55,AF103, IF(Arrangörslista!$U$5=56,AG103, IF(Arrangörslista!$U$5=57,BM103, IF(Arrangörslista!$U$5=58,AG103, IF(Arrangörslista!$U$5=59,AH103, IF(Arrangörslista!$U$5=60,AH103,0)))))))))))))))))))))))))))))))))))))))))))))))))))))))))))),IF(Arrangörslista!$U$5=1,J103,
IF(Arrangörslista!$U$5=2,K103,
IF(Arrangörslista!$U$5=3,L103,
IF(Arrangörslista!$U$5=4,M103,
IF(Arrangörslista!$U$5=5,N103,
IF(Arrangörslista!$U$5=6,O103,
IF(Arrangörslista!$U$5=7,P103,
IF(Arrangörslista!$U$5=8,Q103,
IF(Arrangörslista!$U$5=9,R103,
IF(Arrangörslista!$U$5=10,S103,
IF(Arrangörslista!$U$5=11,T103,
IF(Arrangörslista!$U$5=12,U103,
IF(Arrangörslista!$U$5=13,V103,
IF(Arrangörslista!$U$5=14,W103,
IF(Arrangörslista!$U$5=15,X103,
IF(Arrangörslista!$U$5=16,Y103,IF(Arrangörslista!$U$5=17,Z103,IF(Arrangörslista!$U$5=18,AA103,IF(Arrangörslista!$U$5=19,AB103,IF(Arrangörslista!$U$5=20,AC103,IF(Arrangörslista!$U$5=21,AD103,IF(Arrangörslista!$U$5=22,AE103,IF(Arrangörslista!$U$5=23,AF103, IF(Arrangörslista!$U$5=24,AG103, IF(Arrangörslista!$U$5=25,AH103, IF(Arrangörslista!$U$5=26,AI103, IF(Arrangörslista!$U$5=27,AJ103, IF(Arrangörslista!$U$5=28,AK103, IF(Arrangörslista!$U$5=29,AL103, IF(Arrangörslista!$U$5=30,AM103, IF(Arrangörslista!$U$5=31,AN103, IF(Arrangörslista!$U$5=32,AO103, IF(Arrangörslista!$U$5=33,AP103, IF(Arrangörslista!$U$5=34,AQ103, IF(Arrangörslista!$U$5=35,AR103, IF(Arrangörslista!$U$5=36,AS103, IF(Arrangörslista!$U$5=37,AT103, IF(Arrangörslista!$U$5=38,AU103, IF(Arrangörslista!$U$5=39,AV103, IF(Arrangörslista!$U$5=40,AW103, IF(Arrangörslista!$U$5=41,AX103, IF(Arrangörslista!$U$5=42,AY103, IF(Arrangörslista!$U$5=43,AZ103, IF(Arrangörslista!$U$5=44,BA103, IF(Arrangörslista!$U$5=45,BB103, IF(Arrangörslista!$U$5=46,BC103, IF(Arrangörslista!$U$5=47,BD103, IF(Arrangörslista!$U$5=48,BE103, IF(Arrangörslista!$U$5=49,BF103, IF(Arrangörslista!$U$5=50,BG103, IF(Arrangörslista!$U$5=51,BH103, IF(Arrangörslista!$U$5=52,BI103, IF(Arrangörslista!$U$5=53,BJ103, IF(Arrangörslista!$U$5=54,BK103, IF(Arrangörslista!$U$5=55,BL103, IF(Arrangörslista!$U$5=56,BM103, IF(Arrangörslista!$U$5=57,BN103, IF(Arrangörslista!$U$5=58,BO103, IF(Arrangörslista!$U$5=59,BP103, IF(Arrangörslista!$U$5=60,BQ103,0))))))))))))))))))))))))))))))))))))))))))))))))))))))))))))
))</f>
        <v>0</v>
      </c>
      <c r="GV40" s="65" t="str">
        <f>IFERROR(IF(VLOOKUP(F40,Deltagarlista!$E$5:$I$64,5,FALSE)="Grön","Gr",IF(VLOOKUP(F40,Deltagarlista!$E$5:$I$64,5,FALSE)="Röd","R",IF(VLOOKUP(F40,Deltagarlista!$E$5:$I$64,5,FALSE)="Blå","B","Gu"))),"")</f>
        <v/>
      </c>
      <c r="GW40" s="62" t="str">
        <f t="shared" si="1"/>
        <v/>
      </c>
    </row>
    <row r="41" spans="1:205" ht="15.75" customHeight="1" x14ac:dyDescent="0.3">
      <c r="B41" s="23" t="str">
        <f>IF($BW$3&gt;37,38,"")</f>
        <v/>
      </c>
      <c r="C41" s="92" t="str">
        <f>IF(ISBLANK(Deltagarlista!C40),"",Deltagarlista!C40)</f>
        <v/>
      </c>
      <c r="D41" s="109" t="str">
        <f>CONCATENATE(IF(AND(Deltagarlista!H40="GM",Deltagarlista!$S$14=TRUE),"GM   ",""),  IF(OR(Deltagarlista!$K$3=4,Deltagarlista!$K$3=2),Deltagarlista!I40,""))</f>
        <v/>
      </c>
      <c r="E41" s="8" t="str">
        <f>IF(ISBLANK(Deltagarlista!D40),"",Deltagarlista!D40)</f>
        <v/>
      </c>
      <c r="F41" s="8" t="str">
        <f>IF(ISBLANK(Deltagarlista!E40),"",Deltagarlista!E40)</f>
        <v/>
      </c>
      <c r="G41" s="95" t="str">
        <f>IF(ISBLANK(Deltagarlista!F40),"",Deltagarlista!F40)</f>
        <v/>
      </c>
      <c r="H41" s="72" t="str">
        <f>IF(ISBLANK(Deltagarlista!C40),"",BU41-EE41)</f>
        <v/>
      </c>
      <c r="I41" s="13" t="str">
        <f>IF(ISBLANK(Deltagarlista!C40),"",IF(AND(Deltagarlista!$K$3=2,Deltagarlista!$L$3&lt;37),SUM(SUM(BV41:EC41)-(ROUNDDOWN(Arrangörslista!$U$5/3,1))*($BW$3+1)),SUM(BV41:EC41)))</f>
        <v/>
      </c>
      <c r="J41" s="79" t="str">
        <f>IF(Deltagarlista!$K$3=4,IF(ISBLANK(Deltagarlista!$C40),"",IF(ISBLANK(Arrangörslista!C$8),"",IFERROR(VLOOKUP($F41,Arrangörslista!C$8:$AG$45,16,FALSE),IF(ISBLANK(Deltagarlista!$C40),"",IF(ISBLANK(Arrangörslista!C$8),"",IFERROR(VLOOKUP($F41,Arrangörslista!D$8:$AG$45,16,FALSE),"DNS")))))),IF(Deltagarlista!$K$3=2,
IF(ISBLANK(Deltagarlista!$C40),"",IF(ISBLANK(Arrangörslista!C$8),"",IF($GV41=J$64," DNS ",IFERROR(VLOOKUP($F41,Arrangörslista!C$8:$AG$45,16,FALSE),"DNS")))),IF(ISBLANK(Deltagarlista!$C40),"",IF(ISBLANK(Arrangörslista!C$8),"",IFERROR(VLOOKUP($F41,Arrangörslista!C$8:$AG$45,16,FALSE),"DNS")))))</f>
        <v/>
      </c>
      <c r="K41" s="5" t="str">
        <f>IF(Deltagarlista!$K$3=4,IF(ISBLANK(Deltagarlista!$C40),"",IF(ISBLANK(Arrangörslista!E$8),"",IFERROR(VLOOKUP($F41,Arrangörslista!E$8:$AG$45,16,FALSE),IF(ISBLANK(Deltagarlista!$C40),"",IF(ISBLANK(Arrangörslista!E$8),"",IFERROR(VLOOKUP($F41,Arrangörslista!F$8:$AG$45,16,FALSE),"DNS")))))),IF(Deltagarlista!$K$3=2,
IF(ISBLANK(Deltagarlista!$C40),"",IF(ISBLANK(Arrangörslista!D$8),"",IF($GV41=K$64," DNS ",IFERROR(VLOOKUP($F41,Arrangörslista!D$8:$AG$45,16,FALSE),"DNS")))),IF(ISBLANK(Deltagarlista!$C40),"",IF(ISBLANK(Arrangörslista!D$8),"",IFERROR(VLOOKUP($F41,Arrangörslista!D$8:$AG$45,16,FALSE),"DNS")))))</f>
        <v/>
      </c>
      <c r="L41" s="5" t="str">
        <f>IF(Deltagarlista!$K$3=4,IF(ISBLANK(Deltagarlista!$C40),"",IF(ISBLANK(Arrangörslista!G$8),"",IFERROR(VLOOKUP($F41,Arrangörslista!G$8:$AG$45,16,FALSE),IF(ISBLANK(Deltagarlista!$C40),"",IF(ISBLANK(Arrangörslista!G$8),"",IFERROR(VLOOKUP($F41,Arrangörslista!H$8:$AG$45,16,FALSE),"DNS")))))),IF(Deltagarlista!$K$3=2,
IF(ISBLANK(Deltagarlista!$C40),"",IF(ISBLANK(Arrangörslista!E$8),"",IF($GV41=L$64," DNS ",IFERROR(VLOOKUP($F41,Arrangörslista!E$8:$AG$45,16,FALSE),"DNS")))),IF(ISBLANK(Deltagarlista!$C40),"",IF(ISBLANK(Arrangörslista!E$8),"",IFERROR(VLOOKUP($F41,Arrangörslista!E$8:$AG$45,16,FALSE),"DNS")))))</f>
        <v/>
      </c>
      <c r="M41" s="5" t="str">
        <f>IF(Deltagarlista!$K$3=4,IF(ISBLANK(Deltagarlista!$C40),"",IF(ISBLANK(Arrangörslista!I$8),"",IFERROR(VLOOKUP($F41,Arrangörslista!I$8:$AG$45,16,FALSE),IF(ISBLANK(Deltagarlista!$C40),"",IF(ISBLANK(Arrangörslista!I$8),"",IFERROR(VLOOKUP($F41,Arrangörslista!J$8:$AG$45,16,FALSE),"DNS")))))),IF(Deltagarlista!$K$3=2,
IF(ISBLANK(Deltagarlista!$C40),"",IF(ISBLANK(Arrangörslista!F$8),"",IF($GV41=M$64," DNS ",IFERROR(VLOOKUP($F41,Arrangörslista!F$8:$AG$45,16,FALSE),"DNS")))),IF(ISBLANK(Deltagarlista!$C40),"",IF(ISBLANK(Arrangörslista!F$8),"",IFERROR(VLOOKUP($F41,Arrangörslista!F$8:$AG$45,16,FALSE),"DNS")))))</f>
        <v/>
      </c>
      <c r="N41" s="5" t="str">
        <f>IF(Deltagarlista!$K$3=4,IF(ISBLANK(Deltagarlista!$C40),"",IF(ISBLANK(Arrangörslista!K$8),"",IFERROR(VLOOKUP($F41,Arrangörslista!K$8:$AG$45,16,FALSE),IF(ISBLANK(Deltagarlista!$C40),"",IF(ISBLANK(Arrangörslista!K$8),"",IFERROR(VLOOKUP($F41,Arrangörslista!L$8:$AG$45,16,FALSE),"DNS")))))),IF(Deltagarlista!$K$3=2,
IF(ISBLANK(Deltagarlista!$C40),"",IF(ISBLANK(Arrangörslista!G$8),"",IF($GV41=N$64," DNS ",IFERROR(VLOOKUP($F41,Arrangörslista!G$8:$AG$45,16,FALSE),"DNS")))),IF(ISBLANK(Deltagarlista!$C40),"",IF(ISBLANK(Arrangörslista!G$8),"",IFERROR(VLOOKUP($F41,Arrangörslista!G$8:$AG$45,16,FALSE),"DNS")))))</f>
        <v/>
      </c>
      <c r="O41" s="5" t="str">
        <f>IF(Deltagarlista!$K$3=4,IF(ISBLANK(Deltagarlista!$C40),"",IF(ISBLANK(Arrangörslista!M$8),"",IFERROR(VLOOKUP($F41,Arrangörslista!M$8:$AG$45,16,FALSE),IF(ISBLANK(Deltagarlista!$C40),"",IF(ISBLANK(Arrangörslista!M$8),"",IFERROR(VLOOKUP($F41,Arrangörslista!N$8:$AG$45,16,FALSE),"DNS")))))),IF(Deltagarlista!$K$3=2,
IF(ISBLANK(Deltagarlista!$C40),"",IF(ISBLANK(Arrangörslista!H$8),"",IF($GV41=O$64," DNS ",IFERROR(VLOOKUP($F41,Arrangörslista!H$8:$AG$45,16,FALSE),"DNS")))),IF(ISBLANK(Deltagarlista!$C40),"",IF(ISBLANK(Arrangörslista!H$8),"",IFERROR(VLOOKUP($F41,Arrangörslista!H$8:$AG$45,16,FALSE),"DNS")))))</f>
        <v/>
      </c>
      <c r="P41" s="5" t="str">
        <f>IF(Deltagarlista!$K$3=4,IF(ISBLANK(Deltagarlista!$C40),"",IF(ISBLANK(Arrangörslista!O$8),"",IFERROR(VLOOKUP($F41,Arrangörslista!O$8:$AG$45,16,FALSE),IF(ISBLANK(Deltagarlista!$C40),"",IF(ISBLANK(Arrangörslista!O$8),"",IFERROR(VLOOKUP($F41,Arrangörslista!P$8:$AG$45,16,FALSE),"DNS")))))),IF(Deltagarlista!$K$3=2,
IF(ISBLANK(Deltagarlista!$C40),"",IF(ISBLANK(Arrangörslista!I$8),"",IF($GV41=P$64," DNS ",IFERROR(VLOOKUP($F41,Arrangörslista!I$8:$AG$45,16,FALSE),"DNS")))),IF(ISBLANK(Deltagarlista!$C40),"",IF(ISBLANK(Arrangörslista!I$8),"",IFERROR(VLOOKUP($F41,Arrangörslista!I$8:$AG$45,16,FALSE),"DNS")))))</f>
        <v/>
      </c>
      <c r="Q41" s="5" t="str">
        <f>IF(Deltagarlista!$K$3=4,IF(ISBLANK(Deltagarlista!$C40),"",IF(ISBLANK(Arrangörslista!Q$8),"",IFERROR(VLOOKUP($F41,Arrangörslista!Q$8:$AG$45,16,FALSE),IF(ISBLANK(Deltagarlista!$C40),"",IF(ISBLANK(Arrangörslista!Q$8),"",IFERROR(VLOOKUP($F41,Arrangörslista!C$53:$AG$90,16,FALSE),"DNS")))))),IF(Deltagarlista!$K$3=2,
IF(ISBLANK(Deltagarlista!$C40),"",IF(ISBLANK(Arrangörslista!J$8),"",IF($GV41=Q$64," DNS ",IFERROR(VLOOKUP($F41,Arrangörslista!J$8:$AG$45,16,FALSE),"DNS")))),IF(ISBLANK(Deltagarlista!$C40),"",IF(ISBLANK(Arrangörslista!J$8),"",IFERROR(VLOOKUP($F41,Arrangörslista!J$8:$AG$45,16,FALSE),"DNS")))))</f>
        <v/>
      </c>
      <c r="R41" s="5" t="str">
        <f>IF(Deltagarlista!$K$3=4,IF(ISBLANK(Deltagarlista!$C40),"",IF(ISBLANK(Arrangörslista!D$53),"",IFERROR(VLOOKUP($F41,Arrangörslista!D$53:$AG$90,16,FALSE),IF(ISBLANK(Deltagarlista!$C40),"",IF(ISBLANK(Arrangörslista!D$53),"",IFERROR(VLOOKUP($F41,Arrangörslista!E$53:$AG$90,16,FALSE),"DNS")))))),IF(Deltagarlista!$K$3=2,
IF(ISBLANK(Deltagarlista!$C40),"",IF(ISBLANK(Arrangörslista!K$8),"",IF($GV41=R$64," DNS ",IFERROR(VLOOKUP($F41,Arrangörslista!K$8:$AG$45,16,FALSE),"DNS")))),IF(ISBLANK(Deltagarlista!$C40),"",IF(ISBLANK(Arrangörslista!K$8),"",IFERROR(VLOOKUP($F41,Arrangörslista!K$8:$AG$45,16,FALSE),"DNS")))))</f>
        <v/>
      </c>
      <c r="S41" s="5" t="str">
        <f>IF(Deltagarlista!$K$3=4,IF(ISBLANK(Deltagarlista!$C40),"",IF(ISBLANK(Arrangörslista!F$53),"",IFERROR(VLOOKUP($F41,Arrangörslista!F$53:$AG$90,16,FALSE),IF(ISBLANK(Deltagarlista!$C40),"",IF(ISBLANK(Arrangörslista!F$53),"",IFERROR(VLOOKUP($F41,Arrangörslista!G$53:$AG$90,16,FALSE),"DNS")))))),IF(Deltagarlista!$K$3=2,
IF(ISBLANK(Deltagarlista!$C40),"",IF(ISBLANK(Arrangörslista!L$8),"",IF($GV41=S$64," DNS ",IFERROR(VLOOKUP($F41,Arrangörslista!L$8:$AG$45,16,FALSE),"DNS")))),IF(ISBLANK(Deltagarlista!$C40),"",IF(ISBLANK(Arrangörslista!L$8),"",IFERROR(VLOOKUP($F41,Arrangörslista!L$8:$AG$45,16,FALSE),"DNS")))))</f>
        <v/>
      </c>
      <c r="T41" s="5" t="str">
        <f>IF(Deltagarlista!$K$3=4,IF(ISBLANK(Deltagarlista!$C40),"",IF(ISBLANK(Arrangörslista!H$53),"",IFERROR(VLOOKUP($F41,Arrangörslista!H$53:$AG$90,16,FALSE),IF(ISBLANK(Deltagarlista!$C40),"",IF(ISBLANK(Arrangörslista!H$53),"",IFERROR(VLOOKUP($F41,Arrangörslista!I$53:$AG$90,16,FALSE),"DNS")))))),IF(Deltagarlista!$K$3=2,
IF(ISBLANK(Deltagarlista!$C40),"",IF(ISBLANK(Arrangörslista!M$8),"",IF($GV41=T$64," DNS ",IFERROR(VLOOKUP($F41,Arrangörslista!M$8:$AG$45,16,FALSE),"DNS")))),IF(ISBLANK(Deltagarlista!$C40),"",IF(ISBLANK(Arrangörslista!M$8),"",IFERROR(VLOOKUP($F41,Arrangörslista!M$8:$AG$45,16,FALSE),"DNS")))))</f>
        <v/>
      </c>
      <c r="U41" s="5" t="str">
        <f>IF(Deltagarlista!$K$3=4,IF(ISBLANK(Deltagarlista!$C40),"",IF(ISBLANK(Arrangörslista!J$53),"",IFERROR(VLOOKUP($F41,Arrangörslista!J$53:$AG$90,16,FALSE),IF(ISBLANK(Deltagarlista!$C40),"",IF(ISBLANK(Arrangörslista!J$53),"",IFERROR(VLOOKUP($F41,Arrangörslista!K$53:$AG$90,16,FALSE),"DNS")))))),IF(Deltagarlista!$K$3=2,
IF(ISBLANK(Deltagarlista!$C40),"",IF(ISBLANK(Arrangörslista!N$8),"",IF($GV41=U$64," DNS ",IFERROR(VLOOKUP($F41,Arrangörslista!N$8:$AG$45,16,FALSE),"DNS")))),IF(ISBLANK(Deltagarlista!$C40),"",IF(ISBLANK(Arrangörslista!N$8),"",IFERROR(VLOOKUP($F41,Arrangörslista!N$8:$AG$45,16,FALSE),"DNS")))))</f>
        <v/>
      </c>
      <c r="V41" s="5" t="str">
        <f>IF(Deltagarlista!$K$3=4,IF(ISBLANK(Deltagarlista!$C40),"",IF(ISBLANK(Arrangörslista!L$53),"",IFERROR(VLOOKUP($F41,Arrangörslista!L$53:$AG$90,16,FALSE),IF(ISBLANK(Deltagarlista!$C40),"",IF(ISBLANK(Arrangörslista!L$53),"",IFERROR(VLOOKUP($F41,Arrangörslista!M$53:$AG$90,16,FALSE),"DNS")))))),IF(Deltagarlista!$K$3=2,
IF(ISBLANK(Deltagarlista!$C40),"",IF(ISBLANK(Arrangörslista!O$8),"",IF($GV41=V$64," DNS ",IFERROR(VLOOKUP($F41,Arrangörslista!O$8:$AG$45,16,FALSE),"DNS")))),IF(ISBLANK(Deltagarlista!$C40),"",IF(ISBLANK(Arrangörslista!O$8),"",IFERROR(VLOOKUP($F41,Arrangörslista!O$8:$AG$45,16,FALSE),"DNS")))))</f>
        <v/>
      </c>
      <c r="W41" s="5" t="str">
        <f>IF(Deltagarlista!$K$3=4,IF(ISBLANK(Deltagarlista!$C40),"",IF(ISBLANK(Arrangörslista!N$53),"",IFERROR(VLOOKUP($F41,Arrangörslista!N$53:$AG$90,16,FALSE),IF(ISBLANK(Deltagarlista!$C40),"",IF(ISBLANK(Arrangörslista!N$53),"",IFERROR(VLOOKUP($F41,Arrangörslista!O$53:$AG$90,16,FALSE),"DNS")))))),IF(Deltagarlista!$K$3=2,
IF(ISBLANK(Deltagarlista!$C40),"",IF(ISBLANK(Arrangörslista!P$8),"",IF($GV41=W$64," DNS ",IFERROR(VLOOKUP($F41,Arrangörslista!P$8:$AG$45,16,FALSE),"DNS")))),IF(ISBLANK(Deltagarlista!$C40),"",IF(ISBLANK(Arrangörslista!P$8),"",IFERROR(VLOOKUP($F41,Arrangörslista!P$8:$AG$45,16,FALSE),"DNS")))))</f>
        <v/>
      </c>
      <c r="X41" s="5" t="str">
        <f>IF(Deltagarlista!$K$3=4,IF(ISBLANK(Deltagarlista!$C40),"",IF(ISBLANK(Arrangörslista!P$53),"",IFERROR(VLOOKUP($F41,Arrangörslista!P$53:$AG$90,16,FALSE),IF(ISBLANK(Deltagarlista!$C40),"",IF(ISBLANK(Arrangörslista!P$53),"",IFERROR(VLOOKUP($F41,Arrangörslista!Q$53:$AG$90,16,FALSE),"DNS")))))),IF(Deltagarlista!$K$3=2,
IF(ISBLANK(Deltagarlista!$C40),"",IF(ISBLANK(Arrangörslista!Q$8),"",IF($GV41=X$64," DNS ",IFERROR(VLOOKUP($F41,Arrangörslista!Q$8:$AG$45,16,FALSE),"DNS")))),IF(ISBLANK(Deltagarlista!$C40),"",IF(ISBLANK(Arrangörslista!Q$8),"",IFERROR(VLOOKUP($F41,Arrangörslista!Q$8:$AG$45,16,FALSE),"DNS")))))</f>
        <v/>
      </c>
      <c r="Y41" s="5" t="str">
        <f>IF(Deltagarlista!$K$3=4,IF(ISBLANK(Deltagarlista!$C40),"",IF(ISBLANK(Arrangörslista!C$98),"",IFERROR(VLOOKUP($F41,Arrangörslista!C$98:$AG$135,16,FALSE),IF(ISBLANK(Deltagarlista!$C40),"",IF(ISBLANK(Arrangörslista!C$98),"",IFERROR(VLOOKUP($F41,Arrangörslista!D$98:$AG$135,16,FALSE),"DNS")))))),IF(Deltagarlista!$K$3=2,
IF(ISBLANK(Deltagarlista!$C40),"",IF(ISBLANK(Arrangörslista!C$53),"",IF($GV41=Y$64," DNS ",IFERROR(VLOOKUP($F41,Arrangörslista!C$53:$AG$90,16,FALSE),"DNS")))),IF(ISBLANK(Deltagarlista!$C40),"",IF(ISBLANK(Arrangörslista!C$53),"",IFERROR(VLOOKUP($F41,Arrangörslista!C$53:$AG$90,16,FALSE),"DNS")))))</f>
        <v/>
      </c>
      <c r="Z41" s="5" t="str">
        <f>IF(Deltagarlista!$K$3=4,IF(ISBLANK(Deltagarlista!$C40),"",IF(ISBLANK(Arrangörslista!E$98),"",IFERROR(VLOOKUP($F41,Arrangörslista!E$98:$AG$135,16,FALSE),IF(ISBLANK(Deltagarlista!$C40),"",IF(ISBLANK(Arrangörslista!E$98),"",IFERROR(VLOOKUP($F41,Arrangörslista!F$98:$AG$135,16,FALSE),"DNS")))))),IF(Deltagarlista!$K$3=2,
IF(ISBLANK(Deltagarlista!$C40),"",IF(ISBLANK(Arrangörslista!D$53),"",IF($GV41=Z$64," DNS ",IFERROR(VLOOKUP($F41,Arrangörslista!D$53:$AG$90,16,FALSE),"DNS")))),IF(ISBLANK(Deltagarlista!$C40),"",IF(ISBLANK(Arrangörslista!D$53),"",IFERROR(VLOOKUP($F41,Arrangörslista!D$53:$AG$90,16,FALSE),"DNS")))))</f>
        <v/>
      </c>
      <c r="AA41" s="5" t="str">
        <f>IF(Deltagarlista!$K$3=4,IF(ISBLANK(Deltagarlista!$C40),"",IF(ISBLANK(Arrangörslista!G$98),"",IFERROR(VLOOKUP($F41,Arrangörslista!G$98:$AG$135,16,FALSE),IF(ISBLANK(Deltagarlista!$C40),"",IF(ISBLANK(Arrangörslista!G$98),"",IFERROR(VLOOKUP($F41,Arrangörslista!H$98:$AG$135,16,FALSE),"DNS")))))),IF(Deltagarlista!$K$3=2,
IF(ISBLANK(Deltagarlista!$C40),"",IF(ISBLANK(Arrangörslista!E$53),"",IF($GV41=AA$64," DNS ",IFERROR(VLOOKUP($F41,Arrangörslista!E$53:$AG$90,16,FALSE),"DNS")))),IF(ISBLANK(Deltagarlista!$C40),"",IF(ISBLANK(Arrangörslista!E$53),"",IFERROR(VLOOKUP($F41,Arrangörslista!E$53:$AG$90,16,FALSE),"DNS")))))</f>
        <v/>
      </c>
      <c r="AB41" s="5" t="str">
        <f>IF(Deltagarlista!$K$3=4,IF(ISBLANK(Deltagarlista!$C40),"",IF(ISBLANK(Arrangörslista!I$98),"",IFERROR(VLOOKUP($F41,Arrangörslista!I$98:$AG$135,16,FALSE),IF(ISBLANK(Deltagarlista!$C40),"",IF(ISBLANK(Arrangörslista!I$98),"",IFERROR(VLOOKUP($F41,Arrangörslista!J$98:$AG$135,16,FALSE),"DNS")))))),IF(Deltagarlista!$K$3=2,
IF(ISBLANK(Deltagarlista!$C40),"",IF(ISBLANK(Arrangörslista!F$53),"",IF($GV41=AB$64," DNS ",IFERROR(VLOOKUP($F41,Arrangörslista!F$53:$AG$90,16,FALSE),"DNS")))),IF(ISBLANK(Deltagarlista!$C40),"",IF(ISBLANK(Arrangörslista!F$53),"",IFERROR(VLOOKUP($F41,Arrangörslista!F$53:$AG$90,16,FALSE),"DNS")))))</f>
        <v/>
      </c>
      <c r="AC41" s="5" t="str">
        <f>IF(Deltagarlista!$K$3=4,IF(ISBLANK(Deltagarlista!$C40),"",IF(ISBLANK(Arrangörslista!K$98),"",IFERROR(VLOOKUP($F41,Arrangörslista!K$98:$AG$135,16,FALSE),IF(ISBLANK(Deltagarlista!$C40),"",IF(ISBLANK(Arrangörslista!K$98),"",IFERROR(VLOOKUP($F41,Arrangörslista!L$98:$AG$135,16,FALSE),"DNS")))))),IF(Deltagarlista!$K$3=2,
IF(ISBLANK(Deltagarlista!$C40),"",IF(ISBLANK(Arrangörslista!G$53),"",IF($GV41=AC$64," DNS ",IFERROR(VLOOKUP($F41,Arrangörslista!G$53:$AG$90,16,FALSE),"DNS")))),IF(ISBLANK(Deltagarlista!$C40),"",IF(ISBLANK(Arrangörslista!G$53),"",IFERROR(VLOOKUP($F41,Arrangörslista!G$53:$AG$90,16,FALSE),"DNS")))))</f>
        <v/>
      </c>
      <c r="AD41" s="5" t="str">
        <f>IF(Deltagarlista!$K$3=4,IF(ISBLANK(Deltagarlista!$C40),"",IF(ISBLANK(Arrangörslista!M$98),"",IFERROR(VLOOKUP($F41,Arrangörslista!M$98:$AG$135,16,FALSE),IF(ISBLANK(Deltagarlista!$C40),"",IF(ISBLANK(Arrangörslista!M$98),"",IFERROR(VLOOKUP($F41,Arrangörslista!N$98:$AG$135,16,FALSE),"DNS")))))),IF(Deltagarlista!$K$3=2,
IF(ISBLANK(Deltagarlista!$C40),"",IF(ISBLANK(Arrangörslista!H$53),"",IF($GV41=AD$64," DNS ",IFERROR(VLOOKUP($F41,Arrangörslista!H$53:$AG$90,16,FALSE),"DNS")))),IF(ISBLANK(Deltagarlista!$C40),"",IF(ISBLANK(Arrangörslista!H$53),"",IFERROR(VLOOKUP($F41,Arrangörslista!H$53:$AG$90,16,FALSE),"DNS")))))</f>
        <v/>
      </c>
      <c r="AE41" s="5" t="str">
        <f>IF(Deltagarlista!$K$3=4,IF(ISBLANK(Deltagarlista!$C40),"",IF(ISBLANK(Arrangörslista!O$98),"",IFERROR(VLOOKUP($F41,Arrangörslista!O$98:$AG$135,16,FALSE),IF(ISBLANK(Deltagarlista!$C40),"",IF(ISBLANK(Arrangörslista!O$98),"",IFERROR(VLOOKUP($F41,Arrangörslista!P$98:$AG$135,16,FALSE),"DNS")))))),IF(Deltagarlista!$K$3=2,
IF(ISBLANK(Deltagarlista!$C40),"",IF(ISBLANK(Arrangörslista!I$53),"",IF($GV41=AE$64," DNS ",IFERROR(VLOOKUP($F41,Arrangörslista!I$53:$AG$90,16,FALSE),"DNS")))),IF(ISBLANK(Deltagarlista!$C40),"",IF(ISBLANK(Arrangörslista!I$53),"",IFERROR(VLOOKUP($F41,Arrangörslista!I$53:$AG$90,16,FALSE),"DNS")))))</f>
        <v/>
      </c>
      <c r="AF41" s="5" t="str">
        <f>IF(Deltagarlista!$K$3=4,IF(ISBLANK(Deltagarlista!$C40),"",IF(ISBLANK(Arrangörslista!Q$98),"",IFERROR(VLOOKUP($F41,Arrangörslista!Q$98:$AG$135,16,FALSE),IF(ISBLANK(Deltagarlista!$C40),"",IF(ISBLANK(Arrangörslista!Q$98),"",IFERROR(VLOOKUP($F41,Arrangörslista!C$143:$AG$180,16,FALSE),"DNS")))))),IF(Deltagarlista!$K$3=2,
IF(ISBLANK(Deltagarlista!$C40),"",IF(ISBLANK(Arrangörslista!J$53),"",IF($GV41=AF$64," DNS ",IFERROR(VLOOKUP($F41,Arrangörslista!J$53:$AG$90,16,FALSE),"DNS")))),IF(ISBLANK(Deltagarlista!$C40),"",IF(ISBLANK(Arrangörslista!J$53),"",IFERROR(VLOOKUP($F41,Arrangörslista!J$53:$AG$90,16,FALSE),"DNS")))))</f>
        <v/>
      </c>
      <c r="AG41" s="5" t="str">
        <f>IF(Deltagarlista!$K$3=4,IF(ISBLANK(Deltagarlista!$C40),"",IF(ISBLANK(Arrangörslista!D$143),"",IFERROR(VLOOKUP($F41,Arrangörslista!D$143:$AG$180,16,FALSE),IF(ISBLANK(Deltagarlista!$C40),"",IF(ISBLANK(Arrangörslista!D$143),"",IFERROR(VLOOKUP($F41,Arrangörslista!E$143:$AG$180,16,FALSE),"DNS")))))),IF(Deltagarlista!$K$3=2,
IF(ISBLANK(Deltagarlista!$C40),"",IF(ISBLANK(Arrangörslista!K$53),"",IF($GV41=AG$64," DNS ",IFERROR(VLOOKUP($F41,Arrangörslista!K$53:$AG$90,16,FALSE),"DNS")))),IF(ISBLANK(Deltagarlista!$C40),"",IF(ISBLANK(Arrangörslista!K$53),"",IFERROR(VLOOKUP($F41,Arrangörslista!K$53:$AG$90,16,FALSE),"DNS")))))</f>
        <v/>
      </c>
      <c r="AH41" s="5" t="str">
        <f>IF(Deltagarlista!$K$3=4,IF(ISBLANK(Deltagarlista!$C40),"",IF(ISBLANK(Arrangörslista!F$143),"",IFERROR(VLOOKUP($F41,Arrangörslista!F$143:$AG$180,16,FALSE),IF(ISBLANK(Deltagarlista!$C40),"",IF(ISBLANK(Arrangörslista!F$143),"",IFERROR(VLOOKUP($F41,Arrangörslista!G$143:$AG$180,16,FALSE),"DNS")))))),IF(Deltagarlista!$K$3=2,
IF(ISBLANK(Deltagarlista!$C40),"",IF(ISBLANK(Arrangörslista!L$53),"",IF($GV41=AH$64," DNS ",IFERROR(VLOOKUP($F41,Arrangörslista!L$53:$AG$90,16,FALSE),"DNS")))),IF(ISBLANK(Deltagarlista!$C40),"",IF(ISBLANK(Arrangörslista!L$53),"",IFERROR(VLOOKUP($F41,Arrangörslista!L$53:$AG$90,16,FALSE),"DNS")))))</f>
        <v/>
      </c>
      <c r="AI41" s="5" t="str">
        <f>IF(Deltagarlista!$K$3=4,IF(ISBLANK(Deltagarlista!$C40),"",IF(ISBLANK(Arrangörslista!H$143),"",IFERROR(VLOOKUP($F41,Arrangörslista!H$143:$AG$180,16,FALSE),IF(ISBLANK(Deltagarlista!$C40),"",IF(ISBLANK(Arrangörslista!H$143),"",IFERROR(VLOOKUP($F41,Arrangörslista!I$143:$AG$180,16,FALSE),"DNS")))))),IF(Deltagarlista!$K$3=2,
IF(ISBLANK(Deltagarlista!$C40),"",IF(ISBLANK(Arrangörslista!M$53),"",IF($GV41=AI$64," DNS ",IFERROR(VLOOKUP($F41,Arrangörslista!M$53:$AG$90,16,FALSE),"DNS")))),IF(ISBLANK(Deltagarlista!$C40),"",IF(ISBLANK(Arrangörslista!M$53),"",IFERROR(VLOOKUP($F41,Arrangörslista!M$53:$AG$90,16,FALSE),"DNS")))))</f>
        <v/>
      </c>
      <c r="AJ41" s="5" t="str">
        <f>IF(Deltagarlista!$K$3=4,IF(ISBLANK(Deltagarlista!$C40),"",IF(ISBLANK(Arrangörslista!J$143),"",IFERROR(VLOOKUP($F41,Arrangörslista!J$143:$AG$180,16,FALSE),IF(ISBLANK(Deltagarlista!$C40),"",IF(ISBLANK(Arrangörslista!J$143),"",IFERROR(VLOOKUP($F41,Arrangörslista!K$143:$AG$180,16,FALSE),"DNS")))))),IF(Deltagarlista!$K$3=2,
IF(ISBLANK(Deltagarlista!$C40),"",IF(ISBLANK(Arrangörslista!N$53),"",IF($GV41=AJ$64," DNS ",IFERROR(VLOOKUP($F41,Arrangörslista!N$53:$AG$90,16,FALSE),"DNS")))),IF(ISBLANK(Deltagarlista!$C40),"",IF(ISBLANK(Arrangörslista!N$53),"",IFERROR(VLOOKUP($F41,Arrangörslista!N$53:$AG$90,16,FALSE),"DNS")))))</f>
        <v/>
      </c>
      <c r="AK41" s="5" t="str">
        <f>IF(Deltagarlista!$K$3=4,IF(ISBLANK(Deltagarlista!$C40),"",IF(ISBLANK(Arrangörslista!L$143),"",IFERROR(VLOOKUP($F41,Arrangörslista!L$143:$AG$180,16,FALSE),IF(ISBLANK(Deltagarlista!$C40),"",IF(ISBLANK(Arrangörslista!L$143),"",IFERROR(VLOOKUP($F41,Arrangörslista!M$143:$AG$180,16,FALSE),"DNS")))))),IF(Deltagarlista!$K$3=2,
IF(ISBLANK(Deltagarlista!$C40),"",IF(ISBLANK(Arrangörslista!O$53),"",IF($GV41=AK$64," DNS ",IFERROR(VLOOKUP($F41,Arrangörslista!O$53:$AG$90,16,FALSE),"DNS")))),IF(ISBLANK(Deltagarlista!$C40),"",IF(ISBLANK(Arrangörslista!O$53),"",IFERROR(VLOOKUP($F41,Arrangörslista!O$53:$AG$90,16,FALSE),"DNS")))))</f>
        <v/>
      </c>
      <c r="AL41" s="5" t="str">
        <f>IF(Deltagarlista!$K$3=4,IF(ISBLANK(Deltagarlista!$C40),"",IF(ISBLANK(Arrangörslista!N$143),"",IFERROR(VLOOKUP($F41,Arrangörslista!N$143:$AG$180,16,FALSE),IF(ISBLANK(Deltagarlista!$C40),"",IF(ISBLANK(Arrangörslista!N$143),"",IFERROR(VLOOKUP($F41,Arrangörslista!O$143:$AG$180,16,FALSE),"DNS")))))),IF(Deltagarlista!$K$3=2,
IF(ISBLANK(Deltagarlista!$C40),"",IF(ISBLANK(Arrangörslista!P$53),"",IF($GV41=AL$64," DNS ",IFERROR(VLOOKUP($F41,Arrangörslista!P$53:$AG$90,16,FALSE),"DNS")))),IF(ISBLANK(Deltagarlista!$C40),"",IF(ISBLANK(Arrangörslista!P$53),"",IFERROR(VLOOKUP($F41,Arrangörslista!P$53:$AG$90,16,FALSE),"DNS")))))</f>
        <v/>
      </c>
      <c r="AM41" s="5" t="str">
        <f>IF(Deltagarlista!$K$3=4,IF(ISBLANK(Deltagarlista!$C40),"",IF(ISBLANK(Arrangörslista!P$143),"",IFERROR(VLOOKUP($F41,Arrangörslista!P$143:$AG$180,16,FALSE),IF(ISBLANK(Deltagarlista!$C40),"",IF(ISBLANK(Arrangörslista!P$143),"",IFERROR(VLOOKUP($F41,Arrangörslista!Q$143:$AG$180,16,FALSE),"DNS")))))),IF(Deltagarlista!$K$3=2,
IF(ISBLANK(Deltagarlista!$C40),"",IF(ISBLANK(Arrangörslista!Q$53),"",IF($GV41=AM$64," DNS ",IFERROR(VLOOKUP($F41,Arrangörslista!Q$53:$AG$90,16,FALSE),"DNS")))),IF(ISBLANK(Deltagarlista!$C40),"",IF(ISBLANK(Arrangörslista!Q$53),"",IFERROR(VLOOKUP($F41,Arrangörslista!Q$53:$AG$90,16,FALSE),"DNS")))))</f>
        <v/>
      </c>
      <c r="AN41" s="5" t="str">
        <f>IF(Deltagarlista!$K$3=2,
IF(ISBLANK(Deltagarlista!$C40),"",IF(ISBLANK(Arrangörslista!C$98),"",IF($GV41=AN$64," DNS ",IFERROR(VLOOKUP($F41,Arrangörslista!C$98:$AG$135,16,FALSE), "DNS")))), IF(Deltagarlista!$K$3=1,IF(ISBLANK(Deltagarlista!$C40),"",IF(ISBLANK(Arrangörslista!C$98),"",IFERROR(VLOOKUP($F41,Arrangörslista!C$98:$AG$135,16,FALSE), "DNS"))),""))</f>
        <v/>
      </c>
      <c r="AO41" s="5" t="str">
        <f>IF(Deltagarlista!$K$3=2,
IF(ISBLANK(Deltagarlista!$C40),"",IF(ISBLANK(Arrangörslista!D$98),"",IF($GV41=AO$64," DNS ",IFERROR(VLOOKUP($F41,Arrangörslista!D$98:$AG$135,16,FALSE), "DNS")))), IF(Deltagarlista!$K$3=1,IF(ISBLANK(Deltagarlista!$C40),"",IF(ISBLANK(Arrangörslista!D$98),"",IFERROR(VLOOKUP($F41,Arrangörslista!D$98:$AG$135,16,FALSE), "DNS"))),""))</f>
        <v/>
      </c>
      <c r="AP41" s="5" t="str">
        <f>IF(Deltagarlista!$K$3=2,
IF(ISBLANK(Deltagarlista!$C40),"",IF(ISBLANK(Arrangörslista!E$98),"",IF($GV41=AP$64," DNS ",IFERROR(VLOOKUP($F41,Arrangörslista!E$98:$AG$135,16,FALSE), "DNS")))), IF(Deltagarlista!$K$3=1,IF(ISBLANK(Deltagarlista!$C40),"",IF(ISBLANK(Arrangörslista!E$98),"",IFERROR(VLOOKUP($F41,Arrangörslista!E$98:$AG$135,16,FALSE), "DNS"))),""))</f>
        <v/>
      </c>
      <c r="AQ41" s="5" t="str">
        <f>IF(Deltagarlista!$K$3=2,
IF(ISBLANK(Deltagarlista!$C40),"",IF(ISBLANK(Arrangörslista!F$98),"",IF($GV41=AQ$64," DNS ",IFERROR(VLOOKUP($F41,Arrangörslista!F$98:$AG$135,16,FALSE), "DNS")))), IF(Deltagarlista!$K$3=1,IF(ISBLANK(Deltagarlista!$C40),"",IF(ISBLANK(Arrangörslista!F$98),"",IFERROR(VLOOKUP($F41,Arrangörslista!F$98:$AG$135,16,FALSE), "DNS"))),""))</f>
        <v/>
      </c>
      <c r="AR41" s="5" t="str">
        <f>IF(Deltagarlista!$K$3=2,
IF(ISBLANK(Deltagarlista!$C40),"",IF(ISBLANK(Arrangörslista!G$98),"",IF($GV41=AR$64," DNS ",IFERROR(VLOOKUP($F41,Arrangörslista!G$98:$AG$135,16,FALSE), "DNS")))), IF(Deltagarlista!$K$3=1,IF(ISBLANK(Deltagarlista!$C40),"",IF(ISBLANK(Arrangörslista!G$98),"",IFERROR(VLOOKUP($F41,Arrangörslista!G$98:$AG$135,16,FALSE), "DNS"))),""))</f>
        <v/>
      </c>
      <c r="AS41" s="5" t="str">
        <f>IF(Deltagarlista!$K$3=2,
IF(ISBLANK(Deltagarlista!$C40),"",IF(ISBLANK(Arrangörslista!H$98),"",IF($GV41=AS$64," DNS ",IFERROR(VLOOKUP($F41,Arrangörslista!H$98:$AG$135,16,FALSE), "DNS")))), IF(Deltagarlista!$K$3=1,IF(ISBLANK(Deltagarlista!$C40),"",IF(ISBLANK(Arrangörslista!H$98),"",IFERROR(VLOOKUP($F41,Arrangörslista!H$98:$AG$135,16,FALSE), "DNS"))),""))</f>
        <v/>
      </c>
      <c r="AT41" s="5" t="str">
        <f>IF(Deltagarlista!$K$3=2,
IF(ISBLANK(Deltagarlista!$C40),"",IF(ISBLANK(Arrangörslista!I$98),"",IF($GV41=AT$64," DNS ",IFERROR(VLOOKUP($F41,Arrangörslista!I$98:$AG$135,16,FALSE), "DNS")))), IF(Deltagarlista!$K$3=1,IF(ISBLANK(Deltagarlista!$C40),"",IF(ISBLANK(Arrangörslista!I$98),"",IFERROR(VLOOKUP($F41,Arrangörslista!I$98:$AG$135,16,FALSE), "DNS"))),""))</f>
        <v/>
      </c>
      <c r="AU41" s="5" t="str">
        <f>IF(Deltagarlista!$K$3=2,
IF(ISBLANK(Deltagarlista!$C40),"",IF(ISBLANK(Arrangörslista!J$98),"",IF($GV41=AU$64," DNS ",IFERROR(VLOOKUP($F41,Arrangörslista!J$98:$AG$135,16,FALSE), "DNS")))), IF(Deltagarlista!$K$3=1,IF(ISBLANK(Deltagarlista!$C40),"",IF(ISBLANK(Arrangörslista!J$98),"",IFERROR(VLOOKUP($F41,Arrangörslista!J$98:$AG$135,16,FALSE), "DNS"))),""))</f>
        <v/>
      </c>
      <c r="AV41" s="5" t="str">
        <f>IF(Deltagarlista!$K$3=2,
IF(ISBLANK(Deltagarlista!$C40),"",IF(ISBLANK(Arrangörslista!K$98),"",IF($GV41=AV$64," DNS ",IFERROR(VLOOKUP($F41,Arrangörslista!K$98:$AG$135,16,FALSE), "DNS")))), IF(Deltagarlista!$K$3=1,IF(ISBLANK(Deltagarlista!$C40),"",IF(ISBLANK(Arrangörslista!K$98),"",IFERROR(VLOOKUP($F41,Arrangörslista!K$98:$AG$135,16,FALSE), "DNS"))),""))</f>
        <v/>
      </c>
      <c r="AW41" s="5" t="str">
        <f>IF(Deltagarlista!$K$3=2,
IF(ISBLANK(Deltagarlista!$C40),"",IF(ISBLANK(Arrangörslista!L$98),"",IF($GV41=AW$64," DNS ",IFERROR(VLOOKUP($F41,Arrangörslista!L$98:$AG$135,16,FALSE), "DNS")))), IF(Deltagarlista!$K$3=1,IF(ISBLANK(Deltagarlista!$C40),"",IF(ISBLANK(Arrangörslista!L$98),"",IFERROR(VLOOKUP($F41,Arrangörslista!L$98:$AG$135,16,FALSE), "DNS"))),""))</f>
        <v/>
      </c>
      <c r="AX41" s="5" t="str">
        <f>IF(Deltagarlista!$K$3=2,
IF(ISBLANK(Deltagarlista!$C40),"",IF(ISBLANK(Arrangörslista!M$98),"",IF($GV41=AX$64," DNS ",IFERROR(VLOOKUP($F41,Arrangörslista!M$98:$AG$135,16,FALSE), "DNS")))), IF(Deltagarlista!$K$3=1,IF(ISBLANK(Deltagarlista!$C40),"",IF(ISBLANK(Arrangörslista!M$98),"",IFERROR(VLOOKUP($F41,Arrangörslista!M$98:$AG$135,16,FALSE), "DNS"))),""))</f>
        <v/>
      </c>
      <c r="AY41" s="5" t="str">
        <f>IF(Deltagarlista!$K$3=2,
IF(ISBLANK(Deltagarlista!$C40),"",IF(ISBLANK(Arrangörslista!N$98),"",IF($GV41=AY$64," DNS ",IFERROR(VLOOKUP($F41,Arrangörslista!N$98:$AG$135,16,FALSE), "DNS")))), IF(Deltagarlista!$K$3=1,IF(ISBLANK(Deltagarlista!$C40),"",IF(ISBLANK(Arrangörslista!N$98),"",IFERROR(VLOOKUP($F41,Arrangörslista!N$98:$AG$135,16,FALSE), "DNS"))),""))</f>
        <v/>
      </c>
      <c r="AZ41" s="5" t="str">
        <f>IF(Deltagarlista!$K$3=2,
IF(ISBLANK(Deltagarlista!$C40),"",IF(ISBLANK(Arrangörslista!O$98),"",IF($GV41=AZ$64," DNS ",IFERROR(VLOOKUP($F41,Arrangörslista!O$98:$AG$135,16,FALSE), "DNS")))), IF(Deltagarlista!$K$3=1,IF(ISBLANK(Deltagarlista!$C40),"",IF(ISBLANK(Arrangörslista!O$98),"",IFERROR(VLOOKUP($F41,Arrangörslista!O$98:$AG$135,16,FALSE), "DNS"))),""))</f>
        <v/>
      </c>
      <c r="BA41" s="5" t="str">
        <f>IF(Deltagarlista!$K$3=2,
IF(ISBLANK(Deltagarlista!$C40),"",IF(ISBLANK(Arrangörslista!P$98),"",IF($GV41=BA$64," DNS ",IFERROR(VLOOKUP($F41,Arrangörslista!P$98:$AG$135,16,FALSE), "DNS")))), IF(Deltagarlista!$K$3=1,IF(ISBLANK(Deltagarlista!$C40),"",IF(ISBLANK(Arrangörslista!P$98),"",IFERROR(VLOOKUP($F41,Arrangörslista!P$98:$AG$135,16,FALSE), "DNS"))),""))</f>
        <v/>
      </c>
      <c r="BB41" s="5" t="str">
        <f>IF(Deltagarlista!$K$3=2,
IF(ISBLANK(Deltagarlista!$C40),"",IF(ISBLANK(Arrangörslista!Q$98),"",IF($GV41=BB$64," DNS ",IFERROR(VLOOKUP($F41,Arrangörslista!Q$98:$AG$135,16,FALSE), "DNS")))), IF(Deltagarlista!$K$3=1,IF(ISBLANK(Deltagarlista!$C40),"",IF(ISBLANK(Arrangörslista!Q$98),"",IFERROR(VLOOKUP($F41,Arrangörslista!Q$98:$AG$135,16,FALSE), "DNS"))),""))</f>
        <v/>
      </c>
      <c r="BC41" s="5" t="str">
        <f>IF(Deltagarlista!$K$3=2,
IF(ISBLANK(Deltagarlista!$C40),"",IF(ISBLANK(Arrangörslista!C$143),"",IF($GV41=BC$64," DNS ",IFERROR(VLOOKUP($F41,Arrangörslista!C$143:$AG$180,16,FALSE), "DNS")))), IF(Deltagarlista!$K$3=1,IF(ISBLANK(Deltagarlista!$C40),"",IF(ISBLANK(Arrangörslista!C$143),"",IFERROR(VLOOKUP($F41,Arrangörslista!C$143:$AG$180,16,FALSE), "DNS"))),""))</f>
        <v/>
      </c>
      <c r="BD41" s="5" t="str">
        <f>IF(Deltagarlista!$K$3=2,
IF(ISBLANK(Deltagarlista!$C40),"",IF(ISBLANK(Arrangörslista!D$143),"",IF($GV41=BD$64," DNS ",IFERROR(VLOOKUP($F41,Arrangörslista!D$143:$AG$180,16,FALSE), "DNS")))), IF(Deltagarlista!$K$3=1,IF(ISBLANK(Deltagarlista!$C40),"",IF(ISBLANK(Arrangörslista!D$143),"",IFERROR(VLOOKUP($F41,Arrangörslista!D$143:$AG$180,16,FALSE), "DNS"))),""))</f>
        <v/>
      </c>
      <c r="BE41" s="5" t="str">
        <f>IF(Deltagarlista!$K$3=2,
IF(ISBLANK(Deltagarlista!$C40),"",IF(ISBLANK(Arrangörslista!E$143),"",IF($GV41=BE$64," DNS ",IFERROR(VLOOKUP($F41,Arrangörslista!E$143:$AG$180,16,FALSE), "DNS")))), IF(Deltagarlista!$K$3=1,IF(ISBLANK(Deltagarlista!$C40),"",IF(ISBLANK(Arrangörslista!E$143),"",IFERROR(VLOOKUP($F41,Arrangörslista!E$143:$AG$180,16,FALSE), "DNS"))),""))</f>
        <v/>
      </c>
      <c r="BF41" s="5" t="str">
        <f>IF(Deltagarlista!$K$3=2,
IF(ISBLANK(Deltagarlista!$C40),"",IF(ISBLANK(Arrangörslista!F$143),"",IF($GV41=BF$64," DNS ",IFERROR(VLOOKUP($F41,Arrangörslista!F$143:$AG$180,16,FALSE), "DNS")))), IF(Deltagarlista!$K$3=1,IF(ISBLANK(Deltagarlista!$C40),"",IF(ISBLANK(Arrangörslista!F$143),"",IFERROR(VLOOKUP($F41,Arrangörslista!F$143:$AG$180,16,FALSE), "DNS"))),""))</f>
        <v/>
      </c>
      <c r="BG41" s="5" t="str">
        <f>IF(Deltagarlista!$K$3=2,
IF(ISBLANK(Deltagarlista!$C40),"",IF(ISBLANK(Arrangörslista!G$143),"",IF($GV41=BG$64," DNS ",IFERROR(VLOOKUP($F41,Arrangörslista!G$143:$AG$180,16,FALSE), "DNS")))), IF(Deltagarlista!$K$3=1,IF(ISBLANK(Deltagarlista!$C40),"",IF(ISBLANK(Arrangörslista!G$143),"",IFERROR(VLOOKUP($F41,Arrangörslista!G$143:$AG$180,16,FALSE), "DNS"))),""))</f>
        <v/>
      </c>
      <c r="BH41" s="5" t="str">
        <f>IF(Deltagarlista!$K$3=2,
IF(ISBLANK(Deltagarlista!$C40),"",IF(ISBLANK(Arrangörslista!H$143),"",IF($GV41=BH$64," DNS ",IFERROR(VLOOKUP($F41,Arrangörslista!H$143:$AG$180,16,FALSE), "DNS")))), IF(Deltagarlista!$K$3=1,IF(ISBLANK(Deltagarlista!$C40),"",IF(ISBLANK(Arrangörslista!H$143),"",IFERROR(VLOOKUP($F41,Arrangörslista!H$143:$AG$180,16,FALSE), "DNS"))),""))</f>
        <v/>
      </c>
      <c r="BI41" s="5" t="str">
        <f>IF(Deltagarlista!$K$3=2,
IF(ISBLANK(Deltagarlista!$C40),"",IF(ISBLANK(Arrangörslista!I$143),"",IF($GV41=BI$64," DNS ",IFERROR(VLOOKUP($F41,Arrangörslista!I$143:$AG$180,16,FALSE), "DNS")))), IF(Deltagarlista!$K$3=1,IF(ISBLANK(Deltagarlista!$C40),"",IF(ISBLANK(Arrangörslista!I$143),"",IFERROR(VLOOKUP($F41,Arrangörslista!I$143:$AG$180,16,FALSE), "DNS"))),""))</f>
        <v/>
      </c>
      <c r="BJ41" s="5" t="str">
        <f>IF(Deltagarlista!$K$3=2,
IF(ISBLANK(Deltagarlista!$C40),"",IF(ISBLANK(Arrangörslista!J$143),"",IF($GV41=BJ$64," DNS ",IFERROR(VLOOKUP($F41,Arrangörslista!J$143:$AG$180,16,FALSE), "DNS")))), IF(Deltagarlista!$K$3=1,IF(ISBLANK(Deltagarlista!$C40),"",IF(ISBLANK(Arrangörslista!J$143),"",IFERROR(VLOOKUP($F41,Arrangörslista!J$143:$AG$180,16,FALSE), "DNS"))),""))</f>
        <v/>
      </c>
      <c r="BK41" s="5" t="str">
        <f>IF(Deltagarlista!$K$3=2,
IF(ISBLANK(Deltagarlista!$C40),"",IF(ISBLANK(Arrangörslista!K$143),"",IF($GV41=BK$64," DNS ",IFERROR(VLOOKUP($F41,Arrangörslista!K$143:$AG$180,16,FALSE), "DNS")))), IF(Deltagarlista!$K$3=1,IF(ISBLANK(Deltagarlista!$C40),"",IF(ISBLANK(Arrangörslista!K$143),"",IFERROR(VLOOKUP($F41,Arrangörslista!K$143:$AG$180,16,FALSE), "DNS"))),""))</f>
        <v/>
      </c>
      <c r="BL41" s="5" t="str">
        <f>IF(Deltagarlista!$K$3=2,
IF(ISBLANK(Deltagarlista!$C40),"",IF(ISBLANK(Arrangörslista!L$143),"",IF($GV41=BL$64," DNS ",IFERROR(VLOOKUP($F41,Arrangörslista!L$143:$AG$180,16,FALSE), "DNS")))), IF(Deltagarlista!$K$3=1,IF(ISBLANK(Deltagarlista!$C40),"",IF(ISBLANK(Arrangörslista!L$143),"",IFERROR(VLOOKUP($F41,Arrangörslista!L$143:$AG$180,16,FALSE), "DNS"))),""))</f>
        <v/>
      </c>
      <c r="BM41" s="5" t="str">
        <f>IF(Deltagarlista!$K$3=2,
IF(ISBLANK(Deltagarlista!$C40),"",IF(ISBLANK(Arrangörslista!M$143),"",IF($GV41=BM$64," DNS ",IFERROR(VLOOKUP($F41,Arrangörslista!M$143:$AG$180,16,FALSE), "DNS")))), IF(Deltagarlista!$K$3=1,IF(ISBLANK(Deltagarlista!$C40),"",IF(ISBLANK(Arrangörslista!M$143),"",IFERROR(VLOOKUP($F41,Arrangörslista!M$143:$AG$180,16,FALSE), "DNS"))),""))</f>
        <v/>
      </c>
      <c r="BN41" s="5" t="str">
        <f>IF(Deltagarlista!$K$3=2,
IF(ISBLANK(Deltagarlista!$C40),"",IF(ISBLANK(Arrangörslista!N$143),"",IF($GV41=BN$64," DNS ",IFERROR(VLOOKUP($F41,Arrangörslista!N$143:$AG$180,16,FALSE), "DNS")))), IF(Deltagarlista!$K$3=1,IF(ISBLANK(Deltagarlista!$C40),"",IF(ISBLANK(Arrangörslista!N$143),"",IFERROR(VLOOKUP($F41,Arrangörslista!N$143:$AG$180,16,FALSE), "DNS"))),""))</f>
        <v/>
      </c>
      <c r="BO41" s="5" t="str">
        <f>IF(Deltagarlista!$K$3=2,
IF(ISBLANK(Deltagarlista!$C40),"",IF(ISBLANK(Arrangörslista!O$143),"",IF($GV41=BO$64," DNS ",IFERROR(VLOOKUP($F41,Arrangörslista!O$143:$AG$180,16,FALSE), "DNS")))), IF(Deltagarlista!$K$3=1,IF(ISBLANK(Deltagarlista!$C40),"",IF(ISBLANK(Arrangörslista!O$143),"",IFERROR(VLOOKUP($F41,Arrangörslista!O$143:$AG$180,16,FALSE), "DNS"))),""))</f>
        <v/>
      </c>
      <c r="BP41" s="5" t="str">
        <f>IF(Deltagarlista!$K$3=2,
IF(ISBLANK(Deltagarlista!$C40),"",IF(ISBLANK(Arrangörslista!P$143),"",IF($GV41=BP$64," DNS ",IFERROR(VLOOKUP($F41,Arrangörslista!P$143:$AG$180,16,FALSE), "DNS")))), IF(Deltagarlista!$K$3=1,IF(ISBLANK(Deltagarlista!$C40),"",IF(ISBLANK(Arrangörslista!P$143),"",IFERROR(VLOOKUP($F41,Arrangörslista!P$143:$AG$180,16,FALSE), "DNS"))),""))</f>
        <v/>
      </c>
      <c r="BQ41" s="80" t="str">
        <f>IF(Deltagarlista!$K$3=2,
IF(ISBLANK(Deltagarlista!$C40),"",IF(ISBLANK(Arrangörslista!Q$143),"",IF($GV41=BQ$64," DNS ",IFERROR(VLOOKUP($F41,Arrangörslista!Q$143:$AG$180,16,FALSE), "DNS")))), IF(Deltagarlista!$K$3=1,IF(ISBLANK(Deltagarlista!$C40),"",IF(ISBLANK(Arrangörslista!Q$143),"",IFERROR(VLOOKUP($F41,Arrangörslista!Q$143:$AG$180,16,FALSE), "DNS"))),""))</f>
        <v/>
      </c>
      <c r="BR41" s="51"/>
      <c r="BS41" s="51"/>
      <c r="BT41" s="51"/>
      <c r="BU41" s="71">
        <f>SUM(BV41:EC41)</f>
        <v>0</v>
      </c>
      <c r="BV41" s="61">
        <f>IF(J41="",0,IF(OR(J41="DNF",J41="OCS",J41="DSQ",J41="DNS",J41=" DNS "),$BW$3+1,J41))</f>
        <v>0</v>
      </c>
      <c r="BW41" s="61">
        <f>IF(K41="",0,IF(OR(K41="DNF",K41="OCS",K41="DSQ",K41="DNS",K41=" DNS "),$BW$3+1,K41))</f>
        <v>0</v>
      </c>
      <c r="BX41" s="61">
        <f>IF(L41="",0,IF(OR(L41="DNF",L41="OCS",L41="DSQ",L41="DNS",L41=" DNS "),$BW$3+1,L41))</f>
        <v>0</v>
      </c>
      <c r="BY41" s="61">
        <f>IF(M41="",0,IF(OR(M41="DNF",M41="OCS",M41="DSQ",M41="DNS",M41=" DNS "),$BW$3+1,M41))</f>
        <v>0</v>
      </c>
      <c r="BZ41" s="61">
        <f>IF(N41="",0,IF(OR(N41="DNF",N41="OCS",N41="DSQ",N41="DNS",N41=" DNS "),$BW$3+1,N41))</f>
        <v>0</v>
      </c>
      <c r="CA41" s="61">
        <f>IF(O41="",0,IF(OR(O41="DNF",O41="OCS",O41="DSQ",O41="DNS",O41=" DNS "),$BW$3+1,O41))</f>
        <v>0</v>
      </c>
      <c r="CB41" s="61">
        <f>IF(P41="",0,IF(OR(P41="DNF",P41="OCS",P41="DSQ",P41="DNS",P41=" DNS "),$BW$3+1,P41))</f>
        <v>0</v>
      </c>
      <c r="CC41" s="61">
        <f>IF(Q41="",0,IF(OR(Q41="DNF",Q41="OCS",Q41="DSQ",Q41="DNS",Q41=" DNS "),$BW$3+1,Q41))</f>
        <v>0</v>
      </c>
      <c r="CD41" s="61">
        <f>IF(R41="",0,IF(OR(R41="DNF",R41="OCS",R41="DSQ",R41="DNS",R41=" DNS "),$BW$3+1,R41))</f>
        <v>0</v>
      </c>
      <c r="CE41" s="61">
        <f>IF(S41="",0,IF(OR(S41="DNF",S41="OCS",S41="DSQ",S41="DNS",S41=" DNS "),$BW$3+1,S41))</f>
        <v>0</v>
      </c>
      <c r="CF41" s="61">
        <f>IF(T41="",0,IF(OR(T41="DNF",T41="OCS",T41="DSQ",T41="DNS",T41=" DNS "),$BW$3+1,T41))</f>
        <v>0</v>
      </c>
      <c r="CG41" s="61">
        <f>IF(U41="",0,IF(OR(U41="DNF",U41="OCS",U41="DSQ",U41="DNS",U41=" DNS "),$BW$3+1,U41))</f>
        <v>0</v>
      </c>
      <c r="CH41" s="61">
        <f>IF(V41="",0,IF(OR(V41="DNF",V41="OCS",V41="DSQ",V41="DNS",V41=" DNS "),$BW$3+1,V41))</f>
        <v>0</v>
      </c>
      <c r="CI41" s="61">
        <f>IF(W41="",0,IF(OR(W41="DNF",W41="OCS",W41="DSQ",W41="DNS",W41=" DNS "),$BW$3+1,W41))</f>
        <v>0</v>
      </c>
      <c r="CJ41" s="61">
        <f>IF(X41="",0,IF(OR(X41="DNF",X41="OCS",X41="DSQ",X41="DNS",X41=" DNS "),$BW$3+1,X41))</f>
        <v>0</v>
      </c>
      <c r="CK41" s="61">
        <f>IF(Y41="",0,IF(OR(Y41="DNF",Y41="OCS",Y41="DSQ",Y41="DNS",Y41=" DNS "),$BW$3+1,Y41))</f>
        <v>0</v>
      </c>
      <c r="CL41" s="61">
        <f>IF(Z41="",0,IF(OR(Z41="DNF",Z41="OCS",Z41="DSQ",Z41="DNS",Z41=" DNS "),$BW$3+1,Z41))</f>
        <v>0</v>
      </c>
      <c r="CM41" s="61">
        <f>IF(AA41="",0,IF(OR(AA41="DNF",AA41="OCS",AA41="DSQ",AA41="DNS",AA41=" DNS "),$BW$3+1,AA41))</f>
        <v>0</v>
      </c>
      <c r="CN41" s="61">
        <f>IF(AB41="",0,IF(OR(AB41="DNF",AB41="OCS",AB41="DSQ",AB41="DNS",AB41=" DNS "),$BW$3+1,AB41))</f>
        <v>0</v>
      </c>
      <c r="CO41" s="61">
        <f>IF(AC41="",0,IF(OR(AC41="DNF",AC41="OCS",AC41="DSQ",AC41="DNS",AC41=" DNS "),$BW$3+1,AC41))</f>
        <v>0</v>
      </c>
      <c r="CP41" s="61">
        <f>IF(AD41="",0,IF(OR(AD41="DNF",AD41="OCS",AD41="DSQ",AD41="DNS",AD41=" DNS "),$BW$3+1,AD41))</f>
        <v>0</v>
      </c>
      <c r="CQ41" s="61">
        <f>IF(AE41="",0,IF(OR(AE41="DNF",AE41="OCS",AE41="DSQ",AE41="DNS",AE41=" DNS "),$BW$3+1,AE41))</f>
        <v>0</v>
      </c>
      <c r="CR41" s="61">
        <f>IF(AF41="",0,IF(OR(AF41="DNF",AF41="OCS",AF41="DSQ",AF41="DNS",AF41=" DNS "),$BW$3+1,AF41))</f>
        <v>0</v>
      </c>
      <c r="CS41" s="61">
        <f>IF(AG41="",0,IF(OR(AG41="DNF",AG41="OCS",AG41="DSQ",AG41="DNS",AG41=" DNS "),$BW$3+1,AG41))</f>
        <v>0</v>
      </c>
      <c r="CT41" s="61">
        <f>IF(AH41="",0,IF(OR(AH41="DNF",AH41="OCS",AH41="DSQ",AH41="DNS",AH41=" DNS "),$BW$3+1,AH41))</f>
        <v>0</v>
      </c>
      <c r="CU41" s="61">
        <f>IF(AI41="",0,IF(OR(AI41="DNF",AI41="OCS",AI41="DSQ",AI41="DNS",AI41=" DNS "),$BW$3+1,AI41))</f>
        <v>0</v>
      </c>
      <c r="CV41" s="61">
        <f>IF(AJ41="",0,IF(OR(AJ41="DNF",AJ41="OCS",AJ41="DSQ",AJ41="DNS",AJ41=" DNS "),$BW$3+1,AJ41))</f>
        <v>0</v>
      </c>
      <c r="CW41" s="61">
        <f>IF(AK41="",0,IF(OR(AK41="DNF",AK41="OCS",AK41="DSQ",AK41="DNS",AK41=" DNS "),$BW$3+1,AK41))</f>
        <v>0</v>
      </c>
      <c r="CX41" s="61">
        <f>IF(AL41="",0,IF(OR(AL41="DNF",AL41="OCS",AL41="DSQ",AL41="DNS",AL41=" DNS "),$BW$3+1,AL41))</f>
        <v>0</v>
      </c>
      <c r="CY41" s="61">
        <f>IF(AM41="",0,IF(OR(AM41="DNF",AM41="OCS",AM41="DSQ",AM41="DNS",AM41=" DNS "),$BW$3+1,AM41))</f>
        <v>0</v>
      </c>
      <c r="CZ41" s="61">
        <f>IF(AN41="",0,IF(OR(AN41="DNF",AN41="OCS",AN41="DSQ",AN41="DNS",AN41=" DNS "),$BW$3+1,AN41))</f>
        <v>0</v>
      </c>
      <c r="DA41" s="61">
        <f>IF(AO41="",0,IF(OR(AO41="DNF",AO41="OCS",AO41="DSQ",AO41="DNS",AO41=" DNS "),$BW$3+1,AO41))</f>
        <v>0</v>
      </c>
      <c r="DB41" s="61">
        <f>IF(AP41="",0,IF(OR(AP41="DNF",AP41="OCS",AP41="DSQ",AP41="DNS",AP41=" DNS "),$BW$3+1,AP41))</f>
        <v>0</v>
      </c>
      <c r="DC41" s="61">
        <f>IF(AQ41="",0,IF(OR(AQ41="DNF",AQ41="OCS",AQ41="DSQ",AQ41="DNS",AQ41=" DNS "),$BW$3+1,AQ41))</f>
        <v>0</v>
      </c>
      <c r="DD41" s="61">
        <f>IF(AR41="",0,IF(OR(AR41="DNF",AR41="OCS",AR41="DSQ",AR41="DNS",AR41=" DNS "),$BW$3+1,AR41))</f>
        <v>0</v>
      </c>
      <c r="DE41" s="61">
        <f>IF(AS41="",0,IF(OR(AS41="DNF",AS41="OCS",AS41="DSQ",AS41="DNS",AS41=" DNS "),$BW$3+1,AS41))</f>
        <v>0</v>
      </c>
      <c r="DF41" s="61">
        <f>IF(AT41="",0,IF(OR(AT41="DNF",AT41="OCS",AT41="DSQ",AT41="DNS",AT41=" DNS "),$BW$3+1,AT41))</f>
        <v>0</v>
      </c>
      <c r="DG41" s="61">
        <f>IF(AU41="",0,IF(OR(AU41="DNF",AU41="OCS",AU41="DSQ",AU41="DNS",AU41=" DNS "),$BW$3+1,AU41))</f>
        <v>0</v>
      </c>
      <c r="DH41" s="61">
        <f>IF(AV41="",0,IF(OR(AV41="DNF",AV41="OCS",AV41="DSQ",AV41="DNS",AV41=" DNS "),$BW$3+1,AV41))</f>
        <v>0</v>
      </c>
      <c r="DI41" s="61">
        <f>IF(AW41="",0,IF(OR(AW41="DNF",AW41="OCS",AW41="DSQ",AW41="DNS",AW41=" DNS "),$BW$3+1,AW41))</f>
        <v>0</v>
      </c>
      <c r="DJ41" s="61">
        <f>IF(AX41="",0,IF(OR(AX41="DNF",AX41="OCS",AX41="DSQ",AX41="DNS",AX41=" DNS "),$BW$3+1,AX41))</f>
        <v>0</v>
      </c>
      <c r="DK41" s="61">
        <f>IF(AY41="",0,IF(OR(AY41="DNF",AY41="OCS",AY41="DSQ",AY41="DNS",AY41=" DNS "),$BW$3+1,AY41))</f>
        <v>0</v>
      </c>
      <c r="DL41" s="61">
        <f>IF(AZ41="",0,IF(OR(AZ41="DNF",AZ41="OCS",AZ41="DSQ",AZ41="DNS",AZ41=" DNS "),$BW$3+1,AZ41))</f>
        <v>0</v>
      </c>
      <c r="DM41" s="61">
        <f>IF(BA41="",0,IF(OR(BA41="DNF",BA41="OCS",BA41="DSQ",BA41="DNS",BA41=" DNS "),$BW$3+1,BA41))</f>
        <v>0</v>
      </c>
      <c r="DN41" s="61">
        <f>IF(BB41="",0,IF(OR(BB41="DNF",BB41="OCS",BB41="DSQ",BB41="DNS",BB41=" DNS "),$BW$3+1,BB41))</f>
        <v>0</v>
      </c>
      <c r="DO41" s="61">
        <f>IF(BC41="",0,IF(OR(BC41="DNF",BC41="OCS",BC41="DSQ",BC41="DNS",BC41=" DNS "),$BW$3+1,BC41))</f>
        <v>0</v>
      </c>
      <c r="DP41" s="61">
        <f>IF(BD41="",0,IF(OR(BD41="DNF",BD41="OCS",BD41="DSQ",BD41="DNS",BD41=" DNS "),$BW$3+1,BD41))</f>
        <v>0</v>
      </c>
      <c r="DQ41" s="61">
        <f>IF(BE41="",0,IF(OR(BE41="DNF",BE41="OCS",BE41="DSQ",BE41="DNS",BE41=" DNS "),$BW$3+1,BE41))</f>
        <v>0</v>
      </c>
      <c r="DR41" s="61">
        <f>IF(BF41="",0,IF(OR(BF41="DNF",BF41="OCS",BF41="DSQ",BF41="DNS",BF41=" DNS "),$BW$3+1,BF41))</f>
        <v>0</v>
      </c>
      <c r="DS41" s="61">
        <f>IF(BG41="",0,IF(OR(BG41="DNF",BG41="OCS",BG41="DSQ",BG41="DNS",BG41=" DNS "),$BW$3+1,BG41))</f>
        <v>0</v>
      </c>
      <c r="DT41" s="61">
        <f>IF(BH41="",0,IF(OR(BH41="DNF",BH41="OCS",BH41="DSQ",BH41="DNS",BH41=" DNS "),$BW$3+1,BH41))</f>
        <v>0</v>
      </c>
      <c r="DU41" s="61">
        <f>IF(BI41="",0,IF(OR(BI41="DNF",BI41="OCS",BI41="DSQ",BI41="DNS",BI41=" DNS "),$BW$3+1,BI41))</f>
        <v>0</v>
      </c>
      <c r="DV41" s="61">
        <f>IF(BJ41="",0,IF(OR(BJ41="DNF",BJ41="OCS",BJ41="DSQ",BJ41="DNS",BJ41=" DNS "),$BW$3+1,BJ41))</f>
        <v>0</v>
      </c>
      <c r="DW41" s="61">
        <f>IF(BK41="",0,IF(OR(BK41="DNF",BK41="OCS",BK41="DSQ",BK41="DNS",BK41=" DNS "),$BW$3+1,BK41))</f>
        <v>0</v>
      </c>
      <c r="DX41" s="61">
        <f>IF(BL41="",0,IF(OR(BL41="DNF",BL41="OCS",BL41="DSQ",BL41="DNS",BL41=" DNS "),$BW$3+1,BL41))</f>
        <v>0</v>
      </c>
      <c r="DY41" s="61">
        <f>IF(BM41="",0,IF(OR(BM41="DNF",BM41="OCS",BM41="DSQ",BM41="DNS",BM41=" DNS "),$BW$3+1,BM41))</f>
        <v>0</v>
      </c>
      <c r="DZ41" s="61">
        <f>IF(BN41="",0,IF(OR(BN41="DNF",BN41="OCS",BN41="DSQ",BN41="DNS",BN41=" DNS "),$BW$3+1,BN41))</f>
        <v>0</v>
      </c>
      <c r="EA41" s="61">
        <f>IF(BO41="",0,IF(OR(BO41="DNF",BO41="OCS",BO41="DSQ",BO41="DNS",BO41=" DNS "),$BW$3+1,BO41))</f>
        <v>0</v>
      </c>
      <c r="EB41" s="61">
        <f>IF(BP41="",0,IF(OR(BP41="DNF",BP41="OCS",BP41="DSQ",BP41="DNS",BP41=" DNS "),$BW$3+1,BP41))</f>
        <v>0</v>
      </c>
      <c r="EC41" s="61">
        <f>IF(BQ41="",0,IF(OR(BQ41="DNF",BQ41="OCS",BQ41="DSQ",BQ41="DNS",BQ41=" DNS "),$BW$3+1,BQ41))</f>
        <v>0</v>
      </c>
      <c r="EE41" s="61">
        <f xml:space="preserve">
IF(OR(Deltagarlista!$K$3=3,Deltagarlista!$K$3=4),
IF(Arrangörslista!$U$5&lt;8,0,
IF(Arrangörslista!$U$5&lt;16,SUM(LARGE(BV41:CJ41,1)),
IF(Arrangörslista!$U$5&lt;24,SUM(LARGE(BV41:CR41,{1;2})),
IF(Arrangörslista!$U$5&lt;32,SUM(LARGE(BV41:CZ41,{1;2;3})),
IF(Arrangörslista!$U$5&lt;40,SUM(LARGE(BV41:DH41,{1;2;3;4})),
IF(Arrangörslista!$U$5&lt;48,SUM(LARGE(BV41:DP41,{1;2;3;4;5})),
IF(Arrangörslista!$U$5&lt;56,SUM(LARGE(BV41:DX41,{1;2;3;4;5;6})),
IF(Arrangörslista!$U$5&lt;64,SUM(LARGE(BV41:EC41,{1;2;3;4;5;6;7})),0)))))))),
IF(Deltagarlista!$K$3=2,
IF(Arrangörslista!$U$5&lt;4,LARGE(BV41:BX41,1),
IF(Arrangörslista!$U$5&lt;7,SUM(LARGE(BV41:CA41,{1;2;3})),
IF(Arrangörslista!$U$5&lt;10,SUM(LARGE(BV41:CD41,{1;2;3;4})),
IF(Arrangörslista!$U$5&lt;13,SUM(LARGE(BV41:CG41,{1;2;3;4;5;6})),
IF(Arrangörslista!$U$5&lt;16,SUM(LARGE(BV41:CJ41,{1;2;3;4;5;6;7})),
IF(Arrangörslista!$U$5&lt;19,SUM(LARGE(BV41:CM41,{1;2;3;4;5;6;7;8;9})),
IF(Arrangörslista!$U$5&lt;22,SUM(LARGE(BV41:CP41,{1;2;3;4;5;6;7;8;9;10})),
IF(Arrangörslista!$U$5&lt;25,SUM(LARGE(BV41:CS41,{1;2;3;4;5;6;7;8;9;10;11;12})),
IF(Arrangörslista!$U$5&lt;28,SUM(LARGE(BV41:CV41,{1;2;3;4;5;6;7;8;9;10;11;12;13})),
IF(Arrangörslista!$U$5&lt;31,SUM(LARGE(BV41:CY41,{1;2;3;4;5;6;7;8;9;10;11;12;13;14;15})),
IF(Arrangörslista!$U$5&lt;34,SUM(LARGE(BV41:DB41,{1;2;3;4;5;6;7;8;9;10;11;12;13;14;15;16})),
IF(Arrangörslista!$U$5&lt;37,SUM(LARGE(BV41:DE41,{1;2;3;4;5;6;7;8;9;10;11;12;13;14;15;16;17;18})),
IF(Arrangörslista!$U$5&lt;40,SUM(LARGE(BV41:DH41,{1;2;3;4;5;6;7;8;9;10;11;12;13;14;15;16;17;18;19})),
IF(Arrangörslista!$U$5&lt;43,SUM(LARGE(BV41:DK41,{1;2;3;4;5;6;7;8;9;10;11;12;13;14;15;16;17;18;19;20;21})),
IF(Arrangörslista!$U$5&lt;46,SUM(LARGE(BV41:DN41,{1;2;3;4;5;6;7;8;9;10;11;12;13;14;15;16;17;18;19;20;21;22})),
IF(Arrangörslista!$U$5&lt;49,SUM(LARGE(BV41:DQ41,{1;2;3;4;5;6;7;8;9;10;11;12;13;14;15;16;17;18;19;20;21;22;23;24})),
IF(Arrangörslista!$U$5&lt;52,SUM(LARGE(BV41:DT41,{1;2;3;4;5;6;7;8;9;10;11;12;13;14;15;16;17;18;19;20;21;22;23;24;25})),
IF(Arrangörslista!$U$5&lt;55,SUM(LARGE(BV41:DW41,{1;2;3;4;5;6;7;8;9;10;11;12;13;14;15;16;17;18;19;20;21;22;23;24;25;26;27})),
IF(Arrangörslista!$U$5&lt;58,SUM(LARGE(BV41:DZ41,{1;2;3;4;5;6;7;8;9;10;11;12;13;14;15;16;17;18;19;20;21;22;23;24;25;26;27;28})),
IF(Arrangörslista!$U$5&lt;61,SUM(LARGE(BV41:EC41,{1;2;3;4;5;6;7;8;9;10;11;12;13;14;15;16;17;18;19;20;21;22;23;24;25;26;27;28;29;30})),0)))))))))))))))))))),
IF(Arrangörslista!$U$5&lt;4,0,
IF(Arrangörslista!$U$5&lt;8,SUM(LARGE(BV41:CB41,1)),
IF(Arrangörslista!$U$5&lt;12,SUM(LARGE(BV41:CF41,{1;2})),
IF(Arrangörslista!$U$5&lt;16,SUM(LARGE(BV41:CJ41,{1;2;3})),
IF(Arrangörslista!$U$5&lt;20,SUM(LARGE(BV41:CN41,{1;2;3;4})),
IF(Arrangörslista!$U$5&lt;24,SUM(LARGE(BV41:CR41,{1;2;3;4;5})),
IF(Arrangörslista!$U$5&lt;28,SUM(LARGE(BV41:CV41,{1;2;3;4;5;6})),
IF(Arrangörslista!$U$5&lt;32,SUM(LARGE(BV41:CZ41,{1;2;3;4;5;6;7})),
IF(Arrangörslista!$U$5&lt;36,SUM(LARGE(BV41:DD41,{1;2;3;4;5;6;7;8})),
IF(Arrangörslista!$U$5&lt;40,SUM(LARGE(BV41:DH41,{1;2;3;4;5;6;7;8;9})),
IF(Arrangörslista!$U$5&lt;44,SUM(LARGE(BV41:DL41,{1;2;3;4;5;6;7;8;9;10})),
IF(Arrangörslista!$U$5&lt;48,SUM(LARGE(BV41:DP41,{1;2;3;4;5;6;7;8;9;10;11})),
IF(Arrangörslista!$U$5&lt;52,SUM(LARGE(BV41:DT41,{1;2;3;4;5;6;7;8;9;10;11;12})),
IF(Arrangörslista!$U$5&lt;56,SUM(LARGE(BV41:DX41,{1;2;3;4;5;6;7;8;9;10;11;12;13})),
IF(Arrangörslista!$U$5&lt;60,SUM(LARGE(BV41:EB41,{1;2;3;4;5;6;7;8;9;10;11;12;13;14})),
IF(Arrangörslista!$U$5=60,SUM(LARGE(BV41:EC41,{1;2;3;4;5;6;7;8;9;10;11;12;13;14;15})),0))))))))))))))))))</f>
        <v>0</v>
      </c>
      <c r="EG41" s="67">
        <f>IF(F41="",,1)</f>
        <v>0</v>
      </c>
      <c r="EH41" s="61"/>
      <c r="EI41" s="61"/>
      <c r="EK41" s="62">
        <f>SMALL($J104:$BQ104,1)</f>
        <v>61</v>
      </c>
      <c r="EL41" s="62">
        <f>SMALL($J104:$BQ104,2)</f>
        <v>61</v>
      </c>
      <c r="EM41" s="62">
        <f>SMALL($J104:$BQ104,3)</f>
        <v>61</v>
      </c>
      <c r="EN41" s="62">
        <f>SMALL($J104:$BQ104,4)</f>
        <v>61</v>
      </c>
      <c r="EO41" s="62">
        <f>SMALL($J104:$BQ104,5)</f>
        <v>61</v>
      </c>
      <c r="EP41" s="62">
        <f>SMALL($J104:$BQ104,6)</f>
        <v>61</v>
      </c>
      <c r="EQ41" s="62">
        <f>SMALL($J104:$BQ104,7)</f>
        <v>61</v>
      </c>
      <c r="ER41" s="62">
        <f>SMALL($J104:$BQ104,8)</f>
        <v>61</v>
      </c>
      <c r="ES41" s="62">
        <f>SMALL($J104:$BQ104,9)</f>
        <v>61</v>
      </c>
      <c r="ET41" s="62">
        <f>SMALL($J104:$BQ104,10)</f>
        <v>61</v>
      </c>
      <c r="EU41" s="62">
        <f>SMALL($J104:$BQ104,11)</f>
        <v>61</v>
      </c>
      <c r="EV41" s="62">
        <f>SMALL($J104:$BQ104,12)</f>
        <v>61</v>
      </c>
      <c r="EW41" s="62">
        <f>SMALL($J104:$BQ104,13)</f>
        <v>61</v>
      </c>
      <c r="EX41" s="62">
        <f>SMALL($J104:$BQ104,14)</f>
        <v>61</v>
      </c>
      <c r="EY41" s="62">
        <f>SMALL($J104:$BQ104,15)</f>
        <v>61</v>
      </c>
      <c r="EZ41" s="62">
        <f>SMALL($J104:$BQ104,16)</f>
        <v>61</v>
      </c>
      <c r="FA41" s="62">
        <f>SMALL($J104:$BQ104,17)</f>
        <v>61</v>
      </c>
      <c r="FB41" s="62">
        <f>SMALL($J104:$BQ104,18)</f>
        <v>61</v>
      </c>
      <c r="FC41" s="62">
        <f>SMALL($J104:$BQ104,19)</f>
        <v>61</v>
      </c>
      <c r="FD41" s="62">
        <f>SMALL($J104:$BQ104,20)</f>
        <v>61</v>
      </c>
      <c r="FE41" s="62">
        <f>SMALL($J104:$BQ104,21)</f>
        <v>61</v>
      </c>
      <c r="FF41" s="62">
        <f>SMALL($J104:$BQ104,22)</f>
        <v>61</v>
      </c>
      <c r="FG41" s="62">
        <f>SMALL($J104:$BQ104,23)</f>
        <v>61</v>
      </c>
      <c r="FH41" s="62">
        <f>SMALL($J104:$BQ104,24)</f>
        <v>61</v>
      </c>
      <c r="FI41" s="62">
        <f>SMALL($J104:$BQ104,25)</f>
        <v>61</v>
      </c>
      <c r="FJ41" s="62">
        <f>SMALL($J104:$BQ104,26)</f>
        <v>61</v>
      </c>
      <c r="FK41" s="62">
        <f>SMALL($J104:$BQ104,27)</f>
        <v>61</v>
      </c>
      <c r="FL41" s="62">
        <f>SMALL($J104:$BQ104,28)</f>
        <v>61</v>
      </c>
      <c r="FM41" s="62">
        <f>SMALL($J104:$BQ104,29)</f>
        <v>61</v>
      </c>
      <c r="FN41" s="62">
        <f>SMALL($J104:$BQ104,30)</f>
        <v>61</v>
      </c>
      <c r="FO41" s="62">
        <f>SMALL($J104:$BQ104,31)</f>
        <v>61</v>
      </c>
      <c r="FP41" s="62">
        <f>SMALL($J104:$BQ104,32)</f>
        <v>61</v>
      </c>
      <c r="FQ41" s="62">
        <f>SMALL($J104:$BQ104,33)</f>
        <v>61</v>
      </c>
      <c r="FR41" s="62">
        <f>SMALL($J104:$BQ104,34)</f>
        <v>61</v>
      </c>
      <c r="FS41" s="62">
        <f>SMALL($J104:$BQ104,35)</f>
        <v>61</v>
      </c>
      <c r="FT41" s="62">
        <f>SMALL($J104:$BQ104,36)</f>
        <v>61</v>
      </c>
      <c r="FU41" s="62">
        <f>SMALL($J104:$BQ104,37)</f>
        <v>61</v>
      </c>
      <c r="FV41" s="62">
        <f>SMALL($J104:$BQ104,38)</f>
        <v>61</v>
      </c>
      <c r="FW41" s="62">
        <f>SMALL($J104:$BQ104,39)</f>
        <v>61</v>
      </c>
      <c r="FX41" s="62">
        <f>SMALL($J104:$BQ104,40)</f>
        <v>61</v>
      </c>
      <c r="FY41" s="62">
        <f>SMALL($J104:$BQ104,41)</f>
        <v>61</v>
      </c>
      <c r="FZ41" s="62">
        <f>SMALL($J104:$BQ104,42)</f>
        <v>61</v>
      </c>
      <c r="GA41" s="62">
        <f>SMALL($J104:$BQ104,43)</f>
        <v>61</v>
      </c>
      <c r="GB41" s="62">
        <f>SMALL($J104:$BQ104,44)</f>
        <v>61</v>
      </c>
      <c r="GC41" s="62">
        <f>SMALL($J104:$BQ104,45)</f>
        <v>61</v>
      </c>
      <c r="GD41" s="62">
        <f>SMALL($J104:$BQ104,46)</f>
        <v>61</v>
      </c>
      <c r="GE41" s="62">
        <f>SMALL($J104:$BQ104,47)</f>
        <v>61</v>
      </c>
      <c r="GF41" s="62">
        <f>SMALL($J104:$BQ104,48)</f>
        <v>61</v>
      </c>
      <c r="GG41" s="62">
        <f>SMALL($J104:$BQ104,49)</f>
        <v>61</v>
      </c>
      <c r="GH41" s="62">
        <f>SMALL($J104:$BQ104,50)</f>
        <v>61</v>
      </c>
      <c r="GI41" s="62">
        <f>SMALL($J104:$BQ104,51)</f>
        <v>61</v>
      </c>
      <c r="GJ41" s="62">
        <f>SMALL($J104:$BQ104,52)</f>
        <v>61</v>
      </c>
      <c r="GK41" s="62">
        <f>SMALL($J104:$BQ104,53)</f>
        <v>61</v>
      </c>
      <c r="GL41" s="62">
        <f>SMALL($J104:$BQ104,54)</f>
        <v>61</v>
      </c>
      <c r="GM41" s="62">
        <f>SMALL($J104:$BQ104,55)</f>
        <v>61</v>
      </c>
      <c r="GN41" s="62">
        <f>SMALL($J104:$BQ104,56)</f>
        <v>61</v>
      </c>
      <c r="GO41" s="62">
        <f>SMALL($J104:$BQ104,57)</f>
        <v>61</v>
      </c>
      <c r="GP41" s="62">
        <f>SMALL($J104:$BQ104,58)</f>
        <v>61</v>
      </c>
      <c r="GQ41" s="62">
        <f>SMALL($J104:$BQ104,59)</f>
        <v>61</v>
      </c>
      <c r="GR41" s="62">
        <f>SMALL($J104:$BQ104,60)</f>
        <v>61</v>
      </c>
      <c r="GT41" s="62">
        <f>IF(Deltagarlista!$K$3=2,
IF(GW41="1",
      IF(Arrangörslista!$U$5=1,J104,
IF(Arrangörslista!$U$5=2,K104,
IF(Arrangörslista!$U$5=3,L104,
IF(Arrangörslista!$U$5=4,M104,
IF(Arrangörslista!$U$5=5,N104,
IF(Arrangörslista!$U$5=6,O104,
IF(Arrangörslista!$U$5=7,P104,
IF(Arrangörslista!$U$5=8,Q104,
IF(Arrangörslista!$U$5=9,R104,
IF(Arrangörslista!$U$5=10,S104,
IF(Arrangörslista!$U$5=11,T104,
IF(Arrangörslista!$U$5=12,U104,
IF(Arrangörslista!$U$5=13,V104,
IF(Arrangörslista!$U$5=14,W104,
IF(Arrangörslista!$U$5=15,X104,
IF(Arrangörslista!$U$5=16,Y104,IF(Arrangörslista!$U$5=17,Z104,IF(Arrangörslista!$U$5=18,AA104,IF(Arrangörslista!$U$5=19,AB104,IF(Arrangörslista!$U$5=20,AC104,IF(Arrangörslista!$U$5=21,AD104,IF(Arrangörslista!$U$5=22,AE104,IF(Arrangörslista!$U$5=23,AF104, IF(Arrangörslista!$U$5=24,AG104, IF(Arrangörslista!$U$5=25,AH104, IF(Arrangörslista!$U$5=26,AI104, IF(Arrangörslista!$U$5=27,AJ104, IF(Arrangörslista!$U$5=28,AK104, IF(Arrangörslista!$U$5=29,AL104, IF(Arrangörslista!$U$5=30,AM104, IF(Arrangörslista!$U$5=31,AN104, IF(Arrangörslista!$U$5=32,AO104, IF(Arrangörslista!$U$5=33,AP104, IF(Arrangörslista!$U$5=34,AQ104, IF(Arrangörslista!$U$5=35,AR104, IF(Arrangörslista!$U$5=36,AS104, IF(Arrangörslista!$U$5=37,AT104, IF(Arrangörslista!$U$5=38,AU104, IF(Arrangörslista!$U$5=39,AV104, IF(Arrangörslista!$U$5=40,AW104, IF(Arrangörslista!$U$5=41,AX104, IF(Arrangörslista!$U$5=42,AY104, IF(Arrangörslista!$U$5=43,AZ104, IF(Arrangörslista!$U$5=44,BA104, IF(Arrangörslista!$U$5=45,BB104, IF(Arrangörslista!$U$5=46,BC104, IF(Arrangörslista!$U$5=47,BD104, IF(Arrangörslista!$U$5=48,BE104, IF(Arrangörslista!$U$5=49,BF104, IF(Arrangörslista!$U$5=50,BG104, IF(Arrangörslista!$U$5=51,BH104, IF(Arrangörslista!$U$5=52,BI104, IF(Arrangörslista!$U$5=53,BJ104, IF(Arrangörslista!$U$5=54,BK104, IF(Arrangörslista!$U$5=55,BL104, IF(Arrangörslista!$U$5=56,BM104, IF(Arrangörslista!$U$5=57,BN104, IF(Arrangörslista!$U$5=58,BO104, IF(Arrangörslista!$U$5=59,BP104, IF(Arrangörslista!$U$5=60,BQ104,0))))))))))))))))))))))))))))))))))))))))))))))))))))))))))))),IF(Deltagarlista!$K$3=4, IF(Arrangörslista!$U$5=1,J104,
IF(Arrangörslista!$U$5=2,J104,
IF(Arrangörslista!$U$5=3,K104,
IF(Arrangörslista!$U$5=4,K104,
IF(Arrangörslista!$U$5=5,L104,
IF(Arrangörslista!$U$5=6,L104,
IF(Arrangörslista!$U$5=7,M104,
IF(Arrangörslista!$U$5=8,M104,
IF(Arrangörslista!$U$5=9,N104,
IF(Arrangörslista!$U$5=10,N104,
IF(Arrangörslista!$U$5=11,O104,
IF(Arrangörslista!$U$5=12,O104,
IF(Arrangörslista!$U$5=13,P104,
IF(Arrangörslista!$U$5=14,P104,
IF(Arrangörslista!$U$5=15,Q104,
IF(Arrangörslista!$U$5=16,Q104,
IF(Arrangörslista!$U$5=17,R104,
IF(Arrangörslista!$U$5=18,R104,
IF(Arrangörslista!$U$5=19,S104,
IF(Arrangörslista!$U$5=20,S104,
IF(Arrangörslista!$U$5=21,T104,
IF(Arrangörslista!$U$5=22,T104,IF(Arrangörslista!$U$5=23,U104, IF(Arrangörslista!$U$5=24,U104, IF(Arrangörslista!$U$5=25,V104, IF(Arrangörslista!$U$5=26,V104, IF(Arrangörslista!$U$5=27,W104, IF(Arrangörslista!$U$5=28,W104, IF(Arrangörslista!$U$5=29,X104, IF(Arrangörslista!$U$5=30,X104, IF(Arrangörslista!$U$5=31,X104, IF(Arrangörslista!$U$5=32,Y104, IF(Arrangörslista!$U$5=33,AO104, IF(Arrangörslista!$U$5=34,Y104, IF(Arrangörslista!$U$5=35,Z104, IF(Arrangörslista!$U$5=36,AR104, IF(Arrangörslista!$U$5=37,Z104, IF(Arrangörslista!$U$5=38,AA104, IF(Arrangörslista!$U$5=39,AU104, IF(Arrangörslista!$U$5=40,AA104, IF(Arrangörslista!$U$5=41,AB104, IF(Arrangörslista!$U$5=42,AX104, IF(Arrangörslista!$U$5=43,AB104, IF(Arrangörslista!$U$5=44,AC104, IF(Arrangörslista!$U$5=45,BA104, IF(Arrangörslista!$U$5=46,AC104, IF(Arrangörslista!$U$5=47,AD104, IF(Arrangörslista!$U$5=48,BD104, IF(Arrangörslista!$U$5=49,AD104, IF(Arrangörslista!$U$5=50,AE104, IF(Arrangörslista!$U$5=51,BG104, IF(Arrangörslista!$U$5=52,AE104, IF(Arrangörslista!$U$5=53,AF104, IF(Arrangörslista!$U$5=54,BJ104, IF(Arrangörslista!$U$5=55,AF104, IF(Arrangörslista!$U$5=56,AG104, IF(Arrangörslista!$U$5=57,BM104, IF(Arrangörslista!$U$5=58,AG104, IF(Arrangörslista!$U$5=59,AH104, IF(Arrangörslista!$U$5=60,AH104,0)))))))))))))))))))))))))))))))))))))))))))))))))))))))))))),IF(Arrangörslista!$U$5=1,J104,
IF(Arrangörslista!$U$5=2,K104,
IF(Arrangörslista!$U$5=3,L104,
IF(Arrangörslista!$U$5=4,M104,
IF(Arrangörslista!$U$5=5,N104,
IF(Arrangörslista!$U$5=6,O104,
IF(Arrangörslista!$U$5=7,P104,
IF(Arrangörslista!$U$5=8,Q104,
IF(Arrangörslista!$U$5=9,R104,
IF(Arrangörslista!$U$5=10,S104,
IF(Arrangörslista!$U$5=11,T104,
IF(Arrangörslista!$U$5=12,U104,
IF(Arrangörslista!$U$5=13,V104,
IF(Arrangörslista!$U$5=14,W104,
IF(Arrangörslista!$U$5=15,X104,
IF(Arrangörslista!$U$5=16,Y104,IF(Arrangörslista!$U$5=17,Z104,IF(Arrangörslista!$U$5=18,AA104,IF(Arrangörslista!$U$5=19,AB104,IF(Arrangörslista!$U$5=20,AC104,IF(Arrangörslista!$U$5=21,AD104,IF(Arrangörslista!$U$5=22,AE104,IF(Arrangörslista!$U$5=23,AF104, IF(Arrangörslista!$U$5=24,AG104, IF(Arrangörslista!$U$5=25,AH104, IF(Arrangörslista!$U$5=26,AI104, IF(Arrangörslista!$U$5=27,AJ104, IF(Arrangörslista!$U$5=28,AK104, IF(Arrangörslista!$U$5=29,AL104, IF(Arrangörslista!$U$5=30,AM104, IF(Arrangörslista!$U$5=31,AN104, IF(Arrangörslista!$U$5=32,AO104, IF(Arrangörslista!$U$5=33,AP104, IF(Arrangörslista!$U$5=34,AQ104, IF(Arrangörslista!$U$5=35,AR104, IF(Arrangörslista!$U$5=36,AS104, IF(Arrangörslista!$U$5=37,AT104, IF(Arrangörslista!$U$5=38,AU104, IF(Arrangörslista!$U$5=39,AV104, IF(Arrangörslista!$U$5=40,AW104, IF(Arrangörslista!$U$5=41,AX104, IF(Arrangörslista!$U$5=42,AY104, IF(Arrangörslista!$U$5=43,AZ104, IF(Arrangörslista!$U$5=44,BA104, IF(Arrangörslista!$U$5=45,BB104, IF(Arrangörslista!$U$5=46,BC104, IF(Arrangörslista!$U$5=47,BD104, IF(Arrangörslista!$U$5=48,BE104, IF(Arrangörslista!$U$5=49,BF104, IF(Arrangörslista!$U$5=50,BG104, IF(Arrangörslista!$U$5=51,BH104, IF(Arrangörslista!$U$5=52,BI104, IF(Arrangörslista!$U$5=53,BJ104, IF(Arrangörslista!$U$5=54,BK104, IF(Arrangörslista!$U$5=55,BL104, IF(Arrangörslista!$U$5=56,BM104, IF(Arrangörslista!$U$5=57,BN104, IF(Arrangörslista!$U$5=58,BO104, IF(Arrangörslista!$U$5=59,BP104, IF(Arrangörslista!$U$5=60,BQ104,0))))))))))))))))))))))))))))))))))))))))))))))))))))))))))))
))</f>
        <v>0</v>
      </c>
      <c r="GV41" s="65" t="str">
        <f>IFERROR(IF(VLOOKUP(F41,Deltagarlista!$E$5:$I$64,5,FALSE)="Grön","Gr",IF(VLOOKUP(F41,Deltagarlista!$E$5:$I$64,5,FALSE)="Röd","R",IF(VLOOKUP(F41,Deltagarlista!$E$5:$I$64,5,FALSE)="Blå","B","Gu"))),"")</f>
        <v/>
      </c>
      <c r="GW41" s="62" t="str">
        <f t="shared" si="1"/>
        <v/>
      </c>
    </row>
    <row r="42" spans="1:205" ht="15.75" customHeight="1" x14ac:dyDescent="0.3">
      <c r="B42" s="23" t="str">
        <f>IF($BW$3&gt;38,39,"")</f>
        <v/>
      </c>
      <c r="C42" s="92" t="str">
        <f>IF(ISBLANK(Deltagarlista!C55),"",Deltagarlista!C55)</f>
        <v/>
      </c>
      <c r="D42" s="109" t="str">
        <f>CONCATENATE(IF(AND(Deltagarlista!H55="GM",Deltagarlista!$S$14=TRUE),"GM   ",""),  IF(OR(Deltagarlista!$K$3=4,Deltagarlista!$K$3=2),Deltagarlista!I55,""))</f>
        <v/>
      </c>
      <c r="E42" s="8" t="str">
        <f>IF(ISBLANK(Deltagarlista!D55),"",Deltagarlista!D55)</f>
        <v/>
      </c>
      <c r="F42" s="8" t="str">
        <f>IF(ISBLANK(Deltagarlista!E55),"",Deltagarlista!E55)</f>
        <v/>
      </c>
      <c r="G42" s="95" t="str">
        <f>IF(ISBLANK(Deltagarlista!F55),"",Deltagarlista!F55)</f>
        <v/>
      </c>
      <c r="H42" s="72" t="str">
        <f>IF(ISBLANK(Deltagarlista!C55),"",BU42-EE42)</f>
        <v/>
      </c>
      <c r="I42" s="13" t="str">
        <f>IF(ISBLANK(Deltagarlista!C55),"",IF(AND(Deltagarlista!$K$3=2,Deltagarlista!$L$3&lt;37),SUM(SUM(BV42:EC42)-(ROUNDDOWN(Arrangörslista!$U$5/3,1))*($BW$3+1)),SUM(BV42:EC42)))</f>
        <v/>
      </c>
      <c r="J42" s="79" t="str">
        <f>IF(Deltagarlista!$K$3=4,IF(ISBLANK(Deltagarlista!$C55),"",IF(ISBLANK(Arrangörslista!C$8),"",IFERROR(VLOOKUP($F42,Arrangörslista!C$8:$AG$45,16,FALSE),IF(ISBLANK(Deltagarlista!$C55),"",IF(ISBLANK(Arrangörslista!C$8),"",IFERROR(VLOOKUP($F42,Arrangörslista!D$8:$AG$45,16,FALSE),"DNS")))))),IF(Deltagarlista!$K$3=2,
IF(ISBLANK(Deltagarlista!$C55),"",IF(ISBLANK(Arrangörslista!C$8),"",IF($GV42=J$64," DNS ",IFERROR(VLOOKUP($F42,Arrangörslista!C$8:$AG$45,16,FALSE),"DNS")))),IF(ISBLANK(Deltagarlista!$C55),"",IF(ISBLANK(Arrangörslista!C$8),"",IFERROR(VLOOKUP($F42,Arrangörslista!C$8:$AG$45,16,FALSE),"DNS")))))</f>
        <v/>
      </c>
      <c r="K42" s="5" t="str">
        <f>IF(Deltagarlista!$K$3=4,IF(ISBLANK(Deltagarlista!$C55),"",IF(ISBLANK(Arrangörslista!E$8),"",IFERROR(VLOOKUP($F42,Arrangörslista!E$8:$AG$45,16,FALSE),IF(ISBLANK(Deltagarlista!$C55),"",IF(ISBLANK(Arrangörslista!E$8),"",IFERROR(VLOOKUP($F42,Arrangörslista!F$8:$AG$45,16,FALSE),"DNS")))))),IF(Deltagarlista!$K$3=2,
IF(ISBLANK(Deltagarlista!$C55),"",IF(ISBLANK(Arrangörslista!D$8),"",IF($GV42=K$64," DNS ",IFERROR(VLOOKUP($F42,Arrangörslista!D$8:$AG$45,16,FALSE),"DNS")))),IF(ISBLANK(Deltagarlista!$C55),"",IF(ISBLANK(Arrangörslista!D$8),"",IFERROR(VLOOKUP($F42,Arrangörslista!D$8:$AG$45,16,FALSE),"DNS")))))</f>
        <v/>
      </c>
      <c r="L42" s="5" t="str">
        <f>IF(Deltagarlista!$K$3=4,IF(ISBLANK(Deltagarlista!$C55),"",IF(ISBLANK(Arrangörslista!G$8),"",IFERROR(VLOOKUP($F42,Arrangörslista!G$8:$AG$45,16,FALSE),IF(ISBLANK(Deltagarlista!$C55),"",IF(ISBLANK(Arrangörslista!G$8),"",IFERROR(VLOOKUP($F42,Arrangörslista!H$8:$AG$45,16,FALSE),"DNS")))))),IF(Deltagarlista!$K$3=2,
IF(ISBLANK(Deltagarlista!$C55),"",IF(ISBLANK(Arrangörslista!E$8),"",IF($GV42=L$64," DNS ",IFERROR(VLOOKUP($F42,Arrangörslista!E$8:$AG$45,16,FALSE),"DNS")))),IF(ISBLANK(Deltagarlista!$C55),"",IF(ISBLANK(Arrangörslista!E$8),"",IFERROR(VLOOKUP($F42,Arrangörslista!E$8:$AG$45,16,FALSE),"DNS")))))</f>
        <v/>
      </c>
      <c r="M42" s="5" t="str">
        <f>IF(Deltagarlista!$K$3=4,IF(ISBLANK(Deltagarlista!$C55),"",IF(ISBLANK(Arrangörslista!I$8),"",IFERROR(VLOOKUP($F42,Arrangörslista!I$8:$AG$45,16,FALSE),IF(ISBLANK(Deltagarlista!$C55),"",IF(ISBLANK(Arrangörslista!I$8),"",IFERROR(VLOOKUP($F42,Arrangörslista!J$8:$AG$45,16,FALSE),"DNS")))))),IF(Deltagarlista!$K$3=2,
IF(ISBLANK(Deltagarlista!$C55),"",IF(ISBLANK(Arrangörslista!F$8),"",IF($GV42=M$64," DNS ",IFERROR(VLOOKUP($F42,Arrangörslista!F$8:$AG$45,16,FALSE),"DNS")))),IF(ISBLANK(Deltagarlista!$C55),"",IF(ISBLANK(Arrangörslista!F$8),"",IFERROR(VLOOKUP($F42,Arrangörslista!F$8:$AG$45,16,FALSE),"DNS")))))</f>
        <v/>
      </c>
      <c r="N42" s="5" t="str">
        <f>IF(Deltagarlista!$K$3=4,IF(ISBLANK(Deltagarlista!$C55),"",IF(ISBLANK(Arrangörslista!K$8),"",IFERROR(VLOOKUP($F42,Arrangörslista!K$8:$AG$45,16,FALSE),IF(ISBLANK(Deltagarlista!$C55),"",IF(ISBLANK(Arrangörslista!K$8),"",IFERROR(VLOOKUP($F42,Arrangörslista!L$8:$AG$45,16,FALSE),"DNS")))))),IF(Deltagarlista!$K$3=2,
IF(ISBLANK(Deltagarlista!$C55),"",IF(ISBLANK(Arrangörslista!G$8),"",IF($GV42=N$64," DNS ",IFERROR(VLOOKUP($F42,Arrangörslista!G$8:$AG$45,16,FALSE),"DNS")))),IF(ISBLANK(Deltagarlista!$C55),"",IF(ISBLANK(Arrangörslista!G$8),"",IFERROR(VLOOKUP($F42,Arrangörslista!G$8:$AG$45,16,FALSE),"DNS")))))</f>
        <v/>
      </c>
      <c r="O42" s="5" t="str">
        <f>IF(Deltagarlista!$K$3=4,IF(ISBLANK(Deltagarlista!$C55),"",IF(ISBLANK(Arrangörslista!M$8),"",IFERROR(VLOOKUP($F42,Arrangörslista!M$8:$AG$45,16,FALSE),IF(ISBLANK(Deltagarlista!$C55),"",IF(ISBLANK(Arrangörslista!M$8),"",IFERROR(VLOOKUP($F42,Arrangörslista!N$8:$AG$45,16,FALSE),"DNS")))))),IF(Deltagarlista!$K$3=2,
IF(ISBLANK(Deltagarlista!$C55),"",IF(ISBLANK(Arrangörslista!H$8),"",IF($GV42=O$64," DNS ",IFERROR(VLOOKUP($F42,Arrangörslista!H$8:$AG$45,16,FALSE),"DNS")))),IF(ISBLANK(Deltagarlista!$C55),"",IF(ISBLANK(Arrangörslista!H$8),"",IFERROR(VLOOKUP($F42,Arrangörslista!H$8:$AG$45,16,FALSE),"DNS")))))</f>
        <v/>
      </c>
      <c r="P42" s="5" t="str">
        <f>IF(Deltagarlista!$K$3=4,IF(ISBLANK(Deltagarlista!$C55),"",IF(ISBLANK(Arrangörslista!O$8),"",IFERROR(VLOOKUP($F42,Arrangörslista!O$8:$AG$45,16,FALSE),IF(ISBLANK(Deltagarlista!$C55),"",IF(ISBLANK(Arrangörslista!O$8),"",IFERROR(VLOOKUP($F42,Arrangörslista!P$8:$AG$45,16,FALSE),"DNS")))))),IF(Deltagarlista!$K$3=2,
IF(ISBLANK(Deltagarlista!$C55),"",IF(ISBLANK(Arrangörslista!I$8),"",IF($GV42=P$64," DNS ",IFERROR(VLOOKUP($F42,Arrangörslista!I$8:$AG$45,16,FALSE),"DNS")))),IF(ISBLANK(Deltagarlista!$C55),"",IF(ISBLANK(Arrangörslista!I$8),"",IFERROR(VLOOKUP($F42,Arrangörslista!I$8:$AG$45,16,FALSE),"DNS")))))</f>
        <v/>
      </c>
      <c r="Q42" s="5" t="str">
        <f>IF(Deltagarlista!$K$3=4,IF(ISBLANK(Deltagarlista!$C55),"",IF(ISBLANK(Arrangörslista!Q$8),"",IFERROR(VLOOKUP($F42,Arrangörslista!Q$8:$AG$45,16,FALSE),IF(ISBLANK(Deltagarlista!$C55),"",IF(ISBLANK(Arrangörslista!Q$8),"",IFERROR(VLOOKUP($F42,Arrangörslista!C$53:$AG$90,16,FALSE),"DNS")))))),IF(Deltagarlista!$K$3=2,
IF(ISBLANK(Deltagarlista!$C55),"",IF(ISBLANK(Arrangörslista!J$8),"",IF($GV42=Q$64," DNS ",IFERROR(VLOOKUP($F42,Arrangörslista!J$8:$AG$45,16,FALSE),"DNS")))),IF(ISBLANK(Deltagarlista!$C55),"",IF(ISBLANK(Arrangörslista!J$8),"",IFERROR(VLOOKUP($F42,Arrangörslista!J$8:$AG$45,16,FALSE),"DNS")))))</f>
        <v/>
      </c>
      <c r="R42" s="5" t="str">
        <f>IF(Deltagarlista!$K$3=4,IF(ISBLANK(Deltagarlista!$C55),"",IF(ISBLANK(Arrangörslista!D$53),"",IFERROR(VLOOKUP($F42,Arrangörslista!D$53:$AG$90,16,FALSE),IF(ISBLANK(Deltagarlista!$C55),"",IF(ISBLANK(Arrangörslista!D$53),"",IFERROR(VLOOKUP($F42,Arrangörslista!E$53:$AG$90,16,FALSE),"DNS")))))),IF(Deltagarlista!$K$3=2,
IF(ISBLANK(Deltagarlista!$C55),"",IF(ISBLANK(Arrangörslista!K$8),"",IF($GV42=R$64," DNS ",IFERROR(VLOOKUP($F42,Arrangörslista!K$8:$AG$45,16,FALSE),"DNS")))),IF(ISBLANK(Deltagarlista!$C55),"",IF(ISBLANK(Arrangörslista!K$8),"",IFERROR(VLOOKUP($F42,Arrangörslista!K$8:$AG$45,16,FALSE),"DNS")))))</f>
        <v/>
      </c>
      <c r="S42" s="5" t="str">
        <f>IF(Deltagarlista!$K$3=4,IF(ISBLANK(Deltagarlista!$C55),"",IF(ISBLANK(Arrangörslista!F$53),"",IFERROR(VLOOKUP($F42,Arrangörslista!F$53:$AG$90,16,FALSE),IF(ISBLANK(Deltagarlista!$C55),"",IF(ISBLANK(Arrangörslista!F$53),"",IFERROR(VLOOKUP($F42,Arrangörslista!G$53:$AG$90,16,FALSE),"DNS")))))),IF(Deltagarlista!$K$3=2,
IF(ISBLANK(Deltagarlista!$C55),"",IF(ISBLANK(Arrangörslista!L$8),"",IF($GV42=S$64," DNS ",IFERROR(VLOOKUP($F42,Arrangörslista!L$8:$AG$45,16,FALSE),"DNS")))),IF(ISBLANK(Deltagarlista!$C55),"",IF(ISBLANK(Arrangörslista!L$8),"",IFERROR(VLOOKUP($F42,Arrangörslista!L$8:$AG$45,16,FALSE),"DNS")))))</f>
        <v/>
      </c>
      <c r="T42" s="5" t="str">
        <f>IF(Deltagarlista!$K$3=4,IF(ISBLANK(Deltagarlista!$C55),"",IF(ISBLANK(Arrangörslista!H$53),"",IFERROR(VLOOKUP($F42,Arrangörslista!H$53:$AG$90,16,FALSE),IF(ISBLANK(Deltagarlista!$C55),"",IF(ISBLANK(Arrangörslista!H$53),"",IFERROR(VLOOKUP($F42,Arrangörslista!I$53:$AG$90,16,FALSE),"DNS")))))),IF(Deltagarlista!$K$3=2,
IF(ISBLANK(Deltagarlista!$C55),"",IF(ISBLANK(Arrangörslista!M$8),"",IF($GV42=T$64," DNS ",IFERROR(VLOOKUP($F42,Arrangörslista!M$8:$AG$45,16,FALSE),"DNS")))),IF(ISBLANK(Deltagarlista!$C55),"",IF(ISBLANK(Arrangörslista!M$8),"",IFERROR(VLOOKUP($F42,Arrangörslista!M$8:$AG$45,16,FALSE),"DNS")))))</f>
        <v/>
      </c>
      <c r="U42" s="5" t="str">
        <f>IF(Deltagarlista!$K$3=4,IF(ISBLANK(Deltagarlista!$C55),"",IF(ISBLANK(Arrangörslista!J$53),"",IFERROR(VLOOKUP($F42,Arrangörslista!J$53:$AG$90,16,FALSE),IF(ISBLANK(Deltagarlista!$C55),"",IF(ISBLANK(Arrangörslista!J$53),"",IFERROR(VLOOKUP($F42,Arrangörslista!K$53:$AG$90,16,FALSE),"DNS")))))),IF(Deltagarlista!$K$3=2,
IF(ISBLANK(Deltagarlista!$C55),"",IF(ISBLANK(Arrangörslista!N$8),"",IF($GV42=U$64," DNS ",IFERROR(VLOOKUP($F42,Arrangörslista!N$8:$AG$45,16,FALSE),"DNS")))),IF(ISBLANK(Deltagarlista!$C55),"",IF(ISBLANK(Arrangörslista!N$8),"",IFERROR(VLOOKUP($F42,Arrangörslista!N$8:$AG$45,16,FALSE),"DNS")))))</f>
        <v/>
      </c>
      <c r="V42" s="5" t="str">
        <f>IF(Deltagarlista!$K$3=4,IF(ISBLANK(Deltagarlista!$C55),"",IF(ISBLANK(Arrangörslista!L$53),"",IFERROR(VLOOKUP($F42,Arrangörslista!L$53:$AG$90,16,FALSE),IF(ISBLANK(Deltagarlista!$C55),"",IF(ISBLANK(Arrangörslista!L$53),"",IFERROR(VLOOKUP($F42,Arrangörslista!M$53:$AG$90,16,FALSE),"DNS")))))),IF(Deltagarlista!$K$3=2,
IF(ISBLANK(Deltagarlista!$C55),"",IF(ISBLANK(Arrangörslista!O$8),"",IF($GV42=V$64," DNS ",IFERROR(VLOOKUP($F42,Arrangörslista!O$8:$AG$45,16,FALSE),"DNS")))),IF(ISBLANK(Deltagarlista!$C55),"",IF(ISBLANK(Arrangörslista!O$8),"",IFERROR(VLOOKUP($F42,Arrangörslista!O$8:$AG$45,16,FALSE),"DNS")))))</f>
        <v/>
      </c>
      <c r="W42" s="5" t="str">
        <f>IF(Deltagarlista!$K$3=4,IF(ISBLANK(Deltagarlista!$C55),"",IF(ISBLANK(Arrangörslista!N$53),"",IFERROR(VLOOKUP($F42,Arrangörslista!N$53:$AG$90,16,FALSE),IF(ISBLANK(Deltagarlista!$C55),"",IF(ISBLANK(Arrangörslista!N$53),"",IFERROR(VLOOKUP($F42,Arrangörslista!O$53:$AG$90,16,FALSE),"DNS")))))),IF(Deltagarlista!$K$3=2,
IF(ISBLANK(Deltagarlista!$C55),"",IF(ISBLANK(Arrangörslista!P$8),"",IF($GV42=W$64," DNS ",IFERROR(VLOOKUP($F42,Arrangörslista!P$8:$AG$45,16,FALSE),"DNS")))),IF(ISBLANK(Deltagarlista!$C55),"",IF(ISBLANK(Arrangörslista!P$8),"",IFERROR(VLOOKUP($F42,Arrangörslista!P$8:$AG$45,16,FALSE),"DNS")))))</f>
        <v/>
      </c>
      <c r="X42" s="5" t="str">
        <f>IF(Deltagarlista!$K$3=4,IF(ISBLANK(Deltagarlista!$C55),"",IF(ISBLANK(Arrangörslista!P$53),"",IFERROR(VLOOKUP($F42,Arrangörslista!P$53:$AG$90,16,FALSE),IF(ISBLANK(Deltagarlista!$C55),"",IF(ISBLANK(Arrangörslista!P$53),"",IFERROR(VLOOKUP($F42,Arrangörslista!Q$53:$AG$90,16,FALSE),"DNS")))))),IF(Deltagarlista!$K$3=2,
IF(ISBLANK(Deltagarlista!$C55),"",IF(ISBLANK(Arrangörslista!Q$8),"",IF($GV42=X$64," DNS ",IFERROR(VLOOKUP($F42,Arrangörslista!Q$8:$AG$45,16,FALSE),"DNS")))),IF(ISBLANK(Deltagarlista!$C55),"",IF(ISBLANK(Arrangörslista!Q$8),"",IFERROR(VLOOKUP($F42,Arrangörslista!Q$8:$AG$45,16,FALSE),"DNS")))))</f>
        <v/>
      </c>
      <c r="Y42" s="5" t="str">
        <f>IF(Deltagarlista!$K$3=4,IF(ISBLANK(Deltagarlista!$C55),"",IF(ISBLANK(Arrangörslista!C$98),"",IFERROR(VLOOKUP($F42,Arrangörslista!C$98:$AG$135,16,FALSE),IF(ISBLANK(Deltagarlista!$C55),"",IF(ISBLANK(Arrangörslista!C$98),"",IFERROR(VLOOKUP($F42,Arrangörslista!D$98:$AG$135,16,FALSE),"DNS")))))),IF(Deltagarlista!$K$3=2,
IF(ISBLANK(Deltagarlista!$C55),"",IF(ISBLANK(Arrangörslista!C$53),"",IF($GV42=Y$64," DNS ",IFERROR(VLOOKUP($F42,Arrangörslista!C$53:$AG$90,16,FALSE),"DNS")))),IF(ISBLANK(Deltagarlista!$C55),"",IF(ISBLANK(Arrangörslista!C$53),"",IFERROR(VLOOKUP($F42,Arrangörslista!C$53:$AG$90,16,FALSE),"DNS")))))</f>
        <v/>
      </c>
      <c r="Z42" s="5" t="str">
        <f>IF(Deltagarlista!$K$3=4,IF(ISBLANK(Deltagarlista!$C55),"",IF(ISBLANK(Arrangörslista!E$98),"",IFERROR(VLOOKUP($F42,Arrangörslista!E$98:$AG$135,16,FALSE),IF(ISBLANK(Deltagarlista!$C55),"",IF(ISBLANK(Arrangörslista!E$98),"",IFERROR(VLOOKUP($F42,Arrangörslista!F$98:$AG$135,16,FALSE),"DNS")))))),IF(Deltagarlista!$K$3=2,
IF(ISBLANK(Deltagarlista!$C55),"",IF(ISBLANK(Arrangörslista!D$53),"",IF($GV42=Z$64," DNS ",IFERROR(VLOOKUP($F42,Arrangörslista!D$53:$AG$90,16,FALSE),"DNS")))),IF(ISBLANK(Deltagarlista!$C55),"",IF(ISBLANK(Arrangörslista!D$53),"",IFERROR(VLOOKUP($F42,Arrangörslista!D$53:$AG$90,16,FALSE),"DNS")))))</f>
        <v/>
      </c>
      <c r="AA42" s="5" t="str">
        <f>IF(Deltagarlista!$K$3=4,IF(ISBLANK(Deltagarlista!$C55),"",IF(ISBLANK(Arrangörslista!G$98),"",IFERROR(VLOOKUP($F42,Arrangörslista!G$98:$AG$135,16,FALSE),IF(ISBLANK(Deltagarlista!$C55),"",IF(ISBLANK(Arrangörslista!G$98),"",IFERROR(VLOOKUP($F42,Arrangörslista!H$98:$AG$135,16,FALSE),"DNS")))))),IF(Deltagarlista!$K$3=2,
IF(ISBLANK(Deltagarlista!$C55),"",IF(ISBLANK(Arrangörslista!E$53),"",IF($GV42=AA$64," DNS ",IFERROR(VLOOKUP($F42,Arrangörslista!E$53:$AG$90,16,FALSE),"DNS")))),IF(ISBLANK(Deltagarlista!$C55),"",IF(ISBLANK(Arrangörslista!E$53),"",IFERROR(VLOOKUP($F42,Arrangörslista!E$53:$AG$90,16,FALSE),"DNS")))))</f>
        <v/>
      </c>
      <c r="AB42" s="5" t="str">
        <f>IF(Deltagarlista!$K$3=4,IF(ISBLANK(Deltagarlista!$C55),"",IF(ISBLANK(Arrangörslista!I$98),"",IFERROR(VLOOKUP($F42,Arrangörslista!I$98:$AG$135,16,FALSE),IF(ISBLANK(Deltagarlista!$C55),"",IF(ISBLANK(Arrangörslista!I$98),"",IFERROR(VLOOKUP($F42,Arrangörslista!J$98:$AG$135,16,FALSE),"DNS")))))),IF(Deltagarlista!$K$3=2,
IF(ISBLANK(Deltagarlista!$C55),"",IF(ISBLANK(Arrangörslista!F$53),"",IF($GV42=AB$64," DNS ",IFERROR(VLOOKUP($F42,Arrangörslista!F$53:$AG$90,16,FALSE),"DNS")))),IF(ISBLANK(Deltagarlista!$C55),"",IF(ISBLANK(Arrangörslista!F$53),"",IFERROR(VLOOKUP($F42,Arrangörslista!F$53:$AG$90,16,FALSE),"DNS")))))</f>
        <v/>
      </c>
      <c r="AC42" s="5" t="str">
        <f>IF(Deltagarlista!$K$3=4,IF(ISBLANK(Deltagarlista!$C55),"",IF(ISBLANK(Arrangörslista!K$98),"",IFERROR(VLOOKUP($F42,Arrangörslista!K$98:$AG$135,16,FALSE),IF(ISBLANK(Deltagarlista!$C55),"",IF(ISBLANK(Arrangörslista!K$98),"",IFERROR(VLOOKUP($F42,Arrangörslista!L$98:$AG$135,16,FALSE),"DNS")))))),IF(Deltagarlista!$K$3=2,
IF(ISBLANK(Deltagarlista!$C55),"",IF(ISBLANK(Arrangörslista!G$53),"",IF($GV42=AC$64," DNS ",IFERROR(VLOOKUP($F42,Arrangörslista!G$53:$AG$90,16,FALSE),"DNS")))),IF(ISBLANK(Deltagarlista!$C55),"",IF(ISBLANK(Arrangörslista!G$53),"",IFERROR(VLOOKUP($F42,Arrangörslista!G$53:$AG$90,16,FALSE),"DNS")))))</f>
        <v/>
      </c>
      <c r="AD42" s="5" t="str">
        <f>IF(Deltagarlista!$K$3=4,IF(ISBLANK(Deltagarlista!$C55),"",IF(ISBLANK(Arrangörslista!M$98),"",IFERROR(VLOOKUP($F42,Arrangörslista!M$98:$AG$135,16,FALSE),IF(ISBLANK(Deltagarlista!$C55),"",IF(ISBLANK(Arrangörslista!M$98),"",IFERROR(VLOOKUP($F42,Arrangörslista!N$98:$AG$135,16,FALSE),"DNS")))))),IF(Deltagarlista!$K$3=2,
IF(ISBLANK(Deltagarlista!$C55),"",IF(ISBLANK(Arrangörslista!H$53),"",IF($GV42=AD$64," DNS ",IFERROR(VLOOKUP($F42,Arrangörslista!H$53:$AG$90,16,FALSE),"DNS")))),IF(ISBLANK(Deltagarlista!$C55),"",IF(ISBLANK(Arrangörslista!H$53),"",IFERROR(VLOOKUP($F42,Arrangörslista!H$53:$AG$90,16,FALSE),"DNS")))))</f>
        <v/>
      </c>
      <c r="AE42" s="5" t="str">
        <f>IF(Deltagarlista!$K$3=4,IF(ISBLANK(Deltagarlista!$C55),"",IF(ISBLANK(Arrangörslista!O$98),"",IFERROR(VLOOKUP($F42,Arrangörslista!O$98:$AG$135,16,FALSE),IF(ISBLANK(Deltagarlista!$C55),"",IF(ISBLANK(Arrangörslista!O$98),"",IFERROR(VLOOKUP($F42,Arrangörslista!P$98:$AG$135,16,FALSE),"DNS")))))),IF(Deltagarlista!$K$3=2,
IF(ISBLANK(Deltagarlista!$C55),"",IF(ISBLANK(Arrangörslista!I$53),"",IF($GV42=AE$64," DNS ",IFERROR(VLOOKUP($F42,Arrangörslista!I$53:$AG$90,16,FALSE),"DNS")))),IF(ISBLANK(Deltagarlista!$C55),"",IF(ISBLANK(Arrangörslista!I$53),"",IFERROR(VLOOKUP($F42,Arrangörslista!I$53:$AG$90,16,FALSE),"DNS")))))</f>
        <v/>
      </c>
      <c r="AF42" s="5" t="str">
        <f>IF(Deltagarlista!$K$3=4,IF(ISBLANK(Deltagarlista!$C55),"",IF(ISBLANK(Arrangörslista!Q$98),"",IFERROR(VLOOKUP($F42,Arrangörslista!Q$98:$AG$135,16,FALSE),IF(ISBLANK(Deltagarlista!$C55),"",IF(ISBLANK(Arrangörslista!Q$98),"",IFERROR(VLOOKUP($F42,Arrangörslista!C$143:$AG$180,16,FALSE),"DNS")))))),IF(Deltagarlista!$K$3=2,
IF(ISBLANK(Deltagarlista!$C55),"",IF(ISBLANK(Arrangörslista!J$53),"",IF($GV42=AF$64," DNS ",IFERROR(VLOOKUP($F42,Arrangörslista!J$53:$AG$90,16,FALSE),"DNS")))),IF(ISBLANK(Deltagarlista!$C55),"",IF(ISBLANK(Arrangörslista!J$53),"",IFERROR(VLOOKUP($F42,Arrangörslista!J$53:$AG$90,16,FALSE),"DNS")))))</f>
        <v/>
      </c>
      <c r="AG42" s="5" t="str">
        <f>IF(Deltagarlista!$K$3=4,IF(ISBLANK(Deltagarlista!$C55),"",IF(ISBLANK(Arrangörslista!D$143),"",IFERROR(VLOOKUP($F42,Arrangörslista!D$143:$AG$180,16,FALSE),IF(ISBLANK(Deltagarlista!$C55),"",IF(ISBLANK(Arrangörslista!D$143),"",IFERROR(VLOOKUP($F42,Arrangörslista!E$143:$AG$180,16,FALSE),"DNS")))))),IF(Deltagarlista!$K$3=2,
IF(ISBLANK(Deltagarlista!$C55),"",IF(ISBLANK(Arrangörslista!K$53),"",IF($GV42=AG$64," DNS ",IFERROR(VLOOKUP($F42,Arrangörslista!K$53:$AG$90,16,FALSE),"DNS")))),IF(ISBLANK(Deltagarlista!$C55),"",IF(ISBLANK(Arrangörslista!K$53),"",IFERROR(VLOOKUP($F42,Arrangörslista!K$53:$AG$90,16,FALSE),"DNS")))))</f>
        <v/>
      </c>
      <c r="AH42" s="5" t="str">
        <f>IF(Deltagarlista!$K$3=4,IF(ISBLANK(Deltagarlista!$C55),"",IF(ISBLANK(Arrangörslista!F$143),"",IFERROR(VLOOKUP($F42,Arrangörslista!F$143:$AG$180,16,FALSE),IF(ISBLANK(Deltagarlista!$C55),"",IF(ISBLANK(Arrangörslista!F$143),"",IFERROR(VLOOKUP($F42,Arrangörslista!G$143:$AG$180,16,FALSE),"DNS")))))),IF(Deltagarlista!$K$3=2,
IF(ISBLANK(Deltagarlista!$C55),"",IF(ISBLANK(Arrangörslista!L$53),"",IF($GV42=AH$64," DNS ",IFERROR(VLOOKUP($F42,Arrangörslista!L$53:$AG$90,16,FALSE),"DNS")))),IF(ISBLANK(Deltagarlista!$C55),"",IF(ISBLANK(Arrangörslista!L$53),"",IFERROR(VLOOKUP($F42,Arrangörslista!L$53:$AG$90,16,FALSE),"DNS")))))</f>
        <v/>
      </c>
      <c r="AI42" s="5" t="str">
        <f>IF(Deltagarlista!$K$3=4,IF(ISBLANK(Deltagarlista!$C55),"",IF(ISBLANK(Arrangörslista!H$143),"",IFERROR(VLOOKUP($F42,Arrangörslista!H$143:$AG$180,16,FALSE),IF(ISBLANK(Deltagarlista!$C55),"",IF(ISBLANK(Arrangörslista!H$143),"",IFERROR(VLOOKUP($F42,Arrangörslista!I$143:$AG$180,16,FALSE),"DNS")))))),IF(Deltagarlista!$K$3=2,
IF(ISBLANK(Deltagarlista!$C55),"",IF(ISBLANK(Arrangörslista!M$53),"",IF($GV42=AI$64," DNS ",IFERROR(VLOOKUP($F42,Arrangörslista!M$53:$AG$90,16,FALSE),"DNS")))),IF(ISBLANK(Deltagarlista!$C55),"",IF(ISBLANK(Arrangörslista!M$53),"",IFERROR(VLOOKUP($F42,Arrangörslista!M$53:$AG$90,16,FALSE),"DNS")))))</f>
        <v/>
      </c>
      <c r="AJ42" s="5" t="str">
        <f>IF(Deltagarlista!$K$3=4,IF(ISBLANK(Deltagarlista!$C55),"",IF(ISBLANK(Arrangörslista!J$143),"",IFERROR(VLOOKUP($F42,Arrangörslista!J$143:$AG$180,16,FALSE),IF(ISBLANK(Deltagarlista!$C55),"",IF(ISBLANK(Arrangörslista!J$143),"",IFERROR(VLOOKUP($F42,Arrangörslista!K$143:$AG$180,16,FALSE),"DNS")))))),IF(Deltagarlista!$K$3=2,
IF(ISBLANK(Deltagarlista!$C55),"",IF(ISBLANK(Arrangörslista!N$53),"",IF($GV42=AJ$64," DNS ",IFERROR(VLOOKUP($F42,Arrangörslista!N$53:$AG$90,16,FALSE),"DNS")))),IF(ISBLANK(Deltagarlista!$C55),"",IF(ISBLANK(Arrangörslista!N$53),"",IFERROR(VLOOKUP($F42,Arrangörslista!N$53:$AG$90,16,FALSE),"DNS")))))</f>
        <v/>
      </c>
      <c r="AK42" s="5" t="str">
        <f>IF(Deltagarlista!$K$3=4,IF(ISBLANK(Deltagarlista!$C55),"",IF(ISBLANK(Arrangörslista!L$143),"",IFERROR(VLOOKUP($F42,Arrangörslista!L$143:$AG$180,16,FALSE),IF(ISBLANK(Deltagarlista!$C55),"",IF(ISBLANK(Arrangörslista!L$143),"",IFERROR(VLOOKUP($F42,Arrangörslista!M$143:$AG$180,16,FALSE),"DNS")))))),IF(Deltagarlista!$K$3=2,
IF(ISBLANK(Deltagarlista!$C55),"",IF(ISBLANK(Arrangörslista!O$53),"",IF($GV42=AK$64," DNS ",IFERROR(VLOOKUP($F42,Arrangörslista!O$53:$AG$90,16,FALSE),"DNS")))),IF(ISBLANK(Deltagarlista!$C55),"",IF(ISBLANK(Arrangörslista!O$53),"",IFERROR(VLOOKUP($F42,Arrangörslista!O$53:$AG$90,16,FALSE),"DNS")))))</f>
        <v/>
      </c>
      <c r="AL42" s="5" t="str">
        <f>IF(Deltagarlista!$K$3=4,IF(ISBLANK(Deltagarlista!$C55),"",IF(ISBLANK(Arrangörslista!N$143),"",IFERROR(VLOOKUP($F42,Arrangörslista!N$143:$AG$180,16,FALSE),IF(ISBLANK(Deltagarlista!$C55),"",IF(ISBLANK(Arrangörslista!N$143),"",IFERROR(VLOOKUP($F42,Arrangörslista!O$143:$AG$180,16,FALSE),"DNS")))))),IF(Deltagarlista!$K$3=2,
IF(ISBLANK(Deltagarlista!$C55),"",IF(ISBLANK(Arrangörslista!P$53),"",IF($GV42=AL$64," DNS ",IFERROR(VLOOKUP($F42,Arrangörslista!P$53:$AG$90,16,FALSE),"DNS")))),IF(ISBLANK(Deltagarlista!$C55),"",IF(ISBLANK(Arrangörslista!P$53),"",IFERROR(VLOOKUP($F42,Arrangörslista!P$53:$AG$90,16,FALSE),"DNS")))))</f>
        <v/>
      </c>
      <c r="AM42" s="5" t="str">
        <f>IF(Deltagarlista!$K$3=4,IF(ISBLANK(Deltagarlista!$C55),"",IF(ISBLANK(Arrangörslista!P$143),"",IFERROR(VLOOKUP($F42,Arrangörslista!P$143:$AG$180,16,FALSE),IF(ISBLANK(Deltagarlista!$C55),"",IF(ISBLANK(Arrangörslista!P$143),"",IFERROR(VLOOKUP($F42,Arrangörslista!Q$143:$AG$180,16,FALSE),"DNS")))))),IF(Deltagarlista!$K$3=2,
IF(ISBLANK(Deltagarlista!$C55),"",IF(ISBLANK(Arrangörslista!Q$53),"",IF($GV42=AM$64," DNS ",IFERROR(VLOOKUP($F42,Arrangörslista!Q$53:$AG$90,16,FALSE),"DNS")))),IF(ISBLANK(Deltagarlista!$C55),"",IF(ISBLANK(Arrangörslista!Q$53),"",IFERROR(VLOOKUP($F42,Arrangörslista!Q$53:$AG$90,16,FALSE),"DNS")))))</f>
        <v/>
      </c>
      <c r="AN42" s="5" t="str">
        <f>IF(Deltagarlista!$K$3=2,
IF(ISBLANK(Deltagarlista!$C55),"",IF(ISBLANK(Arrangörslista!C$98),"",IF($GV42=AN$64," DNS ",IFERROR(VLOOKUP($F42,Arrangörslista!C$98:$AG$135,16,FALSE), "DNS")))), IF(Deltagarlista!$K$3=1,IF(ISBLANK(Deltagarlista!$C55),"",IF(ISBLANK(Arrangörslista!C$98),"",IFERROR(VLOOKUP($F42,Arrangörslista!C$98:$AG$135,16,FALSE), "DNS"))),""))</f>
        <v/>
      </c>
      <c r="AO42" s="5" t="str">
        <f>IF(Deltagarlista!$K$3=2,
IF(ISBLANK(Deltagarlista!$C55),"",IF(ISBLANK(Arrangörslista!D$98),"",IF($GV42=AO$64," DNS ",IFERROR(VLOOKUP($F42,Arrangörslista!D$98:$AG$135,16,FALSE), "DNS")))), IF(Deltagarlista!$K$3=1,IF(ISBLANK(Deltagarlista!$C55),"",IF(ISBLANK(Arrangörslista!D$98),"",IFERROR(VLOOKUP($F42,Arrangörslista!D$98:$AG$135,16,FALSE), "DNS"))),""))</f>
        <v/>
      </c>
      <c r="AP42" s="5" t="str">
        <f>IF(Deltagarlista!$K$3=2,
IF(ISBLANK(Deltagarlista!$C55),"",IF(ISBLANK(Arrangörslista!E$98),"",IF($GV42=AP$64," DNS ",IFERROR(VLOOKUP($F42,Arrangörslista!E$98:$AG$135,16,FALSE), "DNS")))), IF(Deltagarlista!$K$3=1,IF(ISBLANK(Deltagarlista!$C55),"",IF(ISBLANK(Arrangörslista!E$98),"",IFERROR(VLOOKUP($F42,Arrangörslista!E$98:$AG$135,16,FALSE), "DNS"))),""))</f>
        <v/>
      </c>
      <c r="AQ42" s="5" t="str">
        <f>IF(Deltagarlista!$K$3=2,
IF(ISBLANK(Deltagarlista!$C55),"",IF(ISBLANK(Arrangörslista!F$98),"",IF($GV42=AQ$64," DNS ",IFERROR(VLOOKUP($F42,Arrangörslista!F$98:$AG$135,16,FALSE), "DNS")))), IF(Deltagarlista!$K$3=1,IF(ISBLANK(Deltagarlista!$C55),"",IF(ISBLANK(Arrangörslista!F$98),"",IFERROR(VLOOKUP($F42,Arrangörslista!F$98:$AG$135,16,FALSE), "DNS"))),""))</f>
        <v/>
      </c>
      <c r="AR42" s="5" t="str">
        <f>IF(Deltagarlista!$K$3=2,
IF(ISBLANK(Deltagarlista!$C55),"",IF(ISBLANK(Arrangörslista!G$98),"",IF($GV42=AR$64," DNS ",IFERROR(VLOOKUP($F42,Arrangörslista!G$98:$AG$135,16,FALSE), "DNS")))), IF(Deltagarlista!$K$3=1,IF(ISBLANK(Deltagarlista!$C55),"",IF(ISBLANK(Arrangörslista!G$98),"",IFERROR(VLOOKUP($F42,Arrangörslista!G$98:$AG$135,16,FALSE), "DNS"))),""))</f>
        <v/>
      </c>
      <c r="AS42" s="5" t="str">
        <f>IF(Deltagarlista!$K$3=2,
IF(ISBLANK(Deltagarlista!$C55),"",IF(ISBLANK(Arrangörslista!H$98),"",IF($GV42=AS$64," DNS ",IFERROR(VLOOKUP($F42,Arrangörslista!H$98:$AG$135,16,FALSE), "DNS")))), IF(Deltagarlista!$K$3=1,IF(ISBLANK(Deltagarlista!$C55),"",IF(ISBLANK(Arrangörslista!H$98),"",IFERROR(VLOOKUP($F42,Arrangörslista!H$98:$AG$135,16,FALSE), "DNS"))),""))</f>
        <v/>
      </c>
      <c r="AT42" s="5" t="str">
        <f>IF(Deltagarlista!$K$3=2,
IF(ISBLANK(Deltagarlista!$C55),"",IF(ISBLANK(Arrangörslista!I$98),"",IF($GV42=AT$64," DNS ",IFERROR(VLOOKUP($F42,Arrangörslista!I$98:$AG$135,16,FALSE), "DNS")))), IF(Deltagarlista!$K$3=1,IF(ISBLANK(Deltagarlista!$C55),"",IF(ISBLANK(Arrangörslista!I$98),"",IFERROR(VLOOKUP($F42,Arrangörslista!I$98:$AG$135,16,FALSE), "DNS"))),""))</f>
        <v/>
      </c>
      <c r="AU42" s="5" t="str">
        <f>IF(Deltagarlista!$K$3=2,
IF(ISBLANK(Deltagarlista!$C55),"",IF(ISBLANK(Arrangörslista!J$98),"",IF($GV42=AU$64," DNS ",IFERROR(VLOOKUP($F42,Arrangörslista!J$98:$AG$135,16,FALSE), "DNS")))), IF(Deltagarlista!$K$3=1,IF(ISBLANK(Deltagarlista!$C55),"",IF(ISBLANK(Arrangörslista!J$98),"",IFERROR(VLOOKUP($F42,Arrangörslista!J$98:$AG$135,16,FALSE), "DNS"))),""))</f>
        <v/>
      </c>
      <c r="AV42" s="5" t="str">
        <f>IF(Deltagarlista!$K$3=2,
IF(ISBLANK(Deltagarlista!$C55),"",IF(ISBLANK(Arrangörslista!K$98),"",IF($GV42=AV$64," DNS ",IFERROR(VLOOKUP($F42,Arrangörslista!K$98:$AG$135,16,FALSE), "DNS")))), IF(Deltagarlista!$K$3=1,IF(ISBLANK(Deltagarlista!$C55),"",IF(ISBLANK(Arrangörslista!K$98),"",IFERROR(VLOOKUP($F42,Arrangörslista!K$98:$AG$135,16,FALSE), "DNS"))),""))</f>
        <v/>
      </c>
      <c r="AW42" s="5" t="str">
        <f>IF(Deltagarlista!$K$3=2,
IF(ISBLANK(Deltagarlista!$C55),"",IF(ISBLANK(Arrangörslista!L$98),"",IF($GV42=AW$64," DNS ",IFERROR(VLOOKUP($F42,Arrangörslista!L$98:$AG$135,16,FALSE), "DNS")))), IF(Deltagarlista!$K$3=1,IF(ISBLANK(Deltagarlista!$C55),"",IF(ISBLANK(Arrangörslista!L$98),"",IFERROR(VLOOKUP($F42,Arrangörslista!L$98:$AG$135,16,FALSE), "DNS"))),""))</f>
        <v/>
      </c>
      <c r="AX42" s="5" t="str">
        <f>IF(Deltagarlista!$K$3=2,
IF(ISBLANK(Deltagarlista!$C55),"",IF(ISBLANK(Arrangörslista!M$98),"",IF($GV42=AX$64," DNS ",IFERROR(VLOOKUP($F42,Arrangörslista!M$98:$AG$135,16,FALSE), "DNS")))), IF(Deltagarlista!$K$3=1,IF(ISBLANK(Deltagarlista!$C55),"",IF(ISBLANK(Arrangörslista!M$98),"",IFERROR(VLOOKUP($F42,Arrangörslista!M$98:$AG$135,16,FALSE), "DNS"))),""))</f>
        <v/>
      </c>
      <c r="AY42" s="5" t="str">
        <f>IF(Deltagarlista!$K$3=2,
IF(ISBLANK(Deltagarlista!$C55),"",IF(ISBLANK(Arrangörslista!N$98),"",IF($GV42=AY$64," DNS ",IFERROR(VLOOKUP($F42,Arrangörslista!N$98:$AG$135,16,FALSE), "DNS")))), IF(Deltagarlista!$K$3=1,IF(ISBLANK(Deltagarlista!$C55),"",IF(ISBLANK(Arrangörslista!N$98),"",IFERROR(VLOOKUP($F42,Arrangörslista!N$98:$AG$135,16,FALSE), "DNS"))),""))</f>
        <v/>
      </c>
      <c r="AZ42" s="5" t="str">
        <f>IF(Deltagarlista!$K$3=2,
IF(ISBLANK(Deltagarlista!$C55),"",IF(ISBLANK(Arrangörslista!O$98),"",IF($GV42=AZ$64," DNS ",IFERROR(VLOOKUP($F42,Arrangörslista!O$98:$AG$135,16,FALSE), "DNS")))), IF(Deltagarlista!$K$3=1,IF(ISBLANK(Deltagarlista!$C55),"",IF(ISBLANK(Arrangörslista!O$98),"",IFERROR(VLOOKUP($F42,Arrangörslista!O$98:$AG$135,16,FALSE), "DNS"))),""))</f>
        <v/>
      </c>
      <c r="BA42" s="5" t="str">
        <f>IF(Deltagarlista!$K$3=2,
IF(ISBLANK(Deltagarlista!$C55),"",IF(ISBLANK(Arrangörslista!P$98),"",IF($GV42=BA$64," DNS ",IFERROR(VLOOKUP($F42,Arrangörslista!P$98:$AG$135,16,FALSE), "DNS")))), IF(Deltagarlista!$K$3=1,IF(ISBLANK(Deltagarlista!$C55),"",IF(ISBLANK(Arrangörslista!P$98),"",IFERROR(VLOOKUP($F42,Arrangörslista!P$98:$AG$135,16,FALSE), "DNS"))),""))</f>
        <v/>
      </c>
      <c r="BB42" s="5" t="str">
        <f>IF(Deltagarlista!$K$3=2,
IF(ISBLANK(Deltagarlista!$C55),"",IF(ISBLANK(Arrangörslista!Q$98),"",IF($GV42=BB$64," DNS ",IFERROR(VLOOKUP($F42,Arrangörslista!Q$98:$AG$135,16,FALSE), "DNS")))), IF(Deltagarlista!$K$3=1,IF(ISBLANK(Deltagarlista!$C55),"",IF(ISBLANK(Arrangörslista!Q$98),"",IFERROR(VLOOKUP($F42,Arrangörslista!Q$98:$AG$135,16,FALSE), "DNS"))),""))</f>
        <v/>
      </c>
      <c r="BC42" s="5" t="str">
        <f>IF(Deltagarlista!$K$3=2,
IF(ISBLANK(Deltagarlista!$C55),"",IF(ISBLANK(Arrangörslista!C$143),"",IF($GV42=BC$64," DNS ",IFERROR(VLOOKUP($F42,Arrangörslista!C$143:$AG$180,16,FALSE), "DNS")))), IF(Deltagarlista!$K$3=1,IF(ISBLANK(Deltagarlista!$C55),"",IF(ISBLANK(Arrangörslista!C$143),"",IFERROR(VLOOKUP($F42,Arrangörslista!C$143:$AG$180,16,FALSE), "DNS"))),""))</f>
        <v/>
      </c>
      <c r="BD42" s="5" t="str">
        <f>IF(Deltagarlista!$K$3=2,
IF(ISBLANK(Deltagarlista!$C55),"",IF(ISBLANK(Arrangörslista!D$143),"",IF($GV42=BD$64," DNS ",IFERROR(VLOOKUP($F42,Arrangörslista!D$143:$AG$180,16,FALSE), "DNS")))), IF(Deltagarlista!$K$3=1,IF(ISBLANK(Deltagarlista!$C55),"",IF(ISBLANK(Arrangörslista!D$143),"",IFERROR(VLOOKUP($F42,Arrangörslista!D$143:$AG$180,16,FALSE), "DNS"))),""))</f>
        <v/>
      </c>
      <c r="BE42" s="5" t="str">
        <f>IF(Deltagarlista!$K$3=2,
IF(ISBLANK(Deltagarlista!$C55),"",IF(ISBLANK(Arrangörslista!E$143),"",IF($GV42=BE$64," DNS ",IFERROR(VLOOKUP($F42,Arrangörslista!E$143:$AG$180,16,FALSE), "DNS")))), IF(Deltagarlista!$K$3=1,IF(ISBLANK(Deltagarlista!$C55),"",IF(ISBLANK(Arrangörslista!E$143),"",IFERROR(VLOOKUP($F42,Arrangörslista!E$143:$AG$180,16,FALSE), "DNS"))),""))</f>
        <v/>
      </c>
      <c r="BF42" s="5" t="str">
        <f>IF(Deltagarlista!$K$3=2,
IF(ISBLANK(Deltagarlista!$C55),"",IF(ISBLANK(Arrangörslista!F$143),"",IF($GV42=BF$64," DNS ",IFERROR(VLOOKUP($F42,Arrangörslista!F$143:$AG$180,16,FALSE), "DNS")))), IF(Deltagarlista!$K$3=1,IF(ISBLANK(Deltagarlista!$C55),"",IF(ISBLANK(Arrangörslista!F$143),"",IFERROR(VLOOKUP($F42,Arrangörslista!F$143:$AG$180,16,FALSE), "DNS"))),""))</f>
        <v/>
      </c>
      <c r="BG42" s="5" t="str">
        <f>IF(Deltagarlista!$K$3=2,
IF(ISBLANK(Deltagarlista!$C55),"",IF(ISBLANK(Arrangörslista!G$143),"",IF($GV42=BG$64," DNS ",IFERROR(VLOOKUP($F42,Arrangörslista!G$143:$AG$180,16,FALSE), "DNS")))), IF(Deltagarlista!$K$3=1,IF(ISBLANK(Deltagarlista!$C55),"",IF(ISBLANK(Arrangörslista!G$143),"",IFERROR(VLOOKUP($F42,Arrangörslista!G$143:$AG$180,16,FALSE), "DNS"))),""))</f>
        <v/>
      </c>
      <c r="BH42" s="5" t="str">
        <f>IF(Deltagarlista!$K$3=2,
IF(ISBLANK(Deltagarlista!$C55),"",IF(ISBLANK(Arrangörslista!H$143),"",IF($GV42=BH$64," DNS ",IFERROR(VLOOKUP($F42,Arrangörslista!H$143:$AG$180,16,FALSE), "DNS")))), IF(Deltagarlista!$K$3=1,IF(ISBLANK(Deltagarlista!$C55),"",IF(ISBLANK(Arrangörslista!H$143),"",IFERROR(VLOOKUP($F42,Arrangörslista!H$143:$AG$180,16,FALSE), "DNS"))),""))</f>
        <v/>
      </c>
      <c r="BI42" s="5" t="str">
        <f>IF(Deltagarlista!$K$3=2,
IF(ISBLANK(Deltagarlista!$C55),"",IF(ISBLANK(Arrangörslista!I$143),"",IF($GV42=BI$64," DNS ",IFERROR(VLOOKUP($F42,Arrangörslista!I$143:$AG$180,16,FALSE), "DNS")))), IF(Deltagarlista!$K$3=1,IF(ISBLANK(Deltagarlista!$C55),"",IF(ISBLANK(Arrangörslista!I$143),"",IFERROR(VLOOKUP($F42,Arrangörslista!I$143:$AG$180,16,FALSE), "DNS"))),""))</f>
        <v/>
      </c>
      <c r="BJ42" s="5" t="str">
        <f>IF(Deltagarlista!$K$3=2,
IF(ISBLANK(Deltagarlista!$C55),"",IF(ISBLANK(Arrangörslista!J$143),"",IF($GV42=BJ$64," DNS ",IFERROR(VLOOKUP($F42,Arrangörslista!J$143:$AG$180,16,FALSE), "DNS")))), IF(Deltagarlista!$K$3=1,IF(ISBLANK(Deltagarlista!$C55),"",IF(ISBLANK(Arrangörslista!J$143),"",IFERROR(VLOOKUP($F42,Arrangörslista!J$143:$AG$180,16,FALSE), "DNS"))),""))</f>
        <v/>
      </c>
      <c r="BK42" s="5" t="str">
        <f>IF(Deltagarlista!$K$3=2,
IF(ISBLANK(Deltagarlista!$C55),"",IF(ISBLANK(Arrangörslista!K$143),"",IF($GV42=BK$64," DNS ",IFERROR(VLOOKUP($F42,Arrangörslista!K$143:$AG$180,16,FALSE), "DNS")))), IF(Deltagarlista!$K$3=1,IF(ISBLANK(Deltagarlista!$C55),"",IF(ISBLANK(Arrangörslista!K$143),"",IFERROR(VLOOKUP($F42,Arrangörslista!K$143:$AG$180,16,FALSE), "DNS"))),""))</f>
        <v/>
      </c>
      <c r="BL42" s="5" t="str">
        <f>IF(Deltagarlista!$K$3=2,
IF(ISBLANK(Deltagarlista!$C55),"",IF(ISBLANK(Arrangörslista!L$143),"",IF($GV42=BL$64," DNS ",IFERROR(VLOOKUP($F42,Arrangörslista!L$143:$AG$180,16,FALSE), "DNS")))), IF(Deltagarlista!$K$3=1,IF(ISBLANK(Deltagarlista!$C55),"",IF(ISBLANK(Arrangörslista!L$143),"",IFERROR(VLOOKUP($F42,Arrangörslista!L$143:$AG$180,16,FALSE), "DNS"))),""))</f>
        <v/>
      </c>
      <c r="BM42" s="5" t="str">
        <f>IF(Deltagarlista!$K$3=2,
IF(ISBLANK(Deltagarlista!$C55),"",IF(ISBLANK(Arrangörslista!M$143),"",IF($GV42=BM$64," DNS ",IFERROR(VLOOKUP($F42,Arrangörslista!M$143:$AG$180,16,FALSE), "DNS")))), IF(Deltagarlista!$K$3=1,IF(ISBLANK(Deltagarlista!$C55),"",IF(ISBLANK(Arrangörslista!M$143),"",IFERROR(VLOOKUP($F42,Arrangörslista!M$143:$AG$180,16,FALSE), "DNS"))),""))</f>
        <v/>
      </c>
      <c r="BN42" s="5" t="str">
        <f>IF(Deltagarlista!$K$3=2,
IF(ISBLANK(Deltagarlista!$C55),"",IF(ISBLANK(Arrangörslista!N$143),"",IF($GV42=BN$64," DNS ",IFERROR(VLOOKUP($F42,Arrangörslista!N$143:$AG$180,16,FALSE), "DNS")))), IF(Deltagarlista!$K$3=1,IF(ISBLANK(Deltagarlista!$C55),"",IF(ISBLANK(Arrangörslista!N$143),"",IFERROR(VLOOKUP($F42,Arrangörslista!N$143:$AG$180,16,FALSE), "DNS"))),""))</f>
        <v/>
      </c>
      <c r="BO42" s="5" t="str">
        <f>IF(Deltagarlista!$K$3=2,
IF(ISBLANK(Deltagarlista!$C55),"",IF(ISBLANK(Arrangörslista!O$143),"",IF($GV42=BO$64," DNS ",IFERROR(VLOOKUP($F42,Arrangörslista!O$143:$AG$180,16,FALSE), "DNS")))), IF(Deltagarlista!$K$3=1,IF(ISBLANK(Deltagarlista!$C55),"",IF(ISBLANK(Arrangörslista!O$143),"",IFERROR(VLOOKUP($F42,Arrangörslista!O$143:$AG$180,16,FALSE), "DNS"))),""))</f>
        <v/>
      </c>
      <c r="BP42" s="5" t="str">
        <f>IF(Deltagarlista!$K$3=2,
IF(ISBLANK(Deltagarlista!$C55),"",IF(ISBLANK(Arrangörslista!P$143),"",IF($GV42=BP$64," DNS ",IFERROR(VLOOKUP($F42,Arrangörslista!P$143:$AG$180,16,FALSE), "DNS")))), IF(Deltagarlista!$K$3=1,IF(ISBLANK(Deltagarlista!$C55),"",IF(ISBLANK(Arrangörslista!P$143),"",IFERROR(VLOOKUP($F42,Arrangörslista!P$143:$AG$180,16,FALSE), "DNS"))),""))</f>
        <v/>
      </c>
      <c r="BQ42" s="80" t="str">
        <f>IF(Deltagarlista!$K$3=2,
IF(ISBLANK(Deltagarlista!$C55),"",IF(ISBLANK(Arrangörslista!Q$143),"",IF($GV42=BQ$64," DNS ",IFERROR(VLOOKUP($F42,Arrangörslista!Q$143:$AG$180,16,FALSE), "DNS")))), IF(Deltagarlista!$K$3=1,IF(ISBLANK(Deltagarlista!$C55),"",IF(ISBLANK(Arrangörslista!Q$143),"",IFERROR(VLOOKUP($F42,Arrangörslista!Q$143:$AG$180,16,FALSE), "DNS"))),""))</f>
        <v/>
      </c>
      <c r="BR42" s="48"/>
      <c r="BU42" s="71">
        <f>SUM(BV42:EC42)</f>
        <v>0</v>
      </c>
      <c r="BV42" s="61">
        <f>IF(J42="",0,IF(OR(J42="DNF",J42="OCS",J42="DSQ",J42="DNS",J42=" DNS "),$BW$3+1,J42))</f>
        <v>0</v>
      </c>
      <c r="BW42" s="61">
        <f>IF(K42="",0,IF(OR(K42="DNF",K42="OCS",K42="DSQ",K42="DNS",K42=" DNS "),$BW$3+1,K42))</f>
        <v>0</v>
      </c>
      <c r="BX42" s="61">
        <f>IF(L42="",0,IF(OR(L42="DNF",L42="OCS",L42="DSQ",L42="DNS",L42=" DNS "),$BW$3+1,L42))</f>
        <v>0</v>
      </c>
      <c r="BY42" s="61">
        <f>IF(M42="",0,IF(OR(M42="DNF",M42="OCS",M42="DSQ",M42="DNS",M42=" DNS "),$BW$3+1,M42))</f>
        <v>0</v>
      </c>
      <c r="BZ42" s="61">
        <f>IF(N42="",0,IF(OR(N42="DNF",N42="OCS",N42="DSQ",N42="DNS",N42=" DNS "),$BW$3+1,N42))</f>
        <v>0</v>
      </c>
      <c r="CA42" s="61">
        <f>IF(O42="",0,IF(OR(O42="DNF",O42="OCS",O42="DSQ",O42="DNS",O42=" DNS "),$BW$3+1,O42))</f>
        <v>0</v>
      </c>
      <c r="CB42" s="61">
        <f>IF(P42="",0,IF(OR(P42="DNF",P42="OCS",P42="DSQ",P42="DNS",P42=" DNS "),$BW$3+1,P42))</f>
        <v>0</v>
      </c>
      <c r="CC42" s="61">
        <f>IF(Q42="",0,IF(OR(Q42="DNF",Q42="OCS",Q42="DSQ",Q42="DNS",Q42=" DNS "),$BW$3+1,Q42))</f>
        <v>0</v>
      </c>
      <c r="CD42" s="61">
        <f>IF(R42="",0,IF(OR(R42="DNF",R42="OCS",R42="DSQ",R42="DNS",R42=" DNS "),$BW$3+1,R42))</f>
        <v>0</v>
      </c>
      <c r="CE42" s="61">
        <f>IF(S42="",0,IF(OR(S42="DNF",S42="OCS",S42="DSQ",S42="DNS",S42=" DNS "),$BW$3+1,S42))</f>
        <v>0</v>
      </c>
      <c r="CF42" s="61">
        <f>IF(T42="",0,IF(OR(T42="DNF",T42="OCS",T42="DSQ",T42="DNS",T42=" DNS "),$BW$3+1,T42))</f>
        <v>0</v>
      </c>
      <c r="CG42" s="61">
        <f>IF(U42="",0,IF(OR(U42="DNF",U42="OCS",U42="DSQ",U42="DNS",U42=" DNS "),$BW$3+1,U42))</f>
        <v>0</v>
      </c>
      <c r="CH42" s="61">
        <f>IF(V42="",0,IF(OR(V42="DNF",V42="OCS",V42="DSQ",V42="DNS",V42=" DNS "),$BW$3+1,V42))</f>
        <v>0</v>
      </c>
      <c r="CI42" s="61">
        <f>IF(W42="",0,IF(OR(W42="DNF",W42="OCS",W42="DSQ",W42="DNS",W42=" DNS "),$BW$3+1,W42))</f>
        <v>0</v>
      </c>
      <c r="CJ42" s="61">
        <f>IF(X42="",0,IF(OR(X42="DNF",X42="OCS",X42="DSQ",X42="DNS",X42=" DNS "),$BW$3+1,X42))</f>
        <v>0</v>
      </c>
      <c r="CK42" s="61">
        <f>IF(Y42="",0,IF(OR(Y42="DNF",Y42="OCS",Y42="DSQ",Y42="DNS",Y42=" DNS "),$BW$3+1,Y42))</f>
        <v>0</v>
      </c>
      <c r="CL42" s="61">
        <f>IF(Z42="",0,IF(OR(Z42="DNF",Z42="OCS",Z42="DSQ",Z42="DNS",Z42=" DNS "),$BW$3+1,Z42))</f>
        <v>0</v>
      </c>
      <c r="CM42" s="61">
        <f>IF(AA42="",0,IF(OR(AA42="DNF",AA42="OCS",AA42="DSQ",AA42="DNS",AA42=" DNS "),$BW$3+1,AA42))</f>
        <v>0</v>
      </c>
      <c r="CN42" s="61">
        <f>IF(AB42="",0,IF(OR(AB42="DNF",AB42="OCS",AB42="DSQ",AB42="DNS",AB42=" DNS "),$BW$3+1,AB42))</f>
        <v>0</v>
      </c>
      <c r="CO42" s="61">
        <f>IF(AC42="",0,IF(OR(AC42="DNF",AC42="OCS",AC42="DSQ",AC42="DNS",AC42=" DNS "),$BW$3+1,AC42))</f>
        <v>0</v>
      </c>
      <c r="CP42" s="61">
        <f>IF(AD42="",0,IF(OR(AD42="DNF",AD42="OCS",AD42="DSQ",AD42="DNS",AD42=" DNS "),$BW$3+1,AD42))</f>
        <v>0</v>
      </c>
      <c r="CQ42" s="61">
        <f>IF(AE42="",0,IF(OR(AE42="DNF",AE42="OCS",AE42="DSQ",AE42="DNS",AE42=" DNS "),$BW$3+1,AE42))</f>
        <v>0</v>
      </c>
      <c r="CR42" s="61">
        <f>IF(AF42="",0,IF(OR(AF42="DNF",AF42="OCS",AF42="DSQ",AF42="DNS",AF42=" DNS "),$BW$3+1,AF42))</f>
        <v>0</v>
      </c>
      <c r="CS42" s="61">
        <f>IF(AG42="",0,IF(OR(AG42="DNF",AG42="OCS",AG42="DSQ",AG42="DNS",AG42=" DNS "),$BW$3+1,AG42))</f>
        <v>0</v>
      </c>
      <c r="CT42" s="61">
        <f>IF(AH42="",0,IF(OR(AH42="DNF",AH42="OCS",AH42="DSQ",AH42="DNS",AH42=" DNS "),$BW$3+1,AH42))</f>
        <v>0</v>
      </c>
      <c r="CU42" s="61">
        <f>IF(AI42="",0,IF(OR(AI42="DNF",AI42="OCS",AI42="DSQ",AI42="DNS",AI42=" DNS "),$BW$3+1,AI42))</f>
        <v>0</v>
      </c>
      <c r="CV42" s="61">
        <f>IF(AJ42="",0,IF(OR(AJ42="DNF",AJ42="OCS",AJ42="DSQ",AJ42="DNS",AJ42=" DNS "),$BW$3+1,AJ42))</f>
        <v>0</v>
      </c>
      <c r="CW42" s="61">
        <f>IF(AK42="",0,IF(OR(AK42="DNF",AK42="OCS",AK42="DSQ",AK42="DNS",AK42=" DNS "),$BW$3+1,AK42))</f>
        <v>0</v>
      </c>
      <c r="CX42" s="61">
        <f>IF(AL42="",0,IF(OR(AL42="DNF",AL42="OCS",AL42="DSQ",AL42="DNS",AL42=" DNS "),$BW$3+1,AL42))</f>
        <v>0</v>
      </c>
      <c r="CY42" s="61">
        <f>IF(AM42="",0,IF(OR(AM42="DNF",AM42="OCS",AM42="DSQ",AM42="DNS",AM42=" DNS "),$BW$3+1,AM42))</f>
        <v>0</v>
      </c>
      <c r="CZ42" s="61">
        <f>IF(AN42="",0,IF(OR(AN42="DNF",AN42="OCS",AN42="DSQ",AN42="DNS",AN42=" DNS "),$BW$3+1,AN42))</f>
        <v>0</v>
      </c>
      <c r="DA42" s="61">
        <f>IF(AO42="",0,IF(OR(AO42="DNF",AO42="OCS",AO42="DSQ",AO42="DNS",AO42=" DNS "),$BW$3+1,AO42))</f>
        <v>0</v>
      </c>
      <c r="DB42" s="61">
        <f>IF(AP42="",0,IF(OR(AP42="DNF",AP42="OCS",AP42="DSQ",AP42="DNS",AP42=" DNS "),$BW$3+1,AP42))</f>
        <v>0</v>
      </c>
      <c r="DC42" s="61">
        <f>IF(AQ42="",0,IF(OR(AQ42="DNF",AQ42="OCS",AQ42="DSQ",AQ42="DNS",AQ42=" DNS "),$BW$3+1,AQ42))</f>
        <v>0</v>
      </c>
      <c r="DD42" s="61">
        <f>IF(AR42="",0,IF(OR(AR42="DNF",AR42="OCS",AR42="DSQ",AR42="DNS",AR42=" DNS "),$BW$3+1,AR42))</f>
        <v>0</v>
      </c>
      <c r="DE42" s="61">
        <f>IF(AS42="",0,IF(OR(AS42="DNF",AS42="OCS",AS42="DSQ",AS42="DNS",AS42=" DNS "),$BW$3+1,AS42))</f>
        <v>0</v>
      </c>
      <c r="DF42" s="61">
        <f>IF(AT42="",0,IF(OR(AT42="DNF",AT42="OCS",AT42="DSQ",AT42="DNS",AT42=" DNS "),$BW$3+1,AT42))</f>
        <v>0</v>
      </c>
      <c r="DG42" s="61">
        <f>IF(AU42="",0,IF(OR(AU42="DNF",AU42="OCS",AU42="DSQ",AU42="DNS",AU42=" DNS "),$BW$3+1,AU42))</f>
        <v>0</v>
      </c>
      <c r="DH42" s="61">
        <f>IF(AV42="",0,IF(OR(AV42="DNF",AV42="OCS",AV42="DSQ",AV42="DNS",AV42=" DNS "),$BW$3+1,AV42))</f>
        <v>0</v>
      </c>
      <c r="DI42" s="61">
        <f>IF(AW42="",0,IF(OR(AW42="DNF",AW42="OCS",AW42="DSQ",AW42="DNS",AW42=" DNS "),$BW$3+1,AW42))</f>
        <v>0</v>
      </c>
      <c r="DJ42" s="61">
        <f>IF(AX42="",0,IF(OR(AX42="DNF",AX42="OCS",AX42="DSQ",AX42="DNS",AX42=" DNS "),$BW$3+1,AX42))</f>
        <v>0</v>
      </c>
      <c r="DK42" s="61">
        <f>IF(AY42="",0,IF(OR(AY42="DNF",AY42="OCS",AY42="DSQ",AY42="DNS",AY42=" DNS "),$BW$3+1,AY42))</f>
        <v>0</v>
      </c>
      <c r="DL42" s="61">
        <f>IF(AZ42="",0,IF(OR(AZ42="DNF",AZ42="OCS",AZ42="DSQ",AZ42="DNS",AZ42=" DNS "),$BW$3+1,AZ42))</f>
        <v>0</v>
      </c>
      <c r="DM42" s="61">
        <f>IF(BA42="",0,IF(OR(BA42="DNF",BA42="OCS",BA42="DSQ",BA42="DNS",BA42=" DNS "),$BW$3+1,BA42))</f>
        <v>0</v>
      </c>
      <c r="DN42" s="61">
        <f>IF(BB42="",0,IF(OR(BB42="DNF",BB42="OCS",BB42="DSQ",BB42="DNS",BB42=" DNS "),$BW$3+1,BB42))</f>
        <v>0</v>
      </c>
      <c r="DO42" s="61">
        <f>IF(BC42="",0,IF(OR(BC42="DNF",BC42="OCS",BC42="DSQ",BC42="DNS",BC42=" DNS "),$BW$3+1,BC42))</f>
        <v>0</v>
      </c>
      <c r="DP42" s="61">
        <f>IF(BD42="",0,IF(OR(BD42="DNF",BD42="OCS",BD42="DSQ",BD42="DNS",BD42=" DNS "),$BW$3+1,BD42))</f>
        <v>0</v>
      </c>
      <c r="DQ42" s="61">
        <f>IF(BE42="",0,IF(OR(BE42="DNF",BE42="OCS",BE42="DSQ",BE42="DNS",BE42=" DNS "),$BW$3+1,BE42))</f>
        <v>0</v>
      </c>
      <c r="DR42" s="61">
        <f>IF(BF42="",0,IF(OR(BF42="DNF",BF42="OCS",BF42="DSQ",BF42="DNS",BF42=" DNS "),$BW$3+1,BF42))</f>
        <v>0</v>
      </c>
      <c r="DS42" s="61">
        <f>IF(BG42="",0,IF(OR(BG42="DNF",BG42="OCS",BG42="DSQ",BG42="DNS",BG42=" DNS "),$BW$3+1,BG42))</f>
        <v>0</v>
      </c>
      <c r="DT42" s="61">
        <f>IF(BH42="",0,IF(OR(BH42="DNF",BH42="OCS",BH42="DSQ",BH42="DNS",BH42=" DNS "),$BW$3+1,BH42))</f>
        <v>0</v>
      </c>
      <c r="DU42" s="61">
        <f>IF(BI42="",0,IF(OR(BI42="DNF",BI42="OCS",BI42="DSQ",BI42="DNS",BI42=" DNS "),$BW$3+1,BI42))</f>
        <v>0</v>
      </c>
      <c r="DV42" s="61">
        <f>IF(BJ42="",0,IF(OR(BJ42="DNF",BJ42="OCS",BJ42="DSQ",BJ42="DNS",BJ42=" DNS "),$BW$3+1,BJ42))</f>
        <v>0</v>
      </c>
      <c r="DW42" s="61">
        <f>IF(BK42="",0,IF(OR(BK42="DNF",BK42="OCS",BK42="DSQ",BK42="DNS",BK42=" DNS "),$BW$3+1,BK42))</f>
        <v>0</v>
      </c>
      <c r="DX42" s="61">
        <f>IF(BL42="",0,IF(OR(BL42="DNF",BL42="OCS",BL42="DSQ",BL42="DNS",BL42=" DNS "),$BW$3+1,BL42))</f>
        <v>0</v>
      </c>
      <c r="DY42" s="61">
        <f>IF(BM42="",0,IF(OR(BM42="DNF",BM42="OCS",BM42="DSQ",BM42="DNS",BM42=" DNS "),$BW$3+1,BM42))</f>
        <v>0</v>
      </c>
      <c r="DZ42" s="61">
        <f>IF(BN42="",0,IF(OR(BN42="DNF",BN42="OCS",BN42="DSQ",BN42="DNS",BN42=" DNS "),$BW$3+1,BN42))</f>
        <v>0</v>
      </c>
      <c r="EA42" s="61">
        <f>IF(BO42="",0,IF(OR(BO42="DNF",BO42="OCS",BO42="DSQ",BO42="DNS",BO42=" DNS "),$BW$3+1,BO42))</f>
        <v>0</v>
      </c>
      <c r="EB42" s="61">
        <f>IF(BP42="",0,IF(OR(BP42="DNF",BP42="OCS",BP42="DSQ",BP42="DNS",BP42=" DNS "),$BW$3+1,BP42))</f>
        <v>0</v>
      </c>
      <c r="EC42" s="61">
        <f>IF(BQ42="",0,IF(OR(BQ42="DNF",BQ42="OCS",BQ42="DSQ",BQ42="DNS",BQ42=" DNS "),$BW$3+1,BQ42))</f>
        <v>0</v>
      </c>
      <c r="EE42" s="61">
        <f xml:space="preserve">
IF(OR(Deltagarlista!$K$3=3,Deltagarlista!$K$3=4),
IF(Arrangörslista!$U$5&lt;8,0,
IF(Arrangörslista!$U$5&lt;16,SUM(LARGE(BV42:CJ42,1)),
IF(Arrangörslista!$U$5&lt;24,SUM(LARGE(BV42:CR42,{1;2})),
IF(Arrangörslista!$U$5&lt;32,SUM(LARGE(BV42:CZ42,{1;2;3})),
IF(Arrangörslista!$U$5&lt;40,SUM(LARGE(BV42:DH42,{1;2;3;4})),
IF(Arrangörslista!$U$5&lt;48,SUM(LARGE(BV42:DP42,{1;2;3;4;5})),
IF(Arrangörslista!$U$5&lt;56,SUM(LARGE(BV42:DX42,{1;2;3;4;5;6})),
IF(Arrangörslista!$U$5&lt;64,SUM(LARGE(BV42:EC42,{1;2;3;4;5;6;7})),0)))))))),
IF(Deltagarlista!$K$3=2,
IF(Arrangörslista!$U$5&lt;4,LARGE(BV42:BX42,1),
IF(Arrangörslista!$U$5&lt;7,SUM(LARGE(BV42:CA42,{1;2;3})),
IF(Arrangörslista!$U$5&lt;10,SUM(LARGE(BV42:CD42,{1;2;3;4})),
IF(Arrangörslista!$U$5&lt;13,SUM(LARGE(BV42:CG42,{1;2;3;4;5;6})),
IF(Arrangörslista!$U$5&lt;16,SUM(LARGE(BV42:CJ42,{1;2;3;4;5;6;7})),
IF(Arrangörslista!$U$5&lt;19,SUM(LARGE(BV42:CM42,{1;2;3;4;5;6;7;8;9})),
IF(Arrangörslista!$U$5&lt;22,SUM(LARGE(BV42:CP42,{1;2;3;4;5;6;7;8;9;10})),
IF(Arrangörslista!$U$5&lt;25,SUM(LARGE(BV42:CS42,{1;2;3;4;5;6;7;8;9;10;11;12})),
IF(Arrangörslista!$U$5&lt;28,SUM(LARGE(BV42:CV42,{1;2;3;4;5;6;7;8;9;10;11;12;13})),
IF(Arrangörslista!$U$5&lt;31,SUM(LARGE(BV42:CY42,{1;2;3;4;5;6;7;8;9;10;11;12;13;14;15})),
IF(Arrangörslista!$U$5&lt;34,SUM(LARGE(BV42:DB42,{1;2;3;4;5;6;7;8;9;10;11;12;13;14;15;16})),
IF(Arrangörslista!$U$5&lt;37,SUM(LARGE(BV42:DE42,{1;2;3;4;5;6;7;8;9;10;11;12;13;14;15;16;17;18})),
IF(Arrangörslista!$U$5&lt;40,SUM(LARGE(BV42:DH42,{1;2;3;4;5;6;7;8;9;10;11;12;13;14;15;16;17;18;19})),
IF(Arrangörslista!$U$5&lt;43,SUM(LARGE(BV42:DK42,{1;2;3;4;5;6;7;8;9;10;11;12;13;14;15;16;17;18;19;20;21})),
IF(Arrangörslista!$U$5&lt;46,SUM(LARGE(BV42:DN42,{1;2;3;4;5;6;7;8;9;10;11;12;13;14;15;16;17;18;19;20;21;22})),
IF(Arrangörslista!$U$5&lt;49,SUM(LARGE(BV42:DQ42,{1;2;3;4;5;6;7;8;9;10;11;12;13;14;15;16;17;18;19;20;21;22;23;24})),
IF(Arrangörslista!$U$5&lt;52,SUM(LARGE(BV42:DT42,{1;2;3;4;5;6;7;8;9;10;11;12;13;14;15;16;17;18;19;20;21;22;23;24;25})),
IF(Arrangörslista!$U$5&lt;55,SUM(LARGE(BV42:DW42,{1;2;3;4;5;6;7;8;9;10;11;12;13;14;15;16;17;18;19;20;21;22;23;24;25;26;27})),
IF(Arrangörslista!$U$5&lt;58,SUM(LARGE(BV42:DZ42,{1;2;3;4;5;6;7;8;9;10;11;12;13;14;15;16;17;18;19;20;21;22;23;24;25;26;27;28})),
IF(Arrangörslista!$U$5&lt;61,SUM(LARGE(BV42:EC42,{1;2;3;4;5;6;7;8;9;10;11;12;13;14;15;16;17;18;19;20;21;22;23;24;25;26;27;28;29;30})),0)))))))))))))))))))),
IF(Arrangörslista!$U$5&lt;4,0,
IF(Arrangörslista!$U$5&lt;8,SUM(LARGE(BV42:CB42,1)),
IF(Arrangörslista!$U$5&lt;12,SUM(LARGE(BV42:CF42,{1;2})),
IF(Arrangörslista!$U$5&lt;16,SUM(LARGE(BV42:CJ42,{1;2;3})),
IF(Arrangörslista!$U$5&lt;20,SUM(LARGE(BV42:CN42,{1;2;3;4})),
IF(Arrangörslista!$U$5&lt;24,SUM(LARGE(BV42:CR42,{1;2;3;4;5})),
IF(Arrangörslista!$U$5&lt;28,SUM(LARGE(BV42:CV42,{1;2;3;4;5;6})),
IF(Arrangörslista!$U$5&lt;32,SUM(LARGE(BV42:CZ42,{1;2;3;4;5;6;7})),
IF(Arrangörslista!$U$5&lt;36,SUM(LARGE(BV42:DD42,{1;2;3;4;5;6;7;8})),
IF(Arrangörslista!$U$5&lt;40,SUM(LARGE(BV42:DH42,{1;2;3;4;5;6;7;8;9})),
IF(Arrangörslista!$U$5&lt;44,SUM(LARGE(BV42:DL42,{1;2;3;4;5;6;7;8;9;10})),
IF(Arrangörslista!$U$5&lt;48,SUM(LARGE(BV42:DP42,{1;2;3;4;5;6;7;8;9;10;11})),
IF(Arrangörslista!$U$5&lt;52,SUM(LARGE(BV42:DT42,{1;2;3;4;5;6;7;8;9;10;11;12})),
IF(Arrangörslista!$U$5&lt;56,SUM(LARGE(BV42:DX42,{1;2;3;4;5;6;7;8;9;10;11;12;13})),
IF(Arrangörslista!$U$5&lt;60,SUM(LARGE(BV42:EB42,{1;2;3;4;5;6;7;8;9;10;11;12;13;14})),
IF(Arrangörslista!$U$5=60,SUM(LARGE(BV42:EC42,{1;2;3;4;5;6;7;8;9;10;11;12;13;14;15})),0))))))))))))))))))</f>
        <v>0</v>
      </c>
      <c r="EG42" s="67">
        <f>IF(F42="",,1)</f>
        <v>0</v>
      </c>
      <c r="EH42" s="61"/>
      <c r="EI42" s="61"/>
      <c r="EK42" s="62">
        <f>SMALL($J105:$BQ105,1)</f>
        <v>61</v>
      </c>
      <c r="EL42" s="62">
        <f>SMALL($J105:$BQ105,2)</f>
        <v>61</v>
      </c>
      <c r="EM42" s="62">
        <f>SMALL($J105:$BQ105,3)</f>
        <v>61</v>
      </c>
      <c r="EN42" s="62">
        <f>SMALL($J105:$BQ105,4)</f>
        <v>61</v>
      </c>
      <c r="EO42" s="62">
        <f>SMALL($J105:$BQ105,5)</f>
        <v>61</v>
      </c>
      <c r="EP42" s="62">
        <f>SMALL($J105:$BQ105,6)</f>
        <v>61</v>
      </c>
      <c r="EQ42" s="62">
        <f>SMALL($J105:$BQ105,7)</f>
        <v>61</v>
      </c>
      <c r="ER42" s="62">
        <f>SMALL($J105:$BQ105,8)</f>
        <v>61</v>
      </c>
      <c r="ES42" s="62">
        <f>SMALL($J105:$BQ105,9)</f>
        <v>61</v>
      </c>
      <c r="ET42" s="62">
        <f>SMALL($J105:$BQ105,10)</f>
        <v>61</v>
      </c>
      <c r="EU42" s="62">
        <f>SMALL($J105:$BQ105,11)</f>
        <v>61</v>
      </c>
      <c r="EV42" s="62">
        <f>SMALL($J105:$BQ105,12)</f>
        <v>61</v>
      </c>
      <c r="EW42" s="62">
        <f>SMALL($J105:$BQ105,13)</f>
        <v>61</v>
      </c>
      <c r="EX42" s="62">
        <f>SMALL($J105:$BQ105,14)</f>
        <v>61</v>
      </c>
      <c r="EY42" s="62">
        <f>SMALL($J105:$BQ105,15)</f>
        <v>61</v>
      </c>
      <c r="EZ42" s="62">
        <f>SMALL($J105:$BQ105,16)</f>
        <v>61</v>
      </c>
      <c r="FA42" s="62">
        <f>SMALL($J105:$BQ105,17)</f>
        <v>61</v>
      </c>
      <c r="FB42" s="62">
        <f>SMALL($J105:$BQ105,18)</f>
        <v>61</v>
      </c>
      <c r="FC42" s="62">
        <f>SMALL($J105:$BQ105,19)</f>
        <v>61</v>
      </c>
      <c r="FD42" s="62">
        <f>SMALL($J105:$BQ105,20)</f>
        <v>61</v>
      </c>
      <c r="FE42" s="62">
        <f>SMALL($J105:$BQ105,21)</f>
        <v>61</v>
      </c>
      <c r="FF42" s="62">
        <f>SMALL($J105:$BQ105,22)</f>
        <v>61</v>
      </c>
      <c r="FG42" s="62">
        <f>SMALL($J105:$BQ105,23)</f>
        <v>61</v>
      </c>
      <c r="FH42" s="62">
        <f>SMALL($J105:$BQ105,24)</f>
        <v>61</v>
      </c>
      <c r="FI42" s="62">
        <f>SMALL($J105:$BQ105,25)</f>
        <v>61</v>
      </c>
      <c r="FJ42" s="62">
        <f>SMALL($J105:$BQ105,26)</f>
        <v>61</v>
      </c>
      <c r="FK42" s="62">
        <f>SMALL($J105:$BQ105,27)</f>
        <v>61</v>
      </c>
      <c r="FL42" s="62">
        <f>SMALL($J105:$BQ105,28)</f>
        <v>61</v>
      </c>
      <c r="FM42" s="62">
        <f>SMALL($J105:$BQ105,29)</f>
        <v>61</v>
      </c>
      <c r="FN42" s="62">
        <f>SMALL($J105:$BQ105,30)</f>
        <v>61</v>
      </c>
      <c r="FO42" s="62">
        <f>SMALL($J105:$BQ105,31)</f>
        <v>61</v>
      </c>
      <c r="FP42" s="62">
        <f>SMALL($J105:$BQ105,32)</f>
        <v>61</v>
      </c>
      <c r="FQ42" s="62">
        <f>SMALL($J105:$BQ105,33)</f>
        <v>61</v>
      </c>
      <c r="FR42" s="62">
        <f>SMALL($J105:$BQ105,34)</f>
        <v>61</v>
      </c>
      <c r="FS42" s="62">
        <f>SMALL($J105:$BQ105,35)</f>
        <v>61</v>
      </c>
      <c r="FT42" s="62">
        <f>SMALL($J105:$BQ105,36)</f>
        <v>61</v>
      </c>
      <c r="FU42" s="62">
        <f>SMALL($J105:$BQ105,37)</f>
        <v>61</v>
      </c>
      <c r="FV42" s="62">
        <f>SMALL($J105:$BQ105,38)</f>
        <v>61</v>
      </c>
      <c r="FW42" s="62">
        <f>SMALL($J105:$BQ105,39)</f>
        <v>61</v>
      </c>
      <c r="FX42" s="62">
        <f>SMALL($J105:$BQ105,40)</f>
        <v>61</v>
      </c>
      <c r="FY42" s="62">
        <f>SMALL($J105:$BQ105,41)</f>
        <v>61</v>
      </c>
      <c r="FZ42" s="62">
        <f>SMALL($J105:$BQ105,42)</f>
        <v>61</v>
      </c>
      <c r="GA42" s="62">
        <f>SMALL($J105:$BQ105,43)</f>
        <v>61</v>
      </c>
      <c r="GB42" s="62">
        <f>SMALL($J105:$BQ105,44)</f>
        <v>61</v>
      </c>
      <c r="GC42" s="62">
        <f>SMALL($J105:$BQ105,45)</f>
        <v>61</v>
      </c>
      <c r="GD42" s="62">
        <f>SMALL($J105:$BQ105,46)</f>
        <v>61</v>
      </c>
      <c r="GE42" s="62">
        <f>SMALL($J105:$BQ105,47)</f>
        <v>61</v>
      </c>
      <c r="GF42" s="62">
        <f>SMALL($J105:$BQ105,48)</f>
        <v>61</v>
      </c>
      <c r="GG42" s="62">
        <f>SMALL($J105:$BQ105,49)</f>
        <v>61</v>
      </c>
      <c r="GH42" s="62">
        <f>SMALL($J105:$BQ105,50)</f>
        <v>61</v>
      </c>
      <c r="GI42" s="62">
        <f>SMALL($J105:$BQ105,51)</f>
        <v>61</v>
      </c>
      <c r="GJ42" s="62">
        <f>SMALL($J105:$BQ105,52)</f>
        <v>61</v>
      </c>
      <c r="GK42" s="62">
        <f>SMALL($J105:$BQ105,53)</f>
        <v>61</v>
      </c>
      <c r="GL42" s="62">
        <f>SMALL($J105:$BQ105,54)</f>
        <v>61</v>
      </c>
      <c r="GM42" s="62">
        <f>SMALL($J105:$BQ105,55)</f>
        <v>61</v>
      </c>
      <c r="GN42" s="62">
        <f>SMALL($J105:$BQ105,56)</f>
        <v>61</v>
      </c>
      <c r="GO42" s="62">
        <f>SMALL($J105:$BQ105,57)</f>
        <v>61</v>
      </c>
      <c r="GP42" s="62">
        <f>SMALL($J105:$BQ105,58)</f>
        <v>61</v>
      </c>
      <c r="GQ42" s="62">
        <f>SMALL($J105:$BQ105,59)</f>
        <v>61</v>
      </c>
      <c r="GR42" s="62">
        <f>SMALL($J105:$BQ105,60)</f>
        <v>61</v>
      </c>
      <c r="GT42" s="62">
        <f>IF(Deltagarlista!$K$3=2,
IF(GW42="1",
      IF(Arrangörslista!$U$5=1,J105,
IF(Arrangörslista!$U$5=2,K105,
IF(Arrangörslista!$U$5=3,L105,
IF(Arrangörslista!$U$5=4,M105,
IF(Arrangörslista!$U$5=5,N105,
IF(Arrangörslista!$U$5=6,O105,
IF(Arrangörslista!$U$5=7,P105,
IF(Arrangörslista!$U$5=8,Q105,
IF(Arrangörslista!$U$5=9,R105,
IF(Arrangörslista!$U$5=10,S105,
IF(Arrangörslista!$U$5=11,T105,
IF(Arrangörslista!$U$5=12,U105,
IF(Arrangörslista!$U$5=13,V105,
IF(Arrangörslista!$U$5=14,W105,
IF(Arrangörslista!$U$5=15,X105,
IF(Arrangörslista!$U$5=16,Y105,IF(Arrangörslista!$U$5=17,Z105,IF(Arrangörslista!$U$5=18,AA105,IF(Arrangörslista!$U$5=19,AB105,IF(Arrangörslista!$U$5=20,AC105,IF(Arrangörslista!$U$5=21,AD105,IF(Arrangörslista!$U$5=22,AE105,IF(Arrangörslista!$U$5=23,AF105, IF(Arrangörslista!$U$5=24,AG105, IF(Arrangörslista!$U$5=25,AH105, IF(Arrangörslista!$U$5=26,AI105, IF(Arrangörslista!$U$5=27,AJ105, IF(Arrangörslista!$U$5=28,AK105, IF(Arrangörslista!$U$5=29,AL105, IF(Arrangörslista!$U$5=30,AM105, IF(Arrangörslista!$U$5=31,AN105, IF(Arrangörslista!$U$5=32,AO105, IF(Arrangörslista!$U$5=33,AP105, IF(Arrangörslista!$U$5=34,AQ105, IF(Arrangörslista!$U$5=35,AR105, IF(Arrangörslista!$U$5=36,AS105, IF(Arrangörslista!$U$5=37,AT105, IF(Arrangörslista!$U$5=38,AU105, IF(Arrangörslista!$U$5=39,AV105, IF(Arrangörslista!$U$5=40,AW105, IF(Arrangörslista!$U$5=41,AX105, IF(Arrangörslista!$U$5=42,AY105, IF(Arrangörslista!$U$5=43,AZ105, IF(Arrangörslista!$U$5=44,BA105, IF(Arrangörslista!$U$5=45,BB105, IF(Arrangörslista!$U$5=46,BC105, IF(Arrangörslista!$U$5=47,BD105, IF(Arrangörslista!$U$5=48,BE105, IF(Arrangörslista!$U$5=49,BF105, IF(Arrangörslista!$U$5=50,BG105, IF(Arrangörslista!$U$5=51,BH105, IF(Arrangörslista!$U$5=52,BI105, IF(Arrangörslista!$U$5=53,BJ105, IF(Arrangörslista!$U$5=54,BK105, IF(Arrangörslista!$U$5=55,BL105, IF(Arrangörslista!$U$5=56,BM105, IF(Arrangörslista!$U$5=57,BN105, IF(Arrangörslista!$U$5=58,BO105, IF(Arrangörslista!$U$5=59,BP105, IF(Arrangörslista!$U$5=60,BQ105,0))))))))))))))))))))))))))))))))))))))))))))))))))))))))))))),IF(Deltagarlista!$K$3=4, IF(Arrangörslista!$U$5=1,J105,
IF(Arrangörslista!$U$5=2,J105,
IF(Arrangörslista!$U$5=3,K105,
IF(Arrangörslista!$U$5=4,K105,
IF(Arrangörslista!$U$5=5,L105,
IF(Arrangörslista!$U$5=6,L105,
IF(Arrangörslista!$U$5=7,M105,
IF(Arrangörslista!$U$5=8,M105,
IF(Arrangörslista!$U$5=9,N105,
IF(Arrangörslista!$U$5=10,N105,
IF(Arrangörslista!$U$5=11,O105,
IF(Arrangörslista!$U$5=12,O105,
IF(Arrangörslista!$U$5=13,P105,
IF(Arrangörslista!$U$5=14,P105,
IF(Arrangörslista!$U$5=15,Q105,
IF(Arrangörslista!$U$5=16,Q105,
IF(Arrangörslista!$U$5=17,R105,
IF(Arrangörslista!$U$5=18,R105,
IF(Arrangörslista!$U$5=19,S105,
IF(Arrangörslista!$U$5=20,S105,
IF(Arrangörslista!$U$5=21,T105,
IF(Arrangörslista!$U$5=22,T105,IF(Arrangörslista!$U$5=23,U105, IF(Arrangörslista!$U$5=24,U105, IF(Arrangörslista!$U$5=25,V105, IF(Arrangörslista!$U$5=26,V105, IF(Arrangörslista!$U$5=27,W105, IF(Arrangörslista!$U$5=28,W105, IF(Arrangörslista!$U$5=29,X105, IF(Arrangörslista!$U$5=30,X105, IF(Arrangörslista!$U$5=31,X105, IF(Arrangörslista!$U$5=32,Y105, IF(Arrangörslista!$U$5=33,AO105, IF(Arrangörslista!$U$5=34,Y105, IF(Arrangörslista!$U$5=35,Z105, IF(Arrangörslista!$U$5=36,AR105, IF(Arrangörslista!$U$5=37,Z105, IF(Arrangörslista!$U$5=38,AA105, IF(Arrangörslista!$U$5=39,AU105, IF(Arrangörslista!$U$5=40,AA105, IF(Arrangörslista!$U$5=41,AB105, IF(Arrangörslista!$U$5=42,AX105, IF(Arrangörslista!$U$5=43,AB105, IF(Arrangörslista!$U$5=44,AC105, IF(Arrangörslista!$U$5=45,BA105, IF(Arrangörslista!$U$5=46,AC105, IF(Arrangörslista!$U$5=47,AD105, IF(Arrangörslista!$U$5=48,BD105, IF(Arrangörslista!$U$5=49,AD105, IF(Arrangörslista!$U$5=50,AE105, IF(Arrangörslista!$U$5=51,BG105, IF(Arrangörslista!$U$5=52,AE105, IF(Arrangörslista!$U$5=53,AF105, IF(Arrangörslista!$U$5=54,BJ105, IF(Arrangörslista!$U$5=55,AF105, IF(Arrangörslista!$U$5=56,AG105, IF(Arrangörslista!$U$5=57,BM105, IF(Arrangörslista!$U$5=58,AG105, IF(Arrangörslista!$U$5=59,AH105, IF(Arrangörslista!$U$5=60,AH105,0)))))))))))))))))))))))))))))))))))))))))))))))))))))))))))),IF(Arrangörslista!$U$5=1,J105,
IF(Arrangörslista!$U$5=2,K105,
IF(Arrangörslista!$U$5=3,L105,
IF(Arrangörslista!$U$5=4,M105,
IF(Arrangörslista!$U$5=5,N105,
IF(Arrangörslista!$U$5=6,O105,
IF(Arrangörslista!$U$5=7,P105,
IF(Arrangörslista!$U$5=8,Q105,
IF(Arrangörslista!$U$5=9,R105,
IF(Arrangörslista!$U$5=10,S105,
IF(Arrangörslista!$U$5=11,T105,
IF(Arrangörslista!$U$5=12,U105,
IF(Arrangörslista!$U$5=13,V105,
IF(Arrangörslista!$U$5=14,W105,
IF(Arrangörslista!$U$5=15,X105,
IF(Arrangörslista!$U$5=16,Y105,IF(Arrangörslista!$U$5=17,Z105,IF(Arrangörslista!$U$5=18,AA105,IF(Arrangörslista!$U$5=19,AB105,IF(Arrangörslista!$U$5=20,AC105,IF(Arrangörslista!$U$5=21,AD105,IF(Arrangörslista!$U$5=22,AE105,IF(Arrangörslista!$U$5=23,AF105, IF(Arrangörslista!$U$5=24,AG105, IF(Arrangörslista!$U$5=25,AH105, IF(Arrangörslista!$U$5=26,AI105, IF(Arrangörslista!$U$5=27,AJ105, IF(Arrangörslista!$U$5=28,AK105, IF(Arrangörslista!$U$5=29,AL105, IF(Arrangörslista!$U$5=30,AM105, IF(Arrangörslista!$U$5=31,AN105, IF(Arrangörslista!$U$5=32,AO105, IF(Arrangörslista!$U$5=33,AP105, IF(Arrangörslista!$U$5=34,AQ105, IF(Arrangörslista!$U$5=35,AR105, IF(Arrangörslista!$U$5=36,AS105, IF(Arrangörslista!$U$5=37,AT105, IF(Arrangörslista!$U$5=38,AU105, IF(Arrangörslista!$U$5=39,AV105, IF(Arrangörslista!$U$5=40,AW105, IF(Arrangörslista!$U$5=41,AX105, IF(Arrangörslista!$U$5=42,AY105, IF(Arrangörslista!$U$5=43,AZ105, IF(Arrangörslista!$U$5=44,BA105, IF(Arrangörslista!$U$5=45,BB105, IF(Arrangörslista!$U$5=46,BC105, IF(Arrangörslista!$U$5=47,BD105, IF(Arrangörslista!$U$5=48,BE105, IF(Arrangörslista!$U$5=49,BF105, IF(Arrangörslista!$U$5=50,BG105, IF(Arrangörslista!$U$5=51,BH105, IF(Arrangörslista!$U$5=52,BI105, IF(Arrangörslista!$U$5=53,BJ105, IF(Arrangörslista!$U$5=54,BK105, IF(Arrangörslista!$U$5=55,BL105, IF(Arrangörslista!$U$5=56,BM105, IF(Arrangörslista!$U$5=57,BN105, IF(Arrangörslista!$U$5=58,BO105, IF(Arrangörslista!$U$5=59,BP105, IF(Arrangörslista!$U$5=60,BQ105,0))))))))))))))))))))))))))))))))))))))))))))))))))))))))))))
))</f>
        <v>0</v>
      </c>
      <c r="GV42" s="65" t="str">
        <f>IFERROR(IF(VLOOKUP(F42,Deltagarlista!$E$5:$I$64,5,FALSE)="Grön","Gr",IF(VLOOKUP(F42,Deltagarlista!$E$5:$I$64,5,FALSE)="Röd","R",IF(VLOOKUP(F42,Deltagarlista!$E$5:$I$64,5,FALSE)="Blå","B","Gu"))),"")</f>
        <v/>
      </c>
      <c r="GW42" s="62" t="str">
        <f t="shared" si="1"/>
        <v/>
      </c>
    </row>
    <row r="43" spans="1:205" ht="15.75" customHeight="1" x14ac:dyDescent="0.3">
      <c r="B43" s="23" t="str">
        <f>IF($BW$3&gt;39,40,"")</f>
        <v/>
      </c>
      <c r="C43" s="92" t="str">
        <f>IF(ISBLANK(Deltagarlista!C63),"",Deltagarlista!C63)</f>
        <v/>
      </c>
      <c r="D43" s="109" t="str">
        <f>CONCATENATE(IF(AND(Deltagarlista!H63="GM",Deltagarlista!$S$14=TRUE),"GM   ",""),  IF(OR(Deltagarlista!$K$3=4,Deltagarlista!$K$3=2),Deltagarlista!I63,""))</f>
        <v/>
      </c>
      <c r="E43" s="8" t="str">
        <f>IF(ISBLANK(Deltagarlista!D63),"",Deltagarlista!D63)</f>
        <v/>
      </c>
      <c r="F43" s="8" t="str">
        <f>IF(ISBLANK(Deltagarlista!E63),"",Deltagarlista!E63)</f>
        <v/>
      </c>
      <c r="G43" s="95" t="str">
        <f>IF(ISBLANK(Deltagarlista!F63),"",Deltagarlista!F63)</f>
        <v/>
      </c>
      <c r="H43" s="72" t="str">
        <f>IF(ISBLANK(Deltagarlista!C63),"",BU43-EE43)</f>
        <v/>
      </c>
      <c r="I43" s="13" t="str">
        <f>IF(ISBLANK(Deltagarlista!C63),"",IF(AND(Deltagarlista!$K$3=2,Deltagarlista!$L$3&lt;37),SUM(SUM(BV43:EC43)-(ROUNDDOWN(Arrangörslista!$U$5/3,1))*($BW$3+1)),SUM(BV43:EC43)))</f>
        <v/>
      </c>
      <c r="J43" s="79" t="str">
        <f>IF(Deltagarlista!$K$3=4,IF(ISBLANK(Deltagarlista!$C63),"",IF(ISBLANK(Arrangörslista!C$8),"",IFERROR(VLOOKUP($F43,Arrangörslista!C$8:$AG$45,16,FALSE),IF(ISBLANK(Deltagarlista!$C63),"",IF(ISBLANK(Arrangörslista!C$8),"",IFERROR(VLOOKUP($F43,Arrangörslista!D$8:$AG$45,16,FALSE),"DNS")))))),IF(Deltagarlista!$K$3=2,
IF(ISBLANK(Deltagarlista!$C63),"",IF(ISBLANK(Arrangörslista!C$8),"",IF($GV43=J$64," DNS ",IFERROR(VLOOKUP($F43,Arrangörslista!C$8:$AG$45,16,FALSE),"DNS")))),IF(ISBLANK(Deltagarlista!$C63),"",IF(ISBLANK(Arrangörslista!C$8),"",IFERROR(VLOOKUP($F43,Arrangörslista!C$8:$AG$45,16,FALSE),"DNS")))))</f>
        <v/>
      </c>
      <c r="K43" s="5" t="str">
        <f>IF(Deltagarlista!$K$3=4,IF(ISBLANK(Deltagarlista!$C63),"",IF(ISBLANK(Arrangörslista!E$8),"",IFERROR(VLOOKUP($F43,Arrangörslista!E$8:$AG$45,16,FALSE),IF(ISBLANK(Deltagarlista!$C63),"",IF(ISBLANK(Arrangörslista!E$8),"",IFERROR(VLOOKUP($F43,Arrangörslista!F$8:$AG$45,16,FALSE),"DNS")))))),IF(Deltagarlista!$K$3=2,
IF(ISBLANK(Deltagarlista!$C63),"",IF(ISBLANK(Arrangörslista!D$8),"",IF($GV43=K$64," DNS ",IFERROR(VLOOKUP($F43,Arrangörslista!D$8:$AG$45,16,FALSE),"DNS")))),IF(ISBLANK(Deltagarlista!$C63),"",IF(ISBLANK(Arrangörslista!D$8),"",IFERROR(VLOOKUP($F43,Arrangörslista!D$8:$AG$45,16,FALSE),"DNS")))))</f>
        <v/>
      </c>
      <c r="L43" s="5" t="str">
        <f>IF(Deltagarlista!$K$3=4,IF(ISBLANK(Deltagarlista!$C63),"",IF(ISBLANK(Arrangörslista!G$8),"",IFERROR(VLOOKUP($F43,Arrangörslista!G$8:$AG$45,16,FALSE),IF(ISBLANK(Deltagarlista!$C63),"",IF(ISBLANK(Arrangörslista!G$8),"",IFERROR(VLOOKUP($F43,Arrangörslista!H$8:$AG$45,16,FALSE),"DNS")))))),IF(Deltagarlista!$K$3=2,
IF(ISBLANK(Deltagarlista!$C63),"",IF(ISBLANK(Arrangörslista!E$8),"",IF($GV43=L$64," DNS ",IFERROR(VLOOKUP($F43,Arrangörslista!E$8:$AG$45,16,FALSE),"DNS")))),IF(ISBLANK(Deltagarlista!$C63),"",IF(ISBLANK(Arrangörslista!E$8),"",IFERROR(VLOOKUP($F43,Arrangörslista!E$8:$AG$45,16,FALSE),"DNS")))))</f>
        <v/>
      </c>
      <c r="M43" s="5" t="str">
        <f>IF(Deltagarlista!$K$3=4,IF(ISBLANK(Deltagarlista!$C63),"",IF(ISBLANK(Arrangörslista!I$8),"",IFERROR(VLOOKUP($F43,Arrangörslista!I$8:$AG$45,16,FALSE),IF(ISBLANK(Deltagarlista!$C63),"",IF(ISBLANK(Arrangörslista!I$8),"",IFERROR(VLOOKUP($F43,Arrangörslista!J$8:$AG$45,16,FALSE),"DNS")))))),IF(Deltagarlista!$K$3=2,
IF(ISBLANK(Deltagarlista!$C63),"",IF(ISBLANK(Arrangörslista!F$8),"",IF($GV43=M$64," DNS ",IFERROR(VLOOKUP($F43,Arrangörslista!F$8:$AG$45,16,FALSE),"DNS")))),IF(ISBLANK(Deltagarlista!$C63),"",IF(ISBLANK(Arrangörslista!F$8),"",IFERROR(VLOOKUP($F43,Arrangörslista!F$8:$AG$45,16,FALSE),"DNS")))))</f>
        <v/>
      </c>
      <c r="N43" s="5" t="str">
        <f>IF(Deltagarlista!$K$3=4,IF(ISBLANK(Deltagarlista!$C63),"",IF(ISBLANK(Arrangörslista!K$8),"",IFERROR(VLOOKUP($F43,Arrangörslista!K$8:$AG$45,16,FALSE),IF(ISBLANK(Deltagarlista!$C63),"",IF(ISBLANK(Arrangörslista!K$8),"",IFERROR(VLOOKUP($F43,Arrangörslista!L$8:$AG$45,16,FALSE),"DNS")))))),IF(Deltagarlista!$K$3=2,
IF(ISBLANK(Deltagarlista!$C63),"",IF(ISBLANK(Arrangörslista!G$8),"",IF($GV43=N$64," DNS ",IFERROR(VLOOKUP($F43,Arrangörslista!G$8:$AG$45,16,FALSE),"DNS")))),IF(ISBLANK(Deltagarlista!$C63),"",IF(ISBLANK(Arrangörslista!G$8),"",IFERROR(VLOOKUP($F43,Arrangörslista!G$8:$AG$45,16,FALSE),"DNS")))))</f>
        <v/>
      </c>
      <c r="O43" s="5" t="str">
        <f>IF(Deltagarlista!$K$3=4,IF(ISBLANK(Deltagarlista!$C63),"",IF(ISBLANK(Arrangörslista!M$8),"",IFERROR(VLOOKUP($F43,Arrangörslista!M$8:$AG$45,16,FALSE),IF(ISBLANK(Deltagarlista!$C63),"",IF(ISBLANK(Arrangörslista!M$8),"",IFERROR(VLOOKUP($F43,Arrangörslista!N$8:$AG$45,16,FALSE),"DNS")))))),IF(Deltagarlista!$K$3=2,
IF(ISBLANK(Deltagarlista!$C63),"",IF(ISBLANK(Arrangörslista!H$8),"",IF($GV43=O$64," DNS ",IFERROR(VLOOKUP($F43,Arrangörslista!H$8:$AG$45,16,FALSE),"DNS")))),IF(ISBLANK(Deltagarlista!$C63),"",IF(ISBLANK(Arrangörslista!H$8),"",IFERROR(VLOOKUP($F43,Arrangörslista!H$8:$AG$45,16,FALSE),"DNS")))))</f>
        <v/>
      </c>
      <c r="P43" s="5" t="str">
        <f>IF(Deltagarlista!$K$3=4,IF(ISBLANK(Deltagarlista!$C63),"",IF(ISBLANK(Arrangörslista!O$8),"",IFERROR(VLOOKUP($F43,Arrangörslista!O$8:$AG$45,16,FALSE),IF(ISBLANK(Deltagarlista!$C63),"",IF(ISBLANK(Arrangörslista!O$8),"",IFERROR(VLOOKUP($F43,Arrangörslista!P$8:$AG$45,16,FALSE),"DNS")))))),IF(Deltagarlista!$K$3=2,
IF(ISBLANK(Deltagarlista!$C63),"",IF(ISBLANK(Arrangörslista!I$8),"",IF($GV43=P$64," DNS ",IFERROR(VLOOKUP($F43,Arrangörslista!I$8:$AG$45,16,FALSE),"DNS")))),IF(ISBLANK(Deltagarlista!$C63),"",IF(ISBLANK(Arrangörslista!I$8),"",IFERROR(VLOOKUP($F43,Arrangörslista!I$8:$AG$45,16,FALSE),"DNS")))))</f>
        <v/>
      </c>
      <c r="Q43" s="5" t="str">
        <f>IF(Deltagarlista!$K$3=4,IF(ISBLANK(Deltagarlista!$C63),"",IF(ISBLANK(Arrangörslista!Q$8),"",IFERROR(VLOOKUP($F43,Arrangörslista!Q$8:$AG$45,16,FALSE),IF(ISBLANK(Deltagarlista!$C63),"",IF(ISBLANK(Arrangörslista!Q$8),"",IFERROR(VLOOKUP($F43,Arrangörslista!C$53:$AG$90,16,FALSE),"DNS")))))),IF(Deltagarlista!$K$3=2,
IF(ISBLANK(Deltagarlista!$C63),"",IF(ISBLANK(Arrangörslista!J$8),"",IF($GV43=Q$64," DNS ",IFERROR(VLOOKUP($F43,Arrangörslista!J$8:$AG$45,16,FALSE),"DNS")))),IF(ISBLANK(Deltagarlista!$C63),"",IF(ISBLANK(Arrangörslista!J$8),"",IFERROR(VLOOKUP($F43,Arrangörslista!J$8:$AG$45,16,FALSE),"DNS")))))</f>
        <v/>
      </c>
      <c r="R43" s="5" t="str">
        <f>IF(Deltagarlista!$K$3=4,IF(ISBLANK(Deltagarlista!$C63),"",IF(ISBLANK(Arrangörslista!D$53),"",IFERROR(VLOOKUP($F43,Arrangörslista!D$53:$AG$90,16,FALSE),IF(ISBLANK(Deltagarlista!$C63),"",IF(ISBLANK(Arrangörslista!D$53),"",IFERROR(VLOOKUP($F43,Arrangörslista!E$53:$AG$90,16,FALSE),"DNS")))))),IF(Deltagarlista!$K$3=2,
IF(ISBLANK(Deltagarlista!$C63),"",IF(ISBLANK(Arrangörslista!K$8),"",IF($GV43=R$64," DNS ",IFERROR(VLOOKUP($F43,Arrangörslista!K$8:$AG$45,16,FALSE),"DNS")))),IF(ISBLANK(Deltagarlista!$C63),"",IF(ISBLANK(Arrangörslista!K$8),"",IFERROR(VLOOKUP($F43,Arrangörslista!K$8:$AG$45,16,FALSE),"DNS")))))</f>
        <v/>
      </c>
      <c r="S43" s="5" t="str">
        <f>IF(Deltagarlista!$K$3=4,IF(ISBLANK(Deltagarlista!$C63),"",IF(ISBLANK(Arrangörslista!F$53),"",IFERROR(VLOOKUP($F43,Arrangörslista!F$53:$AG$90,16,FALSE),IF(ISBLANK(Deltagarlista!$C63),"",IF(ISBLANK(Arrangörslista!F$53),"",IFERROR(VLOOKUP($F43,Arrangörslista!G$53:$AG$90,16,FALSE),"DNS")))))),IF(Deltagarlista!$K$3=2,
IF(ISBLANK(Deltagarlista!$C63),"",IF(ISBLANK(Arrangörslista!L$8),"",IF($GV43=S$64," DNS ",IFERROR(VLOOKUP($F43,Arrangörslista!L$8:$AG$45,16,FALSE),"DNS")))),IF(ISBLANK(Deltagarlista!$C63),"",IF(ISBLANK(Arrangörslista!L$8),"",IFERROR(VLOOKUP($F43,Arrangörslista!L$8:$AG$45,16,FALSE),"DNS")))))</f>
        <v/>
      </c>
      <c r="T43" s="5" t="str">
        <f>IF(Deltagarlista!$K$3=4,IF(ISBLANK(Deltagarlista!$C63),"",IF(ISBLANK(Arrangörslista!H$53),"",IFERROR(VLOOKUP($F43,Arrangörslista!H$53:$AG$90,16,FALSE),IF(ISBLANK(Deltagarlista!$C63),"",IF(ISBLANK(Arrangörslista!H$53),"",IFERROR(VLOOKUP($F43,Arrangörslista!I$53:$AG$90,16,FALSE),"DNS")))))),IF(Deltagarlista!$K$3=2,
IF(ISBLANK(Deltagarlista!$C63),"",IF(ISBLANK(Arrangörslista!M$8),"",IF($GV43=T$64," DNS ",IFERROR(VLOOKUP($F43,Arrangörslista!M$8:$AG$45,16,FALSE),"DNS")))),IF(ISBLANK(Deltagarlista!$C63),"",IF(ISBLANK(Arrangörslista!M$8),"",IFERROR(VLOOKUP($F43,Arrangörslista!M$8:$AG$45,16,FALSE),"DNS")))))</f>
        <v/>
      </c>
      <c r="U43" s="5" t="str">
        <f>IF(Deltagarlista!$K$3=4,IF(ISBLANK(Deltagarlista!$C63),"",IF(ISBLANK(Arrangörslista!J$53),"",IFERROR(VLOOKUP($F43,Arrangörslista!J$53:$AG$90,16,FALSE),IF(ISBLANK(Deltagarlista!$C63),"",IF(ISBLANK(Arrangörslista!J$53),"",IFERROR(VLOOKUP($F43,Arrangörslista!K$53:$AG$90,16,FALSE),"DNS")))))),IF(Deltagarlista!$K$3=2,
IF(ISBLANK(Deltagarlista!$C63),"",IF(ISBLANK(Arrangörslista!N$8),"",IF($GV43=U$64," DNS ",IFERROR(VLOOKUP($F43,Arrangörslista!N$8:$AG$45,16,FALSE),"DNS")))),IF(ISBLANK(Deltagarlista!$C63),"",IF(ISBLANK(Arrangörslista!N$8),"",IFERROR(VLOOKUP($F43,Arrangörslista!N$8:$AG$45,16,FALSE),"DNS")))))</f>
        <v/>
      </c>
      <c r="V43" s="5" t="str">
        <f>IF(Deltagarlista!$K$3=4,IF(ISBLANK(Deltagarlista!$C63),"",IF(ISBLANK(Arrangörslista!L$53),"",IFERROR(VLOOKUP($F43,Arrangörslista!L$53:$AG$90,16,FALSE),IF(ISBLANK(Deltagarlista!$C63),"",IF(ISBLANK(Arrangörslista!L$53),"",IFERROR(VLOOKUP($F43,Arrangörslista!M$53:$AG$90,16,FALSE),"DNS")))))),IF(Deltagarlista!$K$3=2,
IF(ISBLANK(Deltagarlista!$C63),"",IF(ISBLANK(Arrangörslista!O$8),"",IF($GV43=V$64," DNS ",IFERROR(VLOOKUP($F43,Arrangörslista!O$8:$AG$45,16,FALSE),"DNS")))),IF(ISBLANK(Deltagarlista!$C63),"",IF(ISBLANK(Arrangörslista!O$8),"",IFERROR(VLOOKUP($F43,Arrangörslista!O$8:$AG$45,16,FALSE),"DNS")))))</f>
        <v/>
      </c>
      <c r="W43" s="5" t="str">
        <f>IF(Deltagarlista!$K$3=4,IF(ISBLANK(Deltagarlista!$C63),"",IF(ISBLANK(Arrangörslista!N$53),"",IFERROR(VLOOKUP($F43,Arrangörslista!N$53:$AG$90,16,FALSE),IF(ISBLANK(Deltagarlista!$C63),"",IF(ISBLANK(Arrangörslista!N$53),"",IFERROR(VLOOKUP($F43,Arrangörslista!O$53:$AG$90,16,FALSE),"DNS")))))),IF(Deltagarlista!$K$3=2,
IF(ISBLANK(Deltagarlista!$C63),"",IF(ISBLANK(Arrangörslista!P$8),"",IF($GV43=W$64," DNS ",IFERROR(VLOOKUP($F43,Arrangörslista!P$8:$AG$45,16,FALSE),"DNS")))),IF(ISBLANK(Deltagarlista!$C63),"",IF(ISBLANK(Arrangörslista!P$8),"",IFERROR(VLOOKUP($F43,Arrangörslista!P$8:$AG$45,16,FALSE),"DNS")))))</f>
        <v/>
      </c>
      <c r="X43" s="5" t="str">
        <f>IF(Deltagarlista!$K$3=4,IF(ISBLANK(Deltagarlista!$C63),"",IF(ISBLANK(Arrangörslista!P$53),"",IFERROR(VLOOKUP($F43,Arrangörslista!P$53:$AG$90,16,FALSE),IF(ISBLANK(Deltagarlista!$C63),"",IF(ISBLANK(Arrangörslista!P$53),"",IFERROR(VLOOKUP($F43,Arrangörslista!Q$53:$AG$90,16,FALSE),"DNS")))))),IF(Deltagarlista!$K$3=2,
IF(ISBLANK(Deltagarlista!$C63),"",IF(ISBLANK(Arrangörslista!Q$8),"",IF($GV43=X$64," DNS ",IFERROR(VLOOKUP($F43,Arrangörslista!Q$8:$AG$45,16,FALSE),"DNS")))),IF(ISBLANK(Deltagarlista!$C63),"",IF(ISBLANK(Arrangörslista!Q$8),"",IFERROR(VLOOKUP($F43,Arrangörslista!Q$8:$AG$45,16,FALSE),"DNS")))))</f>
        <v/>
      </c>
      <c r="Y43" s="5" t="str">
        <f>IF(Deltagarlista!$K$3=4,IF(ISBLANK(Deltagarlista!$C63),"",IF(ISBLANK(Arrangörslista!C$98),"",IFERROR(VLOOKUP($F43,Arrangörslista!C$98:$AG$135,16,FALSE),IF(ISBLANK(Deltagarlista!$C63),"",IF(ISBLANK(Arrangörslista!C$98),"",IFERROR(VLOOKUP($F43,Arrangörslista!D$98:$AG$135,16,FALSE),"DNS")))))),IF(Deltagarlista!$K$3=2,
IF(ISBLANK(Deltagarlista!$C63),"",IF(ISBLANK(Arrangörslista!C$53),"",IF($GV43=Y$64," DNS ",IFERROR(VLOOKUP($F43,Arrangörslista!C$53:$AG$90,16,FALSE),"DNS")))),IF(ISBLANK(Deltagarlista!$C63),"",IF(ISBLANK(Arrangörslista!C$53),"",IFERROR(VLOOKUP($F43,Arrangörslista!C$53:$AG$90,16,FALSE),"DNS")))))</f>
        <v/>
      </c>
      <c r="Z43" s="5" t="str">
        <f>IF(Deltagarlista!$K$3=4,IF(ISBLANK(Deltagarlista!$C63),"",IF(ISBLANK(Arrangörslista!E$98),"",IFERROR(VLOOKUP($F43,Arrangörslista!E$98:$AG$135,16,FALSE),IF(ISBLANK(Deltagarlista!$C63),"",IF(ISBLANK(Arrangörslista!E$98),"",IFERROR(VLOOKUP($F43,Arrangörslista!F$98:$AG$135,16,FALSE),"DNS")))))),IF(Deltagarlista!$K$3=2,
IF(ISBLANK(Deltagarlista!$C63),"",IF(ISBLANK(Arrangörslista!D$53),"",IF($GV43=Z$64," DNS ",IFERROR(VLOOKUP($F43,Arrangörslista!D$53:$AG$90,16,FALSE),"DNS")))),IF(ISBLANK(Deltagarlista!$C63),"",IF(ISBLANK(Arrangörslista!D$53),"",IFERROR(VLOOKUP($F43,Arrangörslista!D$53:$AG$90,16,FALSE),"DNS")))))</f>
        <v/>
      </c>
      <c r="AA43" s="5" t="str">
        <f>IF(Deltagarlista!$K$3=4,IF(ISBLANK(Deltagarlista!$C63),"",IF(ISBLANK(Arrangörslista!G$98),"",IFERROR(VLOOKUP($F43,Arrangörslista!G$98:$AG$135,16,FALSE),IF(ISBLANK(Deltagarlista!$C63),"",IF(ISBLANK(Arrangörslista!G$98),"",IFERROR(VLOOKUP($F43,Arrangörslista!H$98:$AG$135,16,FALSE),"DNS")))))),IF(Deltagarlista!$K$3=2,
IF(ISBLANK(Deltagarlista!$C63),"",IF(ISBLANK(Arrangörslista!E$53),"",IF($GV43=AA$64," DNS ",IFERROR(VLOOKUP($F43,Arrangörslista!E$53:$AG$90,16,FALSE),"DNS")))),IF(ISBLANK(Deltagarlista!$C63),"",IF(ISBLANK(Arrangörslista!E$53),"",IFERROR(VLOOKUP($F43,Arrangörslista!E$53:$AG$90,16,FALSE),"DNS")))))</f>
        <v/>
      </c>
      <c r="AB43" s="5" t="str">
        <f>IF(Deltagarlista!$K$3=4,IF(ISBLANK(Deltagarlista!$C63),"",IF(ISBLANK(Arrangörslista!I$98),"",IFERROR(VLOOKUP($F43,Arrangörslista!I$98:$AG$135,16,FALSE),IF(ISBLANK(Deltagarlista!$C63),"",IF(ISBLANK(Arrangörslista!I$98),"",IFERROR(VLOOKUP($F43,Arrangörslista!J$98:$AG$135,16,FALSE),"DNS")))))),IF(Deltagarlista!$K$3=2,
IF(ISBLANK(Deltagarlista!$C63),"",IF(ISBLANK(Arrangörslista!F$53),"",IF($GV43=AB$64," DNS ",IFERROR(VLOOKUP($F43,Arrangörslista!F$53:$AG$90,16,FALSE),"DNS")))),IF(ISBLANK(Deltagarlista!$C63),"",IF(ISBLANK(Arrangörslista!F$53),"",IFERROR(VLOOKUP($F43,Arrangörslista!F$53:$AG$90,16,FALSE),"DNS")))))</f>
        <v/>
      </c>
      <c r="AC43" s="5" t="str">
        <f>IF(Deltagarlista!$K$3=4,IF(ISBLANK(Deltagarlista!$C63),"",IF(ISBLANK(Arrangörslista!K$98),"",IFERROR(VLOOKUP($F43,Arrangörslista!K$98:$AG$135,16,FALSE),IF(ISBLANK(Deltagarlista!$C63),"",IF(ISBLANK(Arrangörslista!K$98),"",IFERROR(VLOOKUP($F43,Arrangörslista!L$98:$AG$135,16,FALSE),"DNS")))))),IF(Deltagarlista!$K$3=2,
IF(ISBLANK(Deltagarlista!$C63),"",IF(ISBLANK(Arrangörslista!G$53),"",IF($GV43=AC$64," DNS ",IFERROR(VLOOKUP($F43,Arrangörslista!G$53:$AG$90,16,FALSE),"DNS")))),IF(ISBLANK(Deltagarlista!$C63),"",IF(ISBLANK(Arrangörslista!G$53),"",IFERROR(VLOOKUP($F43,Arrangörslista!G$53:$AG$90,16,FALSE),"DNS")))))</f>
        <v/>
      </c>
      <c r="AD43" s="5" t="str">
        <f>IF(Deltagarlista!$K$3=4,IF(ISBLANK(Deltagarlista!$C63),"",IF(ISBLANK(Arrangörslista!M$98),"",IFERROR(VLOOKUP($F43,Arrangörslista!M$98:$AG$135,16,FALSE),IF(ISBLANK(Deltagarlista!$C63),"",IF(ISBLANK(Arrangörslista!M$98),"",IFERROR(VLOOKUP($F43,Arrangörslista!N$98:$AG$135,16,FALSE),"DNS")))))),IF(Deltagarlista!$K$3=2,
IF(ISBLANK(Deltagarlista!$C63),"",IF(ISBLANK(Arrangörslista!H$53),"",IF($GV43=AD$64," DNS ",IFERROR(VLOOKUP($F43,Arrangörslista!H$53:$AG$90,16,FALSE),"DNS")))),IF(ISBLANK(Deltagarlista!$C63),"",IF(ISBLANK(Arrangörslista!H$53),"",IFERROR(VLOOKUP($F43,Arrangörslista!H$53:$AG$90,16,FALSE),"DNS")))))</f>
        <v/>
      </c>
      <c r="AE43" s="5" t="str">
        <f>IF(Deltagarlista!$K$3=4,IF(ISBLANK(Deltagarlista!$C63),"",IF(ISBLANK(Arrangörslista!O$98),"",IFERROR(VLOOKUP($F43,Arrangörslista!O$98:$AG$135,16,FALSE),IF(ISBLANK(Deltagarlista!$C63),"",IF(ISBLANK(Arrangörslista!O$98),"",IFERROR(VLOOKUP($F43,Arrangörslista!P$98:$AG$135,16,FALSE),"DNS")))))),IF(Deltagarlista!$K$3=2,
IF(ISBLANK(Deltagarlista!$C63),"",IF(ISBLANK(Arrangörslista!I$53),"",IF($GV43=AE$64," DNS ",IFERROR(VLOOKUP($F43,Arrangörslista!I$53:$AG$90,16,FALSE),"DNS")))),IF(ISBLANK(Deltagarlista!$C63),"",IF(ISBLANK(Arrangörslista!I$53),"",IFERROR(VLOOKUP($F43,Arrangörslista!I$53:$AG$90,16,FALSE),"DNS")))))</f>
        <v/>
      </c>
      <c r="AF43" s="5" t="str">
        <f>IF(Deltagarlista!$K$3=4,IF(ISBLANK(Deltagarlista!$C63),"",IF(ISBLANK(Arrangörslista!Q$98),"",IFERROR(VLOOKUP($F43,Arrangörslista!Q$98:$AG$135,16,FALSE),IF(ISBLANK(Deltagarlista!$C63),"",IF(ISBLANK(Arrangörslista!Q$98),"",IFERROR(VLOOKUP($F43,Arrangörslista!C$143:$AG$180,16,FALSE),"DNS")))))),IF(Deltagarlista!$K$3=2,
IF(ISBLANK(Deltagarlista!$C63),"",IF(ISBLANK(Arrangörslista!J$53),"",IF($GV43=AF$64," DNS ",IFERROR(VLOOKUP($F43,Arrangörslista!J$53:$AG$90,16,FALSE),"DNS")))),IF(ISBLANK(Deltagarlista!$C63),"",IF(ISBLANK(Arrangörslista!J$53),"",IFERROR(VLOOKUP($F43,Arrangörslista!J$53:$AG$90,16,FALSE),"DNS")))))</f>
        <v/>
      </c>
      <c r="AG43" s="5" t="str">
        <f>IF(Deltagarlista!$K$3=4,IF(ISBLANK(Deltagarlista!$C63),"",IF(ISBLANK(Arrangörslista!D$143),"",IFERROR(VLOOKUP($F43,Arrangörslista!D$143:$AG$180,16,FALSE),IF(ISBLANK(Deltagarlista!$C63),"",IF(ISBLANK(Arrangörslista!D$143),"",IFERROR(VLOOKUP($F43,Arrangörslista!E$143:$AG$180,16,FALSE),"DNS")))))),IF(Deltagarlista!$K$3=2,
IF(ISBLANK(Deltagarlista!$C63),"",IF(ISBLANK(Arrangörslista!K$53),"",IF($GV43=AG$64," DNS ",IFERROR(VLOOKUP($F43,Arrangörslista!K$53:$AG$90,16,FALSE),"DNS")))),IF(ISBLANK(Deltagarlista!$C63),"",IF(ISBLANK(Arrangörslista!K$53),"",IFERROR(VLOOKUP($F43,Arrangörslista!K$53:$AG$90,16,FALSE),"DNS")))))</f>
        <v/>
      </c>
      <c r="AH43" s="5" t="str">
        <f>IF(Deltagarlista!$K$3=4,IF(ISBLANK(Deltagarlista!$C63),"",IF(ISBLANK(Arrangörslista!F$143),"",IFERROR(VLOOKUP($F43,Arrangörslista!F$143:$AG$180,16,FALSE),IF(ISBLANK(Deltagarlista!$C63),"",IF(ISBLANK(Arrangörslista!F$143),"",IFERROR(VLOOKUP($F43,Arrangörslista!G$143:$AG$180,16,FALSE),"DNS")))))),IF(Deltagarlista!$K$3=2,
IF(ISBLANK(Deltagarlista!$C63),"",IF(ISBLANK(Arrangörslista!L$53),"",IF($GV43=AH$64," DNS ",IFERROR(VLOOKUP($F43,Arrangörslista!L$53:$AG$90,16,FALSE),"DNS")))),IF(ISBLANK(Deltagarlista!$C63),"",IF(ISBLANK(Arrangörslista!L$53),"",IFERROR(VLOOKUP($F43,Arrangörslista!L$53:$AG$90,16,FALSE),"DNS")))))</f>
        <v/>
      </c>
      <c r="AI43" s="5" t="str">
        <f>IF(Deltagarlista!$K$3=4,IF(ISBLANK(Deltagarlista!$C63),"",IF(ISBLANK(Arrangörslista!H$143),"",IFERROR(VLOOKUP($F43,Arrangörslista!H$143:$AG$180,16,FALSE),IF(ISBLANK(Deltagarlista!$C63),"",IF(ISBLANK(Arrangörslista!H$143),"",IFERROR(VLOOKUP($F43,Arrangörslista!I$143:$AG$180,16,FALSE),"DNS")))))),IF(Deltagarlista!$K$3=2,
IF(ISBLANK(Deltagarlista!$C63),"",IF(ISBLANK(Arrangörslista!M$53),"",IF($GV43=AI$64," DNS ",IFERROR(VLOOKUP($F43,Arrangörslista!M$53:$AG$90,16,FALSE),"DNS")))),IF(ISBLANK(Deltagarlista!$C63),"",IF(ISBLANK(Arrangörslista!M$53),"",IFERROR(VLOOKUP($F43,Arrangörslista!M$53:$AG$90,16,FALSE),"DNS")))))</f>
        <v/>
      </c>
      <c r="AJ43" s="5" t="str">
        <f>IF(Deltagarlista!$K$3=4,IF(ISBLANK(Deltagarlista!$C63),"",IF(ISBLANK(Arrangörslista!J$143),"",IFERROR(VLOOKUP($F43,Arrangörslista!J$143:$AG$180,16,FALSE),IF(ISBLANK(Deltagarlista!$C63),"",IF(ISBLANK(Arrangörslista!J$143),"",IFERROR(VLOOKUP($F43,Arrangörslista!K$143:$AG$180,16,FALSE),"DNS")))))),IF(Deltagarlista!$K$3=2,
IF(ISBLANK(Deltagarlista!$C63),"",IF(ISBLANK(Arrangörslista!N$53),"",IF($GV43=AJ$64," DNS ",IFERROR(VLOOKUP($F43,Arrangörslista!N$53:$AG$90,16,FALSE),"DNS")))),IF(ISBLANK(Deltagarlista!$C63),"",IF(ISBLANK(Arrangörslista!N$53),"",IFERROR(VLOOKUP($F43,Arrangörslista!N$53:$AG$90,16,FALSE),"DNS")))))</f>
        <v/>
      </c>
      <c r="AK43" s="5" t="str">
        <f>IF(Deltagarlista!$K$3=4,IF(ISBLANK(Deltagarlista!$C63),"",IF(ISBLANK(Arrangörslista!L$143),"",IFERROR(VLOOKUP($F43,Arrangörslista!L$143:$AG$180,16,FALSE),IF(ISBLANK(Deltagarlista!$C63),"",IF(ISBLANK(Arrangörslista!L$143),"",IFERROR(VLOOKUP($F43,Arrangörslista!M$143:$AG$180,16,FALSE),"DNS")))))),IF(Deltagarlista!$K$3=2,
IF(ISBLANK(Deltagarlista!$C63),"",IF(ISBLANK(Arrangörslista!O$53),"",IF($GV43=AK$64," DNS ",IFERROR(VLOOKUP($F43,Arrangörslista!O$53:$AG$90,16,FALSE),"DNS")))),IF(ISBLANK(Deltagarlista!$C63),"",IF(ISBLANK(Arrangörslista!O$53),"",IFERROR(VLOOKUP($F43,Arrangörslista!O$53:$AG$90,16,FALSE),"DNS")))))</f>
        <v/>
      </c>
      <c r="AL43" s="5" t="str">
        <f>IF(Deltagarlista!$K$3=4,IF(ISBLANK(Deltagarlista!$C63),"",IF(ISBLANK(Arrangörslista!N$143),"",IFERROR(VLOOKUP($F43,Arrangörslista!N$143:$AG$180,16,FALSE),IF(ISBLANK(Deltagarlista!$C63),"",IF(ISBLANK(Arrangörslista!N$143),"",IFERROR(VLOOKUP($F43,Arrangörslista!O$143:$AG$180,16,FALSE),"DNS")))))),IF(Deltagarlista!$K$3=2,
IF(ISBLANK(Deltagarlista!$C63),"",IF(ISBLANK(Arrangörslista!P$53),"",IF($GV43=AL$64," DNS ",IFERROR(VLOOKUP($F43,Arrangörslista!P$53:$AG$90,16,FALSE),"DNS")))),IF(ISBLANK(Deltagarlista!$C63),"",IF(ISBLANK(Arrangörslista!P$53),"",IFERROR(VLOOKUP($F43,Arrangörslista!P$53:$AG$90,16,FALSE),"DNS")))))</f>
        <v/>
      </c>
      <c r="AM43" s="5" t="str">
        <f>IF(Deltagarlista!$K$3=4,IF(ISBLANK(Deltagarlista!$C63),"",IF(ISBLANK(Arrangörslista!P$143),"",IFERROR(VLOOKUP($F43,Arrangörslista!P$143:$AG$180,16,FALSE),IF(ISBLANK(Deltagarlista!$C63),"",IF(ISBLANK(Arrangörslista!P$143),"",IFERROR(VLOOKUP($F43,Arrangörslista!Q$143:$AG$180,16,FALSE),"DNS")))))),IF(Deltagarlista!$K$3=2,
IF(ISBLANK(Deltagarlista!$C63),"",IF(ISBLANK(Arrangörslista!Q$53),"",IF($GV43=AM$64," DNS ",IFERROR(VLOOKUP($F43,Arrangörslista!Q$53:$AG$90,16,FALSE),"DNS")))),IF(ISBLANK(Deltagarlista!$C63),"",IF(ISBLANK(Arrangörslista!Q$53),"",IFERROR(VLOOKUP($F43,Arrangörslista!Q$53:$AG$90,16,FALSE),"DNS")))))</f>
        <v/>
      </c>
      <c r="AN43" s="5" t="str">
        <f>IF(Deltagarlista!$K$3=2,
IF(ISBLANK(Deltagarlista!$C63),"",IF(ISBLANK(Arrangörslista!C$98),"",IF($GV43=AN$64," DNS ",IFERROR(VLOOKUP($F43,Arrangörslista!C$98:$AG$135,16,FALSE), "DNS")))), IF(Deltagarlista!$K$3=1,IF(ISBLANK(Deltagarlista!$C63),"",IF(ISBLANK(Arrangörslista!C$98),"",IFERROR(VLOOKUP($F43,Arrangörslista!C$98:$AG$135,16,FALSE), "DNS"))),""))</f>
        <v/>
      </c>
      <c r="AO43" s="5" t="str">
        <f>IF(Deltagarlista!$K$3=2,
IF(ISBLANK(Deltagarlista!$C63),"",IF(ISBLANK(Arrangörslista!D$98),"",IF($GV43=AO$64," DNS ",IFERROR(VLOOKUP($F43,Arrangörslista!D$98:$AG$135,16,FALSE), "DNS")))), IF(Deltagarlista!$K$3=1,IF(ISBLANK(Deltagarlista!$C63),"",IF(ISBLANK(Arrangörslista!D$98),"",IFERROR(VLOOKUP($F43,Arrangörslista!D$98:$AG$135,16,FALSE), "DNS"))),""))</f>
        <v/>
      </c>
      <c r="AP43" s="5" t="str">
        <f>IF(Deltagarlista!$K$3=2,
IF(ISBLANK(Deltagarlista!$C63),"",IF(ISBLANK(Arrangörslista!E$98),"",IF($GV43=AP$64," DNS ",IFERROR(VLOOKUP($F43,Arrangörslista!E$98:$AG$135,16,FALSE), "DNS")))), IF(Deltagarlista!$K$3=1,IF(ISBLANK(Deltagarlista!$C63),"",IF(ISBLANK(Arrangörslista!E$98),"",IFERROR(VLOOKUP($F43,Arrangörslista!E$98:$AG$135,16,FALSE), "DNS"))),""))</f>
        <v/>
      </c>
      <c r="AQ43" s="5" t="str">
        <f>IF(Deltagarlista!$K$3=2,
IF(ISBLANK(Deltagarlista!$C63),"",IF(ISBLANK(Arrangörslista!F$98),"",IF($GV43=AQ$64," DNS ",IFERROR(VLOOKUP($F43,Arrangörslista!F$98:$AG$135,16,FALSE), "DNS")))), IF(Deltagarlista!$K$3=1,IF(ISBLANK(Deltagarlista!$C63),"",IF(ISBLANK(Arrangörslista!F$98),"",IFERROR(VLOOKUP($F43,Arrangörslista!F$98:$AG$135,16,FALSE), "DNS"))),""))</f>
        <v/>
      </c>
      <c r="AR43" s="5" t="str">
        <f>IF(Deltagarlista!$K$3=2,
IF(ISBLANK(Deltagarlista!$C63),"",IF(ISBLANK(Arrangörslista!G$98),"",IF($GV43=AR$64," DNS ",IFERROR(VLOOKUP($F43,Arrangörslista!G$98:$AG$135,16,FALSE), "DNS")))), IF(Deltagarlista!$K$3=1,IF(ISBLANK(Deltagarlista!$C63),"",IF(ISBLANK(Arrangörslista!G$98),"",IFERROR(VLOOKUP($F43,Arrangörslista!G$98:$AG$135,16,FALSE), "DNS"))),""))</f>
        <v/>
      </c>
      <c r="AS43" s="5" t="str">
        <f>IF(Deltagarlista!$K$3=2,
IF(ISBLANK(Deltagarlista!$C63),"",IF(ISBLANK(Arrangörslista!H$98),"",IF($GV43=AS$64," DNS ",IFERROR(VLOOKUP($F43,Arrangörslista!H$98:$AG$135,16,FALSE), "DNS")))), IF(Deltagarlista!$K$3=1,IF(ISBLANK(Deltagarlista!$C63),"",IF(ISBLANK(Arrangörslista!H$98),"",IFERROR(VLOOKUP($F43,Arrangörslista!H$98:$AG$135,16,FALSE), "DNS"))),""))</f>
        <v/>
      </c>
      <c r="AT43" s="5" t="str">
        <f>IF(Deltagarlista!$K$3=2,
IF(ISBLANK(Deltagarlista!$C63),"",IF(ISBLANK(Arrangörslista!I$98),"",IF($GV43=AT$64," DNS ",IFERROR(VLOOKUP($F43,Arrangörslista!I$98:$AG$135,16,FALSE), "DNS")))), IF(Deltagarlista!$K$3=1,IF(ISBLANK(Deltagarlista!$C63),"",IF(ISBLANK(Arrangörslista!I$98),"",IFERROR(VLOOKUP($F43,Arrangörslista!I$98:$AG$135,16,FALSE), "DNS"))),""))</f>
        <v/>
      </c>
      <c r="AU43" s="5" t="str">
        <f>IF(Deltagarlista!$K$3=2,
IF(ISBLANK(Deltagarlista!$C63),"",IF(ISBLANK(Arrangörslista!J$98),"",IF($GV43=AU$64," DNS ",IFERROR(VLOOKUP($F43,Arrangörslista!J$98:$AG$135,16,FALSE), "DNS")))), IF(Deltagarlista!$K$3=1,IF(ISBLANK(Deltagarlista!$C63),"",IF(ISBLANK(Arrangörslista!J$98),"",IFERROR(VLOOKUP($F43,Arrangörslista!J$98:$AG$135,16,FALSE), "DNS"))),""))</f>
        <v/>
      </c>
      <c r="AV43" s="5" t="str">
        <f>IF(Deltagarlista!$K$3=2,
IF(ISBLANK(Deltagarlista!$C63),"",IF(ISBLANK(Arrangörslista!K$98),"",IF($GV43=AV$64," DNS ",IFERROR(VLOOKUP($F43,Arrangörslista!K$98:$AG$135,16,FALSE), "DNS")))), IF(Deltagarlista!$K$3=1,IF(ISBLANK(Deltagarlista!$C63),"",IF(ISBLANK(Arrangörslista!K$98),"",IFERROR(VLOOKUP($F43,Arrangörslista!K$98:$AG$135,16,FALSE), "DNS"))),""))</f>
        <v/>
      </c>
      <c r="AW43" s="5" t="str">
        <f>IF(Deltagarlista!$K$3=2,
IF(ISBLANK(Deltagarlista!$C63),"",IF(ISBLANK(Arrangörslista!L$98),"",IF($GV43=AW$64," DNS ",IFERROR(VLOOKUP($F43,Arrangörslista!L$98:$AG$135,16,FALSE), "DNS")))), IF(Deltagarlista!$K$3=1,IF(ISBLANK(Deltagarlista!$C63),"",IF(ISBLANK(Arrangörslista!L$98),"",IFERROR(VLOOKUP($F43,Arrangörslista!L$98:$AG$135,16,FALSE), "DNS"))),""))</f>
        <v/>
      </c>
      <c r="AX43" s="5" t="str">
        <f>IF(Deltagarlista!$K$3=2,
IF(ISBLANK(Deltagarlista!$C63),"",IF(ISBLANK(Arrangörslista!M$98),"",IF($GV43=AX$64," DNS ",IFERROR(VLOOKUP($F43,Arrangörslista!M$98:$AG$135,16,FALSE), "DNS")))), IF(Deltagarlista!$K$3=1,IF(ISBLANK(Deltagarlista!$C63),"",IF(ISBLANK(Arrangörslista!M$98),"",IFERROR(VLOOKUP($F43,Arrangörslista!M$98:$AG$135,16,FALSE), "DNS"))),""))</f>
        <v/>
      </c>
      <c r="AY43" s="5" t="str">
        <f>IF(Deltagarlista!$K$3=2,
IF(ISBLANK(Deltagarlista!$C63),"",IF(ISBLANK(Arrangörslista!N$98),"",IF($GV43=AY$64," DNS ",IFERROR(VLOOKUP($F43,Arrangörslista!N$98:$AG$135,16,FALSE), "DNS")))), IF(Deltagarlista!$K$3=1,IF(ISBLANK(Deltagarlista!$C63),"",IF(ISBLANK(Arrangörslista!N$98),"",IFERROR(VLOOKUP($F43,Arrangörslista!N$98:$AG$135,16,FALSE), "DNS"))),""))</f>
        <v/>
      </c>
      <c r="AZ43" s="5" t="str">
        <f>IF(Deltagarlista!$K$3=2,
IF(ISBLANK(Deltagarlista!$C63),"",IF(ISBLANK(Arrangörslista!O$98),"",IF($GV43=AZ$64," DNS ",IFERROR(VLOOKUP($F43,Arrangörslista!O$98:$AG$135,16,FALSE), "DNS")))), IF(Deltagarlista!$K$3=1,IF(ISBLANK(Deltagarlista!$C63),"",IF(ISBLANK(Arrangörslista!O$98),"",IFERROR(VLOOKUP($F43,Arrangörslista!O$98:$AG$135,16,FALSE), "DNS"))),""))</f>
        <v/>
      </c>
      <c r="BA43" s="5" t="str">
        <f>IF(Deltagarlista!$K$3=2,
IF(ISBLANK(Deltagarlista!$C63),"",IF(ISBLANK(Arrangörslista!P$98),"",IF($GV43=BA$64," DNS ",IFERROR(VLOOKUP($F43,Arrangörslista!P$98:$AG$135,16,FALSE), "DNS")))), IF(Deltagarlista!$K$3=1,IF(ISBLANK(Deltagarlista!$C63),"",IF(ISBLANK(Arrangörslista!P$98),"",IFERROR(VLOOKUP($F43,Arrangörslista!P$98:$AG$135,16,FALSE), "DNS"))),""))</f>
        <v/>
      </c>
      <c r="BB43" s="5" t="str">
        <f>IF(Deltagarlista!$K$3=2,
IF(ISBLANK(Deltagarlista!$C63),"",IF(ISBLANK(Arrangörslista!Q$98),"",IF($GV43=BB$64," DNS ",IFERROR(VLOOKUP($F43,Arrangörslista!Q$98:$AG$135,16,FALSE), "DNS")))), IF(Deltagarlista!$K$3=1,IF(ISBLANK(Deltagarlista!$C63),"",IF(ISBLANK(Arrangörslista!Q$98),"",IFERROR(VLOOKUP($F43,Arrangörslista!Q$98:$AG$135,16,FALSE), "DNS"))),""))</f>
        <v/>
      </c>
      <c r="BC43" s="5" t="str">
        <f>IF(Deltagarlista!$K$3=2,
IF(ISBLANK(Deltagarlista!$C63),"",IF(ISBLANK(Arrangörslista!C$143),"",IF($GV43=BC$64," DNS ",IFERROR(VLOOKUP($F43,Arrangörslista!C$143:$AG$180,16,FALSE), "DNS")))), IF(Deltagarlista!$K$3=1,IF(ISBLANK(Deltagarlista!$C63),"",IF(ISBLANK(Arrangörslista!C$143),"",IFERROR(VLOOKUP($F43,Arrangörslista!C$143:$AG$180,16,FALSE), "DNS"))),""))</f>
        <v/>
      </c>
      <c r="BD43" s="5" t="str">
        <f>IF(Deltagarlista!$K$3=2,
IF(ISBLANK(Deltagarlista!$C63),"",IF(ISBLANK(Arrangörslista!D$143),"",IF($GV43=BD$64," DNS ",IFERROR(VLOOKUP($F43,Arrangörslista!D$143:$AG$180,16,FALSE), "DNS")))), IF(Deltagarlista!$K$3=1,IF(ISBLANK(Deltagarlista!$C63),"",IF(ISBLANK(Arrangörslista!D$143),"",IFERROR(VLOOKUP($F43,Arrangörslista!D$143:$AG$180,16,FALSE), "DNS"))),""))</f>
        <v/>
      </c>
      <c r="BE43" s="5" t="str">
        <f>IF(Deltagarlista!$K$3=2,
IF(ISBLANK(Deltagarlista!$C63),"",IF(ISBLANK(Arrangörslista!E$143),"",IF($GV43=BE$64," DNS ",IFERROR(VLOOKUP($F43,Arrangörslista!E$143:$AG$180,16,FALSE), "DNS")))), IF(Deltagarlista!$K$3=1,IF(ISBLANK(Deltagarlista!$C63),"",IF(ISBLANK(Arrangörslista!E$143),"",IFERROR(VLOOKUP($F43,Arrangörslista!E$143:$AG$180,16,FALSE), "DNS"))),""))</f>
        <v/>
      </c>
      <c r="BF43" s="5" t="str">
        <f>IF(Deltagarlista!$K$3=2,
IF(ISBLANK(Deltagarlista!$C63),"",IF(ISBLANK(Arrangörslista!F$143),"",IF($GV43=BF$64," DNS ",IFERROR(VLOOKUP($F43,Arrangörslista!F$143:$AG$180,16,FALSE), "DNS")))), IF(Deltagarlista!$K$3=1,IF(ISBLANK(Deltagarlista!$C63),"",IF(ISBLANK(Arrangörslista!F$143),"",IFERROR(VLOOKUP($F43,Arrangörslista!F$143:$AG$180,16,FALSE), "DNS"))),""))</f>
        <v/>
      </c>
      <c r="BG43" s="5" t="str">
        <f>IF(Deltagarlista!$K$3=2,
IF(ISBLANK(Deltagarlista!$C63),"",IF(ISBLANK(Arrangörslista!G$143),"",IF($GV43=BG$64," DNS ",IFERROR(VLOOKUP($F43,Arrangörslista!G$143:$AG$180,16,FALSE), "DNS")))), IF(Deltagarlista!$K$3=1,IF(ISBLANK(Deltagarlista!$C63),"",IF(ISBLANK(Arrangörslista!G$143),"",IFERROR(VLOOKUP($F43,Arrangörslista!G$143:$AG$180,16,FALSE), "DNS"))),""))</f>
        <v/>
      </c>
      <c r="BH43" s="5" t="str">
        <f>IF(Deltagarlista!$K$3=2,
IF(ISBLANK(Deltagarlista!$C63),"",IF(ISBLANK(Arrangörslista!H$143),"",IF($GV43=BH$64," DNS ",IFERROR(VLOOKUP($F43,Arrangörslista!H$143:$AG$180,16,FALSE), "DNS")))), IF(Deltagarlista!$K$3=1,IF(ISBLANK(Deltagarlista!$C63),"",IF(ISBLANK(Arrangörslista!H$143),"",IFERROR(VLOOKUP($F43,Arrangörslista!H$143:$AG$180,16,FALSE), "DNS"))),""))</f>
        <v/>
      </c>
      <c r="BI43" s="5" t="str">
        <f>IF(Deltagarlista!$K$3=2,
IF(ISBLANK(Deltagarlista!$C63),"",IF(ISBLANK(Arrangörslista!I$143),"",IF($GV43=BI$64," DNS ",IFERROR(VLOOKUP($F43,Arrangörslista!I$143:$AG$180,16,FALSE), "DNS")))), IF(Deltagarlista!$K$3=1,IF(ISBLANK(Deltagarlista!$C63),"",IF(ISBLANK(Arrangörslista!I$143),"",IFERROR(VLOOKUP($F43,Arrangörslista!I$143:$AG$180,16,FALSE), "DNS"))),""))</f>
        <v/>
      </c>
      <c r="BJ43" s="5" t="str">
        <f>IF(Deltagarlista!$K$3=2,
IF(ISBLANK(Deltagarlista!$C63),"",IF(ISBLANK(Arrangörslista!J$143),"",IF($GV43=BJ$64," DNS ",IFERROR(VLOOKUP($F43,Arrangörslista!J$143:$AG$180,16,FALSE), "DNS")))), IF(Deltagarlista!$K$3=1,IF(ISBLANK(Deltagarlista!$C63),"",IF(ISBLANK(Arrangörslista!J$143),"",IFERROR(VLOOKUP($F43,Arrangörslista!J$143:$AG$180,16,FALSE), "DNS"))),""))</f>
        <v/>
      </c>
      <c r="BK43" s="5" t="str">
        <f>IF(Deltagarlista!$K$3=2,
IF(ISBLANK(Deltagarlista!$C63),"",IF(ISBLANK(Arrangörslista!K$143),"",IF($GV43=BK$64," DNS ",IFERROR(VLOOKUP($F43,Arrangörslista!K$143:$AG$180,16,FALSE), "DNS")))), IF(Deltagarlista!$K$3=1,IF(ISBLANK(Deltagarlista!$C63),"",IF(ISBLANK(Arrangörslista!K$143),"",IFERROR(VLOOKUP($F43,Arrangörslista!K$143:$AG$180,16,FALSE), "DNS"))),""))</f>
        <v/>
      </c>
      <c r="BL43" s="5" t="str">
        <f>IF(Deltagarlista!$K$3=2,
IF(ISBLANK(Deltagarlista!$C63),"",IF(ISBLANK(Arrangörslista!L$143),"",IF($GV43=BL$64," DNS ",IFERROR(VLOOKUP($F43,Arrangörslista!L$143:$AG$180,16,FALSE), "DNS")))), IF(Deltagarlista!$K$3=1,IF(ISBLANK(Deltagarlista!$C63),"",IF(ISBLANK(Arrangörslista!L$143),"",IFERROR(VLOOKUP($F43,Arrangörslista!L$143:$AG$180,16,FALSE), "DNS"))),""))</f>
        <v/>
      </c>
      <c r="BM43" s="5" t="str">
        <f>IF(Deltagarlista!$K$3=2,
IF(ISBLANK(Deltagarlista!$C63),"",IF(ISBLANK(Arrangörslista!M$143),"",IF($GV43=BM$64," DNS ",IFERROR(VLOOKUP($F43,Arrangörslista!M$143:$AG$180,16,FALSE), "DNS")))), IF(Deltagarlista!$K$3=1,IF(ISBLANK(Deltagarlista!$C63),"",IF(ISBLANK(Arrangörslista!M$143),"",IFERROR(VLOOKUP($F43,Arrangörslista!M$143:$AG$180,16,FALSE), "DNS"))),""))</f>
        <v/>
      </c>
      <c r="BN43" s="5" t="str">
        <f>IF(Deltagarlista!$K$3=2,
IF(ISBLANK(Deltagarlista!$C63),"",IF(ISBLANK(Arrangörslista!N$143),"",IF($GV43=BN$64," DNS ",IFERROR(VLOOKUP($F43,Arrangörslista!N$143:$AG$180,16,FALSE), "DNS")))), IF(Deltagarlista!$K$3=1,IF(ISBLANK(Deltagarlista!$C63),"",IF(ISBLANK(Arrangörslista!N$143),"",IFERROR(VLOOKUP($F43,Arrangörslista!N$143:$AG$180,16,FALSE), "DNS"))),""))</f>
        <v/>
      </c>
      <c r="BO43" s="5" t="str">
        <f>IF(Deltagarlista!$K$3=2,
IF(ISBLANK(Deltagarlista!$C63),"",IF(ISBLANK(Arrangörslista!O$143),"",IF($GV43=BO$64," DNS ",IFERROR(VLOOKUP($F43,Arrangörslista!O$143:$AG$180,16,FALSE), "DNS")))), IF(Deltagarlista!$K$3=1,IF(ISBLANK(Deltagarlista!$C63),"",IF(ISBLANK(Arrangörslista!O$143),"",IFERROR(VLOOKUP($F43,Arrangörslista!O$143:$AG$180,16,FALSE), "DNS"))),""))</f>
        <v/>
      </c>
      <c r="BP43" s="5" t="str">
        <f>IF(Deltagarlista!$K$3=2,
IF(ISBLANK(Deltagarlista!$C63),"",IF(ISBLANK(Arrangörslista!P$143),"",IF($GV43=BP$64," DNS ",IFERROR(VLOOKUP($F43,Arrangörslista!P$143:$AG$180,16,FALSE), "DNS")))), IF(Deltagarlista!$K$3=1,IF(ISBLANK(Deltagarlista!$C63),"",IF(ISBLANK(Arrangörslista!P$143),"",IFERROR(VLOOKUP($F43,Arrangörslista!P$143:$AG$180,16,FALSE), "DNS"))),""))</f>
        <v/>
      </c>
      <c r="BQ43" s="80" t="str">
        <f>IF(Deltagarlista!$K$3=2,
IF(ISBLANK(Deltagarlista!$C63),"",IF(ISBLANK(Arrangörslista!Q$143),"",IF($GV43=BQ$64," DNS ",IFERROR(VLOOKUP($F43,Arrangörslista!Q$143:$AG$180,16,FALSE), "DNS")))), IF(Deltagarlista!$K$3=1,IF(ISBLANK(Deltagarlista!$C63),"",IF(ISBLANK(Arrangörslista!Q$143),"",IFERROR(VLOOKUP($F43,Arrangörslista!Q$143:$AG$180,16,FALSE), "DNS"))),""))</f>
        <v/>
      </c>
      <c r="BR43" s="48"/>
      <c r="BU43" s="71">
        <f>SUM(BV43:EC43)</f>
        <v>0</v>
      </c>
      <c r="BV43" s="61">
        <f>IF(J43="",0,IF(OR(J43="DNF",J43="OCS",J43="DSQ",J43="DNS",J43=" DNS "),$BW$3+1,J43))</f>
        <v>0</v>
      </c>
      <c r="BW43" s="61">
        <f>IF(K43="",0,IF(OR(K43="DNF",K43="OCS",K43="DSQ",K43="DNS",K43=" DNS "),$BW$3+1,K43))</f>
        <v>0</v>
      </c>
      <c r="BX43" s="61">
        <f>IF(L43="",0,IF(OR(L43="DNF",L43="OCS",L43="DSQ",L43="DNS",L43=" DNS "),$BW$3+1,L43))</f>
        <v>0</v>
      </c>
      <c r="BY43" s="61">
        <f>IF(M43="",0,IF(OR(M43="DNF",M43="OCS",M43="DSQ",M43="DNS",M43=" DNS "),$BW$3+1,M43))</f>
        <v>0</v>
      </c>
      <c r="BZ43" s="61">
        <f>IF(N43="",0,IF(OR(N43="DNF",N43="OCS",N43="DSQ",N43="DNS",N43=" DNS "),$BW$3+1,N43))</f>
        <v>0</v>
      </c>
      <c r="CA43" s="61">
        <f>IF(O43="",0,IF(OR(O43="DNF",O43="OCS",O43="DSQ",O43="DNS",O43=" DNS "),$BW$3+1,O43))</f>
        <v>0</v>
      </c>
      <c r="CB43" s="61">
        <f>IF(P43="",0,IF(OR(P43="DNF",P43="OCS",P43="DSQ",P43="DNS",P43=" DNS "),$BW$3+1,P43))</f>
        <v>0</v>
      </c>
      <c r="CC43" s="61">
        <f>IF(Q43="",0,IF(OR(Q43="DNF",Q43="OCS",Q43="DSQ",Q43="DNS",Q43=" DNS "),$BW$3+1,Q43))</f>
        <v>0</v>
      </c>
      <c r="CD43" s="61">
        <f>IF(R43="",0,IF(OR(R43="DNF",R43="OCS",R43="DSQ",R43="DNS",R43=" DNS "),$BW$3+1,R43))</f>
        <v>0</v>
      </c>
      <c r="CE43" s="61">
        <f>IF(S43="",0,IF(OR(S43="DNF",S43="OCS",S43="DSQ",S43="DNS",S43=" DNS "),$BW$3+1,S43))</f>
        <v>0</v>
      </c>
      <c r="CF43" s="61">
        <f>IF(T43="",0,IF(OR(T43="DNF",T43="OCS",T43="DSQ",T43="DNS",T43=" DNS "),$BW$3+1,T43))</f>
        <v>0</v>
      </c>
      <c r="CG43" s="61">
        <f>IF(U43="",0,IF(OR(U43="DNF",U43="OCS",U43="DSQ",U43="DNS",U43=" DNS "),$BW$3+1,U43))</f>
        <v>0</v>
      </c>
      <c r="CH43" s="61">
        <f>IF(V43="",0,IF(OR(V43="DNF",V43="OCS",V43="DSQ",V43="DNS",V43=" DNS "),$BW$3+1,V43))</f>
        <v>0</v>
      </c>
      <c r="CI43" s="61">
        <f>IF(W43="",0,IF(OR(W43="DNF",W43="OCS",W43="DSQ",W43="DNS",W43=" DNS "),$BW$3+1,W43))</f>
        <v>0</v>
      </c>
      <c r="CJ43" s="61">
        <f>IF(X43="",0,IF(OR(X43="DNF",X43="OCS",X43="DSQ",X43="DNS",X43=" DNS "),$BW$3+1,X43))</f>
        <v>0</v>
      </c>
      <c r="CK43" s="61">
        <f>IF(Y43="",0,IF(OR(Y43="DNF",Y43="OCS",Y43="DSQ",Y43="DNS",Y43=" DNS "),$BW$3+1,Y43))</f>
        <v>0</v>
      </c>
      <c r="CL43" s="61">
        <f>IF(Z43="",0,IF(OR(Z43="DNF",Z43="OCS",Z43="DSQ",Z43="DNS",Z43=" DNS "),$BW$3+1,Z43))</f>
        <v>0</v>
      </c>
      <c r="CM43" s="61">
        <f>IF(AA43="",0,IF(OR(AA43="DNF",AA43="OCS",AA43="DSQ",AA43="DNS",AA43=" DNS "),$BW$3+1,AA43))</f>
        <v>0</v>
      </c>
      <c r="CN43" s="61">
        <f>IF(AB43="",0,IF(OR(AB43="DNF",AB43="OCS",AB43="DSQ",AB43="DNS",AB43=" DNS "),$BW$3+1,AB43))</f>
        <v>0</v>
      </c>
      <c r="CO43" s="61">
        <f>IF(AC43="",0,IF(OR(AC43="DNF",AC43="OCS",AC43="DSQ",AC43="DNS",AC43=" DNS "),$BW$3+1,AC43))</f>
        <v>0</v>
      </c>
      <c r="CP43" s="61">
        <f>IF(AD43="",0,IF(OR(AD43="DNF",AD43="OCS",AD43="DSQ",AD43="DNS",AD43=" DNS "),$BW$3+1,AD43))</f>
        <v>0</v>
      </c>
      <c r="CQ43" s="61">
        <f>IF(AE43="",0,IF(OR(AE43="DNF",AE43="OCS",AE43="DSQ",AE43="DNS",AE43=" DNS "),$BW$3+1,AE43))</f>
        <v>0</v>
      </c>
      <c r="CR43" s="61">
        <f>IF(AF43="",0,IF(OR(AF43="DNF",AF43="OCS",AF43="DSQ",AF43="DNS",AF43=" DNS "),$BW$3+1,AF43))</f>
        <v>0</v>
      </c>
      <c r="CS43" s="61">
        <f>IF(AG43="",0,IF(OR(AG43="DNF",AG43="OCS",AG43="DSQ",AG43="DNS",AG43=" DNS "),$BW$3+1,AG43))</f>
        <v>0</v>
      </c>
      <c r="CT43" s="61">
        <f>IF(AH43="",0,IF(OR(AH43="DNF",AH43="OCS",AH43="DSQ",AH43="DNS",AH43=" DNS "),$BW$3+1,AH43))</f>
        <v>0</v>
      </c>
      <c r="CU43" s="61">
        <f>IF(AI43="",0,IF(OR(AI43="DNF",AI43="OCS",AI43="DSQ",AI43="DNS",AI43=" DNS "),$BW$3+1,AI43))</f>
        <v>0</v>
      </c>
      <c r="CV43" s="61">
        <f>IF(AJ43="",0,IF(OR(AJ43="DNF",AJ43="OCS",AJ43="DSQ",AJ43="DNS",AJ43=" DNS "),$BW$3+1,AJ43))</f>
        <v>0</v>
      </c>
      <c r="CW43" s="61">
        <f>IF(AK43="",0,IF(OR(AK43="DNF",AK43="OCS",AK43="DSQ",AK43="DNS",AK43=" DNS "),$BW$3+1,AK43))</f>
        <v>0</v>
      </c>
      <c r="CX43" s="61">
        <f>IF(AL43="",0,IF(OR(AL43="DNF",AL43="OCS",AL43="DSQ",AL43="DNS",AL43=" DNS "),$BW$3+1,AL43))</f>
        <v>0</v>
      </c>
      <c r="CY43" s="61">
        <f>IF(AM43="",0,IF(OR(AM43="DNF",AM43="OCS",AM43="DSQ",AM43="DNS",AM43=" DNS "),$BW$3+1,AM43))</f>
        <v>0</v>
      </c>
      <c r="CZ43" s="61">
        <f>IF(AN43="",0,IF(OR(AN43="DNF",AN43="OCS",AN43="DSQ",AN43="DNS",AN43=" DNS "),$BW$3+1,AN43))</f>
        <v>0</v>
      </c>
      <c r="DA43" s="61">
        <f>IF(AO43="",0,IF(OR(AO43="DNF",AO43="OCS",AO43="DSQ",AO43="DNS",AO43=" DNS "),$BW$3+1,AO43))</f>
        <v>0</v>
      </c>
      <c r="DB43" s="61">
        <f>IF(AP43="",0,IF(OR(AP43="DNF",AP43="OCS",AP43="DSQ",AP43="DNS",AP43=" DNS "),$BW$3+1,AP43))</f>
        <v>0</v>
      </c>
      <c r="DC43" s="61">
        <f>IF(AQ43="",0,IF(OR(AQ43="DNF",AQ43="OCS",AQ43="DSQ",AQ43="DNS",AQ43=" DNS "),$BW$3+1,AQ43))</f>
        <v>0</v>
      </c>
      <c r="DD43" s="61">
        <f>IF(AR43="",0,IF(OR(AR43="DNF",AR43="OCS",AR43="DSQ",AR43="DNS",AR43=" DNS "),$BW$3+1,AR43))</f>
        <v>0</v>
      </c>
      <c r="DE43" s="61">
        <f>IF(AS43="",0,IF(OR(AS43="DNF",AS43="OCS",AS43="DSQ",AS43="DNS",AS43=" DNS "),$BW$3+1,AS43))</f>
        <v>0</v>
      </c>
      <c r="DF43" s="61">
        <f>IF(AT43="",0,IF(OR(AT43="DNF",AT43="OCS",AT43="DSQ",AT43="DNS",AT43=" DNS "),$BW$3+1,AT43))</f>
        <v>0</v>
      </c>
      <c r="DG43" s="61">
        <f>IF(AU43="",0,IF(OR(AU43="DNF",AU43="OCS",AU43="DSQ",AU43="DNS",AU43=" DNS "),$BW$3+1,AU43))</f>
        <v>0</v>
      </c>
      <c r="DH43" s="61">
        <f>IF(AV43="",0,IF(OR(AV43="DNF",AV43="OCS",AV43="DSQ",AV43="DNS",AV43=" DNS "),$BW$3+1,AV43))</f>
        <v>0</v>
      </c>
      <c r="DI43" s="61">
        <f>IF(AW43="",0,IF(OR(AW43="DNF",AW43="OCS",AW43="DSQ",AW43="DNS",AW43=" DNS "),$BW$3+1,AW43))</f>
        <v>0</v>
      </c>
      <c r="DJ43" s="61">
        <f>IF(AX43="",0,IF(OR(AX43="DNF",AX43="OCS",AX43="DSQ",AX43="DNS",AX43=" DNS "),$BW$3+1,AX43))</f>
        <v>0</v>
      </c>
      <c r="DK43" s="61">
        <f>IF(AY43="",0,IF(OR(AY43="DNF",AY43="OCS",AY43="DSQ",AY43="DNS",AY43=" DNS "),$BW$3+1,AY43))</f>
        <v>0</v>
      </c>
      <c r="DL43" s="61">
        <f>IF(AZ43="",0,IF(OR(AZ43="DNF",AZ43="OCS",AZ43="DSQ",AZ43="DNS",AZ43=" DNS "),$BW$3+1,AZ43))</f>
        <v>0</v>
      </c>
      <c r="DM43" s="61">
        <f>IF(BA43="",0,IF(OR(BA43="DNF",BA43="OCS",BA43="DSQ",BA43="DNS",BA43=" DNS "),$BW$3+1,BA43))</f>
        <v>0</v>
      </c>
      <c r="DN43" s="61">
        <f>IF(BB43="",0,IF(OR(BB43="DNF",BB43="OCS",BB43="DSQ",BB43="DNS",BB43=" DNS "),$BW$3+1,BB43))</f>
        <v>0</v>
      </c>
      <c r="DO43" s="61">
        <f>IF(BC43="",0,IF(OR(BC43="DNF",BC43="OCS",BC43="DSQ",BC43="DNS",BC43=" DNS "),$BW$3+1,BC43))</f>
        <v>0</v>
      </c>
      <c r="DP43" s="61">
        <f>IF(BD43="",0,IF(OR(BD43="DNF",BD43="OCS",BD43="DSQ",BD43="DNS",BD43=" DNS "),$BW$3+1,BD43))</f>
        <v>0</v>
      </c>
      <c r="DQ43" s="61">
        <f>IF(BE43="",0,IF(OR(BE43="DNF",BE43="OCS",BE43="DSQ",BE43="DNS",BE43=" DNS "),$BW$3+1,BE43))</f>
        <v>0</v>
      </c>
      <c r="DR43" s="61">
        <f>IF(BF43="",0,IF(OR(BF43="DNF",BF43="OCS",BF43="DSQ",BF43="DNS",BF43=" DNS "),$BW$3+1,BF43))</f>
        <v>0</v>
      </c>
      <c r="DS43" s="61">
        <f>IF(BG43="",0,IF(OR(BG43="DNF",BG43="OCS",BG43="DSQ",BG43="DNS",BG43=" DNS "),$BW$3+1,BG43))</f>
        <v>0</v>
      </c>
      <c r="DT43" s="61">
        <f>IF(BH43="",0,IF(OR(BH43="DNF",BH43="OCS",BH43="DSQ",BH43="DNS",BH43=" DNS "),$BW$3+1,BH43))</f>
        <v>0</v>
      </c>
      <c r="DU43" s="61">
        <f>IF(BI43="",0,IF(OR(BI43="DNF",BI43="OCS",BI43="DSQ",BI43="DNS",BI43=" DNS "),$BW$3+1,BI43))</f>
        <v>0</v>
      </c>
      <c r="DV43" s="61">
        <f>IF(BJ43="",0,IF(OR(BJ43="DNF",BJ43="OCS",BJ43="DSQ",BJ43="DNS",BJ43=" DNS "),$BW$3+1,BJ43))</f>
        <v>0</v>
      </c>
      <c r="DW43" s="61">
        <f>IF(BK43="",0,IF(OR(BK43="DNF",BK43="OCS",BK43="DSQ",BK43="DNS",BK43=" DNS "),$BW$3+1,BK43))</f>
        <v>0</v>
      </c>
      <c r="DX43" s="61">
        <f>IF(BL43="",0,IF(OR(BL43="DNF",BL43="OCS",BL43="DSQ",BL43="DNS",BL43=" DNS "),$BW$3+1,BL43))</f>
        <v>0</v>
      </c>
      <c r="DY43" s="61">
        <f>IF(BM43="",0,IF(OR(BM43="DNF",BM43="OCS",BM43="DSQ",BM43="DNS",BM43=" DNS "),$BW$3+1,BM43))</f>
        <v>0</v>
      </c>
      <c r="DZ43" s="61">
        <f>IF(BN43="",0,IF(OR(BN43="DNF",BN43="OCS",BN43="DSQ",BN43="DNS",BN43=" DNS "),$BW$3+1,BN43))</f>
        <v>0</v>
      </c>
      <c r="EA43" s="61">
        <f>IF(BO43="",0,IF(OR(BO43="DNF",BO43="OCS",BO43="DSQ",BO43="DNS",BO43=" DNS "),$BW$3+1,BO43))</f>
        <v>0</v>
      </c>
      <c r="EB43" s="61">
        <f>IF(BP43="",0,IF(OR(BP43="DNF",BP43="OCS",BP43="DSQ",BP43="DNS",BP43=" DNS "),$BW$3+1,BP43))</f>
        <v>0</v>
      </c>
      <c r="EC43" s="61">
        <f>IF(BQ43="",0,IF(OR(BQ43="DNF",BQ43="OCS",BQ43="DSQ",BQ43="DNS",BQ43=" DNS "),$BW$3+1,BQ43))</f>
        <v>0</v>
      </c>
      <c r="EE43" s="61">
        <f xml:space="preserve">
IF(OR(Deltagarlista!$K$3=3,Deltagarlista!$K$3=4),
IF(Arrangörslista!$U$5&lt;8,0,
IF(Arrangörslista!$U$5&lt;16,SUM(LARGE(BV43:CJ43,1)),
IF(Arrangörslista!$U$5&lt;24,SUM(LARGE(BV43:CR43,{1;2})),
IF(Arrangörslista!$U$5&lt;32,SUM(LARGE(BV43:CZ43,{1;2;3})),
IF(Arrangörslista!$U$5&lt;40,SUM(LARGE(BV43:DH43,{1;2;3;4})),
IF(Arrangörslista!$U$5&lt;48,SUM(LARGE(BV43:DP43,{1;2;3;4;5})),
IF(Arrangörslista!$U$5&lt;56,SUM(LARGE(BV43:DX43,{1;2;3;4;5;6})),
IF(Arrangörslista!$U$5&lt;64,SUM(LARGE(BV43:EC43,{1;2;3;4;5;6;7})),0)))))))),
IF(Deltagarlista!$K$3=2,
IF(Arrangörslista!$U$5&lt;4,LARGE(BV43:BX43,1),
IF(Arrangörslista!$U$5&lt;7,SUM(LARGE(BV43:CA43,{1;2;3})),
IF(Arrangörslista!$U$5&lt;10,SUM(LARGE(BV43:CD43,{1;2;3;4})),
IF(Arrangörslista!$U$5&lt;13,SUM(LARGE(BV43:CG43,{1;2;3;4;5;6})),
IF(Arrangörslista!$U$5&lt;16,SUM(LARGE(BV43:CJ43,{1;2;3;4;5;6;7})),
IF(Arrangörslista!$U$5&lt;19,SUM(LARGE(BV43:CM43,{1;2;3;4;5;6;7;8;9})),
IF(Arrangörslista!$U$5&lt;22,SUM(LARGE(BV43:CP43,{1;2;3;4;5;6;7;8;9;10})),
IF(Arrangörslista!$U$5&lt;25,SUM(LARGE(BV43:CS43,{1;2;3;4;5;6;7;8;9;10;11;12})),
IF(Arrangörslista!$U$5&lt;28,SUM(LARGE(BV43:CV43,{1;2;3;4;5;6;7;8;9;10;11;12;13})),
IF(Arrangörslista!$U$5&lt;31,SUM(LARGE(BV43:CY43,{1;2;3;4;5;6;7;8;9;10;11;12;13;14;15})),
IF(Arrangörslista!$U$5&lt;34,SUM(LARGE(BV43:DB43,{1;2;3;4;5;6;7;8;9;10;11;12;13;14;15;16})),
IF(Arrangörslista!$U$5&lt;37,SUM(LARGE(BV43:DE43,{1;2;3;4;5;6;7;8;9;10;11;12;13;14;15;16;17;18})),
IF(Arrangörslista!$U$5&lt;40,SUM(LARGE(BV43:DH43,{1;2;3;4;5;6;7;8;9;10;11;12;13;14;15;16;17;18;19})),
IF(Arrangörslista!$U$5&lt;43,SUM(LARGE(BV43:DK43,{1;2;3;4;5;6;7;8;9;10;11;12;13;14;15;16;17;18;19;20;21})),
IF(Arrangörslista!$U$5&lt;46,SUM(LARGE(BV43:DN43,{1;2;3;4;5;6;7;8;9;10;11;12;13;14;15;16;17;18;19;20;21;22})),
IF(Arrangörslista!$U$5&lt;49,SUM(LARGE(BV43:DQ43,{1;2;3;4;5;6;7;8;9;10;11;12;13;14;15;16;17;18;19;20;21;22;23;24})),
IF(Arrangörslista!$U$5&lt;52,SUM(LARGE(BV43:DT43,{1;2;3;4;5;6;7;8;9;10;11;12;13;14;15;16;17;18;19;20;21;22;23;24;25})),
IF(Arrangörslista!$U$5&lt;55,SUM(LARGE(BV43:DW43,{1;2;3;4;5;6;7;8;9;10;11;12;13;14;15;16;17;18;19;20;21;22;23;24;25;26;27})),
IF(Arrangörslista!$U$5&lt;58,SUM(LARGE(BV43:DZ43,{1;2;3;4;5;6;7;8;9;10;11;12;13;14;15;16;17;18;19;20;21;22;23;24;25;26;27;28})),
IF(Arrangörslista!$U$5&lt;61,SUM(LARGE(BV43:EC43,{1;2;3;4;5;6;7;8;9;10;11;12;13;14;15;16;17;18;19;20;21;22;23;24;25;26;27;28;29;30})),0)))))))))))))))))))),
IF(Arrangörslista!$U$5&lt;4,0,
IF(Arrangörslista!$U$5&lt;8,SUM(LARGE(BV43:CB43,1)),
IF(Arrangörslista!$U$5&lt;12,SUM(LARGE(BV43:CF43,{1;2})),
IF(Arrangörslista!$U$5&lt;16,SUM(LARGE(BV43:CJ43,{1;2;3})),
IF(Arrangörslista!$U$5&lt;20,SUM(LARGE(BV43:CN43,{1;2;3;4})),
IF(Arrangörslista!$U$5&lt;24,SUM(LARGE(BV43:CR43,{1;2;3;4;5})),
IF(Arrangörslista!$U$5&lt;28,SUM(LARGE(BV43:CV43,{1;2;3;4;5;6})),
IF(Arrangörslista!$U$5&lt;32,SUM(LARGE(BV43:CZ43,{1;2;3;4;5;6;7})),
IF(Arrangörslista!$U$5&lt;36,SUM(LARGE(BV43:DD43,{1;2;3;4;5;6;7;8})),
IF(Arrangörslista!$U$5&lt;40,SUM(LARGE(BV43:DH43,{1;2;3;4;5;6;7;8;9})),
IF(Arrangörslista!$U$5&lt;44,SUM(LARGE(BV43:DL43,{1;2;3;4;5;6;7;8;9;10})),
IF(Arrangörslista!$U$5&lt;48,SUM(LARGE(BV43:DP43,{1;2;3;4;5;6;7;8;9;10;11})),
IF(Arrangörslista!$U$5&lt;52,SUM(LARGE(BV43:DT43,{1;2;3;4;5;6;7;8;9;10;11;12})),
IF(Arrangörslista!$U$5&lt;56,SUM(LARGE(BV43:DX43,{1;2;3;4;5;6;7;8;9;10;11;12;13})),
IF(Arrangörslista!$U$5&lt;60,SUM(LARGE(BV43:EB43,{1;2;3;4;5;6;7;8;9;10;11;12;13;14})),
IF(Arrangörslista!$U$5=60,SUM(LARGE(BV43:EC43,{1;2;3;4;5;6;7;8;9;10;11;12;13;14;15})),0))))))))))))))))))</f>
        <v>0</v>
      </c>
      <c r="EG43" s="67">
        <f>IF(F43="",,1)</f>
        <v>0</v>
      </c>
      <c r="EH43" s="61"/>
      <c r="EI43" s="61"/>
      <c r="EK43" s="62">
        <f>SMALL($J106:$BQ106,1)</f>
        <v>61</v>
      </c>
      <c r="EL43" s="62">
        <f>SMALL($J106:$BQ106,2)</f>
        <v>61</v>
      </c>
      <c r="EM43" s="62">
        <f>SMALL($J106:$BQ106,3)</f>
        <v>61</v>
      </c>
      <c r="EN43" s="62">
        <f>SMALL($J106:$BQ106,4)</f>
        <v>61</v>
      </c>
      <c r="EO43" s="62">
        <f>SMALL($J106:$BQ106,5)</f>
        <v>61</v>
      </c>
      <c r="EP43" s="62">
        <f>SMALL($J106:$BQ106,6)</f>
        <v>61</v>
      </c>
      <c r="EQ43" s="62">
        <f>SMALL($J106:$BQ106,7)</f>
        <v>61</v>
      </c>
      <c r="ER43" s="62">
        <f>SMALL($J106:$BQ106,8)</f>
        <v>61</v>
      </c>
      <c r="ES43" s="62">
        <f>SMALL($J106:$BQ106,9)</f>
        <v>61</v>
      </c>
      <c r="ET43" s="62">
        <f>SMALL($J106:$BQ106,10)</f>
        <v>61</v>
      </c>
      <c r="EU43" s="62">
        <f>SMALL($J106:$BQ106,11)</f>
        <v>61</v>
      </c>
      <c r="EV43" s="62">
        <f>SMALL($J106:$BQ106,12)</f>
        <v>61</v>
      </c>
      <c r="EW43" s="62">
        <f>SMALL($J106:$BQ106,13)</f>
        <v>61</v>
      </c>
      <c r="EX43" s="62">
        <f>SMALL($J106:$BQ106,14)</f>
        <v>61</v>
      </c>
      <c r="EY43" s="62">
        <f>SMALL($J106:$BQ106,15)</f>
        <v>61</v>
      </c>
      <c r="EZ43" s="62">
        <f>SMALL($J106:$BQ106,16)</f>
        <v>61</v>
      </c>
      <c r="FA43" s="62">
        <f>SMALL($J106:$BQ106,17)</f>
        <v>61</v>
      </c>
      <c r="FB43" s="62">
        <f>SMALL($J106:$BQ106,18)</f>
        <v>61</v>
      </c>
      <c r="FC43" s="62">
        <f>SMALL($J106:$BQ106,19)</f>
        <v>61</v>
      </c>
      <c r="FD43" s="62">
        <f>SMALL($J106:$BQ106,20)</f>
        <v>61</v>
      </c>
      <c r="FE43" s="62">
        <f>SMALL($J106:$BQ106,21)</f>
        <v>61</v>
      </c>
      <c r="FF43" s="62">
        <f>SMALL($J106:$BQ106,22)</f>
        <v>61</v>
      </c>
      <c r="FG43" s="62">
        <f>SMALL($J106:$BQ106,23)</f>
        <v>61</v>
      </c>
      <c r="FH43" s="62">
        <f>SMALL($J106:$BQ106,24)</f>
        <v>61</v>
      </c>
      <c r="FI43" s="62">
        <f>SMALL($J106:$BQ106,25)</f>
        <v>61</v>
      </c>
      <c r="FJ43" s="62">
        <f>SMALL($J106:$BQ106,26)</f>
        <v>61</v>
      </c>
      <c r="FK43" s="62">
        <f>SMALL($J106:$BQ106,27)</f>
        <v>61</v>
      </c>
      <c r="FL43" s="62">
        <f>SMALL($J106:$BQ106,28)</f>
        <v>61</v>
      </c>
      <c r="FM43" s="62">
        <f>SMALL($J106:$BQ106,29)</f>
        <v>61</v>
      </c>
      <c r="FN43" s="62">
        <f>SMALL($J106:$BQ106,30)</f>
        <v>61</v>
      </c>
      <c r="FO43" s="62">
        <f>SMALL($J106:$BQ106,31)</f>
        <v>61</v>
      </c>
      <c r="FP43" s="62">
        <f>SMALL($J106:$BQ106,32)</f>
        <v>61</v>
      </c>
      <c r="FQ43" s="62">
        <f>SMALL($J106:$BQ106,33)</f>
        <v>61</v>
      </c>
      <c r="FR43" s="62">
        <f>SMALL($J106:$BQ106,34)</f>
        <v>61</v>
      </c>
      <c r="FS43" s="62">
        <f>SMALL($J106:$BQ106,35)</f>
        <v>61</v>
      </c>
      <c r="FT43" s="62">
        <f>SMALL($J106:$BQ106,36)</f>
        <v>61</v>
      </c>
      <c r="FU43" s="62">
        <f>SMALL($J106:$BQ106,37)</f>
        <v>61</v>
      </c>
      <c r="FV43" s="62">
        <f>SMALL($J106:$BQ106,38)</f>
        <v>61</v>
      </c>
      <c r="FW43" s="62">
        <f>SMALL($J106:$BQ106,39)</f>
        <v>61</v>
      </c>
      <c r="FX43" s="62">
        <f>SMALL($J106:$BQ106,40)</f>
        <v>61</v>
      </c>
      <c r="FY43" s="62">
        <f>SMALL($J106:$BQ106,41)</f>
        <v>61</v>
      </c>
      <c r="FZ43" s="62">
        <f>SMALL($J106:$BQ106,42)</f>
        <v>61</v>
      </c>
      <c r="GA43" s="62">
        <f>SMALL($J106:$BQ106,43)</f>
        <v>61</v>
      </c>
      <c r="GB43" s="62">
        <f>SMALL($J106:$BQ106,44)</f>
        <v>61</v>
      </c>
      <c r="GC43" s="62">
        <f>SMALL($J106:$BQ106,45)</f>
        <v>61</v>
      </c>
      <c r="GD43" s="62">
        <f>SMALL($J106:$BQ106,46)</f>
        <v>61</v>
      </c>
      <c r="GE43" s="62">
        <f>SMALL($J106:$BQ106,47)</f>
        <v>61</v>
      </c>
      <c r="GF43" s="62">
        <f>SMALL($J106:$BQ106,48)</f>
        <v>61</v>
      </c>
      <c r="GG43" s="62">
        <f>SMALL($J106:$BQ106,49)</f>
        <v>61</v>
      </c>
      <c r="GH43" s="62">
        <f>SMALL($J106:$BQ106,50)</f>
        <v>61</v>
      </c>
      <c r="GI43" s="62">
        <f>SMALL($J106:$BQ106,51)</f>
        <v>61</v>
      </c>
      <c r="GJ43" s="62">
        <f>SMALL($J106:$BQ106,52)</f>
        <v>61</v>
      </c>
      <c r="GK43" s="62">
        <f>SMALL($J106:$BQ106,53)</f>
        <v>61</v>
      </c>
      <c r="GL43" s="62">
        <f>SMALL($J106:$BQ106,54)</f>
        <v>61</v>
      </c>
      <c r="GM43" s="62">
        <f>SMALL($J106:$BQ106,55)</f>
        <v>61</v>
      </c>
      <c r="GN43" s="62">
        <f>SMALL($J106:$BQ106,56)</f>
        <v>61</v>
      </c>
      <c r="GO43" s="62">
        <f>SMALL($J106:$BQ106,57)</f>
        <v>61</v>
      </c>
      <c r="GP43" s="62">
        <f>SMALL($J106:$BQ106,58)</f>
        <v>61</v>
      </c>
      <c r="GQ43" s="62">
        <f>SMALL($J106:$BQ106,59)</f>
        <v>61</v>
      </c>
      <c r="GR43" s="62">
        <f>SMALL($J106:$BQ106,60)</f>
        <v>61</v>
      </c>
      <c r="GT43" s="62">
        <f>IF(Deltagarlista!$K$3=2,
IF(GW43="1",
      IF(Arrangörslista!$U$5=1,J106,
IF(Arrangörslista!$U$5=2,K106,
IF(Arrangörslista!$U$5=3,L106,
IF(Arrangörslista!$U$5=4,M106,
IF(Arrangörslista!$U$5=5,N106,
IF(Arrangörslista!$U$5=6,O106,
IF(Arrangörslista!$U$5=7,P106,
IF(Arrangörslista!$U$5=8,Q106,
IF(Arrangörslista!$U$5=9,R106,
IF(Arrangörslista!$U$5=10,S106,
IF(Arrangörslista!$U$5=11,T106,
IF(Arrangörslista!$U$5=12,U106,
IF(Arrangörslista!$U$5=13,V106,
IF(Arrangörslista!$U$5=14,W106,
IF(Arrangörslista!$U$5=15,X106,
IF(Arrangörslista!$U$5=16,Y106,IF(Arrangörslista!$U$5=17,Z106,IF(Arrangörslista!$U$5=18,AA106,IF(Arrangörslista!$U$5=19,AB106,IF(Arrangörslista!$U$5=20,AC106,IF(Arrangörslista!$U$5=21,AD106,IF(Arrangörslista!$U$5=22,AE106,IF(Arrangörslista!$U$5=23,AF106, IF(Arrangörslista!$U$5=24,AG106, IF(Arrangörslista!$U$5=25,AH106, IF(Arrangörslista!$U$5=26,AI106, IF(Arrangörslista!$U$5=27,AJ106, IF(Arrangörslista!$U$5=28,AK106, IF(Arrangörslista!$U$5=29,AL106, IF(Arrangörslista!$U$5=30,AM106, IF(Arrangörslista!$U$5=31,AN106, IF(Arrangörslista!$U$5=32,AO106, IF(Arrangörslista!$U$5=33,AP106, IF(Arrangörslista!$U$5=34,AQ106, IF(Arrangörslista!$U$5=35,AR106, IF(Arrangörslista!$U$5=36,AS106, IF(Arrangörslista!$U$5=37,AT106, IF(Arrangörslista!$U$5=38,AU106, IF(Arrangörslista!$U$5=39,AV106, IF(Arrangörslista!$U$5=40,AW106, IF(Arrangörslista!$U$5=41,AX106, IF(Arrangörslista!$U$5=42,AY106, IF(Arrangörslista!$U$5=43,AZ106, IF(Arrangörslista!$U$5=44,BA106, IF(Arrangörslista!$U$5=45,BB106, IF(Arrangörslista!$U$5=46,BC106, IF(Arrangörslista!$U$5=47,BD106, IF(Arrangörslista!$U$5=48,BE106, IF(Arrangörslista!$U$5=49,BF106, IF(Arrangörslista!$U$5=50,BG106, IF(Arrangörslista!$U$5=51,BH106, IF(Arrangörslista!$U$5=52,BI106, IF(Arrangörslista!$U$5=53,BJ106, IF(Arrangörslista!$U$5=54,BK106, IF(Arrangörslista!$U$5=55,BL106, IF(Arrangörslista!$U$5=56,BM106, IF(Arrangörslista!$U$5=57,BN106, IF(Arrangörslista!$U$5=58,BO106, IF(Arrangörslista!$U$5=59,BP106, IF(Arrangörslista!$U$5=60,BQ106,0))))))))))))))))))))))))))))))))))))))))))))))))))))))))))))),IF(Deltagarlista!$K$3=4, IF(Arrangörslista!$U$5=1,J106,
IF(Arrangörslista!$U$5=2,J106,
IF(Arrangörslista!$U$5=3,K106,
IF(Arrangörslista!$U$5=4,K106,
IF(Arrangörslista!$U$5=5,L106,
IF(Arrangörslista!$U$5=6,L106,
IF(Arrangörslista!$U$5=7,M106,
IF(Arrangörslista!$U$5=8,M106,
IF(Arrangörslista!$U$5=9,N106,
IF(Arrangörslista!$U$5=10,N106,
IF(Arrangörslista!$U$5=11,O106,
IF(Arrangörslista!$U$5=12,O106,
IF(Arrangörslista!$U$5=13,P106,
IF(Arrangörslista!$U$5=14,P106,
IF(Arrangörslista!$U$5=15,Q106,
IF(Arrangörslista!$U$5=16,Q106,
IF(Arrangörslista!$U$5=17,R106,
IF(Arrangörslista!$U$5=18,R106,
IF(Arrangörslista!$U$5=19,S106,
IF(Arrangörslista!$U$5=20,S106,
IF(Arrangörslista!$U$5=21,T106,
IF(Arrangörslista!$U$5=22,T106,IF(Arrangörslista!$U$5=23,U106, IF(Arrangörslista!$U$5=24,U106, IF(Arrangörslista!$U$5=25,V106, IF(Arrangörslista!$U$5=26,V106, IF(Arrangörslista!$U$5=27,W106, IF(Arrangörslista!$U$5=28,W106, IF(Arrangörslista!$U$5=29,X106, IF(Arrangörslista!$U$5=30,X106, IF(Arrangörslista!$U$5=31,X106, IF(Arrangörslista!$U$5=32,Y106, IF(Arrangörslista!$U$5=33,AO106, IF(Arrangörslista!$U$5=34,Y106, IF(Arrangörslista!$U$5=35,Z106, IF(Arrangörslista!$U$5=36,AR106, IF(Arrangörslista!$U$5=37,Z106, IF(Arrangörslista!$U$5=38,AA106, IF(Arrangörslista!$U$5=39,AU106, IF(Arrangörslista!$U$5=40,AA106, IF(Arrangörslista!$U$5=41,AB106, IF(Arrangörslista!$U$5=42,AX106, IF(Arrangörslista!$U$5=43,AB106, IF(Arrangörslista!$U$5=44,AC106, IF(Arrangörslista!$U$5=45,BA106, IF(Arrangörslista!$U$5=46,AC106, IF(Arrangörslista!$U$5=47,AD106, IF(Arrangörslista!$U$5=48,BD106, IF(Arrangörslista!$U$5=49,AD106, IF(Arrangörslista!$U$5=50,AE106, IF(Arrangörslista!$U$5=51,BG106, IF(Arrangörslista!$U$5=52,AE106, IF(Arrangörslista!$U$5=53,AF106, IF(Arrangörslista!$U$5=54,BJ106, IF(Arrangörslista!$U$5=55,AF106, IF(Arrangörslista!$U$5=56,AG106, IF(Arrangörslista!$U$5=57,BM106, IF(Arrangörslista!$U$5=58,AG106, IF(Arrangörslista!$U$5=59,AH106, IF(Arrangörslista!$U$5=60,AH106,0)))))))))))))))))))))))))))))))))))))))))))))))))))))))))))),IF(Arrangörslista!$U$5=1,J106,
IF(Arrangörslista!$U$5=2,K106,
IF(Arrangörslista!$U$5=3,L106,
IF(Arrangörslista!$U$5=4,M106,
IF(Arrangörslista!$U$5=5,N106,
IF(Arrangörslista!$U$5=6,O106,
IF(Arrangörslista!$U$5=7,P106,
IF(Arrangörslista!$U$5=8,Q106,
IF(Arrangörslista!$U$5=9,R106,
IF(Arrangörslista!$U$5=10,S106,
IF(Arrangörslista!$U$5=11,T106,
IF(Arrangörslista!$U$5=12,U106,
IF(Arrangörslista!$U$5=13,V106,
IF(Arrangörslista!$U$5=14,W106,
IF(Arrangörslista!$U$5=15,X106,
IF(Arrangörslista!$U$5=16,Y106,IF(Arrangörslista!$U$5=17,Z106,IF(Arrangörslista!$U$5=18,AA106,IF(Arrangörslista!$U$5=19,AB106,IF(Arrangörslista!$U$5=20,AC106,IF(Arrangörslista!$U$5=21,AD106,IF(Arrangörslista!$U$5=22,AE106,IF(Arrangörslista!$U$5=23,AF106, IF(Arrangörslista!$U$5=24,AG106, IF(Arrangörslista!$U$5=25,AH106, IF(Arrangörslista!$U$5=26,AI106, IF(Arrangörslista!$U$5=27,AJ106, IF(Arrangörslista!$U$5=28,AK106, IF(Arrangörslista!$U$5=29,AL106, IF(Arrangörslista!$U$5=30,AM106, IF(Arrangörslista!$U$5=31,AN106, IF(Arrangörslista!$U$5=32,AO106, IF(Arrangörslista!$U$5=33,AP106, IF(Arrangörslista!$U$5=34,AQ106, IF(Arrangörslista!$U$5=35,AR106, IF(Arrangörslista!$U$5=36,AS106, IF(Arrangörslista!$U$5=37,AT106, IF(Arrangörslista!$U$5=38,AU106, IF(Arrangörslista!$U$5=39,AV106, IF(Arrangörslista!$U$5=40,AW106, IF(Arrangörslista!$U$5=41,AX106, IF(Arrangörslista!$U$5=42,AY106, IF(Arrangörslista!$U$5=43,AZ106, IF(Arrangörslista!$U$5=44,BA106, IF(Arrangörslista!$U$5=45,BB106, IF(Arrangörslista!$U$5=46,BC106, IF(Arrangörslista!$U$5=47,BD106, IF(Arrangörslista!$U$5=48,BE106, IF(Arrangörslista!$U$5=49,BF106, IF(Arrangörslista!$U$5=50,BG106, IF(Arrangörslista!$U$5=51,BH106, IF(Arrangörslista!$U$5=52,BI106, IF(Arrangörslista!$U$5=53,BJ106, IF(Arrangörslista!$U$5=54,BK106, IF(Arrangörslista!$U$5=55,BL106, IF(Arrangörslista!$U$5=56,BM106, IF(Arrangörslista!$U$5=57,BN106, IF(Arrangörslista!$U$5=58,BO106, IF(Arrangörslista!$U$5=59,BP106, IF(Arrangörslista!$U$5=60,BQ106,0))))))))))))))))))))))))))))))))))))))))))))))))))))))))))))
))</f>
        <v>0</v>
      </c>
      <c r="GV43" s="65" t="str">
        <f>IFERROR(IF(VLOOKUP(F43,Deltagarlista!$E$5:$I$64,5,FALSE)="Grön","Gr",IF(VLOOKUP(F43,Deltagarlista!$E$5:$I$64,5,FALSE)="Röd","R",IF(VLOOKUP(F43,Deltagarlista!$E$5:$I$64,5,FALSE)="Blå","B","Gu"))),"")</f>
        <v/>
      </c>
      <c r="GW43" s="62" t="str">
        <f t="shared" si="1"/>
        <v/>
      </c>
    </row>
    <row r="44" spans="1:205" ht="15.75" customHeight="1" x14ac:dyDescent="0.3">
      <c r="A44" s="23"/>
      <c r="B44" s="23" t="str">
        <f>IF($BW$3&gt;40,41,"")</f>
        <v/>
      </c>
      <c r="C44" s="92" t="str">
        <f>IF(ISBLANK(Deltagarlista!C44),"",Deltagarlista!C44)</f>
        <v/>
      </c>
      <c r="D44" s="109" t="str">
        <f>CONCATENATE(IF(AND(Deltagarlista!H44="GM",Deltagarlista!$S$14=TRUE),"GM   ",""),  IF(OR(Deltagarlista!$K$3=4,Deltagarlista!$K$3=2),Deltagarlista!I44,""))</f>
        <v/>
      </c>
      <c r="E44" s="8" t="str">
        <f>IF(ISBLANK(Deltagarlista!D44),"",Deltagarlista!D44)</f>
        <v/>
      </c>
      <c r="F44" s="8" t="str">
        <f>IF(ISBLANK(Deltagarlista!E44),"",Deltagarlista!E44)</f>
        <v/>
      </c>
      <c r="G44" s="95" t="str">
        <f>IF(ISBLANK(Deltagarlista!F44),"",Deltagarlista!F44)</f>
        <v/>
      </c>
      <c r="H44" s="72" t="str">
        <f>IF(ISBLANK(Deltagarlista!C44),"",BU44-EE44)</f>
        <v/>
      </c>
      <c r="I44" s="13" t="str">
        <f>IF(ISBLANK(Deltagarlista!C44),"",IF(AND(Deltagarlista!$K$3=2,Deltagarlista!$L$3&lt;37),SUM(SUM(BV44:EC44)-(ROUNDDOWN(Arrangörslista!$U$5/3,1))*($BW$3+1)),SUM(BV44:EC44)))</f>
        <v/>
      </c>
      <c r="J44" s="79" t="str">
        <f>IF(Deltagarlista!$K$3=4,IF(ISBLANK(Deltagarlista!$C44),"",IF(ISBLANK(Arrangörslista!C$8),"",IFERROR(VLOOKUP($F44,Arrangörslista!C$8:$AG$45,16,FALSE),IF(ISBLANK(Deltagarlista!$C44),"",IF(ISBLANK(Arrangörslista!C$8),"",IFERROR(VLOOKUP($F44,Arrangörslista!D$8:$AG$45,16,FALSE),"DNS")))))),IF(Deltagarlista!$K$3=2,
IF(ISBLANK(Deltagarlista!$C44),"",IF(ISBLANK(Arrangörslista!C$8),"",IF($GV44=J$64," DNS ",IFERROR(VLOOKUP($F44,Arrangörslista!C$8:$AG$45,16,FALSE),"DNS")))),IF(ISBLANK(Deltagarlista!$C44),"",IF(ISBLANK(Arrangörslista!C$8),"",IFERROR(VLOOKUP($F44,Arrangörslista!C$8:$AG$45,16,FALSE),"DNS")))))</f>
        <v/>
      </c>
      <c r="K44" s="5" t="str">
        <f>IF(Deltagarlista!$K$3=4,IF(ISBLANK(Deltagarlista!$C44),"",IF(ISBLANK(Arrangörslista!E$8),"",IFERROR(VLOOKUP($F44,Arrangörslista!E$8:$AG$45,16,FALSE),IF(ISBLANK(Deltagarlista!$C44),"",IF(ISBLANK(Arrangörslista!E$8),"",IFERROR(VLOOKUP($F44,Arrangörslista!F$8:$AG$45,16,FALSE),"DNS")))))),IF(Deltagarlista!$K$3=2,
IF(ISBLANK(Deltagarlista!$C44),"",IF(ISBLANK(Arrangörslista!D$8),"",IF($GV44=K$64," DNS ",IFERROR(VLOOKUP($F44,Arrangörslista!D$8:$AG$45,16,FALSE),"DNS")))),IF(ISBLANK(Deltagarlista!$C44),"",IF(ISBLANK(Arrangörslista!D$8),"",IFERROR(VLOOKUP($F44,Arrangörslista!D$8:$AG$45,16,FALSE),"DNS")))))</f>
        <v/>
      </c>
      <c r="L44" s="5" t="str">
        <f>IF(Deltagarlista!$K$3=4,IF(ISBLANK(Deltagarlista!$C44),"",IF(ISBLANK(Arrangörslista!G$8),"",IFERROR(VLOOKUP($F44,Arrangörslista!G$8:$AG$45,16,FALSE),IF(ISBLANK(Deltagarlista!$C44),"",IF(ISBLANK(Arrangörslista!G$8),"",IFERROR(VLOOKUP($F44,Arrangörslista!H$8:$AG$45,16,FALSE),"DNS")))))),IF(Deltagarlista!$K$3=2,
IF(ISBLANK(Deltagarlista!$C44),"",IF(ISBLANK(Arrangörslista!E$8),"",IF($GV44=L$64," DNS ",IFERROR(VLOOKUP($F44,Arrangörslista!E$8:$AG$45,16,FALSE),"DNS")))),IF(ISBLANK(Deltagarlista!$C44),"",IF(ISBLANK(Arrangörslista!E$8),"",IFERROR(VLOOKUP($F44,Arrangörslista!E$8:$AG$45,16,FALSE),"DNS")))))</f>
        <v/>
      </c>
      <c r="M44" s="5" t="str">
        <f>IF(Deltagarlista!$K$3=4,IF(ISBLANK(Deltagarlista!$C44),"",IF(ISBLANK(Arrangörslista!I$8),"",IFERROR(VLOOKUP($F44,Arrangörslista!I$8:$AG$45,16,FALSE),IF(ISBLANK(Deltagarlista!$C44),"",IF(ISBLANK(Arrangörslista!I$8),"",IFERROR(VLOOKUP($F44,Arrangörslista!J$8:$AG$45,16,FALSE),"DNS")))))),IF(Deltagarlista!$K$3=2,
IF(ISBLANK(Deltagarlista!$C44),"",IF(ISBLANK(Arrangörslista!F$8),"",IF($GV44=M$64," DNS ",IFERROR(VLOOKUP($F44,Arrangörslista!F$8:$AG$45,16,FALSE),"DNS")))),IF(ISBLANK(Deltagarlista!$C44),"",IF(ISBLANK(Arrangörslista!F$8),"",IFERROR(VLOOKUP($F44,Arrangörslista!F$8:$AG$45,16,FALSE),"DNS")))))</f>
        <v/>
      </c>
      <c r="N44" s="5" t="str">
        <f>IF(Deltagarlista!$K$3=4,IF(ISBLANK(Deltagarlista!$C44),"",IF(ISBLANK(Arrangörslista!K$8),"",IFERROR(VLOOKUP($F44,Arrangörslista!K$8:$AG$45,16,FALSE),IF(ISBLANK(Deltagarlista!$C44),"",IF(ISBLANK(Arrangörslista!K$8),"",IFERROR(VLOOKUP($F44,Arrangörslista!L$8:$AG$45,16,FALSE),"DNS")))))),IF(Deltagarlista!$K$3=2,
IF(ISBLANK(Deltagarlista!$C44),"",IF(ISBLANK(Arrangörslista!G$8),"",IF($GV44=N$64," DNS ",IFERROR(VLOOKUP($F44,Arrangörslista!G$8:$AG$45,16,FALSE),"DNS")))),IF(ISBLANK(Deltagarlista!$C44),"",IF(ISBLANK(Arrangörslista!G$8),"",IFERROR(VLOOKUP($F44,Arrangörslista!G$8:$AG$45,16,FALSE),"DNS")))))</f>
        <v/>
      </c>
      <c r="O44" s="5" t="str">
        <f>IF(Deltagarlista!$K$3=4,IF(ISBLANK(Deltagarlista!$C44),"",IF(ISBLANK(Arrangörslista!M$8),"",IFERROR(VLOOKUP($F44,Arrangörslista!M$8:$AG$45,16,FALSE),IF(ISBLANK(Deltagarlista!$C44),"",IF(ISBLANK(Arrangörslista!M$8),"",IFERROR(VLOOKUP($F44,Arrangörslista!N$8:$AG$45,16,FALSE),"DNS")))))),IF(Deltagarlista!$K$3=2,
IF(ISBLANK(Deltagarlista!$C44),"",IF(ISBLANK(Arrangörslista!H$8),"",IF($GV44=O$64," DNS ",IFERROR(VLOOKUP($F44,Arrangörslista!H$8:$AG$45,16,FALSE),"DNS")))),IF(ISBLANK(Deltagarlista!$C44),"",IF(ISBLANK(Arrangörslista!H$8),"",IFERROR(VLOOKUP($F44,Arrangörslista!H$8:$AG$45,16,FALSE),"DNS")))))</f>
        <v/>
      </c>
      <c r="P44" s="5" t="str">
        <f>IF(Deltagarlista!$K$3=4,IF(ISBLANK(Deltagarlista!$C44),"",IF(ISBLANK(Arrangörslista!O$8),"",IFERROR(VLOOKUP($F44,Arrangörslista!O$8:$AG$45,16,FALSE),IF(ISBLANK(Deltagarlista!$C44),"",IF(ISBLANK(Arrangörslista!O$8),"",IFERROR(VLOOKUP($F44,Arrangörslista!P$8:$AG$45,16,FALSE),"DNS")))))),IF(Deltagarlista!$K$3=2,
IF(ISBLANK(Deltagarlista!$C44),"",IF(ISBLANK(Arrangörslista!I$8),"",IF($GV44=P$64," DNS ",IFERROR(VLOOKUP($F44,Arrangörslista!I$8:$AG$45,16,FALSE),"DNS")))),IF(ISBLANK(Deltagarlista!$C44),"",IF(ISBLANK(Arrangörslista!I$8),"",IFERROR(VLOOKUP($F44,Arrangörslista!I$8:$AG$45,16,FALSE),"DNS")))))</f>
        <v/>
      </c>
      <c r="Q44" s="5" t="str">
        <f>IF(Deltagarlista!$K$3=4,IF(ISBLANK(Deltagarlista!$C44),"",IF(ISBLANK(Arrangörslista!Q$8),"",IFERROR(VLOOKUP($F44,Arrangörslista!Q$8:$AG$45,16,FALSE),IF(ISBLANK(Deltagarlista!$C44),"",IF(ISBLANK(Arrangörslista!Q$8),"",IFERROR(VLOOKUP($F44,Arrangörslista!C$53:$AG$90,16,FALSE),"DNS")))))),IF(Deltagarlista!$K$3=2,
IF(ISBLANK(Deltagarlista!$C44),"",IF(ISBLANK(Arrangörslista!J$8),"",IF($GV44=Q$64," DNS ",IFERROR(VLOOKUP($F44,Arrangörslista!J$8:$AG$45,16,FALSE),"DNS")))),IF(ISBLANK(Deltagarlista!$C44),"",IF(ISBLANK(Arrangörslista!J$8),"",IFERROR(VLOOKUP($F44,Arrangörslista!J$8:$AG$45,16,FALSE),"DNS")))))</f>
        <v/>
      </c>
      <c r="R44" s="5" t="str">
        <f>IF(Deltagarlista!$K$3=4,IF(ISBLANK(Deltagarlista!$C44),"",IF(ISBLANK(Arrangörslista!D$53),"",IFERROR(VLOOKUP($F44,Arrangörslista!D$53:$AG$90,16,FALSE),IF(ISBLANK(Deltagarlista!$C44),"",IF(ISBLANK(Arrangörslista!D$53),"",IFERROR(VLOOKUP($F44,Arrangörslista!E$53:$AG$90,16,FALSE),"DNS")))))),IF(Deltagarlista!$K$3=2,
IF(ISBLANK(Deltagarlista!$C44),"",IF(ISBLANK(Arrangörslista!K$8),"",IF($GV44=R$64," DNS ",IFERROR(VLOOKUP($F44,Arrangörslista!K$8:$AG$45,16,FALSE),"DNS")))),IF(ISBLANK(Deltagarlista!$C44),"",IF(ISBLANK(Arrangörslista!K$8),"",IFERROR(VLOOKUP($F44,Arrangörslista!K$8:$AG$45,16,FALSE),"DNS")))))</f>
        <v/>
      </c>
      <c r="S44" s="5" t="str">
        <f>IF(Deltagarlista!$K$3=4,IF(ISBLANK(Deltagarlista!$C44),"",IF(ISBLANK(Arrangörslista!F$53),"",IFERROR(VLOOKUP($F44,Arrangörslista!F$53:$AG$90,16,FALSE),IF(ISBLANK(Deltagarlista!$C44),"",IF(ISBLANK(Arrangörslista!F$53),"",IFERROR(VLOOKUP($F44,Arrangörslista!G$53:$AG$90,16,FALSE),"DNS")))))),IF(Deltagarlista!$K$3=2,
IF(ISBLANK(Deltagarlista!$C44),"",IF(ISBLANK(Arrangörslista!L$8),"",IF($GV44=S$64," DNS ",IFERROR(VLOOKUP($F44,Arrangörslista!L$8:$AG$45,16,FALSE),"DNS")))),IF(ISBLANK(Deltagarlista!$C44),"",IF(ISBLANK(Arrangörslista!L$8),"",IFERROR(VLOOKUP($F44,Arrangörslista!L$8:$AG$45,16,FALSE),"DNS")))))</f>
        <v/>
      </c>
      <c r="T44" s="5" t="str">
        <f>IF(Deltagarlista!$K$3=4,IF(ISBLANK(Deltagarlista!$C44),"",IF(ISBLANK(Arrangörslista!H$53),"",IFERROR(VLOOKUP($F44,Arrangörslista!H$53:$AG$90,16,FALSE),IF(ISBLANK(Deltagarlista!$C44),"",IF(ISBLANK(Arrangörslista!H$53),"",IFERROR(VLOOKUP($F44,Arrangörslista!I$53:$AG$90,16,FALSE),"DNS")))))),IF(Deltagarlista!$K$3=2,
IF(ISBLANK(Deltagarlista!$C44),"",IF(ISBLANK(Arrangörslista!M$8),"",IF($GV44=T$64," DNS ",IFERROR(VLOOKUP($F44,Arrangörslista!M$8:$AG$45,16,FALSE),"DNS")))),IF(ISBLANK(Deltagarlista!$C44),"",IF(ISBLANK(Arrangörslista!M$8),"",IFERROR(VLOOKUP($F44,Arrangörslista!M$8:$AG$45,16,FALSE),"DNS")))))</f>
        <v/>
      </c>
      <c r="U44" s="5" t="str">
        <f>IF(Deltagarlista!$K$3=4,IF(ISBLANK(Deltagarlista!$C44),"",IF(ISBLANK(Arrangörslista!J$53),"",IFERROR(VLOOKUP($F44,Arrangörslista!J$53:$AG$90,16,FALSE),IF(ISBLANK(Deltagarlista!$C44),"",IF(ISBLANK(Arrangörslista!J$53),"",IFERROR(VLOOKUP($F44,Arrangörslista!K$53:$AG$90,16,FALSE),"DNS")))))),IF(Deltagarlista!$K$3=2,
IF(ISBLANK(Deltagarlista!$C44),"",IF(ISBLANK(Arrangörslista!N$8),"",IF($GV44=U$64," DNS ",IFERROR(VLOOKUP($F44,Arrangörslista!N$8:$AG$45,16,FALSE),"DNS")))),IF(ISBLANK(Deltagarlista!$C44),"",IF(ISBLANK(Arrangörslista!N$8),"",IFERROR(VLOOKUP($F44,Arrangörslista!N$8:$AG$45,16,FALSE),"DNS")))))</f>
        <v/>
      </c>
      <c r="V44" s="5" t="str">
        <f>IF(Deltagarlista!$K$3=4,IF(ISBLANK(Deltagarlista!$C44),"",IF(ISBLANK(Arrangörslista!L$53),"",IFERROR(VLOOKUP($F44,Arrangörslista!L$53:$AG$90,16,FALSE),IF(ISBLANK(Deltagarlista!$C44),"",IF(ISBLANK(Arrangörslista!L$53),"",IFERROR(VLOOKUP($F44,Arrangörslista!M$53:$AG$90,16,FALSE),"DNS")))))),IF(Deltagarlista!$K$3=2,
IF(ISBLANK(Deltagarlista!$C44),"",IF(ISBLANK(Arrangörslista!O$8),"",IF($GV44=V$64," DNS ",IFERROR(VLOOKUP($F44,Arrangörslista!O$8:$AG$45,16,FALSE),"DNS")))),IF(ISBLANK(Deltagarlista!$C44),"",IF(ISBLANK(Arrangörslista!O$8),"",IFERROR(VLOOKUP($F44,Arrangörslista!O$8:$AG$45,16,FALSE),"DNS")))))</f>
        <v/>
      </c>
      <c r="W44" s="5" t="str">
        <f>IF(Deltagarlista!$K$3=4,IF(ISBLANK(Deltagarlista!$C44),"",IF(ISBLANK(Arrangörslista!N$53),"",IFERROR(VLOOKUP($F44,Arrangörslista!N$53:$AG$90,16,FALSE),IF(ISBLANK(Deltagarlista!$C44),"",IF(ISBLANK(Arrangörslista!N$53),"",IFERROR(VLOOKUP($F44,Arrangörslista!O$53:$AG$90,16,FALSE),"DNS")))))),IF(Deltagarlista!$K$3=2,
IF(ISBLANK(Deltagarlista!$C44),"",IF(ISBLANK(Arrangörslista!P$8),"",IF($GV44=W$64," DNS ",IFERROR(VLOOKUP($F44,Arrangörslista!P$8:$AG$45,16,FALSE),"DNS")))),IF(ISBLANK(Deltagarlista!$C44),"",IF(ISBLANK(Arrangörslista!P$8),"",IFERROR(VLOOKUP($F44,Arrangörslista!P$8:$AG$45,16,FALSE),"DNS")))))</f>
        <v/>
      </c>
      <c r="X44" s="5" t="str">
        <f>IF(Deltagarlista!$K$3=4,IF(ISBLANK(Deltagarlista!$C44),"",IF(ISBLANK(Arrangörslista!P$53),"",IFERROR(VLOOKUP($F44,Arrangörslista!P$53:$AG$90,16,FALSE),IF(ISBLANK(Deltagarlista!$C44),"",IF(ISBLANK(Arrangörslista!P$53),"",IFERROR(VLOOKUP($F44,Arrangörslista!Q$53:$AG$90,16,FALSE),"DNS")))))),IF(Deltagarlista!$K$3=2,
IF(ISBLANK(Deltagarlista!$C44),"",IF(ISBLANK(Arrangörslista!Q$8),"",IF($GV44=X$64," DNS ",IFERROR(VLOOKUP($F44,Arrangörslista!Q$8:$AG$45,16,FALSE),"DNS")))),IF(ISBLANK(Deltagarlista!$C44),"",IF(ISBLANK(Arrangörslista!Q$8),"",IFERROR(VLOOKUP($F44,Arrangörslista!Q$8:$AG$45,16,FALSE),"DNS")))))</f>
        <v/>
      </c>
      <c r="Y44" s="5" t="str">
        <f>IF(Deltagarlista!$K$3=4,IF(ISBLANK(Deltagarlista!$C44),"",IF(ISBLANK(Arrangörslista!C$98),"",IFERROR(VLOOKUP($F44,Arrangörslista!C$98:$AG$135,16,FALSE),IF(ISBLANK(Deltagarlista!$C44),"",IF(ISBLANK(Arrangörslista!C$98),"",IFERROR(VLOOKUP($F44,Arrangörslista!D$98:$AG$135,16,FALSE),"DNS")))))),IF(Deltagarlista!$K$3=2,
IF(ISBLANK(Deltagarlista!$C44),"",IF(ISBLANK(Arrangörslista!C$53),"",IF($GV44=Y$64," DNS ",IFERROR(VLOOKUP($F44,Arrangörslista!C$53:$AG$90,16,FALSE),"DNS")))),IF(ISBLANK(Deltagarlista!$C44),"",IF(ISBLANK(Arrangörslista!C$53),"",IFERROR(VLOOKUP($F44,Arrangörslista!C$53:$AG$90,16,FALSE),"DNS")))))</f>
        <v/>
      </c>
      <c r="Z44" s="5" t="str">
        <f>IF(Deltagarlista!$K$3=4,IF(ISBLANK(Deltagarlista!$C44),"",IF(ISBLANK(Arrangörslista!E$98),"",IFERROR(VLOOKUP($F44,Arrangörslista!E$98:$AG$135,16,FALSE),IF(ISBLANK(Deltagarlista!$C44),"",IF(ISBLANK(Arrangörslista!E$98),"",IFERROR(VLOOKUP($F44,Arrangörslista!F$98:$AG$135,16,FALSE),"DNS")))))),IF(Deltagarlista!$K$3=2,
IF(ISBLANK(Deltagarlista!$C44),"",IF(ISBLANK(Arrangörslista!D$53),"",IF($GV44=Z$64," DNS ",IFERROR(VLOOKUP($F44,Arrangörslista!D$53:$AG$90,16,FALSE),"DNS")))),IF(ISBLANK(Deltagarlista!$C44),"",IF(ISBLANK(Arrangörslista!D$53),"",IFERROR(VLOOKUP($F44,Arrangörslista!D$53:$AG$90,16,FALSE),"DNS")))))</f>
        <v/>
      </c>
      <c r="AA44" s="5" t="str">
        <f>IF(Deltagarlista!$K$3=4,IF(ISBLANK(Deltagarlista!$C44),"",IF(ISBLANK(Arrangörslista!G$98),"",IFERROR(VLOOKUP($F44,Arrangörslista!G$98:$AG$135,16,FALSE),IF(ISBLANK(Deltagarlista!$C44),"",IF(ISBLANK(Arrangörslista!G$98),"",IFERROR(VLOOKUP($F44,Arrangörslista!H$98:$AG$135,16,FALSE),"DNS")))))),IF(Deltagarlista!$K$3=2,
IF(ISBLANK(Deltagarlista!$C44),"",IF(ISBLANK(Arrangörslista!E$53),"",IF($GV44=AA$64," DNS ",IFERROR(VLOOKUP($F44,Arrangörslista!E$53:$AG$90,16,FALSE),"DNS")))),IF(ISBLANK(Deltagarlista!$C44),"",IF(ISBLANK(Arrangörslista!E$53),"",IFERROR(VLOOKUP($F44,Arrangörslista!E$53:$AG$90,16,FALSE),"DNS")))))</f>
        <v/>
      </c>
      <c r="AB44" s="5" t="str">
        <f>IF(Deltagarlista!$K$3=4,IF(ISBLANK(Deltagarlista!$C44),"",IF(ISBLANK(Arrangörslista!I$98),"",IFERROR(VLOOKUP($F44,Arrangörslista!I$98:$AG$135,16,FALSE),IF(ISBLANK(Deltagarlista!$C44),"",IF(ISBLANK(Arrangörslista!I$98),"",IFERROR(VLOOKUP($F44,Arrangörslista!J$98:$AG$135,16,FALSE),"DNS")))))),IF(Deltagarlista!$K$3=2,
IF(ISBLANK(Deltagarlista!$C44),"",IF(ISBLANK(Arrangörslista!F$53),"",IF($GV44=AB$64," DNS ",IFERROR(VLOOKUP($F44,Arrangörslista!F$53:$AG$90,16,FALSE),"DNS")))),IF(ISBLANK(Deltagarlista!$C44),"",IF(ISBLANK(Arrangörslista!F$53),"",IFERROR(VLOOKUP($F44,Arrangörslista!F$53:$AG$90,16,FALSE),"DNS")))))</f>
        <v/>
      </c>
      <c r="AC44" s="5" t="str">
        <f>IF(Deltagarlista!$K$3=4,IF(ISBLANK(Deltagarlista!$C44),"",IF(ISBLANK(Arrangörslista!K$98),"",IFERROR(VLOOKUP($F44,Arrangörslista!K$98:$AG$135,16,FALSE),IF(ISBLANK(Deltagarlista!$C44),"",IF(ISBLANK(Arrangörslista!K$98),"",IFERROR(VLOOKUP($F44,Arrangörslista!L$98:$AG$135,16,FALSE),"DNS")))))),IF(Deltagarlista!$K$3=2,
IF(ISBLANK(Deltagarlista!$C44),"",IF(ISBLANK(Arrangörslista!G$53),"",IF($GV44=AC$64," DNS ",IFERROR(VLOOKUP($F44,Arrangörslista!G$53:$AG$90,16,FALSE),"DNS")))),IF(ISBLANK(Deltagarlista!$C44),"",IF(ISBLANK(Arrangörslista!G$53),"",IFERROR(VLOOKUP($F44,Arrangörslista!G$53:$AG$90,16,FALSE),"DNS")))))</f>
        <v/>
      </c>
      <c r="AD44" s="5" t="str">
        <f>IF(Deltagarlista!$K$3=4,IF(ISBLANK(Deltagarlista!$C44),"",IF(ISBLANK(Arrangörslista!M$98),"",IFERROR(VLOOKUP($F44,Arrangörslista!M$98:$AG$135,16,FALSE),IF(ISBLANK(Deltagarlista!$C44),"",IF(ISBLANK(Arrangörslista!M$98),"",IFERROR(VLOOKUP($F44,Arrangörslista!N$98:$AG$135,16,FALSE),"DNS")))))),IF(Deltagarlista!$K$3=2,
IF(ISBLANK(Deltagarlista!$C44),"",IF(ISBLANK(Arrangörslista!H$53),"",IF($GV44=AD$64," DNS ",IFERROR(VLOOKUP($F44,Arrangörslista!H$53:$AG$90,16,FALSE),"DNS")))),IF(ISBLANK(Deltagarlista!$C44),"",IF(ISBLANK(Arrangörslista!H$53),"",IFERROR(VLOOKUP($F44,Arrangörslista!H$53:$AG$90,16,FALSE),"DNS")))))</f>
        <v/>
      </c>
      <c r="AE44" s="5" t="str">
        <f>IF(Deltagarlista!$K$3=4,IF(ISBLANK(Deltagarlista!$C44),"",IF(ISBLANK(Arrangörslista!O$98),"",IFERROR(VLOOKUP($F44,Arrangörslista!O$98:$AG$135,16,FALSE),IF(ISBLANK(Deltagarlista!$C44),"",IF(ISBLANK(Arrangörslista!O$98),"",IFERROR(VLOOKUP($F44,Arrangörslista!P$98:$AG$135,16,FALSE),"DNS")))))),IF(Deltagarlista!$K$3=2,
IF(ISBLANK(Deltagarlista!$C44),"",IF(ISBLANK(Arrangörslista!I$53),"",IF($GV44=AE$64," DNS ",IFERROR(VLOOKUP($F44,Arrangörslista!I$53:$AG$90,16,FALSE),"DNS")))),IF(ISBLANK(Deltagarlista!$C44),"",IF(ISBLANK(Arrangörslista!I$53),"",IFERROR(VLOOKUP($F44,Arrangörslista!I$53:$AG$90,16,FALSE),"DNS")))))</f>
        <v/>
      </c>
      <c r="AF44" s="5" t="str">
        <f>IF(Deltagarlista!$K$3=4,IF(ISBLANK(Deltagarlista!$C44),"",IF(ISBLANK(Arrangörslista!Q$98),"",IFERROR(VLOOKUP($F44,Arrangörslista!Q$98:$AG$135,16,FALSE),IF(ISBLANK(Deltagarlista!$C44),"",IF(ISBLANK(Arrangörslista!Q$98),"",IFERROR(VLOOKUP($F44,Arrangörslista!C$143:$AG$180,16,FALSE),"DNS")))))),IF(Deltagarlista!$K$3=2,
IF(ISBLANK(Deltagarlista!$C44),"",IF(ISBLANK(Arrangörslista!J$53),"",IF($GV44=AF$64," DNS ",IFERROR(VLOOKUP($F44,Arrangörslista!J$53:$AG$90,16,FALSE),"DNS")))),IF(ISBLANK(Deltagarlista!$C44),"",IF(ISBLANK(Arrangörslista!J$53),"",IFERROR(VLOOKUP($F44,Arrangörslista!J$53:$AG$90,16,FALSE),"DNS")))))</f>
        <v/>
      </c>
      <c r="AG44" s="5" t="str">
        <f>IF(Deltagarlista!$K$3=4,IF(ISBLANK(Deltagarlista!$C44),"",IF(ISBLANK(Arrangörslista!D$143),"",IFERROR(VLOOKUP($F44,Arrangörslista!D$143:$AG$180,16,FALSE),IF(ISBLANK(Deltagarlista!$C44),"",IF(ISBLANK(Arrangörslista!D$143),"",IFERROR(VLOOKUP($F44,Arrangörslista!E$143:$AG$180,16,FALSE),"DNS")))))),IF(Deltagarlista!$K$3=2,
IF(ISBLANK(Deltagarlista!$C44),"",IF(ISBLANK(Arrangörslista!K$53),"",IF($GV44=AG$64," DNS ",IFERROR(VLOOKUP($F44,Arrangörslista!K$53:$AG$90,16,FALSE),"DNS")))),IF(ISBLANK(Deltagarlista!$C44),"",IF(ISBLANK(Arrangörslista!K$53),"",IFERROR(VLOOKUP($F44,Arrangörslista!K$53:$AG$90,16,FALSE),"DNS")))))</f>
        <v/>
      </c>
      <c r="AH44" s="5" t="str">
        <f>IF(Deltagarlista!$K$3=4,IF(ISBLANK(Deltagarlista!$C44),"",IF(ISBLANK(Arrangörslista!F$143),"",IFERROR(VLOOKUP($F44,Arrangörslista!F$143:$AG$180,16,FALSE),IF(ISBLANK(Deltagarlista!$C44),"",IF(ISBLANK(Arrangörslista!F$143),"",IFERROR(VLOOKUP($F44,Arrangörslista!G$143:$AG$180,16,FALSE),"DNS")))))),IF(Deltagarlista!$K$3=2,
IF(ISBLANK(Deltagarlista!$C44),"",IF(ISBLANK(Arrangörslista!L$53),"",IF($GV44=AH$64," DNS ",IFERROR(VLOOKUP($F44,Arrangörslista!L$53:$AG$90,16,FALSE),"DNS")))),IF(ISBLANK(Deltagarlista!$C44),"",IF(ISBLANK(Arrangörslista!L$53),"",IFERROR(VLOOKUP($F44,Arrangörslista!L$53:$AG$90,16,FALSE),"DNS")))))</f>
        <v/>
      </c>
      <c r="AI44" s="5" t="str">
        <f>IF(Deltagarlista!$K$3=4,IF(ISBLANK(Deltagarlista!$C44),"",IF(ISBLANK(Arrangörslista!H$143),"",IFERROR(VLOOKUP($F44,Arrangörslista!H$143:$AG$180,16,FALSE),IF(ISBLANK(Deltagarlista!$C44),"",IF(ISBLANK(Arrangörslista!H$143),"",IFERROR(VLOOKUP($F44,Arrangörslista!I$143:$AG$180,16,FALSE),"DNS")))))),IF(Deltagarlista!$K$3=2,
IF(ISBLANK(Deltagarlista!$C44),"",IF(ISBLANK(Arrangörslista!M$53),"",IF($GV44=AI$64," DNS ",IFERROR(VLOOKUP($F44,Arrangörslista!M$53:$AG$90,16,FALSE),"DNS")))),IF(ISBLANK(Deltagarlista!$C44),"",IF(ISBLANK(Arrangörslista!M$53),"",IFERROR(VLOOKUP($F44,Arrangörslista!M$53:$AG$90,16,FALSE),"DNS")))))</f>
        <v/>
      </c>
      <c r="AJ44" s="5" t="str">
        <f>IF(Deltagarlista!$K$3=4,IF(ISBLANK(Deltagarlista!$C44),"",IF(ISBLANK(Arrangörslista!J$143),"",IFERROR(VLOOKUP($F44,Arrangörslista!J$143:$AG$180,16,FALSE),IF(ISBLANK(Deltagarlista!$C44),"",IF(ISBLANK(Arrangörslista!J$143),"",IFERROR(VLOOKUP($F44,Arrangörslista!K$143:$AG$180,16,FALSE),"DNS")))))),IF(Deltagarlista!$K$3=2,
IF(ISBLANK(Deltagarlista!$C44),"",IF(ISBLANK(Arrangörslista!N$53),"",IF($GV44=AJ$64," DNS ",IFERROR(VLOOKUP($F44,Arrangörslista!N$53:$AG$90,16,FALSE),"DNS")))),IF(ISBLANK(Deltagarlista!$C44),"",IF(ISBLANK(Arrangörslista!N$53),"",IFERROR(VLOOKUP($F44,Arrangörslista!N$53:$AG$90,16,FALSE),"DNS")))))</f>
        <v/>
      </c>
      <c r="AK44" s="5" t="str">
        <f>IF(Deltagarlista!$K$3=4,IF(ISBLANK(Deltagarlista!$C44),"",IF(ISBLANK(Arrangörslista!L$143),"",IFERROR(VLOOKUP($F44,Arrangörslista!L$143:$AG$180,16,FALSE),IF(ISBLANK(Deltagarlista!$C44),"",IF(ISBLANK(Arrangörslista!L$143),"",IFERROR(VLOOKUP($F44,Arrangörslista!M$143:$AG$180,16,FALSE),"DNS")))))),IF(Deltagarlista!$K$3=2,
IF(ISBLANK(Deltagarlista!$C44),"",IF(ISBLANK(Arrangörslista!O$53),"",IF($GV44=AK$64," DNS ",IFERROR(VLOOKUP($F44,Arrangörslista!O$53:$AG$90,16,FALSE),"DNS")))),IF(ISBLANK(Deltagarlista!$C44),"",IF(ISBLANK(Arrangörslista!O$53),"",IFERROR(VLOOKUP($F44,Arrangörslista!O$53:$AG$90,16,FALSE),"DNS")))))</f>
        <v/>
      </c>
      <c r="AL44" s="5" t="str">
        <f>IF(Deltagarlista!$K$3=4,IF(ISBLANK(Deltagarlista!$C44),"",IF(ISBLANK(Arrangörslista!N$143),"",IFERROR(VLOOKUP($F44,Arrangörslista!N$143:$AG$180,16,FALSE),IF(ISBLANK(Deltagarlista!$C44),"",IF(ISBLANK(Arrangörslista!N$143),"",IFERROR(VLOOKUP($F44,Arrangörslista!O$143:$AG$180,16,FALSE),"DNS")))))),IF(Deltagarlista!$K$3=2,
IF(ISBLANK(Deltagarlista!$C44),"",IF(ISBLANK(Arrangörslista!P$53),"",IF($GV44=AL$64," DNS ",IFERROR(VLOOKUP($F44,Arrangörslista!P$53:$AG$90,16,FALSE),"DNS")))),IF(ISBLANK(Deltagarlista!$C44),"",IF(ISBLANK(Arrangörslista!P$53),"",IFERROR(VLOOKUP($F44,Arrangörslista!P$53:$AG$90,16,FALSE),"DNS")))))</f>
        <v/>
      </c>
      <c r="AM44" s="5" t="str">
        <f>IF(Deltagarlista!$K$3=4,IF(ISBLANK(Deltagarlista!$C44),"",IF(ISBLANK(Arrangörslista!P$143),"",IFERROR(VLOOKUP($F44,Arrangörslista!P$143:$AG$180,16,FALSE),IF(ISBLANK(Deltagarlista!$C44),"",IF(ISBLANK(Arrangörslista!P$143),"",IFERROR(VLOOKUP($F44,Arrangörslista!Q$143:$AG$180,16,FALSE),"DNS")))))),IF(Deltagarlista!$K$3=2,
IF(ISBLANK(Deltagarlista!$C44),"",IF(ISBLANK(Arrangörslista!Q$53),"",IF($GV44=AM$64," DNS ",IFERROR(VLOOKUP($F44,Arrangörslista!Q$53:$AG$90,16,FALSE),"DNS")))),IF(ISBLANK(Deltagarlista!$C44),"",IF(ISBLANK(Arrangörslista!Q$53),"",IFERROR(VLOOKUP($F44,Arrangörslista!Q$53:$AG$90,16,FALSE),"DNS")))))</f>
        <v/>
      </c>
      <c r="AN44" s="5" t="str">
        <f>IF(Deltagarlista!$K$3=2,
IF(ISBLANK(Deltagarlista!$C44),"",IF(ISBLANK(Arrangörslista!C$98),"",IF($GV44=AN$64," DNS ",IFERROR(VLOOKUP($F44,Arrangörslista!C$98:$AG$135,16,FALSE), "DNS")))), IF(Deltagarlista!$K$3=1,IF(ISBLANK(Deltagarlista!$C44),"",IF(ISBLANK(Arrangörslista!C$98),"",IFERROR(VLOOKUP($F44,Arrangörslista!C$98:$AG$135,16,FALSE), "DNS"))),""))</f>
        <v/>
      </c>
      <c r="AO44" s="5" t="str">
        <f>IF(Deltagarlista!$K$3=2,
IF(ISBLANK(Deltagarlista!$C44),"",IF(ISBLANK(Arrangörslista!D$98),"",IF($GV44=AO$64," DNS ",IFERROR(VLOOKUP($F44,Arrangörslista!D$98:$AG$135,16,FALSE), "DNS")))), IF(Deltagarlista!$K$3=1,IF(ISBLANK(Deltagarlista!$C44),"",IF(ISBLANK(Arrangörslista!D$98),"",IFERROR(VLOOKUP($F44,Arrangörslista!D$98:$AG$135,16,FALSE), "DNS"))),""))</f>
        <v/>
      </c>
      <c r="AP44" s="5" t="str">
        <f>IF(Deltagarlista!$K$3=2,
IF(ISBLANK(Deltagarlista!$C44),"",IF(ISBLANK(Arrangörslista!E$98),"",IF($GV44=AP$64," DNS ",IFERROR(VLOOKUP($F44,Arrangörslista!E$98:$AG$135,16,FALSE), "DNS")))), IF(Deltagarlista!$K$3=1,IF(ISBLANK(Deltagarlista!$C44),"",IF(ISBLANK(Arrangörslista!E$98),"",IFERROR(VLOOKUP($F44,Arrangörslista!E$98:$AG$135,16,FALSE), "DNS"))),""))</f>
        <v/>
      </c>
      <c r="AQ44" s="5" t="str">
        <f>IF(Deltagarlista!$K$3=2,
IF(ISBLANK(Deltagarlista!$C44),"",IF(ISBLANK(Arrangörslista!F$98),"",IF($GV44=AQ$64," DNS ",IFERROR(VLOOKUP($F44,Arrangörslista!F$98:$AG$135,16,FALSE), "DNS")))), IF(Deltagarlista!$K$3=1,IF(ISBLANK(Deltagarlista!$C44),"",IF(ISBLANK(Arrangörslista!F$98),"",IFERROR(VLOOKUP($F44,Arrangörslista!F$98:$AG$135,16,FALSE), "DNS"))),""))</f>
        <v/>
      </c>
      <c r="AR44" s="5" t="str">
        <f>IF(Deltagarlista!$K$3=2,
IF(ISBLANK(Deltagarlista!$C44),"",IF(ISBLANK(Arrangörslista!G$98),"",IF($GV44=AR$64," DNS ",IFERROR(VLOOKUP($F44,Arrangörslista!G$98:$AG$135,16,FALSE), "DNS")))), IF(Deltagarlista!$K$3=1,IF(ISBLANK(Deltagarlista!$C44),"",IF(ISBLANK(Arrangörslista!G$98),"",IFERROR(VLOOKUP($F44,Arrangörslista!G$98:$AG$135,16,FALSE), "DNS"))),""))</f>
        <v/>
      </c>
      <c r="AS44" s="5" t="str">
        <f>IF(Deltagarlista!$K$3=2,
IF(ISBLANK(Deltagarlista!$C44),"",IF(ISBLANK(Arrangörslista!H$98),"",IF($GV44=AS$64," DNS ",IFERROR(VLOOKUP($F44,Arrangörslista!H$98:$AG$135,16,FALSE), "DNS")))), IF(Deltagarlista!$K$3=1,IF(ISBLANK(Deltagarlista!$C44),"",IF(ISBLANK(Arrangörslista!H$98),"",IFERROR(VLOOKUP($F44,Arrangörslista!H$98:$AG$135,16,FALSE), "DNS"))),""))</f>
        <v/>
      </c>
      <c r="AT44" s="5" t="str">
        <f>IF(Deltagarlista!$K$3=2,
IF(ISBLANK(Deltagarlista!$C44),"",IF(ISBLANK(Arrangörslista!I$98),"",IF($GV44=AT$64," DNS ",IFERROR(VLOOKUP($F44,Arrangörslista!I$98:$AG$135,16,FALSE), "DNS")))), IF(Deltagarlista!$K$3=1,IF(ISBLANK(Deltagarlista!$C44),"",IF(ISBLANK(Arrangörslista!I$98),"",IFERROR(VLOOKUP($F44,Arrangörslista!I$98:$AG$135,16,FALSE), "DNS"))),""))</f>
        <v/>
      </c>
      <c r="AU44" s="5" t="str">
        <f>IF(Deltagarlista!$K$3=2,
IF(ISBLANK(Deltagarlista!$C44),"",IF(ISBLANK(Arrangörslista!J$98),"",IF($GV44=AU$64," DNS ",IFERROR(VLOOKUP($F44,Arrangörslista!J$98:$AG$135,16,FALSE), "DNS")))), IF(Deltagarlista!$K$3=1,IF(ISBLANK(Deltagarlista!$C44),"",IF(ISBLANK(Arrangörslista!J$98),"",IFERROR(VLOOKUP($F44,Arrangörslista!J$98:$AG$135,16,FALSE), "DNS"))),""))</f>
        <v/>
      </c>
      <c r="AV44" s="5" t="str">
        <f>IF(Deltagarlista!$K$3=2,
IF(ISBLANK(Deltagarlista!$C44),"",IF(ISBLANK(Arrangörslista!K$98),"",IF($GV44=AV$64," DNS ",IFERROR(VLOOKUP($F44,Arrangörslista!K$98:$AG$135,16,FALSE), "DNS")))), IF(Deltagarlista!$K$3=1,IF(ISBLANK(Deltagarlista!$C44),"",IF(ISBLANK(Arrangörslista!K$98),"",IFERROR(VLOOKUP($F44,Arrangörslista!K$98:$AG$135,16,FALSE), "DNS"))),""))</f>
        <v/>
      </c>
      <c r="AW44" s="5" t="str">
        <f>IF(Deltagarlista!$K$3=2,
IF(ISBLANK(Deltagarlista!$C44),"",IF(ISBLANK(Arrangörslista!L$98),"",IF($GV44=AW$64," DNS ",IFERROR(VLOOKUP($F44,Arrangörslista!L$98:$AG$135,16,FALSE), "DNS")))), IF(Deltagarlista!$K$3=1,IF(ISBLANK(Deltagarlista!$C44),"",IF(ISBLANK(Arrangörslista!L$98),"",IFERROR(VLOOKUP($F44,Arrangörslista!L$98:$AG$135,16,FALSE), "DNS"))),""))</f>
        <v/>
      </c>
      <c r="AX44" s="5" t="str">
        <f>IF(Deltagarlista!$K$3=2,
IF(ISBLANK(Deltagarlista!$C44),"",IF(ISBLANK(Arrangörslista!M$98),"",IF($GV44=AX$64," DNS ",IFERROR(VLOOKUP($F44,Arrangörslista!M$98:$AG$135,16,FALSE), "DNS")))), IF(Deltagarlista!$K$3=1,IF(ISBLANK(Deltagarlista!$C44),"",IF(ISBLANK(Arrangörslista!M$98),"",IFERROR(VLOOKUP($F44,Arrangörslista!M$98:$AG$135,16,FALSE), "DNS"))),""))</f>
        <v/>
      </c>
      <c r="AY44" s="5" t="str">
        <f>IF(Deltagarlista!$K$3=2,
IF(ISBLANK(Deltagarlista!$C44),"",IF(ISBLANK(Arrangörslista!N$98),"",IF($GV44=AY$64," DNS ",IFERROR(VLOOKUP($F44,Arrangörslista!N$98:$AG$135,16,FALSE), "DNS")))), IF(Deltagarlista!$K$3=1,IF(ISBLANK(Deltagarlista!$C44),"",IF(ISBLANK(Arrangörslista!N$98),"",IFERROR(VLOOKUP($F44,Arrangörslista!N$98:$AG$135,16,FALSE), "DNS"))),""))</f>
        <v/>
      </c>
      <c r="AZ44" s="5" t="str">
        <f>IF(Deltagarlista!$K$3=2,
IF(ISBLANK(Deltagarlista!$C44),"",IF(ISBLANK(Arrangörslista!O$98),"",IF($GV44=AZ$64," DNS ",IFERROR(VLOOKUP($F44,Arrangörslista!O$98:$AG$135,16,FALSE), "DNS")))), IF(Deltagarlista!$K$3=1,IF(ISBLANK(Deltagarlista!$C44),"",IF(ISBLANK(Arrangörslista!O$98),"",IFERROR(VLOOKUP($F44,Arrangörslista!O$98:$AG$135,16,FALSE), "DNS"))),""))</f>
        <v/>
      </c>
      <c r="BA44" s="5" t="str">
        <f>IF(Deltagarlista!$K$3=2,
IF(ISBLANK(Deltagarlista!$C44),"",IF(ISBLANK(Arrangörslista!P$98),"",IF($GV44=BA$64," DNS ",IFERROR(VLOOKUP($F44,Arrangörslista!P$98:$AG$135,16,FALSE), "DNS")))), IF(Deltagarlista!$K$3=1,IF(ISBLANK(Deltagarlista!$C44),"",IF(ISBLANK(Arrangörslista!P$98),"",IFERROR(VLOOKUP($F44,Arrangörslista!P$98:$AG$135,16,FALSE), "DNS"))),""))</f>
        <v/>
      </c>
      <c r="BB44" s="5" t="str">
        <f>IF(Deltagarlista!$K$3=2,
IF(ISBLANK(Deltagarlista!$C44),"",IF(ISBLANK(Arrangörslista!Q$98),"",IF($GV44=BB$64," DNS ",IFERROR(VLOOKUP($F44,Arrangörslista!Q$98:$AG$135,16,FALSE), "DNS")))), IF(Deltagarlista!$K$3=1,IF(ISBLANK(Deltagarlista!$C44),"",IF(ISBLANK(Arrangörslista!Q$98),"",IFERROR(VLOOKUP($F44,Arrangörslista!Q$98:$AG$135,16,FALSE), "DNS"))),""))</f>
        <v/>
      </c>
      <c r="BC44" s="5" t="str">
        <f>IF(Deltagarlista!$K$3=2,
IF(ISBLANK(Deltagarlista!$C44),"",IF(ISBLANK(Arrangörslista!C$143),"",IF($GV44=BC$64," DNS ",IFERROR(VLOOKUP($F44,Arrangörslista!C$143:$AG$180,16,FALSE), "DNS")))), IF(Deltagarlista!$K$3=1,IF(ISBLANK(Deltagarlista!$C44),"",IF(ISBLANK(Arrangörslista!C$143),"",IFERROR(VLOOKUP($F44,Arrangörslista!C$143:$AG$180,16,FALSE), "DNS"))),""))</f>
        <v/>
      </c>
      <c r="BD44" s="5" t="str">
        <f>IF(Deltagarlista!$K$3=2,
IF(ISBLANK(Deltagarlista!$C44),"",IF(ISBLANK(Arrangörslista!D$143),"",IF($GV44=BD$64," DNS ",IFERROR(VLOOKUP($F44,Arrangörslista!D$143:$AG$180,16,FALSE), "DNS")))), IF(Deltagarlista!$K$3=1,IF(ISBLANK(Deltagarlista!$C44),"",IF(ISBLANK(Arrangörslista!D$143),"",IFERROR(VLOOKUP($F44,Arrangörslista!D$143:$AG$180,16,FALSE), "DNS"))),""))</f>
        <v/>
      </c>
      <c r="BE44" s="5" t="str">
        <f>IF(Deltagarlista!$K$3=2,
IF(ISBLANK(Deltagarlista!$C44),"",IF(ISBLANK(Arrangörslista!E$143),"",IF($GV44=BE$64," DNS ",IFERROR(VLOOKUP($F44,Arrangörslista!E$143:$AG$180,16,FALSE), "DNS")))), IF(Deltagarlista!$K$3=1,IF(ISBLANK(Deltagarlista!$C44),"",IF(ISBLANK(Arrangörslista!E$143),"",IFERROR(VLOOKUP($F44,Arrangörslista!E$143:$AG$180,16,FALSE), "DNS"))),""))</f>
        <v/>
      </c>
      <c r="BF44" s="5" t="str">
        <f>IF(Deltagarlista!$K$3=2,
IF(ISBLANK(Deltagarlista!$C44),"",IF(ISBLANK(Arrangörslista!F$143),"",IF($GV44=BF$64," DNS ",IFERROR(VLOOKUP($F44,Arrangörslista!F$143:$AG$180,16,FALSE), "DNS")))), IF(Deltagarlista!$K$3=1,IF(ISBLANK(Deltagarlista!$C44),"",IF(ISBLANK(Arrangörslista!F$143),"",IFERROR(VLOOKUP($F44,Arrangörslista!F$143:$AG$180,16,FALSE), "DNS"))),""))</f>
        <v/>
      </c>
      <c r="BG44" s="5" t="str">
        <f>IF(Deltagarlista!$K$3=2,
IF(ISBLANK(Deltagarlista!$C44),"",IF(ISBLANK(Arrangörslista!G$143),"",IF($GV44=BG$64," DNS ",IFERROR(VLOOKUP($F44,Arrangörslista!G$143:$AG$180,16,FALSE), "DNS")))), IF(Deltagarlista!$K$3=1,IF(ISBLANK(Deltagarlista!$C44),"",IF(ISBLANK(Arrangörslista!G$143),"",IFERROR(VLOOKUP($F44,Arrangörslista!G$143:$AG$180,16,FALSE), "DNS"))),""))</f>
        <v/>
      </c>
      <c r="BH44" s="5" t="str">
        <f>IF(Deltagarlista!$K$3=2,
IF(ISBLANK(Deltagarlista!$C44),"",IF(ISBLANK(Arrangörslista!H$143),"",IF($GV44=BH$64," DNS ",IFERROR(VLOOKUP($F44,Arrangörslista!H$143:$AG$180,16,FALSE), "DNS")))), IF(Deltagarlista!$K$3=1,IF(ISBLANK(Deltagarlista!$C44),"",IF(ISBLANK(Arrangörslista!H$143),"",IFERROR(VLOOKUP($F44,Arrangörslista!H$143:$AG$180,16,FALSE), "DNS"))),""))</f>
        <v/>
      </c>
      <c r="BI44" s="5" t="str">
        <f>IF(Deltagarlista!$K$3=2,
IF(ISBLANK(Deltagarlista!$C44),"",IF(ISBLANK(Arrangörslista!I$143),"",IF($GV44=BI$64," DNS ",IFERROR(VLOOKUP($F44,Arrangörslista!I$143:$AG$180,16,FALSE), "DNS")))), IF(Deltagarlista!$K$3=1,IF(ISBLANK(Deltagarlista!$C44),"",IF(ISBLANK(Arrangörslista!I$143),"",IFERROR(VLOOKUP($F44,Arrangörslista!I$143:$AG$180,16,FALSE), "DNS"))),""))</f>
        <v/>
      </c>
      <c r="BJ44" s="5" t="str">
        <f>IF(Deltagarlista!$K$3=2,
IF(ISBLANK(Deltagarlista!$C44),"",IF(ISBLANK(Arrangörslista!J$143),"",IF($GV44=BJ$64," DNS ",IFERROR(VLOOKUP($F44,Arrangörslista!J$143:$AG$180,16,FALSE), "DNS")))), IF(Deltagarlista!$K$3=1,IF(ISBLANK(Deltagarlista!$C44),"",IF(ISBLANK(Arrangörslista!J$143),"",IFERROR(VLOOKUP($F44,Arrangörslista!J$143:$AG$180,16,FALSE), "DNS"))),""))</f>
        <v/>
      </c>
      <c r="BK44" s="5" t="str">
        <f>IF(Deltagarlista!$K$3=2,
IF(ISBLANK(Deltagarlista!$C44),"",IF(ISBLANK(Arrangörslista!K$143),"",IF($GV44=BK$64," DNS ",IFERROR(VLOOKUP($F44,Arrangörslista!K$143:$AG$180,16,FALSE), "DNS")))), IF(Deltagarlista!$K$3=1,IF(ISBLANK(Deltagarlista!$C44),"",IF(ISBLANK(Arrangörslista!K$143),"",IFERROR(VLOOKUP($F44,Arrangörslista!K$143:$AG$180,16,FALSE), "DNS"))),""))</f>
        <v/>
      </c>
      <c r="BL44" s="5" t="str">
        <f>IF(Deltagarlista!$K$3=2,
IF(ISBLANK(Deltagarlista!$C44),"",IF(ISBLANK(Arrangörslista!L$143),"",IF($GV44=BL$64," DNS ",IFERROR(VLOOKUP($F44,Arrangörslista!L$143:$AG$180,16,FALSE), "DNS")))), IF(Deltagarlista!$K$3=1,IF(ISBLANK(Deltagarlista!$C44),"",IF(ISBLANK(Arrangörslista!L$143),"",IFERROR(VLOOKUP($F44,Arrangörslista!L$143:$AG$180,16,FALSE), "DNS"))),""))</f>
        <v/>
      </c>
      <c r="BM44" s="5" t="str">
        <f>IF(Deltagarlista!$K$3=2,
IF(ISBLANK(Deltagarlista!$C44),"",IF(ISBLANK(Arrangörslista!M$143),"",IF($GV44=BM$64," DNS ",IFERROR(VLOOKUP($F44,Arrangörslista!M$143:$AG$180,16,FALSE), "DNS")))), IF(Deltagarlista!$K$3=1,IF(ISBLANK(Deltagarlista!$C44),"",IF(ISBLANK(Arrangörslista!M$143),"",IFERROR(VLOOKUP($F44,Arrangörslista!M$143:$AG$180,16,FALSE), "DNS"))),""))</f>
        <v/>
      </c>
      <c r="BN44" s="5" t="str">
        <f>IF(Deltagarlista!$K$3=2,
IF(ISBLANK(Deltagarlista!$C44),"",IF(ISBLANK(Arrangörslista!N$143),"",IF($GV44=BN$64," DNS ",IFERROR(VLOOKUP($F44,Arrangörslista!N$143:$AG$180,16,FALSE), "DNS")))), IF(Deltagarlista!$K$3=1,IF(ISBLANK(Deltagarlista!$C44),"",IF(ISBLANK(Arrangörslista!N$143),"",IFERROR(VLOOKUP($F44,Arrangörslista!N$143:$AG$180,16,FALSE), "DNS"))),""))</f>
        <v/>
      </c>
      <c r="BO44" s="5" t="str">
        <f>IF(Deltagarlista!$K$3=2,
IF(ISBLANK(Deltagarlista!$C44),"",IF(ISBLANK(Arrangörslista!O$143),"",IF($GV44=BO$64," DNS ",IFERROR(VLOOKUP($F44,Arrangörslista!O$143:$AG$180,16,FALSE), "DNS")))), IF(Deltagarlista!$K$3=1,IF(ISBLANK(Deltagarlista!$C44),"",IF(ISBLANK(Arrangörslista!O$143),"",IFERROR(VLOOKUP($F44,Arrangörslista!O$143:$AG$180,16,FALSE), "DNS"))),""))</f>
        <v/>
      </c>
      <c r="BP44" s="5" t="str">
        <f>IF(Deltagarlista!$K$3=2,
IF(ISBLANK(Deltagarlista!$C44),"",IF(ISBLANK(Arrangörslista!P$143),"",IF($GV44=BP$64," DNS ",IFERROR(VLOOKUP($F44,Arrangörslista!P$143:$AG$180,16,FALSE), "DNS")))), IF(Deltagarlista!$K$3=1,IF(ISBLANK(Deltagarlista!$C44),"",IF(ISBLANK(Arrangörslista!P$143),"",IFERROR(VLOOKUP($F44,Arrangörslista!P$143:$AG$180,16,FALSE), "DNS"))),""))</f>
        <v/>
      </c>
      <c r="BQ44" s="80" t="str">
        <f>IF(Deltagarlista!$K$3=2,
IF(ISBLANK(Deltagarlista!$C44),"",IF(ISBLANK(Arrangörslista!Q$143),"",IF($GV44=BQ$64," DNS ",IFERROR(VLOOKUP($F44,Arrangörslista!Q$143:$AG$180,16,FALSE), "DNS")))), IF(Deltagarlista!$K$3=1,IF(ISBLANK(Deltagarlista!$C44),"",IF(ISBLANK(Arrangörslista!Q$143),"",IFERROR(VLOOKUP($F44,Arrangörslista!Q$143:$AG$180,16,FALSE), "DNS"))),""))</f>
        <v/>
      </c>
      <c r="BR44" s="48"/>
      <c r="BU44" s="71">
        <f>SUM(BV44:EC44)</f>
        <v>0</v>
      </c>
      <c r="BV44" s="61">
        <f>IF(J44="",0,IF(OR(J44="DNF",J44="OCS",J44="DSQ",J44="DNS",J44=" DNS "),$BW$3+1,J44))</f>
        <v>0</v>
      </c>
      <c r="BW44" s="61">
        <f>IF(K44="",0,IF(OR(K44="DNF",K44="OCS",K44="DSQ",K44="DNS",K44=" DNS "),$BW$3+1,K44))</f>
        <v>0</v>
      </c>
      <c r="BX44" s="61">
        <f>IF(L44="",0,IF(OR(L44="DNF",L44="OCS",L44="DSQ",L44="DNS",L44=" DNS "),$BW$3+1,L44))</f>
        <v>0</v>
      </c>
      <c r="BY44" s="61">
        <f>IF(M44="",0,IF(OR(M44="DNF",M44="OCS",M44="DSQ",M44="DNS",M44=" DNS "),$BW$3+1,M44))</f>
        <v>0</v>
      </c>
      <c r="BZ44" s="61">
        <f>IF(N44="",0,IF(OR(N44="DNF",N44="OCS",N44="DSQ",N44="DNS",N44=" DNS "),$BW$3+1,N44))</f>
        <v>0</v>
      </c>
      <c r="CA44" s="61">
        <f>IF(O44="",0,IF(OR(O44="DNF",O44="OCS",O44="DSQ",O44="DNS",O44=" DNS "),$BW$3+1,O44))</f>
        <v>0</v>
      </c>
      <c r="CB44" s="61">
        <f>IF(P44="",0,IF(OR(P44="DNF",P44="OCS",P44="DSQ",P44="DNS",P44=" DNS "),$BW$3+1,P44))</f>
        <v>0</v>
      </c>
      <c r="CC44" s="61">
        <f>IF(Q44="",0,IF(OR(Q44="DNF",Q44="OCS",Q44="DSQ",Q44="DNS",Q44=" DNS "),$BW$3+1,Q44))</f>
        <v>0</v>
      </c>
      <c r="CD44" s="61">
        <f>IF(R44="",0,IF(OR(R44="DNF",R44="OCS",R44="DSQ",R44="DNS",R44=" DNS "),$BW$3+1,R44))</f>
        <v>0</v>
      </c>
      <c r="CE44" s="61">
        <f>IF(S44="",0,IF(OR(S44="DNF",S44="OCS",S44="DSQ",S44="DNS",S44=" DNS "),$BW$3+1,S44))</f>
        <v>0</v>
      </c>
      <c r="CF44" s="61">
        <f>IF(T44="",0,IF(OR(T44="DNF",T44="OCS",T44="DSQ",T44="DNS",T44=" DNS "),$BW$3+1,T44))</f>
        <v>0</v>
      </c>
      <c r="CG44" s="61">
        <f>IF(U44="",0,IF(OR(U44="DNF",U44="OCS",U44="DSQ",U44="DNS",U44=" DNS "),$BW$3+1,U44))</f>
        <v>0</v>
      </c>
      <c r="CH44" s="61">
        <f>IF(V44="",0,IF(OR(V44="DNF",V44="OCS",V44="DSQ",V44="DNS",V44=" DNS "),$BW$3+1,V44))</f>
        <v>0</v>
      </c>
      <c r="CI44" s="61">
        <f>IF(W44="",0,IF(OR(W44="DNF",W44="OCS",W44="DSQ",W44="DNS",W44=" DNS "),$BW$3+1,W44))</f>
        <v>0</v>
      </c>
      <c r="CJ44" s="61">
        <f>IF(X44="",0,IF(OR(X44="DNF",X44="OCS",X44="DSQ",X44="DNS",X44=" DNS "),$BW$3+1,X44))</f>
        <v>0</v>
      </c>
      <c r="CK44" s="61">
        <f>IF(Y44="",0,IF(OR(Y44="DNF",Y44="OCS",Y44="DSQ",Y44="DNS",Y44=" DNS "),$BW$3+1,Y44))</f>
        <v>0</v>
      </c>
      <c r="CL44" s="61">
        <f>IF(Z44="",0,IF(OR(Z44="DNF",Z44="OCS",Z44="DSQ",Z44="DNS",Z44=" DNS "),$BW$3+1,Z44))</f>
        <v>0</v>
      </c>
      <c r="CM44" s="61">
        <f>IF(AA44="",0,IF(OR(AA44="DNF",AA44="OCS",AA44="DSQ",AA44="DNS",AA44=" DNS "),$BW$3+1,AA44))</f>
        <v>0</v>
      </c>
      <c r="CN44" s="61">
        <f>IF(AB44="",0,IF(OR(AB44="DNF",AB44="OCS",AB44="DSQ",AB44="DNS",AB44=" DNS "),$BW$3+1,AB44))</f>
        <v>0</v>
      </c>
      <c r="CO44" s="61">
        <f>IF(AC44="",0,IF(OR(AC44="DNF",AC44="OCS",AC44="DSQ",AC44="DNS",AC44=" DNS "),$BW$3+1,AC44))</f>
        <v>0</v>
      </c>
      <c r="CP44" s="61">
        <f>IF(AD44="",0,IF(OR(AD44="DNF",AD44="OCS",AD44="DSQ",AD44="DNS",AD44=" DNS "),$BW$3+1,AD44))</f>
        <v>0</v>
      </c>
      <c r="CQ44" s="61">
        <f>IF(AE44="",0,IF(OR(AE44="DNF",AE44="OCS",AE44="DSQ",AE44="DNS",AE44=" DNS "),$BW$3+1,AE44))</f>
        <v>0</v>
      </c>
      <c r="CR44" s="61">
        <f>IF(AF44="",0,IF(OR(AF44="DNF",AF44="OCS",AF44="DSQ",AF44="DNS",AF44=" DNS "),$BW$3+1,AF44))</f>
        <v>0</v>
      </c>
      <c r="CS44" s="61">
        <f>IF(AG44="",0,IF(OR(AG44="DNF",AG44="OCS",AG44="DSQ",AG44="DNS",AG44=" DNS "),$BW$3+1,AG44))</f>
        <v>0</v>
      </c>
      <c r="CT44" s="61">
        <f>IF(AH44="",0,IF(OR(AH44="DNF",AH44="OCS",AH44="DSQ",AH44="DNS",AH44=" DNS "),$BW$3+1,AH44))</f>
        <v>0</v>
      </c>
      <c r="CU44" s="61">
        <f>IF(AI44="",0,IF(OR(AI44="DNF",AI44="OCS",AI44="DSQ",AI44="DNS",AI44=" DNS "),$BW$3+1,AI44))</f>
        <v>0</v>
      </c>
      <c r="CV44" s="61">
        <f>IF(AJ44="",0,IF(OR(AJ44="DNF",AJ44="OCS",AJ44="DSQ",AJ44="DNS",AJ44=" DNS "),$BW$3+1,AJ44))</f>
        <v>0</v>
      </c>
      <c r="CW44" s="61">
        <f>IF(AK44="",0,IF(OR(AK44="DNF",AK44="OCS",AK44="DSQ",AK44="DNS",AK44=" DNS "),$BW$3+1,AK44))</f>
        <v>0</v>
      </c>
      <c r="CX44" s="61">
        <f>IF(AL44="",0,IF(OR(AL44="DNF",AL44="OCS",AL44="DSQ",AL44="DNS",AL44=" DNS "),$BW$3+1,AL44))</f>
        <v>0</v>
      </c>
      <c r="CY44" s="61">
        <f>IF(AM44="",0,IF(OR(AM44="DNF",AM44="OCS",AM44="DSQ",AM44="DNS",AM44=" DNS "),$BW$3+1,AM44))</f>
        <v>0</v>
      </c>
      <c r="CZ44" s="61">
        <f>IF(AN44="",0,IF(OR(AN44="DNF",AN44="OCS",AN44="DSQ",AN44="DNS",AN44=" DNS "),$BW$3+1,AN44))</f>
        <v>0</v>
      </c>
      <c r="DA44" s="61">
        <f>IF(AO44="",0,IF(OR(AO44="DNF",AO44="OCS",AO44="DSQ",AO44="DNS",AO44=" DNS "),$BW$3+1,AO44))</f>
        <v>0</v>
      </c>
      <c r="DB44" s="61">
        <f>IF(AP44="",0,IF(OR(AP44="DNF",AP44="OCS",AP44="DSQ",AP44="DNS",AP44=" DNS "),$BW$3+1,AP44))</f>
        <v>0</v>
      </c>
      <c r="DC44" s="61">
        <f>IF(AQ44="",0,IF(OR(AQ44="DNF",AQ44="OCS",AQ44="DSQ",AQ44="DNS",AQ44=" DNS "),$BW$3+1,AQ44))</f>
        <v>0</v>
      </c>
      <c r="DD44" s="61">
        <f>IF(AR44="",0,IF(OR(AR44="DNF",AR44="OCS",AR44="DSQ",AR44="DNS",AR44=" DNS "),$BW$3+1,AR44))</f>
        <v>0</v>
      </c>
      <c r="DE44" s="61">
        <f>IF(AS44="",0,IF(OR(AS44="DNF",AS44="OCS",AS44="DSQ",AS44="DNS",AS44=" DNS "),$BW$3+1,AS44))</f>
        <v>0</v>
      </c>
      <c r="DF44" s="61">
        <f>IF(AT44="",0,IF(OR(AT44="DNF",AT44="OCS",AT44="DSQ",AT44="DNS",AT44=" DNS "),$BW$3+1,AT44))</f>
        <v>0</v>
      </c>
      <c r="DG44" s="61">
        <f>IF(AU44="",0,IF(OR(AU44="DNF",AU44="OCS",AU44="DSQ",AU44="DNS",AU44=" DNS "),$BW$3+1,AU44))</f>
        <v>0</v>
      </c>
      <c r="DH44" s="61">
        <f>IF(AV44="",0,IF(OR(AV44="DNF",AV44="OCS",AV44="DSQ",AV44="DNS",AV44=" DNS "),$BW$3+1,AV44))</f>
        <v>0</v>
      </c>
      <c r="DI44" s="61">
        <f>IF(AW44="",0,IF(OR(AW44="DNF",AW44="OCS",AW44="DSQ",AW44="DNS",AW44=" DNS "),$BW$3+1,AW44))</f>
        <v>0</v>
      </c>
      <c r="DJ44" s="61">
        <f>IF(AX44="",0,IF(OR(AX44="DNF",AX44="OCS",AX44="DSQ",AX44="DNS",AX44=" DNS "),$BW$3+1,AX44))</f>
        <v>0</v>
      </c>
      <c r="DK44" s="61">
        <f>IF(AY44="",0,IF(OR(AY44="DNF",AY44="OCS",AY44="DSQ",AY44="DNS",AY44=" DNS "),$BW$3+1,AY44))</f>
        <v>0</v>
      </c>
      <c r="DL44" s="61">
        <f>IF(AZ44="",0,IF(OR(AZ44="DNF",AZ44="OCS",AZ44="DSQ",AZ44="DNS",AZ44=" DNS "),$BW$3+1,AZ44))</f>
        <v>0</v>
      </c>
      <c r="DM44" s="61">
        <f>IF(BA44="",0,IF(OR(BA44="DNF",BA44="OCS",BA44="DSQ",BA44="DNS",BA44=" DNS "),$BW$3+1,BA44))</f>
        <v>0</v>
      </c>
      <c r="DN44" s="61">
        <f>IF(BB44="",0,IF(OR(BB44="DNF",BB44="OCS",BB44="DSQ",BB44="DNS",BB44=" DNS "),$BW$3+1,BB44))</f>
        <v>0</v>
      </c>
      <c r="DO44" s="61">
        <f>IF(BC44="",0,IF(OR(BC44="DNF",BC44="OCS",BC44="DSQ",BC44="DNS",BC44=" DNS "),$BW$3+1,BC44))</f>
        <v>0</v>
      </c>
      <c r="DP44" s="61">
        <f>IF(BD44="",0,IF(OR(BD44="DNF",BD44="OCS",BD44="DSQ",BD44="DNS",BD44=" DNS "),$BW$3+1,BD44))</f>
        <v>0</v>
      </c>
      <c r="DQ44" s="61">
        <f>IF(BE44="",0,IF(OR(BE44="DNF",BE44="OCS",BE44="DSQ",BE44="DNS",BE44=" DNS "),$BW$3+1,BE44))</f>
        <v>0</v>
      </c>
      <c r="DR44" s="61">
        <f>IF(BF44="",0,IF(OR(BF44="DNF",BF44="OCS",BF44="DSQ",BF44="DNS",BF44=" DNS "),$BW$3+1,BF44))</f>
        <v>0</v>
      </c>
      <c r="DS44" s="61">
        <f>IF(BG44="",0,IF(OR(BG44="DNF",BG44="OCS",BG44="DSQ",BG44="DNS",BG44=" DNS "),$BW$3+1,BG44))</f>
        <v>0</v>
      </c>
      <c r="DT44" s="61">
        <f>IF(BH44="",0,IF(OR(BH44="DNF",BH44="OCS",BH44="DSQ",BH44="DNS",BH44=" DNS "),$BW$3+1,BH44))</f>
        <v>0</v>
      </c>
      <c r="DU44" s="61">
        <f>IF(BI44="",0,IF(OR(BI44="DNF",BI44="OCS",BI44="DSQ",BI44="DNS",BI44=" DNS "),$BW$3+1,BI44))</f>
        <v>0</v>
      </c>
      <c r="DV44" s="61">
        <f>IF(BJ44="",0,IF(OR(BJ44="DNF",BJ44="OCS",BJ44="DSQ",BJ44="DNS",BJ44=" DNS "),$BW$3+1,BJ44))</f>
        <v>0</v>
      </c>
      <c r="DW44" s="61">
        <f>IF(BK44="",0,IF(OR(BK44="DNF",BK44="OCS",BK44="DSQ",BK44="DNS",BK44=" DNS "),$BW$3+1,BK44))</f>
        <v>0</v>
      </c>
      <c r="DX44" s="61">
        <f>IF(BL44="",0,IF(OR(BL44="DNF",BL44="OCS",BL44="DSQ",BL44="DNS",BL44=" DNS "),$BW$3+1,BL44))</f>
        <v>0</v>
      </c>
      <c r="DY44" s="61">
        <f>IF(BM44="",0,IF(OR(BM44="DNF",BM44="OCS",BM44="DSQ",BM44="DNS",BM44=" DNS "),$BW$3+1,BM44))</f>
        <v>0</v>
      </c>
      <c r="DZ44" s="61">
        <f>IF(BN44="",0,IF(OR(BN44="DNF",BN44="OCS",BN44="DSQ",BN44="DNS",BN44=" DNS "),$BW$3+1,BN44))</f>
        <v>0</v>
      </c>
      <c r="EA44" s="61">
        <f>IF(BO44="",0,IF(OR(BO44="DNF",BO44="OCS",BO44="DSQ",BO44="DNS",BO44=" DNS "),$BW$3+1,BO44))</f>
        <v>0</v>
      </c>
      <c r="EB44" s="61">
        <f>IF(BP44="",0,IF(OR(BP44="DNF",BP44="OCS",BP44="DSQ",BP44="DNS",BP44=" DNS "),$BW$3+1,BP44))</f>
        <v>0</v>
      </c>
      <c r="EC44" s="61">
        <f>IF(BQ44="",0,IF(OR(BQ44="DNF",BQ44="OCS",BQ44="DSQ",BQ44="DNS",BQ44=" DNS "),$BW$3+1,BQ44))</f>
        <v>0</v>
      </c>
      <c r="EE44" s="61">
        <f xml:space="preserve">
IF(OR(Deltagarlista!$K$3=3,Deltagarlista!$K$3=4),
IF(Arrangörslista!$U$5&lt;8,0,
IF(Arrangörslista!$U$5&lt;16,SUM(LARGE(BV44:CJ44,1)),
IF(Arrangörslista!$U$5&lt;24,SUM(LARGE(BV44:CR44,{1;2})),
IF(Arrangörslista!$U$5&lt;32,SUM(LARGE(BV44:CZ44,{1;2;3})),
IF(Arrangörslista!$U$5&lt;40,SUM(LARGE(BV44:DH44,{1;2;3;4})),
IF(Arrangörslista!$U$5&lt;48,SUM(LARGE(BV44:DP44,{1;2;3;4;5})),
IF(Arrangörslista!$U$5&lt;56,SUM(LARGE(BV44:DX44,{1;2;3;4;5;6})),
IF(Arrangörslista!$U$5&lt;64,SUM(LARGE(BV44:EC44,{1;2;3;4;5;6;7})),0)))))))),
IF(Deltagarlista!$K$3=2,
IF(Arrangörslista!$U$5&lt;4,LARGE(BV44:BX44,1),
IF(Arrangörslista!$U$5&lt;7,SUM(LARGE(BV44:CA44,{1;2;3})),
IF(Arrangörslista!$U$5&lt;10,SUM(LARGE(BV44:CD44,{1;2;3;4})),
IF(Arrangörslista!$U$5&lt;13,SUM(LARGE(BV44:CG44,{1;2;3;4;5;6})),
IF(Arrangörslista!$U$5&lt;16,SUM(LARGE(BV44:CJ44,{1;2;3;4;5;6;7})),
IF(Arrangörslista!$U$5&lt;19,SUM(LARGE(BV44:CM44,{1;2;3;4;5;6;7;8;9})),
IF(Arrangörslista!$U$5&lt;22,SUM(LARGE(BV44:CP44,{1;2;3;4;5;6;7;8;9;10})),
IF(Arrangörslista!$U$5&lt;25,SUM(LARGE(BV44:CS44,{1;2;3;4;5;6;7;8;9;10;11;12})),
IF(Arrangörslista!$U$5&lt;28,SUM(LARGE(BV44:CV44,{1;2;3;4;5;6;7;8;9;10;11;12;13})),
IF(Arrangörslista!$U$5&lt;31,SUM(LARGE(BV44:CY44,{1;2;3;4;5;6;7;8;9;10;11;12;13;14;15})),
IF(Arrangörslista!$U$5&lt;34,SUM(LARGE(BV44:DB44,{1;2;3;4;5;6;7;8;9;10;11;12;13;14;15;16})),
IF(Arrangörslista!$U$5&lt;37,SUM(LARGE(BV44:DE44,{1;2;3;4;5;6;7;8;9;10;11;12;13;14;15;16;17;18})),
IF(Arrangörslista!$U$5&lt;40,SUM(LARGE(BV44:DH44,{1;2;3;4;5;6;7;8;9;10;11;12;13;14;15;16;17;18;19})),
IF(Arrangörslista!$U$5&lt;43,SUM(LARGE(BV44:DK44,{1;2;3;4;5;6;7;8;9;10;11;12;13;14;15;16;17;18;19;20;21})),
IF(Arrangörslista!$U$5&lt;46,SUM(LARGE(BV44:DN44,{1;2;3;4;5;6;7;8;9;10;11;12;13;14;15;16;17;18;19;20;21;22})),
IF(Arrangörslista!$U$5&lt;49,SUM(LARGE(BV44:DQ44,{1;2;3;4;5;6;7;8;9;10;11;12;13;14;15;16;17;18;19;20;21;22;23;24})),
IF(Arrangörslista!$U$5&lt;52,SUM(LARGE(BV44:DT44,{1;2;3;4;5;6;7;8;9;10;11;12;13;14;15;16;17;18;19;20;21;22;23;24;25})),
IF(Arrangörslista!$U$5&lt;55,SUM(LARGE(BV44:DW44,{1;2;3;4;5;6;7;8;9;10;11;12;13;14;15;16;17;18;19;20;21;22;23;24;25;26;27})),
IF(Arrangörslista!$U$5&lt;58,SUM(LARGE(BV44:DZ44,{1;2;3;4;5;6;7;8;9;10;11;12;13;14;15;16;17;18;19;20;21;22;23;24;25;26;27;28})),
IF(Arrangörslista!$U$5&lt;61,SUM(LARGE(BV44:EC44,{1;2;3;4;5;6;7;8;9;10;11;12;13;14;15;16;17;18;19;20;21;22;23;24;25;26;27;28;29;30})),0)))))))))))))))))))),
IF(Arrangörslista!$U$5&lt;4,0,
IF(Arrangörslista!$U$5&lt;8,SUM(LARGE(BV44:CB44,1)),
IF(Arrangörslista!$U$5&lt;12,SUM(LARGE(BV44:CF44,{1;2})),
IF(Arrangörslista!$U$5&lt;16,SUM(LARGE(BV44:CJ44,{1;2;3})),
IF(Arrangörslista!$U$5&lt;20,SUM(LARGE(BV44:CN44,{1;2;3;4})),
IF(Arrangörslista!$U$5&lt;24,SUM(LARGE(BV44:CR44,{1;2;3;4;5})),
IF(Arrangörslista!$U$5&lt;28,SUM(LARGE(BV44:CV44,{1;2;3;4;5;6})),
IF(Arrangörslista!$U$5&lt;32,SUM(LARGE(BV44:CZ44,{1;2;3;4;5;6;7})),
IF(Arrangörslista!$U$5&lt;36,SUM(LARGE(BV44:DD44,{1;2;3;4;5;6;7;8})),
IF(Arrangörslista!$U$5&lt;40,SUM(LARGE(BV44:DH44,{1;2;3;4;5;6;7;8;9})),
IF(Arrangörslista!$U$5&lt;44,SUM(LARGE(BV44:DL44,{1;2;3;4;5;6;7;8;9;10})),
IF(Arrangörslista!$U$5&lt;48,SUM(LARGE(BV44:DP44,{1;2;3;4;5;6;7;8;9;10;11})),
IF(Arrangörslista!$U$5&lt;52,SUM(LARGE(BV44:DT44,{1;2;3;4;5;6;7;8;9;10;11;12})),
IF(Arrangörslista!$U$5&lt;56,SUM(LARGE(BV44:DX44,{1;2;3;4;5;6;7;8;9;10;11;12;13})),
IF(Arrangörslista!$U$5&lt;60,SUM(LARGE(BV44:EB44,{1;2;3;4;5;6;7;8;9;10;11;12;13;14})),
IF(Arrangörslista!$U$5=60,SUM(LARGE(BV44:EC44,{1;2;3;4;5;6;7;8;9;10;11;12;13;14;15})),0))))))))))))))))))</f>
        <v>0</v>
      </c>
      <c r="EG44" s="67">
        <f>IF(F44="",,1)</f>
        <v>0</v>
      </c>
      <c r="EH44" s="61"/>
      <c r="EI44" s="61"/>
      <c r="EK44" s="62">
        <f>SMALL($J107:$BQ107,1)</f>
        <v>61</v>
      </c>
      <c r="EL44" s="62">
        <f>SMALL($J107:$BQ107,2)</f>
        <v>61</v>
      </c>
      <c r="EM44" s="62">
        <f>SMALL($J107:$BQ107,3)</f>
        <v>61</v>
      </c>
      <c r="EN44" s="62">
        <f>SMALL($J107:$BQ107,4)</f>
        <v>61</v>
      </c>
      <c r="EO44" s="62">
        <f>SMALL($J107:$BQ107,5)</f>
        <v>61</v>
      </c>
      <c r="EP44" s="62">
        <f>SMALL($J107:$BQ107,6)</f>
        <v>61</v>
      </c>
      <c r="EQ44" s="62">
        <f>SMALL($J107:$BQ107,7)</f>
        <v>61</v>
      </c>
      <c r="ER44" s="62">
        <f>SMALL($J107:$BQ107,8)</f>
        <v>61</v>
      </c>
      <c r="ES44" s="62">
        <f>SMALL($J107:$BQ107,9)</f>
        <v>61</v>
      </c>
      <c r="ET44" s="62">
        <f>SMALL($J107:$BQ107,10)</f>
        <v>61</v>
      </c>
      <c r="EU44" s="62">
        <f>SMALL($J107:$BQ107,11)</f>
        <v>61</v>
      </c>
      <c r="EV44" s="62">
        <f>SMALL($J107:$BQ107,12)</f>
        <v>61</v>
      </c>
      <c r="EW44" s="62">
        <f>SMALL($J107:$BQ107,13)</f>
        <v>61</v>
      </c>
      <c r="EX44" s="62">
        <f>SMALL($J107:$BQ107,14)</f>
        <v>61</v>
      </c>
      <c r="EY44" s="62">
        <f>SMALL($J107:$BQ107,15)</f>
        <v>61</v>
      </c>
      <c r="EZ44" s="62">
        <f>SMALL($J107:$BQ107,16)</f>
        <v>61</v>
      </c>
      <c r="FA44" s="62">
        <f>SMALL($J107:$BQ107,17)</f>
        <v>61</v>
      </c>
      <c r="FB44" s="62">
        <f>SMALL($J107:$BQ107,18)</f>
        <v>61</v>
      </c>
      <c r="FC44" s="62">
        <f>SMALL($J107:$BQ107,19)</f>
        <v>61</v>
      </c>
      <c r="FD44" s="62">
        <f>SMALL($J107:$BQ107,20)</f>
        <v>61</v>
      </c>
      <c r="FE44" s="62">
        <f>SMALL($J107:$BQ107,21)</f>
        <v>61</v>
      </c>
      <c r="FF44" s="62">
        <f>SMALL($J107:$BQ107,22)</f>
        <v>61</v>
      </c>
      <c r="FG44" s="62">
        <f>SMALL($J107:$BQ107,23)</f>
        <v>61</v>
      </c>
      <c r="FH44" s="62">
        <f>SMALL($J107:$BQ107,24)</f>
        <v>61</v>
      </c>
      <c r="FI44" s="62">
        <f>SMALL($J107:$BQ107,25)</f>
        <v>61</v>
      </c>
      <c r="FJ44" s="62">
        <f>SMALL($J107:$BQ107,26)</f>
        <v>61</v>
      </c>
      <c r="FK44" s="62">
        <f>SMALL($J107:$BQ107,27)</f>
        <v>61</v>
      </c>
      <c r="FL44" s="62">
        <f>SMALL($J107:$BQ107,28)</f>
        <v>61</v>
      </c>
      <c r="FM44" s="62">
        <f>SMALL($J107:$BQ107,29)</f>
        <v>61</v>
      </c>
      <c r="FN44" s="62">
        <f>SMALL($J107:$BQ107,30)</f>
        <v>61</v>
      </c>
      <c r="FO44" s="62">
        <f>SMALL($J107:$BQ107,31)</f>
        <v>61</v>
      </c>
      <c r="FP44" s="62">
        <f>SMALL($J107:$BQ107,32)</f>
        <v>61</v>
      </c>
      <c r="FQ44" s="62">
        <f>SMALL($J107:$BQ107,33)</f>
        <v>61</v>
      </c>
      <c r="FR44" s="62">
        <f>SMALL($J107:$BQ107,34)</f>
        <v>61</v>
      </c>
      <c r="FS44" s="62">
        <f>SMALL($J107:$BQ107,35)</f>
        <v>61</v>
      </c>
      <c r="FT44" s="62">
        <f>SMALL($J107:$BQ107,36)</f>
        <v>61</v>
      </c>
      <c r="FU44" s="62">
        <f>SMALL($J107:$BQ107,37)</f>
        <v>61</v>
      </c>
      <c r="FV44" s="62">
        <f>SMALL($J107:$BQ107,38)</f>
        <v>61</v>
      </c>
      <c r="FW44" s="62">
        <f>SMALL($J107:$BQ107,39)</f>
        <v>61</v>
      </c>
      <c r="FX44" s="62">
        <f>SMALL($J107:$BQ107,40)</f>
        <v>61</v>
      </c>
      <c r="FY44" s="62">
        <f>SMALL($J107:$BQ107,41)</f>
        <v>61</v>
      </c>
      <c r="FZ44" s="62">
        <f>SMALL($J107:$BQ107,42)</f>
        <v>61</v>
      </c>
      <c r="GA44" s="62">
        <f>SMALL($J107:$BQ107,43)</f>
        <v>61</v>
      </c>
      <c r="GB44" s="62">
        <f>SMALL($J107:$BQ107,44)</f>
        <v>61</v>
      </c>
      <c r="GC44" s="62">
        <f>SMALL($J107:$BQ107,45)</f>
        <v>61</v>
      </c>
      <c r="GD44" s="62">
        <f>SMALL($J107:$BQ107,46)</f>
        <v>61</v>
      </c>
      <c r="GE44" s="62">
        <f>SMALL($J107:$BQ107,47)</f>
        <v>61</v>
      </c>
      <c r="GF44" s="62">
        <f>SMALL($J107:$BQ107,48)</f>
        <v>61</v>
      </c>
      <c r="GG44" s="62">
        <f>SMALL($J107:$BQ107,49)</f>
        <v>61</v>
      </c>
      <c r="GH44" s="62">
        <f>SMALL($J107:$BQ107,50)</f>
        <v>61</v>
      </c>
      <c r="GI44" s="62">
        <f>SMALL($J107:$BQ107,51)</f>
        <v>61</v>
      </c>
      <c r="GJ44" s="62">
        <f>SMALL($J107:$BQ107,52)</f>
        <v>61</v>
      </c>
      <c r="GK44" s="62">
        <f>SMALL($J107:$BQ107,53)</f>
        <v>61</v>
      </c>
      <c r="GL44" s="62">
        <f>SMALL($J107:$BQ107,54)</f>
        <v>61</v>
      </c>
      <c r="GM44" s="62">
        <f>SMALL($J107:$BQ107,55)</f>
        <v>61</v>
      </c>
      <c r="GN44" s="62">
        <f>SMALL($J107:$BQ107,56)</f>
        <v>61</v>
      </c>
      <c r="GO44" s="62">
        <f>SMALL($J107:$BQ107,57)</f>
        <v>61</v>
      </c>
      <c r="GP44" s="62">
        <f>SMALL($J107:$BQ107,58)</f>
        <v>61</v>
      </c>
      <c r="GQ44" s="62">
        <f>SMALL($J107:$BQ107,59)</f>
        <v>61</v>
      </c>
      <c r="GR44" s="62">
        <f>SMALL($J107:$BQ107,60)</f>
        <v>61</v>
      </c>
      <c r="GT44" s="62">
        <f>IF(Deltagarlista!$K$3=2,
IF(GW44="1",
      IF(Arrangörslista!$U$5=1,J107,
IF(Arrangörslista!$U$5=2,K107,
IF(Arrangörslista!$U$5=3,L107,
IF(Arrangörslista!$U$5=4,M107,
IF(Arrangörslista!$U$5=5,N107,
IF(Arrangörslista!$U$5=6,O107,
IF(Arrangörslista!$U$5=7,P107,
IF(Arrangörslista!$U$5=8,Q107,
IF(Arrangörslista!$U$5=9,R107,
IF(Arrangörslista!$U$5=10,S107,
IF(Arrangörslista!$U$5=11,T107,
IF(Arrangörslista!$U$5=12,U107,
IF(Arrangörslista!$U$5=13,V107,
IF(Arrangörslista!$U$5=14,W107,
IF(Arrangörslista!$U$5=15,X107,
IF(Arrangörslista!$U$5=16,Y107,IF(Arrangörslista!$U$5=17,Z107,IF(Arrangörslista!$U$5=18,AA107,IF(Arrangörslista!$U$5=19,AB107,IF(Arrangörslista!$U$5=20,AC107,IF(Arrangörslista!$U$5=21,AD107,IF(Arrangörslista!$U$5=22,AE107,IF(Arrangörslista!$U$5=23,AF107, IF(Arrangörslista!$U$5=24,AG107, IF(Arrangörslista!$U$5=25,AH107, IF(Arrangörslista!$U$5=26,AI107, IF(Arrangörslista!$U$5=27,AJ107, IF(Arrangörslista!$U$5=28,AK107, IF(Arrangörslista!$U$5=29,AL107, IF(Arrangörslista!$U$5=30,AM107, IF(Arrangörslista!$U$5=31,AN107, IF(Arrangörslista!$U$5=32,AO107, IF(Arrangörslista!$U$5=33,AP107, IF(Arrangörslista!$U$5=34,AQ107, IF(Arrangörslista!$U$5=35,AR107, IF(Arrangörslista!$U$5=36,AS107, IF(Arrangörslista!$U$5=37,AT107, IF(Arrangörslista!$U$5=38,AU107, IF(Arrangörslista!$U$5=39,AV107, IF(Arrangörslista!$U$5=40,AW107, IF(Arrangörslista!$U$5=41,AX107, IF(Arrangörslista!$U$5=42,AY107, IF(Arrangörslista!$U$5=43,AZ107, IF(Arrangörslista!$U$5=44,BA107, IF(Arrangörslista!$U$5=45,BB107, IF(Arrangörslista!$U$5=46,BC107, IF(Arrangörslista!$U$5=47,BD107, IF(Arrangörslista!$U$5=48,BE107, IF(Arrangörslista!$U$5=49,BF107, IF(Arrangörslista!$U$5=50,BG107, IF(Arrangörslista!$U$5=51,BH107, IF(Arrangörslista!$U$5=52,BI107, IF(Arrangörslista!$U$5=53,BJ107, IF(Arrangörslista!$U$5=54,BK107, IF(Arrangörslista!$U$5=55,BL107, IF(Arrangörslista!$U$5=56,BM107, IF(Arrangörslista!$U$5=57,BN107, IF(Arrangörslista!$U$5=58,BO107, IF(Arrangörslista!$U$5=59,BP107, IF(Arrangörslista!$U$5=60,BQ107,0))))))))))))))))))))))))))))))))))))))))))))))))))))))))))))),IF(Deltagarlista!$K$3=4, IF(Arrangörslista!$U$5=1,J107,
IF(Arrangörslista!$U$5=2,J107,
IF(Arrangörslista!$U$5=3,K107,
IF(Arrangörslista!$U$5=4,K107,
IF(Arrangörslista!$U$5=5,L107,
IF(Arrangörslista!$U$5=6,L107,
IF(Arrangörslista!$U$5=7,M107,
IF(Arrangörslista!$U$5=8,M107,
IF(Arrangörslista!$U$5=9,N107,
IF(Arrangörslista!$U$5=10,N107,
IF(Arrangörslista!$U$5=11,O107,
IF(Arrangörslista!$U$5=12,O107,
IF(Arrangörslista!$U$5=13,P107,
IF(Arrangörslista!$U$5=14,P107,
IF(Arrangörslista!$U$5=15,Q107,
IF(Arrangörslista!$U$5=16,Q107,
IF(Arrangörslista!$U$5=17,R107,
IF(Arrangörslista!$U$5=18,R107,
IF(Arrangörslista!$U$5=19,S107,
IF(Arrangörslista!$U$5=20,S107,
IF(Arrangörslista!$U$5=21,T107,
IF(Arrangörslista!$U$5=22,T107,IF(Arrangörslista!$U$5=23,U107, IF(Arrangörslista!$U$5=24,U107, IF(Arrangörslista!$U$5=25,V107, IF(Arrangörslista!$U$5=26,V107, IF(Arrangörslista!$U$5=27,W107, IF(Arrangörslista!$U$5=28,W107, IF(Arrangörslista!$U$5=29,X107, IF(Arrangörslista!$U$5=30,X107, IF(Arrangörslista!$U$5=31,X107, IF(Arrangörslista!$U$5=32,Y107, IF(Arrangörslista!$U$5=33,AO107, IF(Arrangörslista!$U$5=34,Y107, IF(Arrangörslista!$U$5=35,Z107, IF(Arrangörslista!$U$5=36,AR107, IF(Arrangörslista!$U$5=37,Z107, IF(Arrangörslista!$U$5=38,AA107, IF(Arrangörslista!$U$5=39,AU107, IF(Arrangörslista!$U$5=40,AA107, IF(Arrangörslista!$U$5=41,AB107, IF(Arrangörslista!$U$5=42,AX107, IF(Arrangörslista!$U$5=43,AB107, IF(Arrangörslista!$U$5=44,AC107, IF(Arrangörslista!$U$5=45,BA107, IF(Arrangörslista!$U$5=46,AC107, IF(Arrangörslista!$U$5=47,AD107, IF(Arrangörslista!$U$5=48,BD107, IF(Arrangörslista!$U$5=49,AD107, IF(Arrangörslista!$U$5=50,AE107, IF(Arrangörslista!$U$5=51,BG107, IF(Arrangörslista!$U$5=52,AE107, IF(Arrangörslista!$U$5=53,AF107, IF(Arrangörslista!$U$5=54,BJ107, IF(Arrangörslista!$U$5=55,AF107, IF(Arrangörslista!$U$5=56,AG107, IF(Arrangörslista!$U$5=57,BM107, IF(Arrangörslista!$U$5=58,AG107, IF(Arrangörslista!$U$5=59,AH107, IF(Arrangörslista!$U$5=60,AH107,0)))))))))))))))))))))))))))))))))))))))))))))))))))))))))))),IF(Arrangörslista!$U$5=1,J107,
IF(Arrangörslista!$U$5=2,K107,
IF(Arrangörslista!$U$5=3,L107,
IF(Arrangörslista!$U$5=4,M107,
IF(Arrangörslista!$U$5=5,N107,
IF(Arrangörslista!$U$5=6,O107,
IF(Arrangörslista!$U$5=7,P107,
IF(Arrangörslista!$U$5=8,Q107,
IF(Arrangörslista!$U$5=9,R107,
IF(Arrangörslista!$U$5=10,S107,
IF(Arrangörslista!$U$5=11,T107,
IF(Arrangörslista!$U$5=12,U107,
IF(Arrangörslista!$U$5=13,V107,
IF(Arrangörslista!$U$5=14,W107,
IF(Arrangörslista!$U$5=15,X107,
IF(Arrangörslista!$U$5=16,Y107,IF(Arrangörslista!$U$5=17,Z107,IF(Arrangörslista!$U$5=18,AA107,IF(Arrangörslista!$U$5=19,AB107,IF(Arrangörslista!$U$5=20,AC107,IF(Arrangörslista!$U$5=21,AD107,IF(Arrangörslista!$U$5=22,AE107,IF(Arrangörslista!$U$5=23,AF107, IF(Arrangörslista!$U$5=24,AG107, IF(Arrangörslista!$U$5=25,AH107, IF(Arrangörslista!$U$5=26,AI107, IF(Arrangörslista!$U$5=27,AJ107, IF(Arrangörslista!$U$5=28,AK107, IF(Arrangörslista!$U$5=29,AL107, IF(Arrangörslista!$U$5=30,AM107, IF(Arrangörslista!$U$5=31,AN107, IF(Arrangörslista!$U$5=32,AO107, IF(Arrangörslista!$U$5=33,AP107, IF(Arrangörslista!$U$5=34,AQ107, IF(Arrangörslista!$U$5=35,AR107, IF(Arrangörslista!$U$5=36,AS107, IF(Arrangörslista!$U$5=37,AT107, IF(Arrangörslista!$U$5=38,AU107, IF(Arrangörslista!$U$5=39,AV107, IF(Arrangörslista!$U$5=40,AW107, IF(Arrangörslista!$U$5=41,AX107, IF(Arrangörslista!$U$5=42,AY107, IF(Arrangörslista!$U$5=43,AZ107, IF(Arrangörslista!$U$5=44,BA107, IF(Arrangörslista!$U$5=45,BB107, IF(Arrangörslista!$U$5=46,BC107, IF(Arrangörslista!$U$5=47,BD107, IF(Arrangörslista!$U$5=48,BE107, IF(Arrangörslista!$U$5=49,BF107, IF(Arrangörslista!$U$5=50,BG107, IF(Arrangörslista!$U$5=51,BH107, IF(Arrangörslista!$U$5=52,BI107, IF(Arrangörslista!$U$5=53,BJ107, IF(Arrangörslista!$U$5=54,BK107, IF(Arrangörslista!$U$5=55,BL107, IF(Arrangörslista!$U$5=56,BM107, IF(Arrangörslista!$U$5=57,BN107, IF(Arrangörslista!$U$5=58,BO107, IF(Arrangörslista!$U$5=59,BP107, IF(Arrangörslista!$U$5=60,BQ107,0))))))))))))))))))))))))))))))))))))))))))))))))))))))))))))
))</f>
        <v>0</v>
      </c>
      <c r="GV44" s="65" t="str">
        <f>IFERROR(IF(VLOOKUP(F44,Deltagarlista!$E$5:$I$64,5,FALSE)="Grön","Gr",IF(VLOOKUP(F44,Deltagarlista!$E$5:$I$64,5,FALSE)="Röd","R",IF(VLOOKUP(F44,Deltagarlista!$E$5:$I$64,5,FALSE)="Blå","B","Gu"))),"")</f>
        <v/>
      </c>
      <c r="GW44" s="62" t="str">
        <f t="shared" si="1"/>
        <v/>
      </c>
    </row>
    <row r="45" spans="1:205" ht="15.75" customHeight="1" x14ac:dyDescent="0.3">
      <c r="A45" s="23"/>
      <c r="B45" s="23" t="str">
        <f>IF($BW$3&gt;41,42,"")</f>
        <v/>
      </c>
      <c r="C45" s="92" t="str">
        <f>IF(ISBLANK(Deltagarlista!C61),"",Deltagarlista!C61)</f>
        <v/>
      </c>
      <c r="D45" s="109" t="str">
        <f>CONCATENATE(IF(AND(Deltagarlista!H61="GM",Deltagarlista!$S$14=TRUE),"GM   ",""),  IF(OR(Deltagarlista!$K$3=4,Deltagarlista!$K$3=2),Deltagarlista!I61,""))</f>
        <v/>
      </c>
      <c r="E45" s="8" t="str">
        <f>IF(ISBLANK(Deltagarlista!D61),"",Deltagarlista!D61)</f>
        <v/>
      </c>
      <c r="F45" s="8" t="str">
        <f>IF(ISBLANK(Deltagarlista!E61),"",Deltagarlista!E61)</f>
        <v/>
      </c>
      <c r="G45" s="95" t="str">
        <f>IF(ISBLANK(Deltagarlista!F61),"",Deltagarlista!F61)</f>
        <v/>
      </c>
      <c r="H45" s="72" t="str">
        <f>IF(ISBLANK(Deltagarlista!C61),"",BU45-EE45)</f>
        <v/>
      </c>
      <c r="I45" s="13" t="str">
        <f>IF(ISBLANK(Deltagarlista!C61),"",IF(AND(Deltagarlista!$K$3=2,Deltagarlista!$L$3&lt;37),SUM(SUM(BV45:EC45)-(ROUNDDOWN(Arrangörslista!$U$5/3,1))*($BW$3+1)),SUM(BV45:EC45)))</f>
        <v/>
      </c>
      <c r="J45" s="79" t="str">
        <f>IF(Deltagarlista!$K$3=4,IF(ISBLANK(Deltagarlista!$C61),"",IF(ISBLANK(Arrangörslista!C$8),"",IFERROR(VLOOKUP($F45,Arrangörslista!C$8:$AG$45,16,FALSE),IF(ISBLANK(Deltagarlista!$C61),"",IF(ISBLANK(Arrangörslista!C$8),"",IFERROR(VLOOKUP($F45,Arrangörslista!D$8:$AG$45,16,FALSE),"DNS")))))),IF(Deltagarlista!$K$3=2,
IF(ISBLANK(Deltagarlista!$C61),"",IF(ISBLANK(Arrangörslista!C$8),"",IF($GV45=J$64," DNS ",IFERROR(VLOOKUP($F45,Arrangörslista!C$8:$AG$45,16,FALSE),"DNS")))),IF(ISBLANK(Deltagarlista!$C61),"",IF(ISBLANK(Arrangörslista!C$8),"",IFERROR(VLOOKUP($F45,Arrangörslista!C$8:$AG$45,16,FALSE),"DNS")))))</f>
        <v/>
      </c>
      <c r="K45" s="5" t="str">
        <f>IF(Deltagarlista!$K$3=4,IF(ISBLANK(Deltagarlista!$C61),"",IF(ISBLANK(Arrangörslista!E$8),"",IFERROR(VLOOKUP($F45,Arrangörslista!E$8:$AG$45,16,FALSE),IF(ISBLANK(Deltagarlista!$C61),"",IF(ISBLANK(Arrangörslista!E$8),"",IFERROR(VLOOKUP($F45,Arrangörslista!F$8:$AG$45,16,FALSE),"DNS")))))),IF(Deltagarlista!$K$3=2,
IF(ISBLANK(Deltagarlista!$C61),"",IF(ISBLANK(Arrangörslista!D$8),"",IF($GV45=K$64," DNS ",IFERROR(VLOOKUP($F45,Arrangörslista!D$8:$AG$45,16,FALSE),"DNS")))),IF(ISBLANK(Deltagarlista!$C61),"",IF(ISBLANK(Arrangörslista!D$8),"",IFERROR(VLOOKUP($F45,Arrangörslista!D$8:$AG$45,16,FALSE),"DNS")))))</f>
        <v/>
      </c>
      <c r="L45" s="5" t="str">
        <f>IF(Deltagarlista!$K$3=4,IF(ISBLANK(Deltagarlista!$C61),"",IF(ISBLANK(Arrangörslista!G$8),"",IFERROR(VLOOKUP($F45,Arrangörslista!G$8:$AG$45,16,FALSE),IF(ISBLANK(Deltagarlista!$C61),"",IF(ISBLANK(Arrangörslista!G$8),"",IFERROR(VLOOKUP($F45,Arrangörslista!H$8:$AG$45,16,FALSE),"DNS")))))),IF(Deltagarlista!$K$3=2,
IF(ISBLANK(Deltagarlista!$C61),"",IF(ISBLANK(Arrangörslista!E$8),"",IF($GV45=L$64," DNS ",IFERROR(VLOOKUP($F45,Arrangörslista!E$8:$AG$45,16,FALSE),"DNS")))),IF(ISBLANK(Deltagarlista!$C61),"",IF(ISBLANK(Arrangörslista!E$8),"",IFERROR(VLOOKUP($F45,Arrangörslista!E$8:$AG$45,16,FALSE),"DNS")))))</f>
        <v/>
      </c>
      <c r="M45" s="5" t="str">
        <f>IF(Deltagarlista!$K$3=4,IF(ISBLANK(Deltagarlista!$C61),"",IF(ISBLANK(Arrangörslista!I$8),"",IFERROR(VLOOKUP($F45,Arrangörslista!I$8:$AG$45,16,FALSE),IF(ISBLANK(Deltagarlista!$C61),"",IF(ISBLANK(Arrangörslista!I$8),"",IFERROR(VLOOKUP($F45,Arrangörslista!J$8:$AG$45,16,FALSE),"DNS")))))),IF(Deltagarlista!$K$3=2,
IF(ISBLANK(Deltagarlista!$C61),"",IF(ISBLANK(Arrangörslista!F$8),"",IF($GV45=M$64," DNS ",IFERROR(VLOOKUP($F45,Arrangörslista!F$8:$AG$45,16,FALSE),"DNS")))),IF(ISBLANK(Deltagarlista!$C61),"",IF(ISBLANK(Arrangörslista!F$8),"",IFERROR(VLOOKUP($F45,Arrangörslista!F$8:$AG$45,16,FALSE),"DNS")))))</f>
        <v/>
      </c>
      <c r="N45" s="5" t="str">
        <f>IF(Deltagarlista!$K$3=4,IF(ISBLANK(Deltagarlista!$C61),"",IF(ISBLANK(Arrangörslista!K$8),"",IFERROR(VLOOKUP($F45,Arrangörslista!K$8:$AG$45,16,FALSE),IF(ISBLANK(Deltagarlista!$C61),"",IF(ISBLANK(Arrangörslista!K$8),"",IFERROR(VLOOKUP($F45,Arrangörslista!L$8:$AG$45,16,FALSE),"DNS")))))),IF(Deltagarlista!$K$3=2,
IF(ISBLANK(Deltagarlista!$C61),"",IF(ISBLANK(Arrangörslista!G$8),"",IF($GV45=N$64," DNS ",IFERROR(VLOOKUP($F45,Arrangörslista!G$8:$AG$45,16,FALSE),"DNS")))),IF(ISBLANK(Deltagarlista!$C61),"",IF(ISBLANK(Arrangörslista!G$8),"",IFERROR(VLOOKUP($F45,Arrangörslista!G$8:$AG$45,16,FALSE),"DNS")))))</f>
        <v/>
      </c>
      <c r="O45" s="5" t="str">
        <f>IF(Deltagarlista!$K$3=4,IF(ISBLANK(Deltagarlista!$C61),"",IF(ISBLANK(Arrangörslista!M$8),"",IFERROR(VLOOKUP($F45,Arrangörslista!M$8:$AG$45,16,FALSE),IF(ISBLANK(Deltagarlista!$C61),"",IF(ISBLANK(Arrangörslista!M$8),"",IFERROR(VLOOKUP($F45,Arrangörslista!N$8:$AG$45,16,FALSE),"DNS")))))),IF(Deltagarlista!$K$3=2,
IF(ISBLANK(Deltagarlista!$C61),"",IF(ISBLANK(Arrangörslista!H$8),"",IF($GV45=O$64," DNS ",IFERROR(VLOOKUP($F45,Arrangörslista!H$8:$AG$45,16,FALSE),"DNS")))),IF(ISBLANK(Deltagarlista!$C61),"",IF(ISBLANK(Arrangörslista!H$8),"",IFERROR(VLOOKUP($F45,Arrangörslista!H$8:$AG$45,16,FALSE),"DNS")))))</f>
        <v/>
      </c>
      <c r="P45" s="5" t="str">
        <f>IF(Deltagarlista!$K$3=4,IF(ISBLANK(Deltagarlista!$C61),"",IF(ISBLANK(Arrangörslista!O$8),"",IFERROR(VLOOKUP($F45,Arrangörslista!O$8:$AG$45,16,FALSE),IF(ISBLANK(Deltagarlista!$C61),"",IF(ISBLANK(Arrangörslista!O$8),"",IFERROR(VLOOKUP($F45,Arrangörslista!P$8:$AG$45,16,FALSE),"DNS")))))),IF(Deltagarlista!$K$3=2,
IF(ISBLANK(Deltagarlista!$C61),"",IF(ISBLANK(Arrangörslista!I$8),"",IF($GV45=P$64," DNS ",IFERROR(VLOOKUP($F45,Arrangörslista!I$8:$AG$45,16,FALSE),"DNS")))),IF(ISBLANK(Deltagarlista!$C61),"",IF(ISBLANK(Arrangörslista!I$8),"",IFERROR(VLOOKUP($F45,Arrangörslista!I$8:$AG$45,16,FALSE),"DNS")))))</f>
        <v/>
      </c>
      <c r="Q45" s="5" t="str">
        <f>IF(Deltagarlista!$K$3=4,IF(ISBLANK(Deltagarlista!$C61),"",IF(ISBLANK(Arrangörslista!Q$8),"",IFERROR(VLOOKUP($F45,Arrangörslista!Q$8:$AG$45,16,FALSE),IF(ISBLANK(Deltagarlista!$C61),"",IF(ISBLANK(Arrangörslista!Q$8),"",IFERROR(VLOOKUP($F45,Arrangörslista!C$53:$AG$90,16,FALSE),"DNS")))))),IF(Deltagarlista!$K$3=2,
IF(ISBLANK(Deltagarlista!$C61),"",IF(ISBLANK(Arrangörslista!J$8),"",IF($GV45=Q$64," DNS ",IFERROR(VLOOKUP($F45,Arrangörslista!J$8:$AG$45,16,FALSE),"DNS")))),IF(ISBLANK(Deltagarlista!$C61),"",IF(ISBLANK(Arrangörslista!J$8),"",IFERROR(VLOOKUP($F45,Arrangörslista!J$8:$AG$45,16,FALSE),"DNS")))))</f>
        <v/>
      </c>
      <c r="R45" s="5" t="str">
        <f>IF(Deltagarlista!$K$3=4,IF(ISBLANK(Deltagarlista!$C61),"",IF(ISBLANK(Arrangörslista!D$53),"",IFERROR(VLOOKUP($F45,Arrangörslista!D$53:$AG$90,16,FALSE),IF(ISBLANK(Deltagarlista!$C61),"",IF(ISBLANK(Arrangörslista!D$53),"",IFERROR(VLOOKUP($F45,Arrangörslista!E$53:$AG$90,16,FALSE),"DNS")))))),IF(Deltagarlista!$K$3=2,
IF(ISBLANK(Deltagarlista!$C61),"",IF(ISBLANK(Arrangörslista!K$8),"",IF($GV45=R$64," DNS ",IFERROR(VLOOKUP($F45,Arrangörslista!K$8:$AG$45,16,FALSE),"DNS")))),IF(ISBLANK(Deltagarlista!$C61),"",IF(ISBLANK(Arrangörslista!K$8),"",IFERROR(VLOOKUP($F45,Arrangörslista!K$8:$AG$45,16,FALSE),"DNS")))))</f>
        <v/>
      </c>
      <c r="S45" s="5" t="str">
        <f>IF(Deltagarlista!$K$3=4,IF(ISBLANK(Deltagarlista!$C61),"",IF(ISBLANK(Arrangörslista!F$53),"",IFERROR(VLOOKUP($F45,Arrangörslista!F$53:$AG$90,16,FALSE),IF(ISBLANK(Deltagarlista!$C61),"",IF(ISBLANK(Arrangörslista!F$53),"",IFERROR(VLOOKUP($F45,Arrangörslista!G$53:$AG$90,16,FALSE),"DNS")))))),IF(Deltagarlista!$K$3=2,
IF(ISBLANK(Deltagarlista!$C61),"",IF(ISBLANK(Arrangörslista!L$8),"",IF($GV45=S$64," DNS ",IFERROR(VLOOKUP($F45,Arrangörslista!L$8:$AG$45,16,FALSE),"DNS")))),IF(ISBLANK(Deltagarlista!$C61),"",IF(ISBLANK(Arrangörslista!L$8),"",IFERROR(VLOOKUP($F45,Arrangörslista!L$8:$AG$45,16,FALSE),"DNS")))))</f>
        <v/>
      </c>
      <c r="T45" s="5" t="str">
        <f>IF(Deltagarlista!$K$3=4,IF(ISBLANK(Deltagarlista!$C61),"",IF(ISBLANK(Arrangörslista!H$53),"",IFERROR(VLOOKUP($F45,Arrangörslista!H$53:$AG$90,16,FALSE),IF(ISBLANK(Deltagarlista!$C61),"",IF(ISBLANK(Arrangörslista!H$53),"",IFERROR(VLOOKUP($F45,Arrangörslista!I$53:$AG$90,16,FALSE),"DNS")))))),IF(Deltagarlista!$K$3=2,
IF(ISBLANK(Deltagarlista!$C61),"",IF(ISBLANK(Arrangörslista!M$8),"",IF($GV45=T$64," DNS ",IFERROR(VLOOKUP($F45,Arrangörslista!M$8:$AG$45,16,FALSE),"DNS")))),IF(ISBLANK(Deltagarlista!$C61),"",IF(ISBLANK(Arrangörslista!M$8),"",IFERROR(VLOOKUP($F45,Arrangörslista!M$8:$AG$45,16,FALSE),"DNS")))))</f>
        <v/>
      </c>
      <c r="U45" s="5" t="str">
        <f>IF(Deltagarlista!$K$3=4,IF(ISBLANK(Deltagarlista!$C61),"",IF(ISBLANK(Arrangörslista!J$53),"",IFERROR(VLOOKUP($F45,Arrangörslista!J$53:$AG$90,16,FALSE),IF(ISBLANK(Deltagarlista!$C61),"",IF(ISBLANK(Arrangörslista!J$53),"",IFERROR(VLOOKUP($F45,Arrangörslista!K$53:$AG$90,16,FALSE),"DNS")))))),IF(Deltagarlista!$K$3=2,
IF(ISBLANK(Deltagarlista!$C61),"",IF(ISBLANK(Arrangörslista!N$8),"",IF($GV45=U$64," DNS ",IFERROR(VLOOKUP($F45,Arrangörslista!N$8:$AG$45,16,FALSE),"DNS")))),IF(ISBLANK(Deltagarlista!$C61),"",IF(ISBLANK(Arrangörslista!N$8),"",IFERROR(VLOOKUP($F45,Arrangörslista!N$8:$AG$45,16,FALSE),"DNS")))))</f>
        <v/>
      </c>
      <c r="V45" s="5" t="str">
        <f>IF(Deltagarlista!$K$3=4,IF(ISBLANK(Deltagarlista!$C61),"",IF(ISBLANK(Arrangörslista!L$53),"",IFERROR(VLOOKUP($F45,Arrangörslista!L$53:$AG$90,16,FALSE),IF(ISBLANK(Deltagarlista!$C61),"",IF(ISBLANK(Arrangörslista!L$53),"",IFERROR(VLOOKUP($F45,Arrangörslista!M$53:$AG$90,16,FALSE),"DNS")))))),IF(Deltagarlista!$K$3=2,
IF(ISBLANK(Deltagarlista!$C61),"",IF(ISBLANK(Arrangörslista!O$8),"",IF($GV45=V$64," DNS ",IFERROR(VLOOKUP($F45,Arrangörslista!O$8:$AG$45,16,FALSE),"DNS")))),IF(ISBLANK(Deltagarlista!$C61),"",IF(ISBLANK(Arrangörslista!O$8),"",IFERROR(VLOOKUP($F45,Arrangörslista!O$8:$AG$45,16,FALSE),"DNS")))))</f>
        <v/>
      </c>
      <c r="W45" s="5" t="str">
        <f>IF(Deltagarlista!$K$3=4,IF(ISBLANK(Deltagarlista!$C61),"",IF(ISBLANK(Arrangörslista!N$53),"",IFERROR(VLOOKUP($F45,Arrangörslista!N$53:$AG$90,16,FALSE),IF(ISBLANK(Deltagarlista!$C61),"",IF(ISBLANK(Arrangörslista!N$53),"",IFERROR(VLOOKUP($F45,Arrangörslista!O$53:$AG$90,16,FALSE),"DNS")))))),IF(Deltagarlista!$K$3=2,
IF(ISBLANK(Deltagarlista!$C61),"",IF(ISBLANK(Arrangörslista!P$8),"",IF($GV45=W$64," DNS ",IFERROR(VLOOKUP($F45,Arrangörslista!P$8:$AG$45,16,FALSE),"DNS")))),IF(ISBLANK(Deltagarlista!$C61),"",IF(ISBLANK(Arrangörslista!P$8),"",IFERROR(VLOOKUP($F45,Arrangörslista!P$8:$AG$45,16,FALSE),"DNS")))))</f>
        <v/>
      </c>
      <c r="X45" s="5" t="str">
        <f>IF(Deltagarlista!$K$3=4,IF(ISBLANK(Deltagarlista!$C61),"",IF(ISBLANK(Arrangörslista!P$53),"",IFERROR(VLOOKUP($F45,Arrangörslista!P$53:$AG$90,16,FALSE),IF(ISBLANK(Deltagarlista!$C61),"",IF(ISBLANK(Arrangörslista!P$53),"",IFERROR(VLOOKUP($F45,Arrangörslista!Q$53:$AG$90,16,FALSE),"DNS")))))),IF(Deltagarlista!$K$3=2,
IF(ISBLANK(Deltagarlista!$C61),"",IF(ISBLANK(Arrangörslista!Q$8),"",IF($GV45=X$64," DNS ",IFERROR(VLOOKUP($F45,Arrangörslista!Q$8:$AG$45,16,FALSE),"DNS")))),IF(ISBLANK(Deltagarlista!$C61),"",IF(ISBLANK(Arrangörslista!Q$8),"",IFERROR(VLOOKUP($F45,Arrangörslista!Q$8:$AG$45,16,FALSE),"DNS")))))</f>
        <v/>
      </c>
      <c r="Y45" s="5" t="str">
        <f>IF(Deltagarlista!$K$3=4,IF(ISBLANK(Deltagarlista!$C61),"",IF(ISBLANK(Arrangörslista!C$98),"",IFERROR(VLOOKUP($F45,Arrangörslista!C$98:$AG$135,16,FALSE),IF(ISBLANK(Deltagarlista!$C61),"",IF(ISBLANK(Arrangörslista!C$98),"",IFERROR(VLOOKUP($F45,Arrangörslista!D$98:$AG$135,16,FALSE),"DNS")))))),IF(Deltagarlista!$K$3=2,
IF(ISBLANK(Deltagarlista!$C61),"",IF(ISBLANK(Arrangörslista!C$53),"",IF($GV45=Y$64," DNS ",IFERROR(VLOOKUP($F45,Arrangörslista!C$53:$AG$90,16,FALSE),"DNS")))),IF(ISBLANK(Deltagarlista!$C61),"",IF(ISBLANK(Arrangörslista!C$53),"",IFERROR(VLOOKUP($F45,Arrangörslista!C$53:$AG$90,16,FALSE),"DNS")))))</f>
        <v/>
      </c>
      <c r="Z45" s="5" t="str">
        <f>IF(Deltagarlista!$K$3=4,IF(ISBLANK(Deltagarlista!$C61),"",IF(ISBLANK(Arrangörslista!E$98),"",IFERROR(VLOOKUP($F45,Arrangörslista!E$98:$AG$135,16,FALSE),IF(ISBLANK(Deltagarlista!$C61),"",IF(ISBLANK(Arrangörslista!E$98),"",IFERROR(VLOOKUP($F45,Arrangörslista!F$98:$AG$135,16,FALSE),"DNS")))))),IF(Deltagarlista!$K$3=2,
IF(ISBLANK(Deltagarlista!$C61),"",IF(ISBLANK(Arrangörslista!D$53),"",IF($GV45=Z$64," DNS ",IFERROR(VLOOKUP($F45,Arrangörslista!D$53:$AG$90,16,FALSE),"DNS")))),IF(ISBLANK(Deltagarlista!$C61),"",IF(ISBLANK(Arrangörslista!D$53),"",IFERROR(VLOOKUP($F45,Arrangörslista!D$53:$AG$90,16,FALSE),"DNS")))))</f>
        <v/>
      </c>
      <c r="AA45" s="5" t="str">
        <f>IF(Deltagarlista!$K$3=4,IF(ISBLANK(Deltagarlista!$C61),"",IF(ISBLANK(Arrangörslista!G$98),"",IFERROR(VLOOKUP($F45,Arrangörslista!G$98:$AG$135,16,FALSE),IF(ISBLANK(Deltagarlista!$C61),"",IF(ISBLANK(Arrangörslista!G$98),"",IFERROR(VLOOKUP($F45,Arrangörslista!H$98:$AG$135,16,FALSE),"DNS")))))),IF(Deltagarlista!$K$3=2,
IF(ISBLANK(Deltagarlista!$C61),"",IF(ISBLANK(Arrangörslista!E$53),"",IF($GV45=AA$64," DNS ",IFERROR(VLOOKUP($F45,Arrangörslista!E$53:$AG$90,16,FALSE),"DNS")))),IF(ISBLANK(Deltagarlista!$C61),"",IF(ISBLANK(Arrangörslista!E$53),"",IFERROR(VLOOKUP($F45,Arrangörslista!E$53:$AG$90,16,FALSE),"DNS")))))</f>
        <v/>
      </c>
      <c r="AB45" s="5" t="str">
        <f>IF(Deltagarlista!$K$3=4,IF(ISBLANK(Deltagarlista!$C61),"",IF(ISBLANK(Arrangörslista!I$98),"",IFERROR(VLOOKUP($F45,Arrangörslista!I$98:$AG$135,16,FALSE),IF(ISBLANK(Deltagarlista!$C61),"",IF(ISBLANK(Arrangörslista!I$98),"",IFERROR(VLOOKUP($F45,Arrangörslista!J$98:$AG$135,16,FALSE),"DNS")))))),IF(Deltagarlista!$K$3=2,
IF(ISBLANK(Deltagarlista!$C61),"",IF(ISBLANK(Arrangörslista!F$53),"",IF($GV45=AB$64," DNS ",IFERROR(VLOOKUP($F45,Arrangörslista!F$53:$AG$90,16,FALSE),"DNS")))),IF(ISBLANK(Deltagarlista!$C61),"",IF(ISBLANK(Arrangörslista!F$53),"",IFERROR(VLOOKUP($F45,Arrangörslista!F$53:$AG$90,16,FALSE),"DNS")))))</f>
        <v/>
      </c>
      <c r="AC45" s="5" t="str">
        <f>IF(Deltagarlista!$K$3=4,IF(ISBLANK(Deltagarlista!$C61),"",IF(ISBLANK(Arrangörslista!K$98),"",IFERROR(VLOOKUP($F45,Arrangörslista!K$98:$AG$135,16,FALSE),IF(ISBLANK(Deltagarlista!$C61),"",IF(ISBLANK(Arrangörslista!K$98),"",IFERROR(VLOOKUP($F45,Arrangörslista!L$98:$AG$135,16,FALSE),"DNS")))))),IF(Deltagarlista!$K$3=2,
IF(ISBLANK(Deltagarlista!$C61),"",IF(ISBLANK(Arrangörslista!G$53),"",IF($GV45=AC$64," DNS ",IFERROR(VLOOKUP($F45,Arrangörslista!G$53:$AG$90,16,FALSE),"DNS")))),IF(ISBLANK(Deltagarlista!$C61),"",IF(ISBLANK(Arrangörslista!G$53),"",IFERROR(VLOOKUP($F45,Arrangörslista!G$53:$AG$90,16,FALSE),"DNS")))))</f>
        <v/>
      </c>
      <c r="AD45" s="5" t="str">
        <f>IF(Deltagarlista!$K$3=4,IF(ISBLANK(Deltagarlista!$C61),"",IF(ISBLANK(Arrangörslista!M$98),"",IFERROR(VLOOKUP($F45,Arrangörslista!M$98:$AG$135,16,FALSE),IF(ISBLANK(Deltagarlista!$C61),"",IF(ISBLANK(Arrangörslista!M$98),"",IFERROR(VLOOKUP($F45,Arrangörslista!N$98:$AG$135,16,FALSE),"DNS")))))),IF(Deltagarlista!$K$3=2,
IF(ISBLANK(Deltagarlista!$C61),"",IF(ISBLANK(Arrangörslista!H$53),"",IF($GV45=AD$64," DNS ",IFERROR(VLOOKUP($F45,Arrangörslista!H$53:$AG$90,16,FALSE),"DNS")))),IF(ISBLANK(Deltagarlista!$C61),"",IF(ISBLANK(Arrangörslista!H$53),"",IFERROR(VLOOKUP($F45,Arrangörslista!H$53:$AG$90,16,FALSE),"DNS")))))</f>
        <v/>
      </c>
      <c r="AE45" s="5" t="str">
        <f>IF(Deltagarlista!$K$3=4,IF(ISBLANK(Deltagarlista!$C61),"",IF(ISBLANK(Arrangörslista!O$98),"",IFERROR(VLOOKUP($F45,Arrangörslista!O$98:$AG$135,16,FALSE),IF(ISBLANK(Deltagarlista!$C61),"",IF(ISBLANK(Arrangörslista!O$98),"",IFERROR(VLOOKUP($F45,Arrangörslista!P$98:$AG$135,16,FALSE),"DNS")))))),IF(Deltagarlista!$K$3=2,
IF(ISBLANK(Deltagarlista!$C61),"",IF(ISBLANK(Arrangörslista!I$53),"",IF($GV45=AE$64," DNS ",IFERROR(VLOOKUP($F45,Arrangörslista!I$53:$AG$90,16,FALSE),"DNS")))),IF(ISBLANK(Deltagarlista!$C61),"",IF(ISBLANK(Arrangörslista!I$53),"",IFERROR(VLOOKUP($F45,Arrangörslista!I$53:$AG$90,16,FALSE),"DNS")))))</f>
        <v/>
      </c>
      <c r="AF45" s="5" t="str">
        <f>IF(Deltagarlista!$K$3=4,IF(ISBLANK(Deltagarlista!$C61),"",IF(ISBLANK(Arrangörslista!Q$98),"",IFERROR(VLOOKUP($F45,Arrangörslista!Q$98:$AG$135,16,FALSE),IF(ISBLANK(Deltagarlista!$C61),"",IF(ISBLANK(Arrangörslista!Q$98),"",IFERROR(VLOOKUP($F45,Arrangörslista!C$143:$AG$180,16,FALSE),"DNS")))))),IF(Deltagarlista!$K$3=2,
IF(ISBLANK(Deltagarlista!$C61),"",IF(ISBLANK(Arrangörslista!J$53),"",IF($GV45=AF$64," DNS ",IFERROR(VLOOKUP($F45,Arrangörslista!J$53:$AG$90,16,FALSE),"DNS")))),IF(ISBLANK(Deltagarlista!$C61),"",IF(ISBLANK(Arrangörslista!J$53),"",IFERROR(VLOOKUP($F45,Arrangörslista!J$53:$AG$90,16,FALSE),"DNS")))))</f>
        <v/>
      </c>
      <c r="AG45" s="5" t="str">
        <f>IF(Deltagarlista!$K$3=4,IF(ISBLANK(Deltagarlista!$C61),"",IF(ISBLANK(Arrangörslista!D$143),"",IFERROR(VLOOKUP($F45,Arrangörslista!D$143:$AG$180,16,FALSE),IF(ISBLANK(Deltagarlista!$C61),"",IF(ISBLANK(Arrangörslista!D$143),"",IFERROR(VLOOKUP($F45,Arrangörslista!E$143:$AG$180,16,FALSE),"DNS")))))),IF(Deltagarlista!$K$3=2,
IF(ISBLANK(Deltagarlista!$C61),"",IF(ISBLANK(Arrangörslista!K$53),"",IF($GV45=AG$64," DNS ",IFERROR(VLOOKUP($F45,Arrangörslista!K$53:$AG$90,16,FALSE),"DNS")))),IF(ISBLANK(Deltagarlista!$C61),"",IF(ISBLANK(Arrangörslista!K$53),"",IFERROR(VLOOKUP($F45,Arrangörslista!K$53:$AG$90,16,FALSE),"DNS")))))</f>
        <v/>
      </c>
      <c r="AH45" s="5" t="str">
        <f>IF(Deltagarlista!$K$3=4,IF(ISBLANK(Deltagarlista!$C61),"",IF(ISBLANK(Arrangörslista!F$143),"",IFERROR(VLOOKUP($F45,Arrangörslista!F$143:$AG$180,16,FALSE),IF(ISBLANK(Deltagarlista!$C61),"",IF(ISBLANK(Arrangörslista!F$143),"",IFERROR(VLOOKUP($F45,Arrangörslista!G$143:$AG$180,16,FALSE),"DNS")))))),IF(Deltagarlista!$K$3=2,
IF(ISBLANK(Deltagarlista!$C61),"",IF(ISBLANK(Arrangörslista!L$53),"",IF($GV45=AH$64," DNS ",IFERROR(VLOOKUP($F45,Arrangörslista!L$53:$AG$90,16,FALSE),"DNS")))),IF(ISBLANK(Deltagarlista!$C61),"",IF(ISBLANK(Arrangörslista!L$53),"",IFERROR(VLOOKUP($F45,Arrangörslista!L$53:$AG$90,16,FALSE),"DNS")))))</f>
        <v/>
      </c>
      <c r="AI45" s="5" t="str">
        <f>IF(Deltagarlista!$K$3=4,IF(ISBLANK(Deltagarlista!$C61),"",IF(ISBLANK(Arrangörslista!H$143),"",IFERROR(VLOOKUP($F45,Arrangörslista!H$143:$AG$180,16,FALSE),IF(ISBLANK(Deltagarlista!$C61),"",IF(ISBLANK(Arrangörslista!H$143),"",IFERROR(VLOOKUP($F45,Arrangörslista!I$143:$AG$180,16,FALSE),"DNS")))))),IF(Deltagarlista!$K$3=2,
IF(ISBLANK(Deltagarlista!$C61),"",IF(ISBLANK(Arrangörslista!M$53),"",IF($GV45=AI$64," DNS ",IFERROR(VLOOKUP($F45,Arrangörslista!M$53:$AG$90,16,FALSE),"DNS")))),IF(ISBLANK(Deltagarlista!$C61),"",IF(ISBLANK(Arrangörslista!M$53),"",IFERROR(VLOOKUP($F45,Arrangörslista!M$53:$AG$90,16,FALSE),"DNS")))))</f>
        <v/>
      </c>
      <c r="AJ45" s="5" t="str">
        <f>IF(Deltagarlista!$K$3=4,IF(ISBLANK(Deltagarlista!$C61),"",IF(ISBLANK(Arrangörslista!J$143),"",IFERROR(VLOOKUP($F45,Arrangörslista!J$143:$AG$180,16,FALSE),IF(ISBLANK(Deltagarlista!$C61),"",IF(ISBLANK(Arrangörslista!J$143),"",IFERROR(VLOOKUP($F45,Arrangörslista!K$143:$AG$180,16,FALSE),"DNS")))))),IF(Deltagarlista!$K$3=2,
IF(ISBLANK(Deltagarlista!$C61),"",IF(ISBLANK(Arrangörslista!N$53),"",IF($GV45=AJ$64," DNS ",IFERROR(VLOOKUP($F45,Arrangörslista!N$53:$AG$90,16,FALSE),"DNS")))),IF(ISBLANK(Deltagarlista!$C61),"",IF(ISBLANK(Arrangörslista!N$53),"",IFERROR(VLOOKUP($F45,Arrangörslista!N$53:$AG$90,16,FALSE),"DNS")))))</f>
        <v/>
      </c>
      <c r="AK45" s="5" t="str">
        <f>IF(Deltagarlista!$K$3=4,IF(ISBLANK(Deltagarlista!$C61),"",IF(ISBLANK(Arrangörslista!L$143),"",IFERROR(VLOOKUP($F45,Arrangörslista!L$143:$AG$180,16,FALSE),IF(ISBLANK(Deltagarlista!$C61),"",IF(ISBLANK(Arrangörslista!L$143),"",IFERROR(VLOOKUP($F45,Arrangörslista!M$143:$AG$180,16,FALSE),"DNS")))))),IF(Deltagarlista!$K$3=2,
IF(ISBLANK(Deltagarlista!$C61),"",IF(ISBLANK(Arrangörslista!O$53),"",IF($GV45=AK$64," DNS ",IFERROR(VLOOKUP($F45,Arrangörslista!O$53:$AG$90,16,FALSE),"DNS")))),IF(ISBLANK(Deltagarlista!$C61),"",IF(ISBLANK(Arrangörslista!O$53),"",IFERROR(VLOOKUP($F45,Arrangörslista!O$53:$AG$90,16,FALSE),"DNS")))))</f>
        <v/>
      </c>
      <c r="AL45" s="5" t="str">
        <f>IF(Deltagarlista!$K$3=4,IF(ISBLANK(Deltagarlista!$C61),"",IF(ISBLANK(Arrangörslista!N$143),"",IFERROR(VLOOKUP($F45,Arrangörslista!N$143:$AG$180,16,FALSE),IF(ISBLANK(Deltagarlista!$C61),"",IF(ISBLANK(Arrangörslista!N$143),"",IFERROR(VLOOKUP($F45,Arrangörslista!O$143:$AG$180,16,FALSE),"DNS")))))),IF(Deltagarlista!$K$3=2,
IF(ISBLANK(Deltagarlista!$C61),"",IF(ISBLANK(Arrangörslista!P$53),"",IF($GV45=AL$64," DNS ",IFERROR(VLOOKUP($F45,Arrangörslista!P$53:$AG$90,16,FALSE),"DNS")))),IF(ISBLANK(Deltagarlista!$C61),"",IF(ISBLANK(Arrangörslista!P$53),"",IFERROR(VLOOKUP($F45,Arrangörslista!P$53:$AG$90,16,FALSE),"DNS")))))</f>
        <v/>
      </c>
      <c r="AM45" s="5" t="str">
        <f>IF(Deltagarlista!$K$3=4,IF(ISBLANK(Deltagarlista!$C61),"",IF(ISBLANK(Arrangörslista!P$143),"",IFERROR(VLOOKUP($F45,Arrangörslista!P$143:$AG$180,16,FALSE),IF(ISBLANK(Deltagarlista!$C61),"",IF(ISBLANK(Arrangörslista!P$143),"",IFERROR(VLOOKUP($F45,Arrangörslista!Q$143:$AG$180,16,FALSE),"DNS")))))),IF(Deltagarlista!$K$3=2,
IF(ISBLANK(Deltagarlista!$C61),"",IF(ISBLANK(Arrangörslista!Q$53),"",IF($GV45=AM$64," DNS ",IFERROR(VLOOKUP($F45,Arrangörslista!Q$53:$AG$90,16,FALSE),"DNS")))),IF(ISBLANK(Deltagarlista!$C61),"",IF(ISBLANK(Arrangörslista!Q$53),"",IFERROR(VLOOKUP($F45,Arrangörslista!Q$53:$AG$90,16,FALSE),"DNS")))))</f>
        <v/>
      </c>
      <c r="AN45" s="5" t="str">
        <f>IF(Deltagarlista!$K$3=2,
IF(ISBLANK(Deltagarlista!$C61),"",IF(ISBLANK(Arrangörslista!C$98),"",IF($GV45=AN$64," DNS ",IFERROR(VLOOKUP($F45,Arrangörslista!C$98:$AG$135,16,FALSE), "DNS")))), IF(Deltagarlista!$K$3=1,IF(ISBLANK(Deltagarlista!$C61),"",IF(ISBLANK(Arrangörslista!C$98),"",IFERROR(VLOOKUP($F45,Arrangörslista!C$98:$AG$135,16,FALSE), "DNS"))),""))</f>
        <v/>
      </c>
      <c r="AO45" s="5" t="str">
        <f>IF(Deltagarlista!$K$3=2,
IF(ISBLANK(Deltagarlista!$C61),"",IF(ISBLANK(Arrangörslista!D$98),"",IF($GV45=AO$64," DNS ",IFERROR(VLOOKUP($F45,Arrangörslista!D$98:$AG$135,16,FALSE), "DNS")))), IF(Deltagarlista!$K$3=1,IF(ISBLANK(Deltagarlista!$C61),"",IF(ISBLANK(Arrangörslista!D$98),"",IFERROR(VLOOKUP($F45,Arrangörslista!D$98:$AG$135,16,FALSE), "DNS"))),""))</f>
        <v/>
      </c>
      <c r="AP45" s="5" t="str">
        <f>IF(Deltagarlista!$K$3=2,
IF(ISBLANK(Deltagarlista!$C61),"",IF(ISBLANK(Arrangörslista!E$98),"",IF($GV45=AP$64," DNS ",IFERROR(VLOOKUP($F45,Arrangörslista!E$98:$AG$135,16,FALSE), "DNS")))), IF(Deltagarlista!$K$3=1,IF(ISBLANK(Deltagarlista!$C61),"",IF(ISBLANK(Arrangörslista!E$98),"",IFERROR(VLOOKUP($F45,Arrangörslista!E$98:$AG$135,16,FALSE), "DNS"))),""))</f>
        <v/>
      </c>
      <c r="AQ45" s="5" t="str">
        <f>IF(Deltagarlista!$K$3=2,
IF(ISBLANK(Deltagarlista!$C61),"",IF(ISBLANK(Arrangörslista!F$98),"",IF($GV45=AQ$64," DNS ",IFERROR(VLOOKUP($F45,Arrangörslista!F$98:$AG$135,16,FALSE), "DNS")))), IF(Deltagarlista!$K$3=1,IF(ISBLANK(Deltagarlista!$C61),"",IF(ISBLANK(Arrangörslista!F$98),"",IFERROR(VLOOKUP($F45,Arrangörslista!F$98:$AG$135,16,FALSE), "DNS"))),""))</f>
        <v/>
      </c>
      <c r="AR45" s="5" t="str">
        <f>IF(Deltagarlista!$K$3=2,
IF(ISBLANK(Deltagarlista!$C61),"",IF(ISBLANK(Arrangörslista!G$98),"",IF($GV45=AR$64," DNS ",IFERROR(VLOOKUP($F45,Arrangörslista!G$98:$AG$135,16,FALSE), "DNS")))), IF(Deltagarlista!$K$3=1,IF(ISBLANK(Deltagarlista!$C61),"",IF(ISBLANK(Arrangörslista!G$98),"",IFERROR(VLOOKUP($F45,Arrangörslista!G$98:$AG$135,16,FALSE), "DNS"))),""))</f>
        <v/>
      </c>
      <c r="AS45" s="5" t="str">
        <f>IF(Deltagarlista!$K$3=2,
IF(ISBLANK(Deltagarlista!$C61),"",IF(ISBLANK(Arrangörslista!H$98),"",IF($GV45=AS$64," DNS ",IFERROR(VLOOKUP($F45,Arrangörslista!H$98:$AG$135,16,FALSE), "DNS")))), IF(Deltagarlista!$K$3=1,IF(ISBLANK(Deltagarlista!$C61),"",IF(ISBLANK(Arrangörslista!H$98),"",IFERROR(VLOOKUP($F45,Arrangörslista!H$98:$AG$135,16,FALSE), "DNS"))),""))</f>
        <v/>
      </c>
      <c r="AT45" s="5" t="str">
        <f>IF(Deltagarlista!$K$3=2,
IF(ISBLANK(Deltagarlista!$C61),"",IF(ISBLANK(Arrangörslista!I$98),"",IF($GV45=AT$64," DNS ",IFERROR(VLOOKUP($F45,Arrangörslista!I$98:$AG$135,16,FALSE), "DNS")))), IF(Deltagarlista!$K$3=1,IF(ISBLANK(Deltagarlista!$C61),"",IF(ISBLANK(Arrangörslista!I$98),"",IFERROR(VLOOKUP($F45,Arrangörslista!I$98:$AG$135,16,FALSE), "DNS"))),""))</f>
        <v/>
      </c>
      <c r="AU45" s="5" t="str">
        <f>IF(Deltagarlista!$K$3=2,
IF(ISBLANK(Deltagarlista!$C61),"",IF(ISBLANK(Arrangörslista!J$98),"",IF($GV45=AU$64," DNS ",IFERROR(VLOOKUP($F45,Arrangörslista!J$98:$AG$135,16,FALSE), "DNS")))), IF(Deltagarlista!$K$3=1,IF(ISBLANK(Deltagarlista!$C61),"",IF(ISBLANK(Arrangörslista!J$98),"",IFERROR(VLOOKUP($F45,Arrangörslista!J$98:$AG$135,16,FALSE), "DNS"))),""))</f>
        <v/>
      </c>
      <c r="AV45" s="5" t="str">
        <f>IF(Deltagarlista!$K$3=2,
IF(ISBLANK(Deltagarlista!$C61),"",IF(ISBLANK(Arrangörslista!K$98),"",IF($GV45=AV$64," DNS ",IFERROR(VLOOKUP($F45,Arrangörslista!K$98:$AG$135,16,FALSE), "DNS")))), IF(Deltagarlista!$K$3=1,IF(ISBLANK(Deltagarlista!$C61),"",IF(ISBLANK(Arrangörslista!K$98),"",IFERROR(VLOOKUP($F45,Arrangörslista!K$98:$AG$135,16,FALSE), "DNS"))),""))</f>
        <v/>
      </c>
      <c r="AW45" s="5" t="str">
        <f>IF(Deltagarlista!$K$3=2,
IF(ISBLANK(Deltagarlista!$C61),"",IF(ISBLANK(Arrangörslista!L$98),"",IF($GV45=AW$64," DNS ",IFERROR(VLOOKUP($F45,Arrangörslista!L$98:$AG$135,16,FALSE), "DNS")))), IF(Deltagarlista!$K$3=1,IF(ISBLANK(Deltagarlista!$C61),"",IF(ISBLANK(Arrangörslista!L$98),"",IFERROR(VLOOKUP($F45,Arrangörslista!L$98:$AG$135,16,FALSE), "DNS"))),""))</f>
        <v/>
      </c>
      <c r="AX45" s="5" t="str">
        <f>IF(Deltagarlista!$K$3=2,
IF(ISBLANK(Deltagarlista!$C61),"",IF(ISBLANK(Arrangörslista!M$98),"",IF($GV45=AX$64," DNS ",IFERROR(VLOOKUP($F45,Arrangörslista!M$98:$AG$135,16,FALSE), "DNS")))), IF(Deltagarlista!$K$3=1,IF(ISBLANK(Deltagarlista!$C61),"",IF(ISBLANK(Arrangörslista!M$98),"",IFERROR(VLOOKUP($F45,Arrangörslista!M$98:$AG$135,16,FALSE), "DNS"))),""))</f>
        <v/>
      </c>
      <c r="AY45" s="5" t="str">
        <f>IF(Deltagarlista!$K$3=2,
IF(ISBLANK(Deltagarlista!$C61),"",IF(ISBLANK(Arrangörslista!N$98),"",IF($GV45=AY$64," DNS ",IFERROR(VLOOKUP($F45,Arrangörslista!N$98:$AG$135,16,FALSE), "DNS")))), IF(Deltagarlista!$K$3=1,IF(ISBLANK(Deltagarlista!$C61),"",IF(ISBLANK(Arrangörslista!N$98),"",IFERROR(VLOOKUP($F45,Arrangörslista!N$98:$AG$135,16,FALSE), "DNS"))),""))</f>
        <v/>
      </c>
      <c r="AZ45" s="5" t="str">
        <f>IF(Deltagarlista!$K$3=2,
IF(ISBLANK(Deltagarlista!$C61),"",IF(ISBLANK(Arrangörslista!O$98),"",IF($GV45=AZ$64," DNS ",IFERROR(VLOOKUP($F45,Arrangörslista!O$98:$AG$135,16,FALSE), "DNS")))), IF(Deltagarlista!$K$3=1,IF(ISBLANK(Deltagarlista!$C61),"",IF(ISBLANK(Arrangörslista!O$98),"",IFERROR(VLOOKUP($F45,Arrangörslista!O$98:$AG$135,16,FALSE), "DNS"))),""))</f>
        <v/>
      </c>
      <c r="BA45" s="5" t="str">
        <f>IF(Deltagarlista!$K$3=2,
IF(ISBLANK(Deltagarlista!$C61),"",IF(ISBLANK(Arrangörslista!P$98),"",IF($GV45=BA$64," DNS ",IFERROR(VLOOKUP($F45,Arrangörslista!P$98:$AG$135,16,FALSE), "DNS")))), IF(Deltagarlista!$K$3=1,IF(ISBLANK(Deltagarlista!$C61),"",IF(ISBLANK(Arrangörslista!P$98),"",IFERROR(VLOOKUP($F45,Arrangörslista!P$98:$AG$135,16,FALSE), "DNS"))),""))</f>
        <v/>
      </c>
      <c r="BB45" s="5" t="str">
        <f>IF(Deltagarlista!$K$3=2,
IF(ISBLANK(Deltagarlista!$C61),"",IF(ISBLANK(Arrangörslista!Q$98),"",IF($GV45=BB$64," DNS ",IFERROR(VLOOKUP($F45,Arrangörslista!Q$98:$AG$135,16,FALSE), "DNS")))), IF(Deltagarlista!$K$3=1,IF(ISBLANK(Deltagarlista!$C61),"",IF(ISBLANK(Arrangörslista!Q$98),"",IFERROR(VLOOKUP($F45,Arrangörslista!Q$98:$AG$135,16,FALSE), "DNS"))),""))</f>
        <v/>
      </c>
      <c r="BC45" s="5" t="str">
        <f>IF(Deltagarlista!$K$3=2,
IF(ISBLANK(Deltagarlista!$C61),"",IF(ISBLANK(Arrangörslista!C$143),"",IF($GV45=BC$64," DNS ",IFERROR(VLOOKUP($F45,Arrangörslista!C$143:$AG$180,16,FALSE), "DNS")))), IF(Deltagarlista!$K$3=1,IF(ISBLANK(Deltagarlista!$C61),"",IF(ISBLANK(Arrangörslista!C$143),"",IFERROR(VLOOKUP($F45,Arrangörslista!C$143:$AG$180,16,FALSE), "DNS"))),""))</f>
        <v/>
      </c>
      <c r="BD45" s="5" t="str">
        <f>IF(Deltagarlista!$K$3=2,
IF(ISBLANK(Deltagarlista!$C61),"",IF(ISBLANK(Arrangörslista!D$143),"",IF($GV45=BD$64," DNS ",IFERROR(VLOOKUP($F45,Arrangörslista!D$143:$AG$180,16,FALSE), "DNS")))), IF(Deltagarlista!$K$3=1,IF(ISBLANK(Deltagarlista!$C61),"",IF(ISBLANK(Arrangörslista!D$143),"",IFERROR(VLOOKUP($F45,Arrangörslista!D$143:$AG$180,16,FALSE), "DNS"))),""))</f>
        <v/>
      </c>
      <c r="BE45" s="5" t="str">
        <f>IF(Deltagarlista!$K$3=2,
IF(ISBLANK(Deltagarlista!$C61),"",IF(ISBLANK(Arrangörslista!E$143),"",IF($GV45=BE$64," DNS ",IFERROR(VLOOKUP($F45,Arrangörslista!E$143:$AG$180,16,FALSE), "DNS")))), IF(Deltagarlista!$K$3=1,IF(ISBLANK(Deltagarlista!$C61),"",IF(ISBLANK(Arrangörslista!E$143),"",IFERROR(VLOOKUP($F45,Arrangörslista!E$143:$AG$180,16,FALSE), "DNS"))),""))</f>
        <v/>
      </c>
      <c r="BF45" s="5" t="str">
        <f>IF(Deltagarlista!$K$3=2,
IF(ISBLANK(Deltagarlista!$C61),"",IF(ISBLANK(Arrangörslista!F$143),"",IF($GV45=BF$64," DNS ",IFERROR(VLOOKUP($F45,Arrangörslista!F$143:$AG$180,16,FALSE), "DNS")))), IF(Deltagarlista!$K$3=1,IF(ISBLANK(Deltagarlista!$C61),"",IF(ISBLANK(Arrangörslista!F$143),"",IFERROR(VLOOKUP($F45,Arrangörslista!F$143:$AG$180,16,FALSE), "DNS"))),""))</f>
        <v/>
      </c>
      <c r="BG45" s="5" t="str">
        <f>IF(Deltagarlista!$K$3=2,
IF(ISBLANK(Deltagarlista!$C61),"",IF(ISBLANK(Arrangörslista!G$143),"",IF($GV45=BG$64," DNS ",IFERROR(VLOOKUP($F45,Arrangörslista!G$143:$AG$180,16,FALSE), "DNS")))), IF(Deltagarlista!$K$3=1,IF(ISBLANK(Deltagarlista!$C61),"",IF(ISBLANK(Arrangörslista!G$143),"",IFERROR(VLOOKUP($F45,Arrangörslista!G$143:$AG$180,16,FALSE), "DNS"))),""))</f>
        <v/>
      </c>
      <c r="BH45" s="5" t="str">
        <f>IF(Deltagarlista!$K$3=2,
IF(ISBLANK(Deltagarlista!$C61),"",IF(ISBLANK(Arrangörslista!H$143),"",IF($GV45=BH$64," DNS ",IFERROR(VLOOKUP($F45,Arrangörslista!H$143:$AG$180,16,FALSE), "DNS")))), IF(Deltagarlista!$K$3=1,IF(ISBLANK(Deltagarlista!$C61),"",IF(ISBLANK(Arrangörslista!H$143),"",IFERROR(VLOOKUP($F45,Arrangörslista!H$143:$AG$180,16,FALSE), "DNS"))),""))</f>
        <v/>
      </c>
      <c r="BI45" s="5" t="str">
        <f>IF(Deltagarlista!$K$3=2,
IF(ISBLANK(Deltagarlista!$C61),"",IF(ISBLANK(Arrangörslista!I$143),"",IF($GV45=BI$64," DNS ",IFERROR(VLOOKUP($F45,Arrangörslista!I$143:$AG$180,16,FALSE), "DNS")))), IF(Deltagarlista!$K$3=1,IF(ISBLANK(Deltagarlista!$C61),"",IF(ISBLANK(Arrangörslista!I$143),"",IFERROR(VLOOKUP($F45,Arrangörslista!I$143:$AG$180,16,FALSE), "DNS"))),""))</f>
        <v/>
      </c>
      <c r="BJ45" s="5" t="str">
        <f>IF(Deltagarlista!$K$3=2,
IF(ISBLANK(Deltagarlista!$C61),"",IF(ISBLANK(Arrangörslista!J$143),"",IF($GV45=BJ$64," DNS ",IFERROR(VLOOKUP($F45,Arrangörslista!J$143:$AG$180,16,FALSE), "DNS")))), IF(Deltagarlista!$K$3=1,IF(ISBLANK(Deltagarlista!$C61),"",IF(ISBLANK(Arrangörslista!J$143),"",IFERROR(VLOOKUP($F45,Arrangörslista!J$143:$AG$180,16,FALSE), "DNS"))),""))</f>
        <v/>
      </c>
      <c r="BK45" s="5" t="str">
        <f>IF(Deltagarlista!$K$3=2,
IF(ISBLANK(Deltagarlista!$C61),"",IF(ISBLANK(Arrangörslista!K$143),"",IF($GV45=BK$64," DNS ",IFERROR(VLOOKUP($F45,Arrangörslista!K$143:$AG$180,16,FALSE), "DNS")))), IF(Deltagarlista!$K$3=1,IF(ISBLANK(Deltagarlista!$C61),"",IF(ISBLANK(Arrangörslista!K$143),"",IFERROR(VLOOKUP($F45,Arrangörslista!K$143:$AG$180,16,FALSE), "DNS"))),""))</f>
        <v/>
      </c>
      <c r="BL45" s="5" t="str">
        <f>IF(Deltagarlista!$K$3=2,
IF(ISBLANK(Deltagarlista!$C61),"",IF(ISBLANK(Arrangörslista!L$143),"",IF($GV45=BL$64," DNS ",IFERROR(VLOOKUP($F45,Arrangörslista!L$143:$AG$180,16,FALSE), "DNS")))), IF(Deltagarlista!$K$3=1,IF(ISBLANK(Deltagarlista!$C61),"",IF(ISBLANK(Arrangörslista!L$143),"",IFERROR(VLOOKUP($F45,Arrangörslista!L$143:$AG$180,16,FALSE), "DNS"))),""))</f>
        <v/>
      </c>
      <c r="BM45" s="5" t="str">
        <f>IF(Deltagarlista!$K$3=2,
IF(ISBLANK(Deltagarlista!$C61),"",IF(ISBLANK(Arrangörslista!M$143),"",IF($GV45=BM$64," DNS ",IFERROR(VLOOKUP($F45,Arrangörslista!M$143:$AG$180,16,FALSE), "DNS")))), IF(Deltagarlista!$K$3=1,IF(ISBLANK(Deltagarlista!$C61),"",IF(ISBLANK(Arrangörslista!M$143),"",IFERROR(VLOOKUP($F45,Arrangörslista!M$143:$AG$180,16,FALSE), "DNS"))),""))</f>
        <v/>
      </c>
      <c r="BN45" s="5" t="str">
        <f>IF(Deltagarlista!$K$3=2,
IF(ISBLANK(Deltagarlista!$C61),"",IF(ISBLANK(Arrangörslista!N$143),"",IF($GV45=BN$64," DNS ",IFERROR(VLOOKUP($F45,Arrangörslista!N$143:$AG$180,16,FALSE), "DNS")))), IF(Deltagarlista!$K$3=1,IF(ISBLANK(Deltagarlista!$C61),"",IF(ISBLANK(Arrangörslista!N$143),"",IFERROR(VLOOKUP($F45,Arrangörslista!N$143:$AG$180,16,FALSE), "DNS"))),""))</f>
        <v/>
      </c>
      <c r="BO45" s="5" t="str">
        <f>IF(Deltagarlista!$K$3=2,
IF(ISBLANK(Deltagarlista!$C61),"",IF(ISBLANK(Arrangörslista!O$143),"",IF($GV45=BO$64," DNS ",IFERROR(VLOOKUP($F45,Arrangörslista!O$143:$AG$180,16,FALSE), "DNS")))), IF(Deltagarlista!$K$3=1,IF(ISBLANK(Deltagarlista!$C61),"",IF(ISBLANK(Arrangörslista!O$143),"",IFERROR(VLOOKUP($F45,Arrangörslista!O$143:$AG$180,16,FALSE), "DNS"))),""))</f>
        <v/>
      </c>
      <c r="BP45" s="5" t="str">
        <f>IF(Deltagarlista!$K$3=2,
IF(ISBLANK(Deltagarlista!$C61),"",IF(ISBLANK(Arrangörslista!P$143),"",IF($GV45=BP$64," DNS ",IFERROR(VLOOKUP($F45,Arrangörslista!P$143:$AG$180,16,FALSE), "DNS")))), IF(Deltagarlista!$K$3=1,IF(ISBLANK(Deltagarlista!$C61),"",IF(ISBLANK(Arrangörslista!P$143),"",IFERROR(VLOOKUP($F45,Arrangörslista!P$143:$AG$180,16,FALSE), "DNS"))),""))</f>
        <v/>
      </c>
      <c r="BQ45" s="80" t="str">
        <f>IF(Deltagarlista!$K$3=2,
IF(ISBLANK(Deltagarlista!$C61),"",IF(ISBLANK(Arrangörslista!Q$143),"",IF($GV45=BQ$64," DNS ",IFERROR(VLOOKUP($F45,Arrangörslista!Q$143:$AG$180,16,FALSE), "DNS")))), IF(Deltagarlista!$K$3=1,IF(ISBLANK(Deltagarlista!$C61),"",IF(ISBLANK(Arrangörslista!Q$143),"",IFERROR(VLOOKUP($F45,Arrangörslista!Q$143:$AG$180,16,FALSE), "DNS"))),""))</f>
        <v/>
      </c>
      <c r="BR45" s="48"/>
      <c r="BU45" s="71">
        <f>SUM(BV45:EC45)</f>
        <v>0</v>
      </c>
      <c r="BV45" s="61">
        <f>IF(J45="",0,IF(OR(J45="DNF",J45="OCS",J45="DSQ",J45="DNS",J45=" DNS "),$BW$3+1,J45))</f>
        <v>0</v>
      </c>
      <c r="BW45" s="61">
        <f>IF(K45="",0,IF(OR(K45="DNF",K45="OCS",K45="DSQ",K45="DNS",K45=" DNS "),$BW$3+1,K45))</f>
        <v>0</v>
      </c>
      <c r="BX45" s="61">
        <f>IF(L45="",0,IF(OR(L45="DNF",L45="OCS",L45="DSQ",L45="DNS",L45=" DNS "),$BW$3+1,L45))</f>
        <v>0</v>
      </c>
      <c r="BY45" s="61">
        <f>IF(M45="",0,IF(OR(M45="DNF",M45="OCS",M45="DSQ",M45="DNS",M45=" DNS "),$BW$3+1,M45))</f>
        <v>0</v>
      </c>
      <c r="BZ45" s="61">
        <f>IF(N45="",0,IF(OR(N45="DNF",N45="OCS",N45="DSQ",N45="DNS",N45=" DNS "),$BW$3+1,N45))</f>
        <v>0</v>
      </c>
      <c r="CA45" s="61">
        <f>IF(O45="",0,IF(OR(O45="DNF",O45="OCS",O45="DSQ",O45="DNS",O45=" DNS "),$BW$3+1,O45))</f>
        <v>0</v>
      </c>
      <c r="CB45" s="61">
        <f>IF(P45="",0,IF(OR(P45="DNF",P45="OCS",P45="DSQ",P45="DNS",P45=" DNS "),$BW$3+1,P45))</f>
        <v>0</v>
      </c>
      <c r="CC45" s="61">
        <f>IF(Q45="",0,IF(OR(Q45="DNF",Q45="OCS",Q45="DSQ",Q45="DNS",Q45=" DNS "),$BW$3+1,Q45))</f>
        <v>0</v>
      </c>
      <c r="CD45" s="61">
        <f>IF(R45="",0,IF(OR(R45="DNF",R45="OCS",R45="DSQ",R45="DNS",R45=" DNS "),$BW$3+1,R45))</f>
        <v>0</v>
      </c>
      <c r="CE45" s="61">
        <f>IF(S45="",0,IF(OR(S45="DNF",S45="OCS",S45="DSQ",S45="DNS",S45=" DNS "),$BW$3+1,S45))</f>
        <v>0</v>
      </c>
      <c r="CF45" s="61">
        <f>IF(T45="",0,IF(OR(T45="DNF",T45="OCS",T45="DSQ",T45="DNS",T45=" DNS "),$BW$3+1,T45))</f>
        <v>0</v>
      </c>
      <c r="CG45" s="61">
        <f>IF(U45="",0,IF(OR(U45="DNF",U45="OCS",U45="DSQ",U45="DNS",U45=" DNS "),$BW$3+1,U45))</f>
        <v>0</v>
      </c>
      <c r="CH45" s="61">
        <f>IF(V45="",0,IF(OR(V45="DNF",V45="OCS",V45="DSQ",V45="DNS",V45=" DNS "),$BW$3+1,V45))</f>
        <v>0</v>
      </c>
      <c r="CI45" s="61">
        <f>IF(W45="",0,IF(OR(W45="DNF",W45="OCS",W45="DSQ",W45="DNS",W45=" DNS "),$BW$3+1,W45))</f>
        <v>0</v>
      </c>
      <c r="CJ45" s="61">
        <f>IF(X45="",0,IF(OR(X45="DNF",X45="OCS",X45="DSQ",X45="DNS",X45=" DNS "),$BW$3+1,X45))</f>
        <v>0</v>
      </c>
      <c r="CK45" s="61">
        <f>IF(Y45="",0,IF(OR(Y45="DNF",Y45="OCS",Y45="DSQ",Y45="DNS",Y45=" DNS "),$BW$3+1,Y45))</f>
        <v>0</v>
      </c>
      <c r="CL45" s="61">
        <f>IF(Z45="",0,IF(OR(Z45="DNF",Z45="OCS",Z45="DSQ",Z45="DNS",Z45=" DNS "),$BW$3+1,Z45))</f>
        <v>0</v>
      </c>
      <c r="CM45" s="61">
        <f>IF(AA45="",0,IF(OR(AA45="DNF",AA45="OCS",AA45="DSQ",AA45="DNS",AA45=" DNS "),$BW$3+1,AA45))</f>
        <v>0</v>
      </c>
      <c r="CN45" s="61">
        <f>IF(AB45="",0,IF(OR(AB45="DNF",AB45="OCS",AB45="DSQ",AB45="DNS",AB45=" DNS "),$BW$3+1,AB45))</f>
        <v>0</v>
      </c>
      <c r="CO45" s="61">
        <f>IF(AC45="",0,IF(OR(AC45="DNF",AC45="OCS",AC45="DSQ",AC45="DNS",AC45=" DNS "),$BW$3+1,AC45))</f>
        <v>0</v>
      </c>
      <c r="CP45" s="61">
        <f>IF(AD45="",0,IF(OR(AD45="DNF",AD45="OCS",AD45="DSQ",AD45="DNS",AD45=" DNS "),$BW$3+1,AD45))</f>
        <v>0</v>
      </c>
      <c r="CQ45" s="61">
        <f>IF(AE45="",0,IF(OR(AE45="DNF",AE45="OCS",AE45="DSQ",AE45="DNS",AE45=" DNS "),$BW$3+1,AE45))</f>
        <v>0</v>
      </c>
      <c r="CR45" s="61">
        <f>IF(AF45="",0,IF(OR(AF45="DNF",AF45="OCS",AF45="DSQ",AF45="DNS",AF45=" DNS "),$BW$3+1,AF45))</f>
        <v>0</v>
      </c>
      <c r="CS45" s="61">
        <f>IF(AG45="",0,IF(OR(AG45="DNF",AG45="OCS",AG45="DSQ",AG45="DNS",AG45=" DNS "),$BW$3+1,AG45))</f>
        <v>0</v>
      </c>
      <c r="CT45" s="61">
        <f>IF(AH45="",0,IF(OR(AH45="DNF",AH45="OCS",AH45="DSQ",AH45="DNS",AH45=" DNS "),$BW$3+1,AH45))</f>
        <v>0</v>
      </c>
      <c r="CU45" s="61">
        <f>IF(AI45="",0,IF(OR(AI45="DNF",AI45="OCS",AI45="DSQ",AI45="DNS",AI45=" DNS "),$BW$3+1,AI45))</f>
        <v>0</v>
      </c>
      <c r="CV45" s="61">
        <f>IF(AJ45="",0,IF(OR(AJ45="DNF",AJ45="OCS",AJ45="DSQ",AJ45="DNS",AJ45=" DNS "),$BW$3+1,AJ45))</f>
        <v>0</v>
      </c>
      <c r="CW45" s="61">
        <f>IF(AK45="",0,IF(OR(AK45="DNF",AK45="OCS",AK45="DSQ",AK45="DNS",AK45=" DNS "),$BW$3+1,AK45))</f>
        <v>0</v>
      </c>
      <c r="CX45" s="61">
        <f>IF(AL45="",0,IF(OR(AL45="DNF",AL45="OCS",AL45="DSQ",AL45="DNS",AL45=" DNS "),$BW$3+1,AL45))</f>
        <v>0</v>
      </c>
      <c r="CY45" s="61">
        <f>IF(AM45="",0,IF(OR(AM45="DNF",AM45="OCS",AM45="DSQ",AM45="DNS",AM45=" DNS "),$BW$3+1,AM45))</f>
        <v>0</v>
      </c>
      <c r="CZ45" s="61">
        <f>IF(AN45="",0,IF(OR(AN45="DNF",AN45="OCS",AN45="DSQ",AN45="DNS",AN45=" DNS "),$BW$3+1,AN45))</f>
        <v>0</v>
      </c>
      <c r="DA45" s="61">
        <f>IF(AO45="",0,IF(OR(AO45="DNF",AO45="OCS",AO45="DSQ",AO45="DNS",AO45=" DNS "),$BW$3+1,AO45))</f>
        <v>0</v>
      </c>
      <c r="DB45" s="61">
        <f>IF(AP45="",0,IF(OR(AP45="DNF",AP45="OCS",AP45="DSQ",AP45="DNS",AP45=" DNS "),$BW$3+1,AP45))</f>
        <v>0</v>
      </c>
      <c r="DC45" s="61">
        <f>IF(AQ45="",0,IF(OR(AQ45="DNF",AQ45="OCS",AQ45="DSQ",AQ45="DNS",AQ45=" DNS "),$BW$3+1,AQ45))</f>
        <v>0</v>
      </c>
      <c r="DD45" s="61">
        <f>IF(AR45="",0,IF(OR(AR45="DNF",AR45="OCS",AR45="DSQ",AR45="DNS",AR45=" DNS "),$BW$3+1,AR45))</f>
        <v>0</v>
      </c>
      <c r="DE45" s="61">
        <f>IF(AS45="",0,IF(OR(AS45="DNF",AS45="OCS",AS45="DSQ",AS45="DNS",AS45=" DNS "),$BW$3+1,AS45))</f>
        <v>0</v>
      </c>
      <c r="DF45" s="61">
        <f>IF(AT45="",0,IF(OR(AT45="DNF",AT45="OCS",AT45="DSQ",AT45="DNS",AT45=" DNS "),$BW$3+1,AT45))</f>
        <v>0</v>
      </c>
      <c r="DG45" s="61">
        <f>IF(AU45="",0,IF(OR(AU45="DNF",AU45="OCS",AU45="DSQ",AU45="DNS",AU45=" DNS "),$BW$3+1,AU45))</f>
        <v>0</v>
      </c>
      <c r="DH45" s="61">
        <f>IF(AV45="",0,IF(OR(AV45="DNF",AV45="OCS",AV45="DSQ",AV45="DNS",AV45=" DNS "),$BW$3+1,AV45))</f>
        <v>0</v>
      </c>
      <c r="DI45" s="61">
        <f>IF(AW45="",0,IF(OR(AW45="DNF",AW45="OCS",AW45="DSQ",AW45="DNS",AW45=" DNS "),$BW$3+1,AW45))</f>
        <v>0</v>
      </c>
      <c r="DJ45" s="61">
        <f>IF(AX45="",0,IF(OR(AX45="DNF",AX45="OCS",AX45="DSQ",AX45="DNS",AX45=" DNS "),$BW$3+1,AX45))</f>
        <v>0</v>
      </c>
      <c r="DK45" s="61">
        <f>IF(AY45="",0,IF(OR(AY45="DNF",AY45="OCS",AY45="DSQ",AY45="DNS",AY45=" DNS "),$BW$3+1,AY45))</f>
        <v>0</v>
      </c>
      <c r="DL45" s="61">
        <f>IF(AZ45="",0,IF(OR(AZ45="DNF",AZ45="OCS",AZ45="DSQ",AZ45="DNS",AZ45=" DNS "),$BW$3+1,AZ45))</f>
        <v>0</v>
      </c>
      <c r="DM45" s="61">
        <f>IF(BA45="",0,IF(OR(BA45="DNF",BA45="OCS",BA45="DSQ",BA45="DNS",BA45=" DNS "),$BW$3+1,BA45))</f>
        <v>0</v>
      </c>
      <c r="DN45" s="61">
        <f>IF(BB45="",0,IF(OR(BB45="DNF",BB45="OCS",BB45="DSQ",BB45="DNS",BB45=" DNS "),$BW$3+1,BB45))</f>
        <v>0</v>
      </c>
      <c r="DO45" s="61">
        <f>IF(BC45="",0,IF(OR(BC45="DNF",BC45="OCS",BC45="DSQ",BC45="DNS",BC45=" DNS "),$BW$3+1,BC45))</f>
        <v>0</v>
      </c>
      <c r="DP45" s="61">
        <f>IF(BD45="",0,IF(OR(BD45="DNF",BD45="OCS",BD45="DSQ",BD45="DNS",BD45=" DNS "),$BW$3+1,BD45))</f>
        <v>0</v>
      </c>
      <c r="DQ45" s="61">
        <f>IF(BE45="",0,IF(OR(BE45="DNF",BE45="OCS",BE45="DSQ",BE45="DNS",BE45=" DNS "),$BW$3+1,BE45))</f>
        <v>0</v>
      </c>
      <c r="DR45" s="61">
        <f>IF(BF45="",0,IF(OR(BF45="DNF",BF45="OCS",BF45="DSQ",BF45="DNS",BF45=" DNS "),$BW$3+1,BF45))</f>
        <v>0</v>
      </c>
      <c r="DS45" s="61">
        <f>IF(BG45="",0,IF(OR(BG45="DNF",BG45="OCS",BG45="DSQ",BG45="DNS",BG45=" DNS "),$BW$3+1,BG45))</f>
        <v>0</v>
      </c>
      <c r="DT45" s="61">
        <f>IF(BH45="",0,IF(OR(BH45="DNF",BH45="OCS",BH45="DSQ",BH45="DNS",BH45=" DNS "),$BW$3+1,BH45))</f>
        <v>0</v>
      </c>
      <c r="DU45" s="61">
        <f>IF(BI45="",0,IF(OR(BI45="DNF",BI45="OCS",BI45="DSQ",BI45="DNS",BI45=" DNS "),$BW$3+1,BI45))</f>
        <v>0</v>
      </c>
      <c r="DV45" s="61">
        <f>IF(BJ45="",0,IF(OR(BJ45="DNF",BJ45="OCS",BJ45="DSQ",BJ45="DNS",BJ45=" DNS "),$BW$3+1,BJ45))</f>
        <v>0</v>
      </c>
      <c r="DW45" s="61">
        <f>IF(BK45="",0,IF(OR(BK45="DNF",BK45="OCS",BK45="DSQ",BK45="DNS",BK45=" DNS "),$BW$3+1,BK45))</f>
        <v>0</v>
      </c>
      <c r="DX45" s="61">
        <f>IF(BL45="",0,IF(OR(BL45="DNF",BL45="OCS",BL45="DSQ",BL45="DNS",BL45=" DNS "),$BW$3+1,BL45))</f>
        <v>0</v>
      </c>
      <c r="DY45" s="61">
        <f>IF(BM45="",0,IF(OR(BM45="DNF",BM45="OCS",BM45="DSQ",BM45="DNS",BM45=" DNS "),$BW$3+1,BM45))</f>
        <v>0</v>
      </c>
      <c r="DZ45" s="61">
        <f>IF(BN45="",0,IF(OR(BN45="DNF",BN45="OCS",BN45="DSQ",BN45="DNS",BN45=" DNS "),$BW$3+1,BN45))</f>
        <v>0</v>
      </c>
      <c r="EA45" s="61">
        <f>IF(BO45="",0,IF(OR(BO45="DNF",BO45="OCS",BO45="DSQ",BO45="DNS",BO45=" DNS "),$BW$3+1,BO45))</f>
        <v>0</v>
      </c>
      <c r="EB45" s="61">
        <f>IF(BP45="",0,IF(OR(BP45="DNF",BP45="OCS",BP45="DSQ",BP45="DNS",BP45=" DNS "),$BW$3+1,BP45))</f>
        <v>0</v>
      </c>
      <c r="EC45" s="61">
        <f>IF(BQ45="",0,IF(OR(BQ45="DNF",BQ45="OCS",BQ45="DSQ",BQ45="DNS",BQ45=" DNS "),$BW$3+1,BQ45))</f>
        <v>0</v>
      </c>
      <c r="EE45" s="61">
        <f xml:space="preserve">
IF(OR(Deltagarlista!$K$3=3,Deltagarlista!$K$3=4),
IF(Arrangörslista!$U$5&lt;8,0,
IF(Arrangörslista!$U$5&lt;16,SUM(LARGE(BV45:CJ45,1)),
IF(Arrangörslista!$U$5&lt;24,SUM(LARGE(BV45:CR45,{1;2})),
IF(Arrangörslista!$U$5&lt;32,SUM(LARGE(BV45:CZ45,{1;2;3})),
IF(Arrangörslista!$U$5&lt;40,SUM(LARGE(BV45:DH45,{1;2;3;4})),
IF(Arrangörslista!$U$5&lt;48,SUM(LARGE(BV45:DP45,{1;2;3;4;5})),
IF(Arrangörslista!$U$5&lt;56,SUM(LARGE(BV45:DX45,{1;2;3;4;5;6})),
IF(Arrangörslista!$U$5&lt;64,SUM(LARGE(BV45:EC45,{1;2;3;4;5;6;7})),0)))))))),
IF(Deltagarlista!$K$3=2,
IF(Arrangörslista!$U$5&lt;4,LARGE(BV45:BX45,1),
IF(Arrangörslista!$U$5&lt;7,SUM(LARGE(BV45:CA45,{1;2;3})),
IF(Arrangörslista!$U$5&lt;10,SUM(LARGE(BV45:CD45,{1;2;3;4})),
IF(Arrangörslista!$U$5&lt;13,SUM(LARGE(BV45:CG45,{1;2;3;4;5;6})),
IF(Arrangörslista!$U$5&lt;16,SUM(LARGE(BV45:CJ45,{1;2;3;4;5;6;7})),
IF(Arrangörslista!$U$5&lt;19,SUM(LARGE(BV45:CM45,{1;2;3;4;5;6;7;8;9})),
IF(Arrangörslista!$U$5&lt;22,SUM(LARGE(BV45:CP45,{1;2;3;4;5;6;7;8;9;10})),
IF(Arrangörslista!$U$5&lt;25,SUM(LARGE(BV45:CS45,{1;2;3;4;5;6;7;8;9;10;11;12})),
IF(Arrangörslista!$U$5&lt;28,SUM(LARGE(BV45:CV45,{1;2;3;4;5;6;7;8;9;10;11;12;13})),
IF(Arrangörslista!$U$5&lt;31,SUM(LARGE(BV45:CY45,{1;2;3;4;5;6;7;8;9;10;11;12;13;14;15})),
IF(Arrangörslista!$U$5&lt;34,SUM(LARGE(BV45:DB45,{1;2;3;4;5;6;7;8;9;10;11;12;13;14;15;16})),
IF(Arrangörslista!$U$5&lt;37,SUM(LARGE(BV45:DE45,{1;2;3;4;5;6;7;8;9;10;11;12;13;14;15;16;17;18})),
IF(Arrangörslista!$U$5&lt;40,SUM(LARGE(BV45:DH45,{1;2;3;4;5;6;7;8;9;10;11;12;13;14;15;16;17;18;19})),
IF(Arrangörslista!$U$5&lt;43,SUM(LARGE(BV45:DK45,{1;2;3;4;5;6;7;8;9;10;11;12;13;14;15;16;17;18;19;20;21})),
IF(Arrangörslista!$U$5&lt;46,SUM(LARGE(BV45:DN45,{1;2;3;4;5;6;7;8;9;10;11;12;13;14;15;16;17;18;19;20;21;22})),
IF(Arrangörslista!$U$5&lt;49,SUM(LARGE(BV45:DQ45,{1;2;3;4;5;6;7;8;9;10;11;12;13;14;15;16;17;18;19;20;21;22;23;24})),
IF(Arrangörslista!$U$5&lt;52,SUM(LARGE(BV45:DT45,{1;2;3;4;5;6;7;8;9;10;11;12;13;14;15;16;17;18;19;20;21;22;23;24;25})),
IF(Arrangörslista!$U$5&lt;55,SUM(LARGE(BV45:DW45,{1;2;3;4;5;6;7;8;9;10;11;12;13;14;15;16;17;18;19;20;21;22;23;24;25;26;27})),
IF(Arrangörslista!$U$5&lt;58,SUM(LARGE(BV45:DZ45,{1;2;3;4;5;6;7;8;9;10;11;12;13;14;15;16;17;18;19;20;21;22;23;24;25;26;27;28})),
IF(Arrangörslista!$U$5&lt;61,SUM(LARGE(BV45:EC45,{1;2;3;4;5;6;7;8;9;10;11;12;13;14;15;16;17;18;19;20;21;22;23;24;25;26;27;28;29;30})),0)))))))))))))))))))),
IF(Arrangörslista!$U$5&lt;4,0,
IF(Arrangörslista!$U$5&lt;8,SUM(LARGE(BV45:CB45,1)),
IF(Arrangörslista!$U$5&lt;12,SUM(LARGE(BV45:CF45,{1;2})),
IF(Arrangörslista!$U$5&lt;16,SUM(LARGE(BV45:CJ45,{1;2;3})),
IF(Arrangörslista!$U$5&lt;20,SUM(LARGE(BV45:CN45,{1;2;3;4})),
IF(Arrangörslista!$U$5&lt;24,SUM(LARGE(BV45:CR45,{1;2;3;4;5})),
IF(Arrangörslista!$U$5&lt;28,SUM(LARGE(BV45:CV45,{1;2;3;4;5;6})),
IF(Arrangörslista!$U$5&lt;32,SUM(LARGE(BV45:CZ45,{1;2;3;4;5;6;7})),
IF(Arrangörslista!$U$5&lt;36,SUM(LARGE(BV45:DD45,{1;2;3;4;5;6;7;8})),
IF(Arrangörslista!$U$5&lt;40,SUM(LARGE(BV45:DH45,{1;2;3;4;5;6;7;8;9})),
IF(Arrangörslista!$U$5&lt;44,SUM(LARGE(BV45:DL45,{1;2;3;4;5;6;7;8;9;10})),
IF(Arrangörslista!$U$5&lt;48,SUM(LARGE(BV45:DP45,{1;2;3;4;5;6;7;8;9;10;11})),
IF(Arrangörslista!$U$5&lt;52,SUM(LARGE(BV45:DT45,{1;2;3;4;5;6;7;8;9;10;11;12})),
IF(Arrangörslista!$U$5&lt;56,SUM(LARGE(BV45:DX45,{1;2;3;4;5;6;7;8;9;10;11;12;13})),
IF(Arrangörslista!$U$5&lt;60,SUM(LARGE(BV45:EB45,{1;2;3;4;5;6;7;8;9;10;11;12;13;14})),
IF(Arrangörslista!$U$5=60,SUM(LARGE(BV45:EC45,{1;2;3;4;5;6;7;8;9;10;11;12;13;14;15})),0))))))))))))))))))</f>
        <v>0</v>
      </c>
      <c r="EG45" s="67">
        <f>IF(F45="",,1)</f>
        <v>0</v>
      </c>
      <c r="EH45" s="61"/>
      <c r="EI45" s="61"/>
      <c r="EK45" s="62">
        <f>SMALL($J108:$BQ108,1)</f>
        <v>61</v>
      </c>
      <c r="EL45" s="62">
        <f>SMALL($J108:$BQ108,2)</f>
        <v>61</v>
      </c>
      <c r="EM45" s="62">
        <f>SMALL($J108:$BQ108,3)</f>
        <v>61</v>
      </c>
      <c r="EN45" s="62">
        <f>SMALL($J108:$BQ108,4)</f>
        <v>61</v>
      </c>
      <c r="EO45" s="62">
        <f>SMALL($J108:$BQ108,5)</f>
        <v>61</v>
      </c>
      <c r="EP45" s="62">
        <f>SMALL($J108:$BQ108,6)</f>
        <v>61</v>
      </c>
      <c r="EQ45" s="62">
        <f>SMALL($J108:$BQ108,7)</f>
        <v>61</v>
      </c>
      <c r="ER45" s="62">
        <f>SMALL($J108:$BQ108,8)</f>
        <v>61</v>
      </c>
      <c r="ES45" s="62">
        <f>SMALL($J108:$BQ108,9)</f>
        <v>61</v>
      </c>
      <c r="ET45" s="62">
        <f>SMALL($J108:$BQ108,10)</f>
        <v>61</v>
      </c>
      <c r="EU45" s="62">
        <f>SMALL($J108:$BQ108,11)</f>
        <v>61</v>
      </c>
      <c r="EV45" s="62">
        <f>SMALL($J108:$BQ108,12)</f>
        <v>61</v>
      </c>
      <c r="EW45" s="62">
        <f>SMALL($J108:$BQ108,13)</f>
        <v>61</v>
      </c>
      <c r="EX45" s="62">
        <f>SMALL($J108:$BQ108,14)</f>
        <v>61</v>
      </c>
      <c r="EY45" s="62">
        <f>SMALL($J108:$BQ108,15)</f>
        <v>61</v>
      </c>
      <c r="EZ45" s="62">
        <f>SMALL($J108:$BQ108,16)</f>
        <v>61</v>
      </c>
      <c r="FA45" s="62">
        <f>SMALL($J108:$BQ108,17)</f>
        <v>61</v>
      </c>
      <c r="FB45" s="62">
        <f>SMALL($J108:$BQ108,18)</f>
        <v>61</v>
      </c>
      <c r="FC45" s="62">
        <f>SMALL($J108:$BQ108,19)</f>
        <v>61</v>
      </c>
      <c r="FD45" s="62">
        <f>SMALL($J108:$BQ108,20)</f>
        <v>61</v>
      </c>
      <c r="FE45" s="62">
        <f>SMALL($J108:$BQ108,21)</f>
        <v>61</v>
      </c>
      <c r="FF45" s="62">
        <f>SMALL($J108:$BQ108,22)</f>
        <v>61</v>
      </c>
      <c r="FG45" s="62">
        <f>SMALL($J108:$BQ108,23)</f>
        <v>61</v>
      </c>
      <c r="FH45" s="62">
        <f>SMALL($J108:$BQ108,24)</f>
        <v>61</v>
      </c>
      <c r="FI45" s="62">
        <f>SMALL($J108:$BQ108,25)</f>
        <v>61</v>
      </c>
      <c r="FJ45" s="62">
        <f>SMALL($J108:$BQ108,26)</f>
        <v>61</v>
      </c>
      <c r="FK45" s="62">
        <f>SMALL($J108:$BQ108,27)</f>
        <v>61</v>
      </c>
      <c r="FL45" s="62">
        <f>SMALL($J108:$BQ108,28)</f>
        <v>61</v>
      </c>
      <c r="FM45" s="62">
        <f>SMALL($J108:$BQ108,29)</f>
        <v>61</v>
      </c>
      <c r="FN45" s="62">
        <f>SMALL($J108:$BQ108,30)</f>
        <v>61</v>
      </c>
      <c r="FO45" s="62">
        <f>SMALL($J108:$BQ108,31)</f>
        <v>61</v>
      </c>
      <c r="FP45" s="62">
        <f>SMALL($J108:$BQ108,32)</f>
        <v>61</v>
      </c>
      <c r="FQ45" s="62">
        <f>SMALL($J108:$BQ108,33)</f>
        <v>61</v>
      </c>
      <c r="FR45" s="62">
        <f>SMALL($J108:$BQ108,34)</f>
        <v>61</v>
      </c>
      <c r="FS45" s="62">
        <f>SMALL($J108:$BQ108,35)</f>
        <v>61</v>
      </c>
      <c r="FT45" s="62">
        <f>SMALL($J108:$BQ108,36)</f>
        <v>61</v>
      </c>
      <c r="FU45" s="62">
        <f>SMALL($J108:$BQ108,37)</f>
        <v>61</v>
      </c>
      <c r="FV45" s="62">
        <f>SMALL($J108:$BQ108,38)</f>
        <v>61</v>
      </c>
      <c r="FW45" s="62">
        <f>SMALL($J108:$BQ108,39)</f>
        <v>61</v>
      </c>
      <c r="FX45" s="62">
        <f>SMALL($J108:$BQ108,40)</f>
        <v>61</v>
      </c>
      <c r="FY45" s="62">
        <f>SMALL($J108:$BQ108,41)</f>
        <v>61</v>
      </c>
      <c r="FZ45" s="62">
        <f>SMALL($J108:$BQ108,42)</f>
        <v>61</v>
      </c>
      <c r="GA45" s="62">
        <f>SMALL($J108:$BQ108,43)</f>
        <v>61</v>
      </c>
      <c r="GB45" s="62">
        <f>SMALL($J108:$BQ108,44)</f>
        <v>61</v>
      </c>
      <c r="GC45" s="62">
        <f>SMALL($J108:$BQ108,45)</f>
        <v>61</v>
      </c>
      <c r="GD45" s="62">
        <f>SMALL($J108:$BQ108,46)</f>
        <v>61</v>
      </c>
      <c r="GE45" s="62">
        <f>SMALL($J108:$BQ108,47)</f>
        <v>61</v>
      </c>
      <c r="GF45" s="62">
        <f>SMALL($J108:$BQ108,48)</f>
        <v>61</v>
      </c>
      <c r="GG45" s="62">
        <f>SMALL($J108:$BQ108,49)</f>
        <v>61</v>
      </c>
      <c r="GH45" s="62">
        <f>SMALL($J108:$BQ108,50)</f>
        <v>61</v>
      </c>
      <c r="GI45" s="62">
        <f>SMALL($J108:$BQ108,51)</f>
        <v>61</v>
      </c>
      <c r="GJ45" s="62">
        <f>SMALL($J108:$BQ108,52)</f>
        <v>61</v>
      </c>
      <c r="GK45" s="62">
        <f>SMALL($J108:$BQ108,53)</f>
        <v>61</v>
      </c>
      <c r="GL45" s="62">
        <f>SMALL($J108:$BQ108,54)</f>
        <v>61</v>
      </c>
      <c r="GM45" s="62">
        <f>SMALL($J108:$BQ108,55)</f>
        <v>61</v>
      </c>
      <c r="GN45" s="62">
        <f>SMALL($J108:$BQ108,56)</f>
        <v>61</v>
      </c>
      <c r="GO45" s="62">
        <f>SMALL($J108:$BQ108,57)</f>
        <v>61</v>
      </c>
      <c r="GP45" s="62">
        <f>SMALL($J108:$BQ108,58)</f>
        <v>61</v>
      </c>
      <c r="GQ45" s="62">
        <f>SMALL($J108:$BQ108,59)</f>
        <v>61</v>
      </c>
      <c r="GR45" s="62">
        <f>SMALL($J108:$BQ108,60)</f>
        <v>61</v>
      </c>
      <c r="GT45" s="62">
        <f>IF(Deltagarlista!$K$3=2,
IF(GW45="1",
      IF(Arrangörslista!$U$5=1,J108,
IF(Arrangörslista!$U$5=2,K108,
IF(Arrangörslista!$U$5=3,L108,
IF(Arrangörslista!$U$5=4,M108,
IF(Arrangörslista!$U$5=5,N108,
IF(Arrangörslista!$U$5=6,O108,
IF(Arrangörslista!$U$5=7,P108,
IF(Arrangörslista!$U$5=8,Q108,
IF(Arrangörslista!$U$5=9,R108,
IF(Arrangörslista!$U$5=10,S108,
IF(Arrangörslista!$U$5=11,T108,
IF(Arrangörslista!$U$5=12,U108,
IF(Arrangörslista!$U$5=13,V108,
IF(Arrangörslista!$U$5=14,W108,
IF(Arrangörslista!$U$5=15,X108,
IF(Arrangörslista!$U$5=16,Y108,IF(Arrangörslista!$U$5=17,Z108,IF(Arrangörslista!$U$5=18,AA108,IF(Arrangörslista!$U$5=19,AB108,IF(Arrangörslista!$U$5=20,AC108,IF(Arrangörslista!$U$5=21,AD108,IF(Arrangörslista!$U$5=22,AE108,IF(Arrangörslista!$U$5=23,AF108, IF(Arrangörslista!$U$5=24,AG108, IF(Arrangörslista!$U$5=25,AH108, IF(Arrangörslista!$U$5=26,AI108, IF(Arrangörslista!$U$5=27,AJ108, IF(Arrangörslista!$U$5=28,AK108, IF(Arrangörslista!$U$5=29,AL108, IF(Arrangörslista!$U$5=30,AM108, IF(Arrangörslista!$U$5=31,AN108, IF(Arrangörslista!$U$5=32,AO108, IF(Arrangörslista!$U$5=33,AP108, IF(Arrangörslista!$U$5=34,AQ108, IF(Arrangörslista!$U$5=35,AR108, IF(Arrangörslista!$U$5=36,AS108, IF(Arrangörslista!$U$5=37,AT108, IF(Arrangörslista!$U$5=38,AU108, IF(Arrangörslista!$U$5=39,AV108, IF(Arrangörslista!$U$5=40,AW108, IF(Arrangörslista!$U$5=41,AX108, IF(Arrangörslista!$U$5=42,AY108, IF(Arrangörslista!$U$5=43,AZ108, IF(Arrangörslista!$U$5=44,BA108, IF(Arrangörslista!$U$5=45,BB108, IF(Arrangörslista!$U$5=46,BC108, IF(Arrangörslista!$U$5=47,BD108, IF(Arrangörslista!$U$5=48,BE108, IF(Arrangörslista!$U$5=49,BF108, IF(Arrangörslista!$U$5=50,BG108, IF(Arrangörslista!$U$5=51,BH108, IF(Arrangörslista!$U$5=52,BI108, IF(Arrangörslista!$U$5=53,BJ108, IF(Arrangörslista!$U$5=54,BK108, IF(Arrangörslista!$U$5=55,BL108, IF(Arrangörslista!$U$5=56,BM108, IF(Arrangörslista!$U$5=57,BN108, IF(Arrangörslista!$U$5=58,BO108, IF(Arrangörslista!$U$5=59,BP108, IF(Arrangörslista!$U$5=60,BQ108,0))))))))))))))))))))))))))))))))))))))))))))))))))))))))))))),IF(Deltagarlista!$K$3=4, IF(Arrangörslista!$U$5=1,J108,
IF(Arrangörslista!$U$5=2,J108,
IF(Arrangörslista!$U$5=3,K108,
IF(Arrangörslista!$U$5=4,K108,
IF(Arrangörslista!$U$5=5,L108,
IF(Arrangörslista!$U$5=6,L108,
IF(Arrangörslista!$U$5=7,M108,
IF(Arrangörslista!$U$5=8,M108,
IF(Arrangörslista!$U$5=9,N108,
IF(Arrangörslista!$U$5=10,N108,
IF(Arrangörslista!$U$5=11,O108,
IF(Arrangörslista!$U$5=12,O108,
IF(Arrangörslista!$U$5=13,P108,
IF(Arrangörslista!$U$5=14,P108,
IF(Arrangörslista!$U$5=15,Q108,
IF(Arrangörslista!$U$5=16,Q108,
IF(Arrangörslista!$U$5=17,R108,
IF(Arrangörslista!$U$5=18,R108,
IF(Arrangörslista!$U$5=19,S108,
IF(Arrangörslista!$U$5=20,S108,
IF(Arrangörslista!$U$5=21,T108,
IF(Arrangörslista!$U$5=22,T108,IF(Arrangörslista!$U$5=23,U108, IF(Arrangörslista!$U$5=24,U108, IF(Arrangörslista!$U$5=25,V108, IF(Arrangörslista!$U$5=26,V108, IF(Arrangörslista!$U$5=27,W108, IF(Arrangörslista!$U$5=28,W108, IF(Arrangörslista!$U$5=29,X108, IF(Arrangörslista!$U$5=30,X108, IF(Arrangörslista!$U$5=31,X108, IF(Arrangörslista!$U$5=32,Y108, IF(Arrangörslista!$U$5=33,AO108, IF(Arrangörslista!$U$5=34,Y108, IF(Arrangörslista!$U$5=35,Z108, IF(Arrangörslista!$U$5=36,AR108, IF(Arrangörslista!$U$5=37,Z108, IF(Arrangörslista!$U$5=38,AA108, IF(Arrangörslista!$U$5=39,AU108, IF(Arrangörslista!$U$5=40,AA108, IF(Arrangörslista!$U$5=41,AB108, IF(Arrangörslista!$U$5=42,AX108, IF(Arrangörslista!$U$5=43,AB108, IF(Arrangörslista!$U$5=44,AC108, IF(Arrangörslista!$U$5=45,BA108, IF(Arrangörslista!$U$5=46,AC108, IF(Arrangörslista!$U$5=47,AD108, IF(Arrangörslista!$U$5=48,BD108, IF(Arrangörslista!$U$5=49,AD108, IF(Arrangörslista!$U$5=50,AE108, IF(Arrangörslista!$U$5=51,BG108, IF(Arrangörslista!$U$5=52,AE108, IF(Arrangörslista!$U$5=53,AF108, IF(Arrangörslista!$U$5=54,BJ108, IF(Arrangörslista!$U$5=55,AF108, IF(Arrangörslista!$U$5=56,AG108, IF(Arrangörslista!$U$5=57,BM108, IF(Arrangörslista!$U$5=58,AG108, IF(Arrangörslista!$U$5=59,AH108, IF(Arrangörslista!$U$5=60,AH108,0)))))))))))))))))))))))))))))))))))))))))))))))))))))))))))),IF(Arrangörslista!$U$5=1,J108,
IF(Arrangörslista!$U$5=2,K108,
IF(Arrangörslista!$U$5=3,L108,
IF(Arrangörslista!$U$5=4,M108,
IF(Arrangörslista!$U$5=5,N108,
IF(Arrangörslista!$U$5=6,O108,
IF(Arrangörslista!$U$5=7,P108,
IF(Arrangörslista!$U$5=8,Q108,
IF(Arrangörslista!$U$5=9,R108,
IF(Arrangörslista!$U$5=10,S108,
IF(Arrangörslista!$U$5=11,T108,
IF(Arrangörslista!$U$5=12,U108,
IF(Arrangörslista!$U$5=13,V108,
IF(Arrangörslista!$U$5=14,W108,
IF(Arrangörslista!$U$5=15,X108,
IF(Arrangörslista!$U$5=16,Y108,IF(Arrangörslista!$U$5=17,Z108,IF(Arrangörslista!$U$5=18,AA108,IF(Arrangörslista!$U$5=19,AB108,IF(Arrangörslista!$U$5=20,AC108,IF(Arrangörslista!$U$5=21,AD108,IF(Arrangörslista!$U$5=22,AE108,IF(Arrangörslista!$U$5=23,AF108, IF(Arrangörslista!$U$5=24,AG108, IF(Arrangörslista!$U$5=25,AH108, IF(Arrangörslista!$U$5=26,AI108, IF(Arrangörslista!$U$5=27,AJ108, IF(Arrangörslista!$U$5=28,AK108, IF(Arrangörslista!$U$5=29,AL108, IF(Arrangörslista!$U$5=30,AM108, IF(Arrangörslista!$U$5=31,AN108, IF(Arrangörslista!$U$5=32,AO108, IF(Arrangörslista!$U$5=33,AP108, IF(Arrangörslista!$U$5=34,AQ108, IF(Arrangörslista!$U$5=35,AR108, IF(Arrangörslista!$U$5=36,AS108, IF(Arrangörslista!$U$5=37,AT108, IF(Arrangörslista!$U$5=38,AU108, IF(Arrangörslista!$U$5=39,AV108, IF(Arrangörslista!$U$5=40,AW108, IF(Arrangörslista!$U$5=41,AX108, IF(Arrangörslista!$U$5=42,AY108, IF(Arrangörslista!$U$5=43,AZ108, IF(Arrangörslista!$U$5=44,BA108, IF(Arrangörslista!$U$5=45,BB108, IF(Arrangörslista!$U$5=46,BC108, IF(Arrangörslista!$U$5=47,BD108, IF(Arrangörslista!$U$5=48,BE108, IF(Arrangörslista!$U$5=49,BF108, IF(Arrangörslista!$U$5=50,BG108, IF(Arrangörslista!$U$5=51,BH108, IF(Arrangörslista!$U$5=52,BI108, IF(Arrangörslista!$U$5=53,BJ108, IF(Arrangörslista!$U$5=54,BK108, IF(Arrangörslista!$U$5=55,BL108, IF(Arrangörslista!$U$5=56,BM108, IF(Arrangörslista!$U$5=57,BN108, IF(Arrangörslista!$U$5=58,BO108, IF(Arrangörslista!$U$5=59,BP108, IF(Arrangörslista!$U$5=60,BQ108,0))))))))))))))))))))))))))))))))))))))))))))))))))))))))))))
))</f>
        <v>0</v>
      </c>
      <c r="GV45" s="65" t="str">
        <f>IFERROR(IF(VLOOKUP(F45,Deltagarlista!$E$5:$I$64,5,FALSE)="Grön","Gr",IF(VLOOKUP(F45,Deltagarlista!$E$5:$I$64,5,FALSE)="Röd","R",IF(VLOOKUP(F45,Deltagarlista!$E$5:$I$64,5,FALSE)="Blå","B","Gu"))),"")</f>
        <v/>
      </c>
      <c r="GW45" s="62" t="str">
        <f t="shared" si="1"/>
        <v/>
      </c>
    </row>
    <row r="46" spans="1:205" ht="15.75" customHeight="1" x14ac:dyDescent="0.3">
      <c r="A46" s="23"/>
      <c r="B46" s="23" t="str">
        <f>IF($BW$3&gt;42,43,"")</f>
        <v/>
      </c>
      <c r="C46" s="92" t="str">
        <f>IF(ISBLANK(Deltagarlista!C48),"",Deltagarlista!C48)</f>
        <v/>
      </c>
      <c r="D46" s="109" t="str">
        <f>CONCATENATE(IF(AND(Deltagarlista!H48="GM",Deltagarlista!$S$14=TRUE),"GM   ",""),  IF(OR(Deltagarlista!$K$3=4,Deltagarlista!$K$3=2),Deltagarlista!I48,""))</f>
        <v/>
      </c>
      <c r="E46" s="8" t="str">
        <f>IF(ISBLANK(Deltagarlista!D48),"",Deltagarlista!D48)</f>
        <v/>
      </c>
      <c r="F46" s="8" t="str">
        <f>IF(ISBLANK(Deltagarlista!E48),"",Deltagarlista!E48)</f>
        <v/>
      </c>
      <c r="G46" s="95" t="str">
        <f>IF(ISBLANK(Deltagarlista!F48),"",Deltagarlista!F48)</f>
        <v/>
      </c>
      <c r="H46" s="72" t="str">
        <f>IF(ISBLANK(Deltagarlista!C48),"",BU46-EE46)</f>
        <v/>
      </c>
      <c r="I46" s="13" t="str">
        <f>IF(ISBLANK(Deltagarlista!C48),"",IF(AND(Deltagarlista!$K$3=2,Deltagarlista!$L$3&lt;37),SUM(SUM(BV46:EC46)-(ROUNDDOWN(Arrangörslista!$U$5/3,1))*($BW$3+1)),SUM(BV46:EC46)))</f>
        <v/>
      </c>
      <c r="J46" s="79" t="str">
        <f>IF(Deltagarlista!$K$3=4,IF(ISBLANK(Deltagarlista!$C48),"",IF(ISBLANK(Arrangörslista!C$8),"",IFERROR(VLOOKUP($F46,Arrangörslista!C$8:$AG$45,16,FALSE),IF(ISBLANK(Deltagarlista!$C48),"",IF(ISBLANK(Arrangörslista!C$8),"",IFERROR(VLOOKUP($F46,Arrangörslista!D$8:$AG$45,16,FALSE),"DNS")))))),IF(Deltagarlista!$K$3=2,
IF(ISBLANK(Deltagarlista!$C48),"",IF(ISBLANK(Arrangörslista!C$8),"",IF($GV46=J$64," DNS ",IFERROR(VLOOKUP($F46,Arrangörslista!C$8:$AG$45,16,FALSE),"DNS")))),IF(ISBLANK(Deltagarlista!$C48),"",IF(ISBLANK(Arrangörslista!C$8),"",IFERROR(VLOOKUP($F46,Arrangörslista!C$8:$AG$45,16,FALSE),"DNS")))))</f>
        <v/>
      </c>
      <c r="K46" s="5" t="str">
        <f>IF(Deltagarlista!$K$3=4,IF(ISBLANK(Deltagarlista!$C48),"",IF(ISBLANK(Arrangörslista!E$8),"",IFERROR(VLOOKUP($F46,Arrangörslista!E$8:$AG$45,16,FALSE),IF(ISBLANK(Deltagarlista!$C48),"",IF(ISBLANK(Arrangörslista!E$8),"",IFERROR(VLOOKUP($F46,Arrangörslista!F$8:$AG$45,16,FALSE),"DNS")))))),IF(Deltagarlista!$K$3=2,
IF(ISBLANK(Deltagarlista!$C48),"",IF(ISBLANK(Arrangörslista!D$8),"",IF($GV46=K$64," DNS ",IFERROR(VLOOKUP($F46,Arrangörslista!D$8:$AG$45,16,FALSE),"DNS")))),IF(ISBLANK(Deltagarlista!$C48),"",IF(ISBLANK(Arrangörslista!D$8),"",IFERROR(VLOOKUP($F46,Arrangörslista!D$8:$AG$45,16,FALSE),"DNS")))))</f>
        <v/>
      </c>
      <c r="L46" s="5" t="str">
        <f>IF(Deltagarlista!$K$3=4,IF(ISBLANK(Deltagarlista!$C48),"",IF(ISBLANK(Arrangörslista!G$8),"",IFERROR(VLOOKUP($F46,Arrangörslista!G$8:$AG$45,16,FALSE),IF(ISBLANK(Deltagarlista!$C48),"",IF(ISBLANK(Arrangörslista!G$8),"",IFERROR(VLOOKUP($F46,Arrangörslista!H$8:$AG$45,16,FALSE),"DNS")))))),IF(Deltagarlista!$K$3=2,
IF(ISBLANK(Deltagarlista!$C48),"",IF(ISBLANK(Arrangörslista!E$8),"",IF($GV46=L$64," DNS ",IFERROR(VLOOKUP($F46,Arrangörslista!E$8:$AG$45,16,FALSE),"DNS")))),IF(ISBLANK(Deltagarlista!$C48),"",IF(ISBLANK(Arrangörslista!E$8),"",IFERROR(VLOOKUP($F46,Arrangörslista!E$8:$AG$45,16,FALSE),"DNS")))))</f>
        <v/>
      </c>
      <c r="M46" s="5" t="str">
        <f>IF(Deltagarlista!$K$3=4,IF(ISBLANK(Deltagarlista!$C48),"",IF(ISBLANK(Arrangörslista!I$8),"",IFERROR(VLOOKUP($F46,Arrangörslista!I$8:$AG$45,16,FALSE),IF(ISBLANK(Deltagarlista!$C48),"",IF(ISBLANK(Arrangörslista!I$8),"",IFERROR(VLOOKUP($F46,Arrangörslista!J$8:$AG$45,16,FALSE),"DNS")))))),IF(Deltagarlista!$K$3=2,
IF(ISBLANK(Deltagarlista!$C48),"",IF(ISBLANK(Arrangörslista!F$8),"",IF($GV46=M$64," DNS ",IFERROR(VLOOKUP($F46,Arrangörslista!F$8:$AG$45,16,FALSE),"DNS")))),IF(ISBLANK(Deltagarlista!$C48),"",IF(ISBLANK(Arrangörslista!F$8),"",IFERROR(VLOOKUP($F46,Arrangörslista!F$8:$AG$45,16,FALSE),"DNS")))))</f>
        <v/>
      </c>
      <c r="N46" s="5" t="str">
        <f>IF(Deltagarlista!$K$3=4,IF(ISBLANK(Deltagarlista!$C48),"",IF(ISBLANK(Arrangörslista!K$8),"",IFERROR(VLOOKUP($F46,Arrangörslista!K$8:$AG$45,16,FALSE),IF(ISBLANK(Deltagarlista!$C48),"",IF(ISBLANK(Arrangörslista!K$8),"",IFERROR(VLOOKUP($F46,Arrangörslista!L$8:$AG$45,16,FALSE),"DNS")))))),IF(Deltagarlista!$K$3=2,
IF(ISBLANK(Deltagarlista!$C48),"",IF(ISBLANK(Arrangörslista!G$8),"",IF($GV46=N$64," DNS ",IFERROR(VLOOKUP($F46,Arrangörslista!G$8:$AG$45,16,FALSE),"DNS")))),IF(ISBLANK(Deltagarlista!$C48),"",IF(ISBLANK(Arrangörslista!G$8),"",IFERROR(VLOOKUP($F46,Arrangörslista!G$8:$AG$45,16,FALSE),"DNS")))))</f>
        <v/>
      </c>
      <c r="O46" s="5" t="str">
        <f>IF(Deltagarlista!$K$3=4,IF(ISBLANK(Deltagarlista!$C48),"",IF(ISBLANK(Arrangörslista!M$8),"",IFERROR(VLOOKUP($F46,Arrangörslista!M$8:$AG$45,16,FALSE),IF(ISBLANK(Deltagarlista!$C48),"",IF(ISBLANK(Arrangörslista!M$8),"",IFERROR(VLOOKUP($F46,Arrangörslista!N$8:$AG$45,16,FALSE),"DNS")))))),IF(Deltagarlista!$K$3=2,
IF(ISBLANK(Deltagarlista!$C48),"",IF(ISBLANK(Arrangörslista!H$8),"",IF($GV46=O$64," DNS ",IFERROR(VLOOKUP($F46,Arrangörslista!H$8:$AG$45,16,FALSE),"DNS")))),IF(ISBLANK(Deltagarlista!$C48),"",IF(ISBLANK(Arrangörslista!H$8),"",IFERROR(VLOOKUP($F46,Arrangörslista!H$8:$AG$45,16,FALSE),"DNS")))))</f>
        <v/>
      </c>
      <c r="P46" s="5" t="str">
        <f>IF(Deltagarlista!$K$3=4,IF(ISBLANK(Deltagarlista!$C48),"",IF(ISBLANK(Arrangörslista!O$8),"",IFERROR(VLOOKUP($F46,Arrangörslista!O$8:$AG$45,16,FALSE),IF(ISBLANK(Deltagarlista!$C48),"",IF(ISBLANK(Arrangörslista!O$8),"",IFERROR(VLOOKUP($F46,Arrangörslista!P$8:$AG$45,16,FALSE),"DNS")))))),IF(Deltagarlista!$K$3=2,
IF(ISBLANK(Deltagarlista!$C48),"",IF(ISBLANK(Arrangörslista!I$8),"",IF($GV46=P$64," DNS ",IFERROR(VLOOKUP($F46,Arrangörslista!I$8:$AG$45,16,FALSE),"DNS")))),IF(ISBLANK(Deltagarlista!$C48),"",IF(ISBLANK(Arrangörslista!I$8),"",IFERROR(VLOOKUP($F46,Arrangörslista!I$8:$AG$45,16,FALSE),"DNS")))))</f>
        <v/>
      </c>
      <c r="Q46" s="5" t="str">
        <f>IF(Deltagarlista!$K$3=4,IF(ISBLANK(Deltagarlista!$C48),"",IF(ISBLANK(Arrangörslista!Q$8),"",IFERROR(VLOOKUP($F46,Arrangörslista!Q$8:$AG$45,16,FALSE),IF(ISBLANK(Deltagarlista!$C48),"",IF(ISBLANK(Arrangörslista!Q$8),"",IFERROR(VLOOKUP($F46,Arrangörslista!C$53:$AG$90,16,FALSE),"DNS")))))),IF(Deltagarlista!$K$3=2,
IF(ISBLANK(Deltagarlista!$C48),"",IF(ISBLANK(Arrangörslista!J$8),"",IF($GV46=Q$64," DNS ",IFERROR(VLOOKUP($F46,Arrangörslista!J$8:$AG$45,16,FALSE),"DNS")))),IF(ISBLANK(Deltagarlista!$C48),"",IF(ISBLANK(Arrangörslista!J$8),"",IFERROR(VLOOKUP($F46,Arrangörslista!J$8:$AG$45,16,FALSE),"DNS")))))</f>
        <v/>
      </c>
      <c r="R46" s="5" t="str">
        <f>IF(Deltagarlista!$K$3=4,IF(ISBLANK(Deltagarlista!$C48),"",IF(ISBLANK(Arrangörslista!D$53),"",IFERROR(VLOOKUP($F46,Arrangörslista!D$53:$AG$90,16,FALSE),IF(ISBLANK(Deltagarlista!$C48),"",IF(ISBLANK(Arrangörslista!D$53),"",IFERROR(VLOOKUP($F46,Arrangörslista!E$53:$AG$90,16,FALSE),"DNS")))))),IF(Deltagarlista!$K$3=2,
IF(ISBLANK(Deltagarlista!$C48),"",IF(ISBLANK(Arrangörslista!K$8),"",IF($GV46=R$64," DNS ",IFERROR(VLOOKUP($F46,Arrangörslista!K$8:$AG$45,16,FALSE),"DNS")))),IF(ISBLANK(Deltagarlista!$C48),"",IF(ISBLANK(Arrangörslista!K$8),"",IFERROR(VLOOKUP($F46,Arrangörslista!K$8:$AG$45,16,FALSE),"DNS")))))</f>
        <v/>
      </c>
      <c r="S46" s="5" t="str">
        <f>IF(Deltagarlista!$K$3=4,IF(ISBLANK(Deltagarlista!$C48),"",IF(ISBLANK(Arrangörslista!F$53),"",IFERROR(VLOOKUP($F46,Arrangörslista!F$53:$AG$90,16,FALSE),IF(ISBLANK(Deltagarlista!$C48),"",IF(ISBLANK(Arrangörslista!F$53),"",IFERROR(VLOOKUP($F46,Arrangörslista!G$53:$AG$90,16,FALSE),"DNS")))))),IF(Deltagarlista!$K$3=2,
IF(ISBLANK(Deltagarlista!$C48),"",IF(ISBLANK(Arrangörslista!L$8),"",IF($GV46=S$64," DNS ",IFERROR(VLOOKUP($F46,Arrangörslista!L$8:$AG$45,16,FALSE),"DNS")))),IF(ISBLANK(Deltagarlista!$C48),"",IF(ISBLANK(Arrangörslista!L$8),"",IFERROR(VLOOKUP($F46,Arrangörslista!L$8:$AG$45,16,FALSE),"DNS")))))</f>
        <v/>
      </c>
      <c r="T46" s="5" t="str">
        <f>IF(Deltagarlista!$K$3=4,IF(ISBLANK(Deltagarlista!$C48),"",IF(ISBLANK(Arrangörslista!H$53),"",IFERROR(VLOOKUP($F46,Arrangörslista!H$53:$AG$90,16,FALSE),IF(ISBLANK(Deltagarlista!$C48),"",IF(ISBLANK(Arrangörslista!H$53),"",IFERROR(VLOOKUP($F46,Arrangörslista!I$53:$AG$90,16,FALSE),"DNS")))))),IF(Deltagarlista!$K$3=2,
IF(ISBLANK(Deltagarlista!$C48),"",IF(ISBLANK(Arrangörslista!M$8),"",IF($GV46=T$64," DNS ",IFERROR(VLOOKUP($F46,Arrangörslista!M$8:$AG$45,16,FALSE),"DNS")))),IF(ISBLANK(Deltagarlista!$C48),"",IF(ISBLANK(Arrangörslista!M$8),"",IFERROR(VLOOKUP($F46,Arrangörslista!M$8:$AG$45,16,FALSE),"DNS")))))</f>
        <v/>
      </c>
      <c r="U46" s="5" t="str">
        <f>IF(Deltagarlista!$K$3=4,IF(ISBLANK(Deltagarlista!$C48),"",IF(ISBLANK(Arrangörslista!J$53),"",IFERROR(VLOOKUP($F46,Arrangörslista!J$53:$AG$90,16,FALSE),IF(ISBLANK(Deltagarlista!$C48),"",IF(ISBLANK(Arrangörslista!J$53),"",IFERROR(VLOOKUP($F46,Arrangörslista!K$53:$AG$90,16,FALSE),"DNS")))))),IF(Deltagarlista!$K$3=2,
IF(ISBLANK(Deltagarlista!$C48),"",IF(ISBLANK(Arrangörslista!N$8),"",IF($GV46=U$64," DNS ",IFERROR(VLOOKUP($F46,Arrangörslista!N$8:$AG$45,16,FALSE),"DNS")))),IF(ISBLANK(Deltagarlista!$C48),"",IF(ISBLANK(Arrangörslista!N$8),"",IFERROR(VLOOKUP($F46,Arrangörslista!N$8:$AG$45,16,FALSE),"DNS")))))</f>
        <v/>
      </c>
      <c r="V46" s="5" t="str">
        <f>IF(Deltagarlista!$K$3=4,IF(ISBLANK(Deltagarlista!$C48),"",IF(ISBLANK(Arrangörslista!L$53),"",IFERROR(VLOOKUP($F46,Arrangörslista!L$53:$AG$90,16,FALSE),IF(ISBLANK(Deltagarlista!$C48),"",IF(ISBLANK(Arrangörslista!L$53),"",IFERROR(VLOOKUP($F46,Arrangörslista!M$53:$AG$90,16,FALSE),"DNS")))))),IF(Deltagarlista!$K$3=2,
IF(ISBLANK(Deltagarlista!$C48),"",IF(ISBLANK(Arrangörslista!O$8),"",IF($GV46=V$64," DNS ",IFERROR(VLOOKUP($F46,Arrangörslista!O$8:$AG$45,16,FALSE),"DNS")))),IF(ISBLANK(Deltagarlista!$C48),"",IF(ISBLANK(Arrangörslista!O$8),"",IFERROR(VLOOKUP($F46,Arrangörslista!O$8:$AG$45,16,FALSE),"DNS")))))</f>
        <v/>
      </c>
      <c r="W46" s="5" t="str">
        <f>IF(Deltagarlista!$K$3=4,IF(ISBLANK(Deltagarlista!$C48),"",IF(ISBLANK(Arrangörslista!N$53),"",IFERROR(VLOOKUP($F46,Arrangörslista!N$53:$AG$90,16,FALSE),IF(ISBLANK(Deltagarlista!$C48),"",IF(ISBLANK(Arrangörslista!N$53),"",IFERROR(VLOOKUP($F46,Arrangörslista!O$53:$AG$90,16,FALSE),"DNS")))))),IF(Deltagarlista!$K$3=2,
IF(ISBLANK(Deltagarlista!$C48),"",IF(ISBLANK(Arrangörslista!P$8),"",IF($GV46=W$64," DNS ",IFERROR(VLOOKUP($F46,Arrangörslista!P$8:$AG$45,16,FALSE),"DNS")))),IF(ISBLANK(Deltagarlista!$C48),"",IF(ISBLANK(Arrangörslista!P$8),"",IFERROR(VLOOKUP($F46,Arrangörslista!P$8:$AG$45,16,FALSE),"DNS")))))</f>
        <v/>
      </c>
      <c r="X46" s="5" t="str">
        <f>IF(Deltagarlista!$K$3=4,IF(ISBLANK(Deltagarlista!$C48),"",IF(ISBLANK(Arrangörslista!P$53),"",IFERROR(VLOOKUP($F46,Arrangörslista!P$53:$AG$90,16,FALSE),IF(ISBLANK(Deltagarlista!$C48),"",IF(ISBLANK(Arrangörslista!P$53),"",IFERROR(VLOOKUP($F46,Arrangörslista!Q$53:$AG$90,16,FALSE),"DNS")))))),IF(Deltagarlista!$K$3=2,
IF(ISBLANK(Deltagarlista!$C48),"",IF(ISBLANK(Arrangörslista!Q$8),"",IF($GV46=X$64," DNS ",IFERROR(VLOOKUP($F46,Arrangörslista!Q$8:$AG$45,16,FALSE),"DNS")))),IF(ISBLANK(Deltagarlista!$C48),"",IF(ISBLANK(Arrangörslista!Q$8),"",IFERROR(VLOOKUP($F46,Arrangörslista!Q$8:$AG$45,16,FALSE),"DNS")))))</f>
        <v/>
      </c>
      <c r="Y46" s="5" t="str">
        <f>IF(Deltagarlista!$K$3=4,IF(ISBLANK(Deltagarlista!$C48),"",IF(ISBLANK(Arrangörslista!C$98),"",IFERROR(VLOOKUP($F46,Arrangörslista!C$98:$AG$135,16,FALSE),IF(ISBLANK(Deltagarlista!$C48),"",IF(ISBLANK(Arrangörslista!C$98),"",IFERROR(VLOOKUP($F46,Arrangörslista!D$98:$AG$135,16,FALSE),"DNS")))))),IF(Deltagarlista!$K$3=2,
IF(ISBLANK(Deltagarlista!$C48),"",IF(ISBLANK(Arrangörslista!C$53),"",IF($GV46=Y$64," DNS ",IFERROR(VLOOKUP($F46,Arrangörslista!C$53:$AG$90,16,FALSE),"DNS")))),IF(ISBLANK(Deltagarlista!$C48),"",IF(ISBLANK(Arrangörslista!C$53),"",IFERROR(VLOOKUP($F46,Arrangörslista!C$53:$AG$90,16,FALSE),"DNS")))))</f>
        <v/>
      </c>
      <c r="Z46" s="5" t="str">
        <f>IF(Deltagarlista!$K$3=4,IF(ISBLANK(Deltagarlista!$C48),"",IF(ISBLANK(Arrangörslista!E$98),"",IFERROR(VLOOKUP($F46,Arrangörslista!E$98:$AG$135,16,FALSE),IF(ISBLANK(Deltagarlista!$C48),"",IF(ISBLANK(Arrangörslista!E$98),"",IFERROR(VLOOKUP($F46,Arrangörslista!F$98:$AG$135,16,FALSE),"DNS")))))),IF(Deltagarlista!$K$3=2,
IF(ISBLANK(Deltagarlista!$C48),"",IF(ISBLANK(Arrangörslista!D$53),"",IF($GV46=Z$64," DNS ",IFERROR(VLOOKUP($F46,Arrangörslista!D$53:$AG$90,16,FALSE),"DNS")))),IF(ISBLANK(Deltagarlista!$C48),"",IF(ISBLANK(Arrangörslista!D$53),"",IFERROR(VLOOKUP($F46,Arrangörslista!D$53:$AG$90,16,FALSE),"DNS")))))</f>
        <v/>
      </c>
      <c r="AA46" s="5" t="str">
        <f>IF(Deltagarlista!$K$3=4,IF(ISBLANK(Deltagarlista!$C48),"",IF(ISBLANK(Arrangörslista!G$98),"",IFERROR(VLOOKUP($F46,Arrangörslista!G$98:$AG$135,16,FALSE),IF(ISBLANK(Deltagarlista!$C48),"",IF(ISBLANK(Arrangörslista!G$98),"",IFERROR(VLOOKUP($F46,Arrangörslista!H$98:$AG$135,16,FALSE),"DNS")))))),IF(Deltagarlista!$K$3=2,
IF(ISBLANK(Deltagarlista!$C48),"",IF(ISBLANK(Arrangörslista!E$53),"",IF($GV46=AA$64," DNS ",IFERROR(VLOOKUP($F46,Arrangörslista!E$53:$AG$90,16,FALSE),"DNS")))),IF(ISBLANK(Deltagarlista!$C48),"",IF(ISBLANK(Arrangörslista!E$53),"",IFERROR(VLOOKUP($F46,Arrangörslista!E$53:$AG$90,16,FALSE),"DNS")))))</f>
        <v/>
      </c>
      <c r="AB46" s="5" t="str">
        <f>IF(Deltagarlista!$K$3=4,IF(ISBLANK(Deltagarlista!$C48),"",IF(ISBLANK(Arrangörslista!I$98),"",IFERROR(VLOOKUP($F46,Arrangörslista!I$98:$AG$135,16,FALSE),IF(ISBLANK(Deltagarlista!$C48),"",IF(ISBLANK(Arrangörslista!I$98),"",IFERROR(VLOOKUP($F46,Arrangörslista!J$98:$AG$135,16,FALSE),"DNS")))))),IF(Deltagarlista!$K$3=2,
IF(ISBLANK(Deltagarlista!$C48),"",IF(ISBLANK(Arrangörslista!F$53),"",IF($GV46=AB$64," DNS ",IFERROR(VLOOKUP($F46,Arrangörslista!F$53:$AG$90,16,FALSE),"DNS")))),IF(ISBLANK(Deltagarlista!$C48),"",IF(ISBLANK(Arrangörslista!F$53),"",IFERROR(VLOOKUP($F46,Arrangörslista!F$53:$AG$90,16,FALSE),"DNS")))))</f>
        <v/>
      </c>
      <c r="AC46" s="5" t="str">
        <f>IF(Deltagarlista!$K$3=4,IF(ISBLANK(Deltagarlista!$C48),"",IF(ISBLANK(Arrangörslista!K$98),"",IFERROR(VLOOKUP($F46,Arrangörslista!K$98:$AG$135,16,FALSE),IF(ISBLANK(Deltagarlista!$C48),"",IF(ISBLANK(Arrangörslista!K$98),"",IFERROR(VLOOKUP($F46,Arrangörslista!L$98:$AG$135,16,FALSE),"DNS")))))),IF(Deltagarlista!$K$3=2,
IF(ISBLANK(Deltagarlista!$C48),"",IF(ISBLANK(Arrangörslista!G$53),"",IF($GV46=AC$64," DNS ",IFERROR(VLOOKUP($F46,Arrangörslista!G$53:$AG$90,16,FALSE),"DNS")))),IF(ISBLANK(Deltagarlista!$C48),"",IF(ISBLANK(Arrangörslista!G$53),"",IFERROR(VLOOKUP($F46,Arrangörslista!G$53:$AG$90,16,FALSE),"DNS")))))</f>
        <v/>
      </c>
      <c r="AD46" s="5" t="str">
        <f>IF(Deltagarlista!$K$3=4,IF(ISBLANK(Deltagarlista!$C48),"",IF(ISBLANK(Arrangörslista!M$98),"",IFERROR(VLOOKUP($F46,Arrangörslista!M$98:$AG$135,16,FALSE),IF(ISBLANK(Deltagarlista!$C48),"",IF(ISBLANK(Arrangörslista!M$98),"",IFERROR(VLOOKUP($F46,Arrangörslista!N$98:$AG$135,16,FALSE),"DNS")))))),IF(Deltagarlista!$K$3=2,
IF(ISBLANK(Deltagarlista!$C48),"",IF(ISBLANK(Arrangörslista!H$53),"",IF($GV46=AD$64," DNS ",IFERROR(VLOOKUP($F46,Arrangörslista!H$53:$AG$90,16,FALSE),"DNS")))),IF(ISBLANK(Deltagarlista!$C48),"",IF(ISBLANK(Arrangörslista!H$53),"",IFERROR(VLOOKUP($F46,Arrangörslista!H$53:$AG$90,16,FALSE),"DNS")))))</f>
        <v/>
      </c>
      <c r="AE46" s="5" t="str">
        <f>IF(Deltagarlista!$K$3=4,IF(ISBLANK(Deltagarlista!$C48),"",IF(ISBLANK(Arrangörslista!O$98),"",IFERROR(VLOOKUP($F46,Arrangörslista!O$98:$AG$135,16,FALSE),IF(ISBLANK(Deltagarlista!$C48),"",IF(ISBLANK(Arrangörslista!O$98),"",IFERROR(VLOOKUP($F46,Arrangörslista!P$98:$AG$135,16,FALSE),"DNS")))))),IF(Deltagarlista!$K$3=2,
IF(ISBLANK(Deltagarlista!$C48),"",IF(ISBLANK(Arrangörslista!I$53),"",IF($GV46=AE$64," DNS ",IFERROR(VLOOKUP($F46,Arrangörslista!I$53:$AG$90,16,FALSE),"DNS")))),IF(ISBLANK(Deltagarlista!$C48),"",IF(ISBLANK(Arrangörslista!I$53),"",IFERROR(VLOOKUP($F46,Arrangörslista!I$53:$AG$90,16,FALSE),"DNS")))))</f>
        <v/>
      </c>
      <c r="AF46" s="5" t="str">
        <f>IF(Deltagarlista!$K$3=4,IF(ISBLANK(Deltagarlista!$C48),"",IF(ISBLANK(Arrangörslista!Q$98),"",IFERROR(VLOOKUP($F46,Arrangörslista!Q$98:$AG$135,16,FALSE),IF(ISBLANK(Deltagarlista!$C48),"",IF(ISBLANK(Arrangörslista!Q$98),"",IFERROR(VLOOKUP($F46,Arrangörslista!C$143:$AG$180,16,FALSE),"DNS")))))),IF(Deltagarlista!$K$3=2,
IF(ISBLANK(Deltagarlista!$C48),"",IF(ISBLANK(Arrangörslista!J$53),"",IF($GV46=AF$64," DNS ",IFERROR(VLOOKUP($F46,Arrangörslista!J$53:$AG$90,16,FALSE),"DNS")))),IF(ISBLANK(Deltagarlista!$C48),"",IF(ISBLANK(Arrangörslista!J$53),"",IFERROR(VLOOKUP($F46,Arrangörslista!J$53:$AG$90,16,FALSE),"DNS")))))</f>
        <v/>
      </c>
      <c r="AG46" s="5" t="str">
        <f>IF(Deltagarlista!$K$3=4,IF(ISBLANK(Deltagarlista!$C48),"",IF(ISBLANK(Arrangörslista!D$143),"",IFERROR(VLOOKUP($F46,Arrangörslista!D$143:$AG$180,16,FALSE),IF(ISBLANK(Deltagarlista!$C48),"",IF(ISBLANK(Arrangörslista!D$143),"",IFERROR(VLOOKUP($F46,Arrangörslista!E$143:$AG$180,16,FALSE),"DNS")))))),IF(Deltagarlista!$K$3=2,
IF(ISBLANK(Deltagarlista!$C48),"",IF(ISBLANK(Arrangörslista!K$53),"",IF($GV46=AG$64," DNS ",IFERROR(VLOOKUP($F46,Arrangörslista!K$53:$AG$90,16,FALSE),"DNS")))),IF(ISBLANK(Deltagarlista!$C48),"",IF(ISBLANK(Arrangörslista!K$53),"",IFERROR(VLOOKUP($F46,Arrangörslista!K$53:$AG$90,16,FALSE),"DNS")))))</f>
        <v/>
      </c>
      <c r="AH46" s="5" t="str">
        <f>IF(Deltagarlista!$K$3=4,IF(ISBLANK(Deltagarlista!$C48),"",IF(ISBLANK(Arrangörslista!F$143),"",IFERROR(VLOOKUP($F46,Arrangörslista!F$143:$AG$180,16,FALSE),IF(ISBLANK(Deltagarlista!$C48),"",IF(ISBLANK(Arrangörslista!F$143),"",IFERROR(VLOOKUP($F46,Arrangörslista!G$143:$AG$180,16,FALSE),"DNS")))))),IF(Deltagarlista!$K$3=2,
IF(ISBLANK(Deltagarlista!$C48),"",IF(ISBLANK(Arrangörslista!L$53),"",IF($GV46=AH$64," DNS ",IFERROR(VLOOKUP($F46,Arrangörslista!L$53:$AG$90,16,FALSE),"DNS")))),IF(ISBLANK(Deltagarlista!$C48),"",IF(ISBLANK(Arrangörslista!L$53),"",IFERROR(VLOOKUP($F46,Arrangörslista!L$53:$AG$90,16,FALSE),"DNS")))))</f>
        <v/>
      </c>
      <c r="AI46" s="5" t="str">
        <f>IF(Deltagarlista!$K$3=4,IF(ISBLANK(Deltagarlista!$C48),"",IF(ISBLANK(Arrangörslista!H$143),"",IFERROR(VLOOKUP($F46,Arrangörslista!H$143:$AG$180,16,FALSE),IF(ISBLANK(Deltagarlista!$C48),"",IF(ISBLANK(Arrangörslista!H$143),"",IFERROR(VLOOKUP($F46,Arrangörslista!I$143:$AG$180,16,FALSE),"DNS")))))),IF(Deltagarlista!$K$3=2,
IF(ISBLANK(Deltagarlista!$C48),"",IF(ISBLANK(Arrangörslista!M$53),"",IF($GV46=AI$64," DNS ",IFERROR(VLOOKUP($F46,Arrangörslista!M$53:$AG$90,16,FALSE),"DNS")))),IF(ISBLANK(Deltagarlista!$C48),"",IF(ISBLANK(Arrangörslista!M$53),"",IFERROR(VLOOKUP($F46,Arrangörslista!M$53:$AG$90,16,FALSE),"DNS")))))</f>
        <v/>
      </c>
      <c r="AJ46" s="5" t="str">
        <f>IF(Deltagarlista!$K$3=4,IF(ISBLANK(Deltagarlista!$C48),"",IF(ISBLANK(Arrangörslista!J$143),"",IFERROR(VLOOKUP($F46,Arrangörslista!J$143:$AG$180,16,FALSE),IF(ISBLANK(Deltagarlista!$C48),"",IF(ISBLANK(Arrangörslista!J$143),"",IFERROR(VLOOKUP($F46,Arrangörslista!K$143:$AG$180,16,FALSE),"DNS")))))),IF(Deltagarlista!$K$3=2,
IF(ISBLANK(Deltagarlista!$C48),"",IF(ISBLANK(Arrangörslista!N$53),"",IF($GV46=AJ$64," DNS ",IFERROR(VLOOKUP($F46,Arrangörslista!N$53:$AG$90,16,FALSE),"DNS")))),IF(ISBLANK(Deltagarlista!$C48),"",IF(ISBLANK(Arrangörslista!N$53),"",IFERROR(VLOOKUP($F46,Arrangörslista!N$53:$AG$90,16,FALSE),"DNS")))))</f>
        <v/>
      </c>
      <c r="AK46" s="5" t="str">
        <f>IF(Deltagarlista!$K$3=4,IF(ISBLANK(Deltagarlista!$C48),"",IF(ISBLANK(Arrangörslista!L$143),"",IFERROR(VLOOKUP($F46,Arrangörslista!L$143:$AG$180,16,FALSE),IF(ISBLANK(Deltagarlista!$C48),"",IF(ISBLANK(Arrangörslista!L$143),"",IFERROR(VLOOKUP($F46,Arrangörslista!M$143:$AG$180,16,FALSE),"DNS")))))),IF(Deltagarlista!$K$3=2,
IF(ISBLANK(Deltagarlista!$C48),"",IF(ISBLANK(Arrangörslista!O$53),"",IF($GV46=AK$64," DNS ",IFERROR(VLOOKUP($F46,Arrangörslista!O$53:$AG$90,16,FALSE),"DNS")))),IF(ISBLANK(Deltagarlista!$C48),"",IF(ISBLANK(Arrangörslista!O$53),"",IFERROR(VLOOKUP($F46,Arrangörslista!O$53:$AG$90,16,FALSE),"DNS")))))</f>
        <v/>
      </c>
      <c r="AL46" s="5" t="str">
        <f>IF(Deltagarlista!$K$3=4,IF(ISBLANK(Deltagarlista!$C48),"",IF(ISBLANK(Arrangörslista!N$143),"",IFERROR(VLOOKUP($F46,Arrangörslista!N$143:$AG$180,16,FALSE),IF(ISBLANK(Deltagarlista!$C48),"",IF(ISBLANK(Arrangörslista!N$143),"",IFERROR(VLOOKUP($F46,Arrangörslista!O$143:$AG$180,16,FALSE),"DNS")))))),IF(Deltagarlista!$K$3=2,
IF(ISBLANK(Deltagarlista!$C48),"",IF(ISBLANK(Arrangörslista!P$53),"",IF($GV46=AL$64," DNS ",IFERROR(VLOOKUP($F46,Arrangörslista!P$53:$AG$90,16,FALSE),"DNS")))),IF(ISBLANK(Deltagarlista!$C48),"",IF(ISBLANK(Arrangörslista!P$53),"",IFERROR(VLOOKUP($F46,Arrangörslista!P$53:$AG$90,16,FALSE),"DNS")))))</f>
        <v/>
      </c>
      <c r="AM46" s="5" t="str">
        <f>IF(Deltagarlista!$K$3=4,IF(ISBLANK(Deltagarlista!$C48),"",IF(ISBLANK(Arrangörslista!P$143),"",IFERROR(VLOOKUP($F46,Arrangörslista!P$143:$AG$180,16,FALSE),IF(ISBLANK(Deltagarlista!$C48),"",IF(ISBLANK(Arrangörslista!P$143),"",IFERROR(VLOOKUP($F46,Arrangörslista!Q$143:$AG$180,16,FALSE),"DNS")))))),IF(Deltagarlista!$K$3=2,
IF(ISBLANK(Deltagarlista!$C48),"",IF(ISBLANK(Arrangörslista!Q$53),"",IF($GV46=AM$64," DNS ",IFERROR(VLOOKUP($F46,Arrangörslista!Q$53:$AG$90,16,FALSE),"DNS")))),IF(ISBLANK(Deltagarlista!$C48),"",IF(ISBLANK(Arrangörslista!Q$53),"",IFERROR(VLOOKUP($F46,Arrangörslista!Q$53:$AG$90,16,FALSE),"DNS")))))</f>
        <v/>
      </c>
      <c r="AN46" s="5" t="str">
        <f>IF(Deltagarlista!$K$3=2,
IF(ISBLANK(Deltagarlista!$C48),"",IF(ISBLANK(Arrangörslista!C$98),"",IF($GV46=AN$64," DNS ",IFERROR(VLOOKUP($F46,Arrangörslista!C$98:$AG$135,16,FALSE), "DNS")))), IF(Deltagarlista!$K$3=1,IF(ISBLANK(Deltagarlista!$C48),"",IF(ISBLANK(Arrangörslista!C$98),"",IFERROR(VLOOKUP($F46,Arrangörslista!C$98:$AG$135,16,FALSE), "DNS"))),""))</f>
        <v/>
      </c>
      <c r="AO46" s="5" t="str">
        <f>IF(Deltagarlista!$K$3=2,
IF(ISBLANK(Deltagarlista!$C48),"",IF(ISBLANK(Arrangörslista!D$98),"",IF($GV46=AO$64," DNS ",IFERROR(VLOOKUP($F46,Arrangörslista!D$98:$AG$135,16,FALSE), "DNS")))), IF(Deltagarlista!$K$3=1,IF(ISBLANK(Deltagarlista!$C48),"",IF(ISBLANK(Arrangörslista!D$98),"",IFERROR(VLOOKUP($F46,Arrangörslista!D$98:$AG$135,16,FALSE), "DNS"))),""))</f>
        <v/>
      </c>
      <c r="AP46" s="5" t="str">
        <f>IF(Deltagarlista!$K$3=2,
IF(ISBLANK(Deltagarlista!$C48),"",IF(ISBLANK(Arrangörslista!E$98),"",IF($GV46=AP$64," DNS ",IFERROR(VLOOKUP($F46,Arrangörslista!E$98:$AG$135,16,FALSE), "DNS")))), IF(Deltagarlista!$K$3=1,IF(ISBLANK(Deltagarlista!$C48),"",IF(ISBLANK(Arrangörslista!E$98),"",IFERROR(VLOOKUP($F46,Arrangörslista!E$98:$AG$135,16,FALSE), "DNS"))),""))</f>
        <v/>
      </c>
      <c r="AQ46" s="5" t="str">
        <f>IF(Deltagarlista!$K$3=2,
IF(ISBLANK(Deltagarlista!$C48),"",IF(ISBLANK(Arrangörslista!F$98),"",IF($GV46=AQ$64," DNS ",IFERROR(VLOOKUP($F46,Arrangörslista!F$98:$AG$135,16,FALSE), "DNS")))), IF(Deltagarlista!$K$3=1,IF(ISBLANK(Deltagarlista!$C48),"",IF(ISBLANK(Arrangörslista!F$98),"",IFERROR(VLOOKUP($F46,Arrangörslista!F$98:$AG$135,16,FALSE), "DNS"))),""))</f>
        <v/>
      </c>
      <c r="AR46" s="5" t="str">
        <f>IF(Deltagarlista!$K$3=2,
IF(ISBLANK(Deltagarlista!$C48),"",IF(ISBLANK(Arrangörslista!G$98),"",IF($GV46=AR$64," DNS ",IFERROR(VLOOKUP($F46,Arrangörslista!G$98:$AG$135,16,FALSE), "DNS")))), IF(Deltagarlista!$K$3=1,IF(ISBLANK(Deltagarlista!$C48),"",IF(ISBLANK(Arrangörslista!G$98),"",IFERROR(VLOOKUP($F46,Arrangörslista!G$98:$AG$135,16,FALSE), "DNS"))),""))</f>
        <v/>
      </c>
      <c r="AS46" s="5" t="str">
        <f>IF(Deltagarlista!$K$3=2,
IF(ISBLANK(Deltagarlista!$C48),"",IF(ISBLANK(Arrangörslista!H$98),"",IF($GV46=AS$64," DNS ",IFERROR(VLOOKUP($F46,Arrangörslista!H$98:$AG$135,16,FALSE), "DNS")))), IF(Deltagarlista!$K$3=1,IF(ISBLANK(Deltagarlista!$C48),"",IF(ISBLANK(Arrangörslista!H$98),"",IFERROR(VLOOKUP($F46,Arrangörslista!H$98:$AG$135,16,FALSE), "DNS"))),""))</f>
        <v/>
      </c>
      <c r="AT46" s="5" t="str">
        <f>IF(Deltagarlista!$K$3=2,
IF(ISBLANK(Deltagarlista!$C48),"",IF(ISBLANK(Arrangörslista!I$98),"",IF($GV46=AT$64," DNS ",IFERROR(VLOOKUP($F46,Arrangörslista!I$98:$AG$135,16,FALSE), "DNS")))), IF(Deltagarlista!$K$3=1,IF(ISBLANK(Deltagarlista!$C48),"",IF(ISBLANK(Arrangörslista!I$98),"",IFERROR(VLOOKUP($F46,Arrangörslista!I$98:$AG$135,16,FALSE), "DNS"))),""))</f>
        <v/>
      </c>
      <c r="AU46" s="5" t="str">
        <f>IF(Deltagarlista!$K$3=2,
IF(ISBLANK(Deltagarlista!$C48),"",IF(ISBLANK(Arrangörslista!J$98),"",IF($GV46=AU$64," DNS ",IFERROR(VLOOKUP($F46,Arrangörslista!J$98:$AG$135,16,FALSE), "DNS")))), IF(Deltagarlista!$K$3=1,IF(ISBLANK(Deltagarlista!$C48),"",IF(ISBLANK(Arrangörslista!J$98),"",IFERROR(VLOOKUP($F46,Arrangörslista!J$98:$AG$135,16,FALSE), "DNS"))),""))</f>
        <v/>
      </c>
      <c r="AV46" s="5" t="str">
        <f>IF(Deltagarlista!$K$3=2,
IF(ISBLANK(Deltagarlista!$C48),"",IF(ISBLANK(Arrangörslista!K$98),"",IF($GV46=AV$64," DNS ",IFERROR(VLOOKUP($F46,Arrangörslista!K$98:$AG$135,16,FALSE), "DNS")))), IF(Deltagarlista!$K$3=1,IF(ISBLANK(Deltagarlista!$C48),"",IF(ISBLANK(Arrangörslista!K$98),"",IFERROR(VLOOKUP($F46,Arrangörslista!K$98:$AG$135,16,FALSE), "DNS"))),""))</f>
        <v/>
      </c>
      <c r="AW46" s="5" t="str">
        <f>IF(Deltagarlista!$K$3=2,
IF(ISBLANK(Deltagarlista!$C48),"",IF(ISBLANK(Arrangörslista!L$98),"",IF($GV46=AW$64," DNS ",IFERROR(VLOOKUP($F46,Arrangörslista!L$98:$AG$135,16,FALSE), "DNS")))), IF(Deltagarlista!$K$3=1,IF(ISBLANK(Deltagarlista!$C48),"",IF(ISBLANK(Arrangörslista!L$98),"",IFERROR(VLOOKUP($F46,Arrangörslista!L$98:$AG$135,16,FALSE), "DNS"))),""))</f>
        <v/>
      </c>
      <c r="AX46" s="5" t="str">
        <f>IF(Deltagarlista!$K$3=2,
IF(ISBLANK(Deltagarlista!$C48),"",IF(ISBLANK(Arrangörslista!M$98),"",IF($GV46=AX$64," DNS ",IFERROR(VLOOKUP($F46,Arrangörslista!M$98:$AG$135,16,FALSE), "DNS")))), IF(Deltagarlista!$K$3=1,IF(ISBLANK(Deltagarlista!$C48),"",IF(ISBLANK(Arrangörslista!M$98),"",IFERROR(VLOOKUP($F46,Arrangörslista!M$98:$AG$135,16,FALSE), "DNS"))),""))</f>
        <v/>
      </c>
      <c r="AY46" s="5" t="str">
        <f>IF(Deltagarlista!$K$3=2,
IF(ISBLANK(Deltagarlista!$C48),"",IF(ISBLANK(Arrangörslista!N$98),"",IF($GV46=AY$64," DNS ",IFERROR(VLOOKUP($F46,Arrangörslista!N$98:$AG$135,16,FALSE), "DNS")))), IF(Deltagarlista!$K$3=1,IF(ISBLANK(Deltagarlista!$C48),"",IF(ISBLANK(Arrangörslista!N$98),"",IFERROR(VLOOKUP($F46,Arrangörslista!N$98:$AG$135,16,FALSE), "DNS"))),""))</f>
        <v/>
      </c>
      <c r="AZ46" s="5" t="str">
        <f>IF(Deltagarlista!$K$3=2,
IF(ISBLANK(Deltagarlista!$C48),"",IF(ISBLANK(Arrangörslista!O$98),"",IF($GV46=AZ$64," DNS ",IFERROR(VLOOKUP($F46,Arrangörslista!O$98:$AG$135,16,FALSE), "DNS")))), IF(Deltagarlista!$K$3=1,IF(ISBLANK(Deltagarlista!$C48),"",IF(ISBLANK(Arrangörslista!O$98),"",IFERROR(VLOOKUP($F46,Arrangörslista!O$98:$AG$135,16,FALSE), "DNS"))),""))</f>
        <v/>
      </c>
      <c r="BA46" s="5" t="str">
        <f>IF(Deltagarlista!$K$3=2,
IF(ISBLANK(Deltagarlista!$C48),"",IF(ISBLANK(Arrangörslista!P$98),"",IF($GV46=BA$64," DNS ",IFERROR(VLOOKUP($F46,Arrangörslista!P$98:$AG$135,16,FALSE), "DNS")))), IF(Deltagarlista!$K$3=1,IF(ISBLANK(Deltagarlista!$C48),"",IF(ISBLANK(Arrangörslista!P$98),"",IFERROR(VLOOKUP($F46,Arrangörslista!P$98:$AG$135,16,FALSE), "DNS"))),""))</f>
        <v/>
      </c>
      <c r="BB46" s="5" t="str">
        <f>IF(Deltagarlista!$K$3=2,
IF(ISBLANK(Deltagarlista!$C48),"",IF(ISBLANK(Arrangörslista!Q$98),"",IF($GV46=BB$64," DNS ",IFERROR(VLOOKUP($F46,Arrangörslista!Q$98:$AG$135,16,FALSE), "DNS")))), IF(Deltagarlista!$K$3=1,IF(ISBLANK(Deltagarlista!$C48),"",IF(ISBLANK(Arrangörslista!Q$98),"",IFERROR(VLOOKUP($F46,Arrangörslista!Q$98:$AG$135,16,FALSE), "DNS"))),""))</f>
        <v/>
      </c>
      <c r="BC46" s="5" t="str">
        <f>IF(Deltagarlista!$K$3=2,
IF(ISBLANK(Deltagarlista!$C48),"",IF(ISBLANK(Arrangörslista!C$143),"",IF($GV46=BC$64," DNS ",IFERROR(VLOOKUP($F46,Arrangörslista!C$143:$AG$180,16,FALSE), "DNS")))), IF(Deltagarlista!$K$3=1,IF(ISBLANK(Deltagarlista!$C48),"",IF(ISBLANK(Arrangörslista!C$143),"",IFERROR(VLOOKUP($F46,Arrangörslista!C$143:$AG$180,16,FALSE), "DNS"))),""))</f>
        <v/>
      </c>
      <c r="BD46" s="5" t="str">
        <f>IF(Deltagarlista!$K$3=2,
IF(ISBLANK(Deltagarlista!$C48),"",IF(ISBLANK(Arrangörslista!D$143),"",IF($GV46=BD$64," DNS ",IFERROR(VLOOKUP($F46,Arrangörslista!D$143:$AG$180,16,FALSE), "DNS")))), IF(Deltagarlista!$K$3=1,IF(ISBLANK(Deltagarlista!$C48),"",IF(ISBLANK(Arrangörslista!D$143),"",IFERROR(VLOOKUP($F46,Arrangörslista!D$143:$AG$180,16,FALSE), "DNS"))),""))</f>
        <v/>
      </c>
      <c r="BE46" s="5" t="str">
        <f>IF(Deltagarlista!$K$3=2,
IF(ISBLANK(Deltagarlista!$C48),"",IF(ISBLANK(Arrangörslista!E$143),"",IF($GV46=BE$64," DNS ",IFERROR(VLOOKUP($F46,Arrangörslista!E$143:$AG$180,16,FALSE), "DNS")))), IF(Deltagarlista!$K$3=1,IF(ISBLANK(Deltagarlista!$C48),"",IF(ISBLANK(Arrangörslista!E$143),"",IFERROR(VLOOKUP($F46,Arrangörslista!E$143:$AG$180,16,FALSE), "DNS"))),""))</f>
        <v/>
      </c>
      <c r="BF46" s="5" t="str">
        <f>IF(Deltagarlista!$K$3=2,
IF(ISBLANK(Deltagarlista!$C48),"",IF(ISBLANK(Arrangörslista!F$143),"",IF($GV46=BF$64," DNS ",IFERROR(VLOOKUP($F46,Arrangörslista!F$143:$AG$180,16,FALSE), "DNS")))), IF(Deltagarlista!$K$3=1,IF(ISBLANK(Deltagarlista!$C48),"",IF(ISBLANK(Arrangörslista!F$143),"",IFERROR(VLOOKUP($F46,Arrangörslista!F$143:$AG$180,16,FALSE), "DNS"))),""))</f>
        <v/>
      </c>
      <c r="BG46" s="5" t="str">
        <f>IF(Deltagarlista!$K$3=2,
IF(ISBLANK(Deltagarlista!$C48),"",IF(ISBLANK(Arrangörslista!G$143),"",IF($GV46=BG$64," DNS ",IFERROR(VLOOKUP($F46,Arrangörslista!G$143:$AG$180,16,FALSE), "DNS")))), IF(Deltagarlista!$K$3=1,IF(ISBLANK(Deltagarlista!$C48),"",IF(ISBLANK(Arrangörslista!G$143),"",IFERROR(VLOOKUP($F46,Arrangörslista!G$143:$AG$180,16,FALSE), "DNS"))),""))</f>
        <v/>
      </c>
      <c r="BH46" s="5" t="str">
        <f>IF(Deltagarlista!$K$3=2,
IF(ISBLANK(Deltagarlista!$C48),"",IF(ISBLANK(Arrangörslista!H$143),"",IF($GV46=BH$64," DNS ",IFERROR(VLOOKUP($F46,Arrangörslista!H$143:$AG$180,16,FALSE), "DNS")))), IF(Deltagarlista!$K$3=1,IF(ISBLANK(Deltagarlista!$C48),"",IF(ISBLANK(Arrangörslista!H$143),"",IFERROR(VLOOKUP($F46,Arrangörslista!H$143:$AG$180,16,FALSE), "DNS"))),""))</f>
        <v/>
      </c>
      <c r="BI46" s="5" t="str">
        <f>IF(Deltagarlista!$K$3=2,
IF(ISBLANK(Deltagarlista!$C48),"",IF(ISBLANK(Arrangörslista!I$143),"",IF($GV46=BI$64," DNS ",IFERROR(VLOOKUP($F46,Arrangörslista!I$143:$AG$180,16,FALSE), "DNS")))), IF(Deltagarlista!$K$3=1,IF(ISBLANK(Deltagarlista!$C48),"",IF(ISBLANK(Arrangörslista!I$143),"",IFERROR(VLOOKUP($F46,Arrangörslista!I$143:$AG$180,16,FALSE), "DNS"))),""))</f>
        <v/>
      </c>
      <c r="BJ46" s="5" t="str">
        <f>IF(Deltagarlista!$K$3=2,
IF(ISBLANK(Deltagarlista!$C48),"",IF(ISBLANK(Arrangörslista!J$143),"",IF($GV46=BJ$64," DNS ",IFERROR(VLOOKUP($F46,Arrangörslista!J$143:$AG$180,16,FALSE), "DNS")))), IF(Deltagarlista!$K$3=1,IF(ISBLANK(Deltagarlista!$C48),"",IF(ISBLANK(Arrangörslista!J$143),"",IFERROR(VLOOKUP($F46,Arrangörslista!J$143:$AG$180,16,FALSE), "DNS"))),""))</f>
        <v/>
      </c>
      <c r="BK46" s="5" t="str">
        <f>IF(Deltagarlista!$K$3=2,
IF(ISBLANK(Deltagarlista!$C48),"",IF(ISBLANK(Arrangörslista!K$143),"",IF($GV46=BK$64," DNS ",IFERROR(VLOOKUP($F46,Arrangörslista!K$143:$AG$180,16,FALSE), "DNS")))), IF(Deltagarlista!$K$3=1,IF(ISBLANK(Deltagarlista!$C48),"",IF(ISBLANK(Arrangörslista!K$143),"",IFERROR(VLOOKUP($F46,Arrangörslista!K$143:$AG$180,16,FALSE), "DNS"))),""))</f>
        <v/>
      </c>
      <c r="BL46" s="5" t="str">
        <f>IF(Deltagarlista!$K$3=2,
IF(ISBLANK(Deltagarlista!$C48),"",IF(ISBLANK(Arrangörslista!L$143),"",IF($GV46=BL$64," DNS ",IFERROR(VLOOKUP($F46,Arrangörslista!L$143:$AG$180,16,FALSE), "DNS")))), IF(Deltagarlista!$K$3=1,IF(ISBLANK(Deltagarlista!$C48),"",IF(ISBLANK(Arrangörslista!L$143),"",IFERROR(VLOOKUP($F46,Arrangörslista!L$143:$AG$180,16,FALSE), "DNS"))),""))</f>
        <v/>
      </c>
      <c r="BM46" s="5" t="str">
        <f>IF(Deltagarlista!$K$3=2,
IF(ISBLANK(Deltagarlista!$C48),"",IF(ISBLANK(Arrangörslista!M$143),"",IF($GV46=BM$64," DNS ",IFERROR(VLOOKUP($F46,Arrangörslista!M$143:$AG$180,16,FALSE), "DNS")))), IF(Deltagarlista!$K$3=1,IF(ISBLANK(Deltagarlista!$C48),"",IF(ISBLANK(Arrangörslista!M$143),"",IFERROR(VLOOKUP($F46,Arrangörslista!M$143:$AG$180,16,FALSE), "DNS"))),""))</f>
        <v/>
      </c>
      <c r="BN46" s="5" t="str">
        <f>IF(Deltagarlista!$K$3=2,
IF(ISBLANK(Deltagarlista!$C48),"",IF(ISBLANK(Arrangörslista!N$143),"",IF($GV46=BN$64," DNS ",IFERROR(VLOOKUP($F46,Arrangörslista!N$143:$AG$180,16,FALSE), "DNS")))), IF(Deltagarlista!$K$3=1,IF(ISBLANK(Deltagarlista!$C48),"",IF(ISBLANK(Arrangörslista!N$143),"",IFERROR(VLOOKUP($F46,Arrangörslista!N$143:$AG$180,16,FALSE), "DNS"))),""))</f>
        <v/>
      </c>
      <c r="BO46" s="5" t="str">
        <f>IF(Deltagarlista!$K$3=2,
IF(ISBLANK(Deltagarlista!$C48),"",IF(ISBLANK(Arrangörslista!O$143),"",IF($GV46=BO$64," DNS ",IFERROR(VLOOKUP($F46,Arrangörslista!O$143:$AG$180,16,FALSE), "DNS")))), IF(Deltagarlista!$K$3=1,IF(ISBLANK(Deltagarlista!$C48),"",IF(ISBLANK(Arrangörslista!O$143),"",IFERROR(VLOOKUP($F46,Arrangörslista!O$143:$AG$180,16,FALSE), "DNS"))),""))</f>
        <v/>
      </c>
      <c r="BP46" s="5" t="str">
        <f>IF(Deltagarlista!$K$3=2,
IF(ISBLANK(Deltagarlista!$C48),"",IF(ISBLANK(Arrangörslista!P$143),"",IF($GV46=BP$64," DNS ",IFERROR(VLOOKUP($F46,Arrangörslista!P$143:$AG$180,16,FALSE), "DNS")))), IF(Deltagarlista!$K$3=1,IF(ISBLANK(Deltagarlista!$C48),"",IF(ISBLANK(Arrangörslista!P$143),"",IFERROR(VLOOKUP($F46,Arrangörslista!P$143:$AG$180,16,FALSE), "DNS"))),""))</f>
        <v/>
      </c>
      <c r="BQ46" s="80" t="str">
        <f>IF(Deltagarlista!$K$3=2,
IF(ISBLANK(Deltagarlista!$C48),"",IF(ISBLANK(Arrangörslista!Q$143),"",IF($GV46=BQ$64," DNS ",IFERROR(VLOOKUP($F46,Arrangörslista!Q$143:$AG$180,16,FALSE), "DNS")))), IF(Deltagarlista!$K$3=1,IF(ISBLANK(Deltagarlista!$C48),"",IF(ISBLANK(Arrangörslista!Q$143),"",IFERROR(VLOOKUP($F46,Arrangörslista!Q$143:$AG$180,16,FALSE), "DNS"))),""))</f>
        <v/>
      </c>
      <c r="BR46" s="48"/>
      <c r="BU46" s="71">
        <f>SUM(BV46:EC46)</f>
        <v>0</v>
      </c>
      <c r="BV46" s="61">
        <f>IF(J46="",0,IF(OR(J46="DNF",J46="OCS",J46="DSQ",J46="DNS",J46=" DNS "),$BW$3+1,J46))</f>
        <v>0</v>
      </c>
      <c r="BW46" s="61">
        <f>IF(K46="",0,IF(OR(K46="DNF",K46="OCS",K46="DSQ",K46="DNS",K46=" DNS "),$BW$3+1,K46))</f>
        <v>0</v>
      </c>
      <c r="BX46" s="61">
        <f>IF(L46="",0,IF(OR(L46="DNF",L46="OCS",L46="DSQ",L46="DNS",L46=" DNS "),$BW$3+1,L46))</f>
        <v>0</v>
      </c>
      <c r="BY46" s="61">
        <f>IF(M46="",0,IF(OR(M46="DNF",M46="OCS",M46="DSQ",M46="DNS",M46=" DNS "),$BW$3+1,M46))</f>
        <v>0</v>
      </c>
      <c r="BZ46" s="61">
        <f>IF(N46="",0,IF(OR(N46="DNF",N46="OCS",N46="DSQ",N46="DNS",N46=" DNS "),$BW$3+1,N46))</f>
        <v>0</v>
      </c>
      <c r="CA46" s="61">
        <f>IF(O46="",0,IF(OR(O46="DNF",O46="OCS",O46="DSQ",O46="DNS",O46=" DNS "),$BW$3+1,O46))</f>
        <v>0</v>
      </c>
      <c r="CB46" s="61">
        <f>IF(P46="",0,IF(OR(P46="DNF",P46="OCS",P46="DSQ",P46="DNS",P46=" DNS "),$BW$3+1,P46))</f>
        <v>0</v>
      </c>
      <c r="CC46" s="61">
        <f>IF(Q46="",0,IF(OR(Q46="DNF",Q46="OCS",Q46="DSQ",Q46="DNS",Q46=" DNS "),$BW$3+1,Q46))</f>
        <v>0</v>
      </c>
      <c r="CD46" s="61">
        <f>IF(R46="",0,IF(OR(R46="DNF",R46="OCS",R46="DSQ",R46="DNS",R46=" DNS "),$BW$3+1,R46))</f>
        <v>0</v>
      </c>
      <c r="CE46" s="61">
        <f>IF(S46="",0,IF(OR(S46="DNF",S46="OCS",S46="DSQ",S46="DNS",S46=" DNS "),$BW$3+1,S46))</f>
        <v>0</v>
      </c>
      <c r="CF46" s="61">
        <f>IF(T46="",0,IF(OR(T46="DNF",T46="OCS",T46="DSQ",T46="DNS",T46=" DNS "),$BW$3+1,T46))</f>
        <v>0</v>
      </c>
      <c r="CG46" s="61">
        <f>IF(U46="",0,IF(OR(U46="DNF",U46="OCS",U46="DSQ",U46="DNS",U46=" DNS "),$BW$3+1,U46))</f>
        <v>0</v>
      </c>
      <c r="CH46" s="61">
        <f>IF(V46="",0,IF(OR(V46="DNF",V46="OCS",V46="DSQ",V46="DNS",V46=" DNS "),$BW$3+1,V46))</f>
        <v>0</v>
      </c>
      <c r="CI46" s="61">
        <f>IF(W46="",0,IF(OR(W46="DNF",W46="OCS",W46="DSQ",W46="DNS",W46=" DNS "),$BW$3+1,W46))</f>
        <v>0</v>
      </c>
      <c r="CJ46" s="61">
        <f>IF(X46="",0,IF(OR(X46="DNF",X46="OCS",X46="DSQ",X46="DNS",X46=" DNS "),$BW$3+1,X46))</f>
        <v>0</v>
      </c>
      <c r="CK46" s="61">
        <f>IF(Y46="",0,IF(OR(Y46="DNF",Y46="OCS",Y46="DSQ",Y46="DNS",Y46=" DNS "),$BW$3+1,Y46))</f>
        <v>0</v>
      </c>
      <c r="CL46" s="61">
        <f>IF(Z46="",0,IF(OR(Z46="DNF",Z46="OCS",Z46="DSQ",Z46="DNS",Z46=" DNS "),$BW$3+1,Z46))</f>
        <v>0</v>
      </c>
      <c r="CM46" s="61">
        <f>IF(AA46="",0,IF(OR(AA46="DNF",AA46="OCS",AA46="DSQ",AA46="DNS",AA46=" DNS "),$BW$3+1,AA46))</f>
        <v>0</v>
      </c>
      <c r="CN46" s="61">
        <f>IF(AB46="",0,IF(OR(AB46="DNF",AB46="OCS",AB46="DSQ",AB46="DNS",AB46=" DNS "),$BW$3+1,AB46))</f>
        <v>0</v>
      </c>
      <c r="CO46" s="61">
        <f>IF(AC46="",0,IF(OR(AC46="DNF",AC46="OCS",AC46="DSQ",AC46="DNS",AC46=" DNS "),$BW$3+1,AC46))</f>
        <v>0</v>
      </c>
      <c r="CP46" s="61">
        <f>IF(AD46="",0,IF(OR(AD46="DNF",AD46="OCS",AD46="DSQ",AD46="DNS",AD46=" DNS "),$BW$3+1,AD46))</f>
        <v>0</v>
      </c>
      <c r="CQ46" s="61">
        <f>IF(AE46="",0,IF(OR(AE46="DNF",AE46="OCS",AE46="DSQ",AE46="DNS",AE46=" DNS "),$BW$3+1,AE46))</f>
        <v>0</v>
      </c>
      <c r="CR46" s="61">
        <f>IF(AF46="",0,IF(OR(AF46="DNF",AF46="OCS",AF46="DSQ",AF46="DNS",AF46=" DNS "),$BW$3+1,AF46))</f>
        <v>0</v>
      </c>
      <c r="CS46" s="61">
        <f>IF(AG46="",0,IF(OR(AG46="DNF",AG46="OCS",AG46="DSQ",AG46="DNS",AG46=" DNS "),$BW$3+1,AG46))</f>
        <v>0</v>
      </c>
      <c r="CT46" s="61">
        <f>IF(AH46="",0,IF(OR(AH46="DNF",AH46="OCS",AH46="DSQ",AH46="DNS",AH46=" DNS "),$BW$3+1,AH46))</f>
        <v>0</v>
      </c>
      <c r="CU46" s="61">
        <f>IF(AI46="",0,IF(OR(AI46="DNF",AI46="OCS",AI46="DSQ",AI46="DNS",AI46=" DNS "),$BW$3+1,AI46))</f>
        <v>0</v>
      </c>
      <c r="CV46" s="61">
        <f>IF(AJ46="",0,IF(OR(AJ46="DNF",AJ46="OCS",AJ46="DSQ",AJ46="DNS",AJ46=" DNS "),$BW$3+1,AJ46))</f>
        <v>0</v>
      </c>
      <c r="CW46" s="61">
        <f>IF(AK46="",0,IF(OR(AK46="DNF",AK46="OCS",AK46="DSQ",AK46="DNS",AK46=" DNS "),$BW$3+1,AK46))</f>
        <v>0</v>
      </c>
      <c r="CX46" s="61">
        <f>IF(AL46="",0,IF(OR(AL46="DNF",AL46="OCS",AL46="DSQ",AL46="DNS",AL46=" DNS "),$BW$3+1,AL46))</f>
        <v>0</v>
      </c>
      <c r="CY46" s="61">
        <f>IF(AM46="",0,IF(OR(AM46="DNF",AM46="OCS",AM46="DSQ",AM46="DNS",AM46=" DNS "),$BW$3+1,AM46))</f>
        <v>0</v>
      </c>
      <c r="CZ46" s="61">
        <f>IF(AN46="",0,IF(OR(AN46="DNF",AN46="OCS",AN46="DSQ",AN46="DNS",AN46=" DNS "),$BW$3+1,AN46))</f>
        <v>0</v>
      </c>
      <c r="DA46" s="61">
        <f>IF(AO46="",0,IF(OR(AO46="DNF",AO46="OCS",AO46="DSQ",AO46="DNS",AO46=" DNS "),$BW$3+1,AO46))</f>
        <v>0</v>
      </c>
      <c r="DB46" s="61">
        <f>IF(AP46="",0,IF(OR(AP46="DNF",AP46="OCS",AP46="DSQ",AP46="DNS",AP46=" DNS "),$BW$3+1,AP46))</f>
        <v>0</v>
      </c>
      <c r="DC46" s="61">
        <f>IF(AQ46="",0,IF(OR(AQ46="DNF",AQ46="OCS",AQ46="DSQ",AQ46="DNS",AQ46=" DNS "),$BW$3+1,AQ46))</f>
        <v>0</v>
      </c>
      <c r="DD46" s="61">
        <f>IF(AR46="",0,IF(OR(AR46="DNF",AR46="OCS",AR46="DSQ",AR46="DNS",AR46=" DNS "),$BW$3+1,AR46))</f>
        <v>0</v>
      </c>
      <c r="DE46" s="61">
        <f>IF(AS46="",0,IF(OR(AS46="DNF",AS46="OCS",AS46="DSQ",AS46="DNS",AS46=" DNS "),$BW$3+1,AS46))</f>
        <v>0</v>
      </c>
      <c r="DF46" s="61">
        <f>IF(AT46="",0,IF(OR(AT46="DNF",AT46="OCS",AT46="DSQ",AT46="DNS",AT46=" DNS "),$BW$3+1,AT46))</f>
        <v>0</v>
      </c>
      <c r="DG46" s="61">
        <f>IF(AU46="",0,IF(OR(AU46="DNF",AU46="OCS",AU46="DSQ",AU46="DNS",AU46=" DNS "),$BW$3+1,AU46))</f>
        <v>0</v>
      </c>
      <c r="DH46" s="61">
        <f>IF(AV46="",0,IF(OR(AV46="DNF",AV46="OCS",AV46="DSQ",AV46="DNS",AV46=" DNS "),$BW$3+1,AV46))</f>
        <v>0</v>
      </c>
      <c r="DI46" s="61">
        <f>IF(AW46="",0,IF(OR(AW46="DNF",AW46="OCS",AW46="DSQ",AW46="DNS",AW46=" DNS "),$BW$3+1,AW46))</f>
        <v>0</v>
      </c>
      <c r="DJ46" s="61">
        <f>IF(AX46="",0,IF(OR(AX46="DNF",AX46="OCS",AX46="DSQ",AX46="DNS",AX46=" DNS "),$BW$3+1,AX46))</f>
        <v>0</v>
      </c>
      <c r="DK46" s="61">
        <f>IF(AY46="",0,IF(OR(AY46="DNF",AY46="OCS",AY46="DSQ",AY46="DNS",AY46=" DNS "),$BW$3+1,AY46))</f>
        <v>0</v>
      </c>
      <c r="DL46" s="61">
        <f>IF(AZ46="",0,IF(OR(AZ46="DNF",AZ46="OCS",AZ46="DSQ",AZ46="DNS",AZ46=" DNS "),$BW$3+1,AZ46))</f>
        <v>0</v>
      </c>
      <c r="DM46" s="61">
        <f>IF(BA46="",0,IF(OR(BA46="DNF",BA46="OCS",BA46="DSQ",BA46="DNS",BA46=" DNS "),$BW$3+1,BA46))</f>
        <v>0</v>
      </c>
      <c r="DN46" s="61">
        <f>IF(BB46="",0,IF(OR(BB46="DNF",BB46="OCS",BB46="DSQ",BB46="DNS",BB46=" DNS "),$BW$3+1,BB46))</f>
        <v>0</v>
      </c>
      <c r="DO46" s="61">
        <f>IF(BC46="",0,IF(OR(BC46="DNF",BC46="OCS",BC46="DSQ",BC46="DNS",BC46=" DNS "),$BW$3+1,BC46))</f>
        <v>0</v>
      </c>
      <c r="DP46" s="61">
        <f>IF(BD46="",0,IF(OR(BD46="DNF",BD46="OCS",BD46="DSQ",BD46="DNS",BD46=" DNS "),$BW$3+1,BD46))</f>
        <v>0</v>
      </c>
      <c r="DQ46" s="61">
        <f>IF(BE46="",0,IF(OR(BE46="DNF",BE46="OCS",BE46="DSQ",BE46="DNS",BE46=" DNS "),$BW$3+1,BE46))</f>
        <v>0</v>
      </c>
      <c r="DR46" s="61">
        <f>IF(BF46="",0,IF(OR(BF46="DNF",BF46="OCS",BF46="DSQ",BF46="DNS",BF46=" DNS "),$BW$3+1,BF46))</f>
        <v>0</v>
      </c>
      <c r="DS46" s="61">
        <f>IF(BG46="",0,IF(OR(BG46="DNF",BG46="OCS",BG46="DSQ",BG46="DNS",BG46=" DNS "),$BW$3+1,BG46))</f>
        <v>0</v>
      </c>
      <c r="DT46" s="61">
        <f>IF(BH46="",0,IF(OR(BH46="DNF",BH46="OCS",BH46="DSQ",BH46="DNS",BH46=" DNS "),$BW$3+1,BH46))</f>
        <v>0</v>
      </c>
      <c r="DU46" s="61">
        <f>IF(BI46="",0,IF(OR(BI46="DNF",BI46="OCS",BI46="DSQ",BI46="DNS",BI46=" DNS "),$BW$3+1,BI46))</f>
        <v>0</v>
      </c>
      <c r="DV46" s="61">
        <f>IF(BJ46="",0,IF(OR(BJ46="DNF",BJ46="OCS",BJ46="DSQ",BJ46="DNS",BJ46=" DNS "),$BW$3+1,BJ46))</f>
        <v>0</v>
      </c>
      <c r="DW46" s="61">
        <f>IF(BK46="",0,IF(OR(BK46="DNF",BK46="OCS",BK46="DSQ",BK46="DNS",BK46=" DNS "),$BW$3+1,BK46))</f>
        <v>0</v>
      </c>
      <c r="DX46" s="61">
        <f>IF(BL46="",0,IF(OR(BL46="DNF",BL46="OCS",BL46="DSQ",BL46="DNS",BL46=" DNS "),$BW$3+1,BL46))</f>
        <v>0</v>
      </c>
      <c r="DY46" s="61">
        <f>IF(BM46="",0,IF(OR(BM46="DNF",BM46="OCS",BM46="DSQ",BM46="DNS",BM46=" DNS "),$BW$3+1,BM46))</f>
        <v>0</v>
      </c>
      <c r="DZ46" s="61">
        <f>IF(BN46="",0,IF(OR(BN46="DNF",BN46="OCS",BN46="DSQ",BN46="DNS",BN46=" DNS "),$BW$3+1,BN46))</f>
        <v>0</v>
      </c>
      <c r="EA46" s="61">
        <f>IF(BO46="",0,IF(OR(BO46="DNF",BO46="OCS",BO46="DSQ",BO46="DNS",BO46=" DNS "),$BW$3+1,BO46))</f>
        <v>0</v>
      </c>
      <c r="EB46" s="61">
        <f>IF(BP46="",0,IF(OR(BP46="DNF",BP46="OCS",BP46="DSQ",BP46="DNS",BP46=" DNS "),$BW$3+1,BP46))</f>
        <v>0</v>
      </c>
      <c r="EC46" s="61">
        <f>IF(BQ46="",0,IF(OR(BQ46="DNF",BQ46="OCS",BQ46="DSQ",BQ46="DNS",BQ46=" DNS "),$BW$3+1,BQ46))</f>
        <v>0</v>
      </c>
      <c r="EE46" s="61">
        <f xml:space="preserve">
IF(OR(Deltagarlista!$K$3=3,Deltagarlista!$K$3=4),
IF(Arrangörslista!$U$5&lt;8,0,
IF(Arrangörslista!$U$5&lt;16,SUM(LARGE(BV46:CJ46,1)),
IF(Arrangörslista!$U$5&lt;24,SUM(LARGE(BV46:CR46,{1;2})),
IF(Arrangörslista!$U$5&lt;32,SUM(LARGE(BV46:CZ46,{1;2;3})),
IF(Arrangörslista!$U$5&lt;40,SUM(LARGE(BV46:DH46,{1;2;3;4})),
IF(Arrangörslista!$U$5&lt;48,SUM(LARGE(BV46:DP46,{1;2;3;4;5})),
IF(Arrangörslista!$U$5&lt;56,SUM(LARGE(BV46:DX46,{1;2;3;4;5;6})),
IF(Arrangörslista!$U$5&lt;64,SUM(LARGE(BV46:EC46,{1;2;3;4;5;6;7})),0)))))))),
IF(Deltagarlista!$K$3=2,
IF(Arrangörslista!$U$5&lt;4,LARGE(BV46:BX46,1),
IF(Arrangörslista!$U$5&lt;7,SUM(LARGE(BV46:CA46,{1;2;3})),
IF(Arrangörslista!$U$5&lt;10,SUM(LARGE(BV46:CD46,{1;2;3;4})),
IF(Arrangörslista!$U$5&lt;13,SUM(LARGE(BV46:CG46,{1;2;3;4;5;6})),
IF(Arrangörslista!$U$5&lt;16,SUM(LARGE(BV46:CJ46,{1;2;3;4;5;6;7})),
IF(Arrangörslista!$U$5&lt;19,SUM(LARGE(BV46:CM46,{1;2;3;4;5;6;7;8;9})),
IF(Arrangörslista!$U$5&lt;22,SUM(LARGE(BV46:CP46,{1;2;3;4;5;6;7;8;9;10})),
IF(Arrangörslista!$U$5&lt;25,SUM(LARGE(BV46:CS46,{1;2;3;4;5;6;7;8;9;10;11;12})),
IF(Arrangörslista!$U$5&lt;28,SUM(LARGE(BV46:CV46,{1;2;3;4;5;6;7;8;9;10;11;12;13})),
IF(Arrangörslista!$U$5&lt;31,SUM(LARGE(BV46:CY46,{1;2;3;4;5;6;7;8;9;10;11;12;13;14;15})),
IF(Arrangörslista!$U$5&lt;34,SUM(LARGE(BV46:DB46,{1;2;3;4;5;6;7;8;9;10;11;12;13;14;15;16})),
IF(Arrangörslista!$U$5&lt;37,SUM(LARGE(BV46:DE46,{1;2;3;4;5;6;7;8;9;10;11;12;13;14;15;16;17;18})),
IF(Arrangörslista!$U$5&lt;40,SUM(LARGE(BV46:DH46,{1;2;3;4;5;6;7;8;9;10;11;12;13;14;15;16;17;18;19})),
IF(Arrangörslista!$U$5&lt;43,SUM(LARGE(BV46:DK46,{1;2;3;4;5;6;7;8;9;10;11;12;13;14;15;16;17;18;19;20;21})),
IF(Arrangörslista!$U$5&lt;46,SUM(LARGE(BV46:DN46,{1;2;3;4;5;6;7;8;9;10;11;12;13;14;15;16;17;18;19;20;21;22})),
IF(Arrangörslista!$U$5&lt;49,SUM(LARGE(BV46:DQ46,{1;2;3;4;5;6;7;8;9;10;11;12;13;14;15;16;17;18;19;20;21;22;23;24})),
IF(Arrangörslista!$U$5&lt;52,SUM(LARGE(BV46:DT46,{1;2;3;4;5;6;7;8;9;10;11;12;13;14;15;16;17;18;19;20;21;22;23;24;25})),
IF(Arrangörslista!$U$5&lt;55,SUM(LARGE(BV46:DW46,{1;2;3;4;5;6;7;8;9;10;11;12;13;14;15;16;17;18;19;20;21;22;23;24;25;26;27})),
IF(Arrangörslista!$U$5&lt;58,SUM(LARGE(BV46:DZ46,{1;2;3;4;5;6;7;8;9;10;11;12;13;14;15;16;17;18;19;20;21;22;23;24;25;26;27;28})),
IF(Arrangörslista!$U$5&lt;61,SUM(LARGE(BV46:EC46,{1;2;3;4;5;6;7;8;9;10;11;12;13;14;15;16;17;18;19;20;21;22;23;24;25;26;27;28;29;30})),0)))))))))))))))))))),
IF(Arrangörslista!$U$5&lt;4,0,
IF(Arrangörslista!$U$5&lt;8,SUM(LARGE(BV46:CB46,1)),
IF(Arrangörslista!$U$5&lt;12,SUM(LARGE(BV46:CF46,{1;2})),
IF(Arrangörslista!$U$5&lt;16,SUM(LARGE(BV46:CJ46,{1;2;3})),
IF(Arrangörslista!$U$5&lt;20,SUM(LARGE(BV46:CN46,{1;2;3;4})),
IF(Arrangörslista!$U$5&lt;24,SUM(LARGE(BV46:CR46,{1;2;3;4;5})),
IF(Arrangörslista!$U$5&lt;28,SUM(LARGE(BV46:CV46,{1;2;3;4;5;6})),
IF(Arrangörslista!$U$5&lt;32,SUM(LARGE(BV46:CZ46,{1;2;3;4;5;6;7})),
IF(Arrangörslista!$U$5&lt;36,SUM(LARGE(BV46:DD46,{1;2;3;4;5;6;7;8})),
IF(Arrangörslista!$U$5&lt;40,SUM(LARGE(BV46:DH46,{1;2;3;4;5;6;7;8;9})),
IF(Arrangörslista!$U$5&lt;44,SUM(LARGE(BV46:DL46,{1;2;3;4;5;6;7;8;9;10})),
IF(Arrangörslista!$U$5&lt;48,SUM(LARGE(BV46:DP46,{1;2;3;4;5;6;7;8;9;10;11})),
IF(Arrangörslista!$U$5&lt;52,SUM(LARGE(BV46:DT46,{1;2;3;4;5;6;7;8;9;10;11;12})),
IF(Arrangörslista!$U$5&lt;56,SUM(LARGE(BV46:DX46,{1;2;3;4;5;6;7;8;9;10;11;12;13})),
IF(Arrangörslista!$U$5&lt;60,SUM(LARGE(BV46:EB46,{1;2;3;4;5;6;7;8;9;10;11;12;13;14})),
IF(Arrangörslista!$U$5=60,SUM(LARGE(BV46:EC46,{1;2;3;4;5;6;7;8;9;10;11;12;13;14;15})),0))))))))))))))))))</f>
        <v>0</v>
      </c>
      <c r="EG46" s="67">
        <f>IF(F46="",,1)</f>
        <v>0</v>
      </c>
      <c r="EH46" s="61"/>
      <c r="EI46" s="61"/>
      <c r="EK46" s="62">
        <f>SMALL($J109:$BQ109,1)</f>
        <v>61</v>
      </c>
      <c r="EL46" s="62">
        <f>SMALL($J109:$BQ109,2)</f>
        <v>61</v>
      </c>
      <c r="EM46" s="62">
        <f>SMALL($J109:$BQ109,3)</f>
        <v>61</v>
      </c>
      <c r="EN46" s="62">
        <f>SMALL($J109:$BQ109,4)</f>
        <v>61</v>
      </c>
      <c r="EO46" s="62">
        <f>SMALL($J109:$BQ109,5)</f>
        <v>61</v>
      </c>
      <c r="EP46" s="62">
        <f>SMALL($J109:$BQ109,6)</f>
        <v>61</v>
      </c>
      <c r="EQ46" s="62">
        <f>SMALL($J109:$BQ109,7)</f>
        <v>61</v>
      </c>
      <c r="ER46" s="62">
        <f>SMALL($J109:$BQ109,8)</f>
        <v>61</v>
      </c>
      <c r="ES46" s="62">
        <f>SMALL($J109:$BQ109,9)</f>
        <v>61</v>
      </c>
      <c r="ET46" s="62">
        <f>SMALL($J109:$BQ109,10)</f>
        <v>61</v>
      </c>
      <c r="EU46" s="62">
        <f>SMALL($J109:$BQ109,11)</f>
        <v>61</v>
      </c>
      <c r="EV46" s="62">
        <f>SMALL($J109:$BQ109,12)</f>
        <v>61</v>
      </c>
      <c r="EW46" s="62">
        <f>SMALL($J109:$BQ109,13)</f>
        <v>61</v>
      </c>
      <c r="EX46" s="62">
        <f>SMALL($J109:$BQ109,14)</f>
        <v>61</v>
      </c>
      <c r="EY46" s="62">
        <f>SMALL($J109:$BQ109,15)</f>
        <v>61</v>
      </c>
      <c r="EZ46" s="62">
        <f>SMALL($J109:$BQ109,16)</f>
        <v>61</v>
      </c>
      <c r="FA46" s="62">
        <f>SMALL($J109:$BQ109,17)</f>
        <v>61</v>
      </c>
      <c r="FB46" s="62">
        <f>SMALL($J109:$BQ109,18)</f>
        <v>61</v>
      </c>
      <c r="FC46" s="62">
        <f>SMALL($J109:$BQ109,19)</f>
        <v>61</v>
      </c>
      <c r="FD46" s="62">
        <f>SMALL($J109:$BQ109,20)</f>
        <v>61</v>
      </c>
      <c r="FE46" s="62">
        <f>SMALL($J109:$BQ109,21)</f>
        <v>61</v>
      </c>
      <c r="FF46" s="62">
        <f>SMALL($J109:$BQ109,22)</f>
        <v>61</v>
      </c>
      <c r="FG46" s="62">
        <f>SMALL($J109:$BQ109,23)</f>
        <v>61</v>
      </c>
      <c r="FH46" s="62">
        <f>SMALL($J109:$BQ109,24)</f>
        <v>61</v>
      </c>
      <c r="FI46" s="62">
        <f>SMALL($J109:$BQ109,25)</f>
        <v>61</v>
      </c>
      <c r="FJ46" s="62">
        <f>SMALL($J109:$BQ109,26)</f>
        <v>61</v>
      </c>
      <c r="FK46" s="62">
        <f>SMALL($J109:$BQ109,27)</f>
        <v>61</v>
      </c>
      <c r="FL46" s="62">
        <f>SMALL($J109:$BQ109,28)</f>
        <v>61</v>
      </c>
      <c r="FM46" s="62">
        <f>SMALL($J109:$BQ109,29)</f>
        <v>61</v>
      </c>
      <c r="FN46" s="62">
        <f>SMALL($J109:$BQ109,30)</f>
        <v>61</v>
      </c>
      <c r="FO46" s="62">
        <f>SMALL($J109:$BQ109,31)</f>
        <v>61</v>
      </c>
      <c r="FP46" s="62">
        <f>SMALL($J109:$BQ109,32)</f>
        <v>61</v>
      </c>
      <c r="FQ46" s="62">
        <f>SMALL($J109:$BQ109,33)</f>
        <v>61</v>
      </c>
      <c r="FR46" s="62">
        <f>SMALL($J109:$BQ109,34)</f>
        <v>61</v>
      </c>
      <c r="FS46" s="62">
        <f>SMALL($J109:$BQ109,35)</f>
        <v>61</v>
      </c>
      <c r="FT46" s="62">
        <f>SMALL($J109:$BQ109,36)</f>
        <v>61</v>
      </c>
      <c r="FU46" s="62">
        <f>SMALL($J109:$BQ109,37)</f>
        <v>61</v>
      </c>
      <c r="FV46" s="62">
        <f>SMALL($J109:$BQ109,38)</f>
        <v>61</v>
      </c>
      <c r="FW46" s="62">
        <f>SMALL($J109:$BQ109,39)</f>
        <v>61</v>
      </c>
      <c r="FX46" s="62">
        <f>SMALL($J109:$BQ109,40)</f>
        <v>61</v>
      </c>
      <c r="FY46" s="62">
        <f>SMALL($J109:$BQ109,41)</f>
        <v>61</v>
      </c>
      <c r="FZ46" s="62">
        <f>SMALL($J109:$BQ109,42)</f>
        <v>61</v>
      </c>
      <c r="GA46" s="62">
        <f>SMALL($J109:$BQ109,43)</f>
        <v>61</v>
      </c>
      <c r="GB46" s="62">
        <f>SMALL($J109:$BQ109,44)</f>
        <v>61</v>
      </c>
      <c r="GC46" s="62">
        <f>SMALL($J109:$BQ109,45)</f>
        <v>61</v>
      </c>
      <c r="GD46" s="62">
        <f>SMALL($J109:$BQ109,46)</f>
        <v>61</v>
      </c>
      <c r="GE46" s="62">
        <f>SMALL($J109:$BQ109,47)</f>
        <v>61</v>
      </c>
      <c r="GF46" s="62">
        <f>SMALL($J109:$BQ109,48)</f>
        <v>61</v>
      </c>
      <c r="GG46" s="62">
        <f>SMALL($J109:$BQ109,49)</f>
        <v>61</v>
      </c>
      <c r="GH46" s="62">
        <f>SMALL($J109:$BQ109,50)</f>
        <v>61</v>
      </c>
      <c r="GI46" s="62">
        <f>SMALL($J109:$BQ109,51)</f>
        <v>61</v>
      </c>
      <c r="GJ46" s="62">
        <f>SMALL($J109:$BQ109,52)</f>
        <v>61</v>
      </c>
      <c r="GK46" s="62">
        <f>SMALL($J109:$BQ109,53)</f>
        <v>61</v>
      </c>
      <c r="GL46" s="62">
        <f>SMALL($J109:$BQ109,54)</f>
        <v>61</v>
      </c>
      <c r="GM46" s="62">
        <f>SMALL($J109:$BQ109,55)</f>
        <v>61</v>
      </c>
      <c r="GN46" s="62">
        <f>SMALL($J109:$BQ109,56)</f>
        <v>61</v>
      </c>
      <c r="GO46" s="62">
        <f>SMALL($J109:$BQ109,57)</f>
        <v>61</v>
      </c>
      <c r="GP46" s="62">
        <f>SMALL($J109:$BQ109,58)</f>
        <v>61</v>
      </c>
      <c r="GQ46" s="62">
        <f>SMALL($J109:$BQ109,59)</f>
        <v>61</v>
      </c>
      <c r="GR46" s="62">
        <f>SMALL($J109:$BQ109,60)</f>
        <v>61</v>
      </c>
      <c r="GT46" s="62">
        <f>IF(Deltagarlista!$K$3=2,
IF(GW46="1",
      IF(Arrangörslista!$U$5=1,J109,
IF(Arrangörslista!$U$5=2,K109,
IF(Arrangörslista!$U$5=3,L109,
IF(Arrangörslista!$U$5=4,M109,
IF(Arrangörslista!$U$5=5,N109,
IF(Arrangörslista!$U$5=6,O109,
IF(Arrangörslista!$U$5=7,P109,
IF(Arrangörslista!$U$5=8,Q109,
IF(Arrangörslista!$U$5=9,R109,
IF(Arrangörslista!$U$5=10,S109,
IF(Arrangörslista!$U$5=11,T109,
IF(Arrangörslista!$U$5=12,U109,
IF(Arrangörslista!$U$5=13,V109,
IF(Arrangörslista!$U$5=14,W109,
IF(Arrangörslista!$U$5=15,X109,
IF(Arrangörslista!$U$5=16,Y109,IF(Arrangörslista!$U$5=17,Z109,IF(Arrangörslista!$U$5=18,AA109,IF(Arrangörslista!$U$5=19,AB109,IF(Arrangörslista!$U$5=20,AC109,IF(Arrangörslista!$U$5=21,AD109,IF(Arrangörslista!$U$5=22,AE109,IF(Arrangörslista!$U$5=23,AF109, IF(Arrangörslista!$U$5=24,AG109, IF(Arrangörslista!$U$5=25,AH109, IF(Arrangörslista!$U$5=26,AI109, IF(Arrangörslista!$U$5=27,AJ109, IF(Arrangörslista!$U$5=28,AK109, IF(Arrangörslista!$U$5=29,AL109, IF(Arrangörslista!$U$5=30,AM109, IF(Arrangörslista!$U$5=31,AN109, IF(Arrangörslista!$U$5=32,AO109, IF(Arrangörslista!$U$5=33,AP109, IF(Arrangörslista!$U$5=34,AQ109, IF(Arrangörslista!$U$5=35,AR109, IF(Arrangörslista!$U$5=36,AS109, IF(Arrangörslista!$U$5=37,AT109, IF(Arrangörslista!$U$5=38,AU109, IF(Arrangörslista!$U$5=39,AV109, IF(Arrangörslista!$U$5=40,AW109, IF(Arrangörslista!$U$5=41,AX109, IF(Arrangörslista!$U$5=42,AY109, IF(Arrangörslista!$U$5=43,AZ109, IF(Arrangörslista!$U$5=44,BA109, IF(Arrangörslista!$U$5=45,BB109, IF(Arrangörslista!$U$5=46,BC109, IF(Arrangörslista!$U$5=47,BD109, IF(Arrangörslista!$U$5=48,BE109, IF(Arrangörslista!$U$5=49,BF109, IF(Arrangörslista!$U$5=50,BG109, IF(Arrangörslista!$U$5=51,BH109, IF(Arrangörslista!$U$5=52,BI109, IF(Arrangörslista!$U$5=53,BJ109, IF(Arrangörslista!$U$5=54,BK109, IF(Arrangörslista!$U$5=55,BL109, IF(Arrangörslista!$U$5=56,BM109, IF(Arrangörslista!$U$5=57,BN109, IF(Arrangörslista!$U$5=58,BO109, IF(Arrangörslista!$U$5=59,BP109, IF(Arrangörslista!$U$5=60,BQ109,0))))))))))))))))))))))))))))))))))))))))))))))))))))))))))))),IF(Deltagarlista!$K$3=4, IF(Arrangörslista!$U$5=1,J109,
IF(Arrangörslista!$U$5=2,J109,
IF(Arrangörslista!$U$5=3,K109,
IF(Arrangörslista!$U$5=4,K109,
IF(Arrangörslista!$U$5=5,L109,
IF(Arrangörslista!$U$5=6,L109,
IF(Arrangörslista!$U$5=7,M109,
IF(Arrangörslista!$U$5=8,M109,
IF(Arrangörslista!$U$5=9,N109,
IF(Arrangörslista!$U$5=10,N109,
IF(Arrangörslista!$U$5=11,O109,
IF(Arrangörslista!$U$5=12,O109,
IF(Arrangörslista!$U$5=13,P109,
IF(Arrangörslista!$U$5=14,P109,
IF(Arrangörslista!$U$5=15,Q109,
IF(Arrangörslista!$U$5=16,Q109,
IF(Arrangörslista!$U$5=17,R109,
IF(Arrangörslista!$U$5=18,R109,
IF(Arrangörslista!$U$5=19,S109,
IF(Arrangörslista!$U$5=20,S109,
IF(Arrangörslista!$U$5=21,T109,
IF(Arrangörslista!$U$5=22,T109,IF(Arrangörslista!$U$5=23,U109, IF(Arrangörslista!$U$5=24,U109, IF(Arrangörslista!$U$5=25,V109, IF(Arrangörslista!$U$5=26,V109, IF(Arrangörslista!$U$5=27,W109, IF(Arrangörslista!$U$5=28,W109, IF(Arrangörslista!$U$5=29,X109, IF(Arrangörslista!$U$5=30,X109, IF(Arrangörslista!$U$5=31,X109, IF(Arrangörslista!$U$5=32,Y109, IF(Arrangörslista!$U$5=33,AO109, IF(Arrangörslista!$U$5=34,Y109, IF(Arrangörslista!$U$5=35,Z109, IF(Arrangörslista!$U$5=36,AR109, IF(Arrangörslista!$U$5=37,Z109, IF(Arrangörslista!$U$5=38,AA109, IF(Arrangörslista!$U$5=39,AU109, IF(Arrangörslista!$U$5=40,AA109, IF(Arrangörslista!$U$5=41,AB109, IF(Arrangörslista!$U$5=42,AX109, IF(Arrangörslista!$U$5=43,AB109, IF(Arrangörslista!$U$5=44,AC109, IF(Arrangörslista!$U$5=45,BA109, IF(Arrangörslista!$U$5=46,AC109, IF(Arrangörslista!$U$5=47,AD109, IF(Arrangörslista!$U$5=48,BD109, IF(Arrangörslista!$U$5=49,AD109, IF(Arrangörslista!$U$5=50,AE109, IF(Arrangörslista!$U$5=51,BG109, IF(Arrangörslista!$U$5=52,AE109, IF(Arrangörslista!$U$5=53,AF109, IF(Arrangörslista!$U$5=54,BJ109, IF(Arrangörslista!$U$5=55,AF109, IF(Arrangörslista!$U$5=56,AG109, IF(Arrangörslista!$U$5=57,BM109, IF(Arrangörslista!$U$5=58,AG109, IF(Arrangörslista!$U$5=59,AH109, IF(Arrangörslista!$U$5=60,AH109,0)))))))))))))))))))))))))))))))))))))))))))))))))))))))))))),IF(Arrangörslista!$U$5=1,J109,
IF(Arrangörslista!$U$5=2,K109,
IF(Arrangörslista!$U$5=3,L109,
IF(Arrangörslista!$U$5=4,M109,
IF(Arrangörslista!$U$5=5,N109,
IF(Arrangörslista!$U$5=6,O109,
IF(Arrangörslista!$U$5=7,P109,
IF(Arrangörslista!$U$5=8,Q109,
IF(Arrangörslista!$U$5=9,R109,
IF(Arrangörslista!$U$5=10,S109,
IF(Arrangörslista!$U$5=11,T109,
IF(Arrangörslista!$U$5=12,U109,
IF(Arrangörslista!$U$5=13,V109,
IF(Arrangörslista!$U$5=14,W109,
IF(Arrangörslista!$U$5=15,X109,
IF(Arrangörslista!$U$5=16,Y109,IF(Arrangörslista!$U$5=17,Z109,IF(Arrangörslista!$U$5=18,AA109,IF(Arrangörslista!$U$5=19,AB109,IF(Arrangörslista!$U$5=20,AC109,IF(Arrangörslista!$U$5=21,AD109,IF(Arrangörslista!$U$5=22,AE109,IF(Arrangörslista!$U$5=23,AF109, IF(Arrangörslista!$U$5=24,AG109, IF(Arrangörslista!$U$5=25,AH109, IF(Arrangörslista!$U$5=26,AI109, IF(Arrangörslista!$U$5=27,AJ109, IF(Arrangörslista!$U$5=28,AK109, IF(Arrangörslista!$U$5=29,AL109, IF(Arrangörslista!$U$5=30,AM109, IF(Arrangörslista!$U$5=31,AN109, IF(Arrangörslista!$U$5=32,AO109, IF(Arrangörslista!$U$5=33,AP109, IF(Arrangörslista!$U$5=34,AQ109, IF(Arrangörslista!$U$5=35,AR109, IF(Arrangörslista!$U$5=36,AS109, IF(Arrangörslista!$U$5=37,AT109, IF(Arrangörslista!$U$5=38,AU109, IF(Arrangörslista!$U$5=39,AV109, IF(Arrangörslista!$U$5=40,AW109, IF(Arrangörslista!$U$5=41,AX109, IF(Arrangörslista!$U$5=42,AY109, IF(Arrangörslista!$U$5=43,AZ109, IF(Arrangörslista!$U$5=44,BA109, IF(Arrangörslista!$U$5=45,BB109, IF(Arrangörslista!$U$5=46,BC109, IF(Arrangörslista!$U$5=47,BD109, IF(Arrangörslista!$U$5=48,BE109, IF(Arrangörslista!$U$5=49,BF109, IF(Arrangörslista!$U$5=50,BG109, IF(Arrangörslista!$U$5=51,BH109, IF(Arrangörslista!$U$5=52,BI109, IF(Arrangörslista!$U$5=53,BJ109, IF(Arrangörslista!$U$5=54,BK109, IF(Arrangörslista!$U$5=55,BL109, IF(Arrangörslista!$U$5=56,BM109, IF(Arrangörslista!$U$5=57,BN109, IF(Arrangörslista!$U$5=58,BO109, IF(Arrangörslista!$U$5=59,BP109, IF(Arrangörslista!$U$5=60,BQ109,0))))))))))))))))))))))))))))))))))))))))))))))))))))))))))))
))</f>
        <v>0</v>
      </c>
      <c r="GV46" s="65" t="str">
        <f>IFERROR(IF(VLOOKUP(F46,Deltagarlista!$E$5:$I$64,5,FALSE)="Grön","Gr",IF(VLOOKUP(F46,Deltagarlista!$E$5:$I$64,5,FALSE)="Röd","R",IF(VLOOKUP(F46,Deltagarlista!$E$5:$I$64,5,FALSE)="Blå","B","Gu"))),"")</f>
        <v/>
      </c>
      <c r="GW46" s="62" t="str">
        <f t="shared" si="1"/>
        <v/>
      </c>
    </row>
    <row r="47" spans="1:205" ht="15.75" customHeight="1" x14ac:dyDescent="0.3">
      <c r="A47" s="23"/>
      <c r="B47" s="23" t="str">
        <f>IF($BW$3&gt;43,44,"")</f>
        <v/>
      </c>
      <c r="C47" s="92" t="str">
        <f>IF(ISBLANK(Deltagarlista!C60),"",Deltagarlista!C60)</f>
        <v/>
      </c>
      <c r="D47" s="109" t="str">
        <f>CONCATENATE(IF(AND(Deltagarlista!H60="GM",Deltagarlista!$S$14=TRUE),"GM   ",""),  IF(OR(Deltagarlista!$K$3=4,Deltagarlista!$K$3=2),Deltagarlista!I60,""))</f>
        <v/>
      </c>
      <c r="E47" s="8" t="str">
        <f>IF(ISBLANK(Deltagarlista!D60),"",Deltagarlista!D60)</f>
        <v/>
      </c>
      <c r="F47" s="8" t="str">
        <f>IF(ISBLANK(Deltagarlista!E60),"",Deltagarlista!E60)</f>
        <v/>
      </c>
      <c r="G47" s="95" t="str">
        <f>IF(ISBLANK(Deltagarlista!F60),"",Deltagarlista!F60)</f>
        <v/>
      </c>
      <c r="H47" s="72" t="str">
        <f>IF(ISBLANK(Deltagarlista!C60),"",BU47-EE47)</f>
        <v/>
      </c>
      <c r="I47" s="13" t="str">
        <f>IF(ISBLANK(Deltagarlista!C60),"",IF(AND(Deltagarlista!$K$3=2,Deltagarlista!$L$3&lt;37),SUM(SUM(BV47:EC47)-(ROUNDDOWN(Arrangörslista!$U$5/3,1))*($BW$3+1)),SUM(BV47:EC47)))</f>
        <v/>
      </c>
      <c r="J47" s="79" t="str">
        <f>IF(Deltagarlista!$K$3=4,IF(ISBLANK(Deltagarlista!$C60),"",IF(ISBLANK(Arrangörslista!C$8),"",IFERROR(VLOOKUP($F47,Arrangörslista!C$8:$AG$45,16,FALSE),IF(ISBLANK(Deltagarlista!$C60),"",IF(ISBLANK(Arrangörslista!C$8),"",IFERROR(VLOOKUP($F47,Arrangörslista!D$8:$AG$45,16,FALSE),"DNS")))))),IF(Deltagarlista!$K$3=2,
IF(ISBLANK(Deltagarlista!$C60),"",IF(ISBLANK(Arrangörslista!C$8),"",IF($GV47=J$64," DNS ",IFERROR(VLOOKUP($F47,Arrangörslista!C$8:$AG$45,16,FALSE),"DNS")))),IF(ISBLANK(Deltagarlista!$C60),"",IF(ISBLANK(Arrangörslista!C$8),"",IFERROR(VLOOKUP($F47,Arrangörslista!C$8:$AG$45,16,FALSE),"DNS")))))</f>
        <v/>
      </c>
      <c r="K47" s="5" t="str">
        <f>IF(Deltagarlista!$K$3=4,IF(ISBLANK(Deltagarlista!$C60),"",IF(ISBLANK(Arrangörslista!E$8),"",IFERROR(VLOOKUP($F47,Arrangörslista!E$8:$AG$45,16,FALSE),IF(ISBLANK(Deltagarlista!$C60),"",IF(ISBLANK(Arrangörslista!E$8),"",IFERROR(VLOOKUP($F47,Arrangörslista!F$8:$AG$45,16,FALSE),"DNS")))))),IF(Deltagarlista!$K$3=2,
IF(ISBLANK(Deltagarlista!$C60),"",IF(ISBLANK(Arrangörslista!D$8),"",IF($GV47=K$64," DNS ",IFERROR(VLOOKUP($F47,Arrangörslista!D$8:$AG$45,16,FALSE),"DNS")))),IF(ISBLANK(Deltagarlista!$C60),"",IF(ISBLANK(Arrangörslista!D$8),"",IFERROR(VLOOKUP($F47,Arrangörslista!D$8:$AG$45,16,FALSE),"DNS")))))</f>
        <v/>
      </c>
      <c r="L47" s="5" t="str">
        <f>IF(Deltagarlista!$K$3=4,IF(ISBLANK(Deltagarlista!$C60),"",IF(ISBLANK(Arrangörslista!G$8),"",IFERROR(VLOOKUP($F47,Arrangörslista!G$8:$AG$45,16,FALSE),IF(ISBLANK(Deltagarlista!$C60),"",IF(ISBLANK(Arrangörslista!G$8),"",IFERROR(VLOOKUP($F47,Arrangörslista!H$8:$AG$45,16,FALSE),"DNS")))))),IF(Deltagarlista!$K$3=2,
IF(ISBLANK(Deltagarlista!$C60),"",IF(ISBLANK(Arrangörslista!E$8),"",IF($GV47=L$64," DNS ",IFERROR(VLOOKUP($F47,Arrangörslista!E$8:$AG$45,16,FALSE),"DNS")))),IF(ISBLANK(Deltagarlista!$C60),"",IF(ISBLANK(Arrangörslista!E$8),"",IFERROR(VLOOKUP($F47,Arrangörslista!E$8:$AG$45,16,FALSE),"DNS")))))</f>
        <v/>
      </c>
      <c r="M47" s="5" t="str">
        <f>IF(Deltagarlista!$K$3=4,IF(ISBLANK(Deltagarlista!$C60),"",IF(ISBLANK(Arrangörslista!I$8),"",IFERROR(VLOOKUP($F47,Arrangörslista!I$8:$AG$45,16,FALSE),IF(ISBLANK(Deltagarlista!$C60),"",IF(ISBLANK(Arrangörslista!I$8),"",IFERROR(VLOOKUP($F47,Arrangörslista!J$8:$AG$45,16,FALSE),"DNS")))))),IF(Deltagarlista!$K$3=2,
IF(ISBLANK(Deltagarlista!$C60),"",IF(ISBLANK(Arrangörslista!F$8),"",IF($GV47=M$64," DNS ",IFERROR(VLOOKUP($F47,Arrangörslista!F$8:$AG$45,16,FALSE),"DNS")))),IF(ISBLANK(Deltagarlista!$C60),"",IF(ISBLANK(Arrangörslista!F$8),"",IFERROR(VLOOKUP($F47,Arrangörslista!F$8:$AG$45,16,FALSE),"DNS")))))</f>
        <v/>
      </c>
      <c r="N47" s="5" t="str">
        <f>IF(Deltagarlista!$K$3=4,IF(ISBLANK(Deltagarlista!$C60),"",IF(ISBLANK(Arrangörslista!K$8),"",IFERROR(VLOOKUP($F47,Arrangörslista!K$8:$AG$45,16,FALSE),IF(ISBLANK(Deltagarlista!$C60),"",IF(ISBLANK(Arrangörslista!K$8),"",IFERROR(VLOOKUP($F47,Arrangörslista!L$8:$AG$45,16,FALSE),"DNS")))))),IF(Deltagarlista!$K$3=2,
IF(ISBLANK(Deltagarlista!$C60),"",IF(ISBLANK(Arrangörslista!G$8),"",IF($GV47=N$64," DNS ",IFERROR(VLOOKUP($F47,Arrangörslista!G$8:$AG$45,16,FALSE),"DNS")))),IF(ISBLANK(Deltagarlista!$C60),"",IF(ISBLANK(Arrangörslista!G$8),"",IFERROR(VLOOKUP($F47,Arrangörslista!G$8:$AG$45,16,FALSE),"DNS")))))</f>
        <v/>
      </c>
      <c r="O47" s="5" t="str">
        <f>IF(Deltagarlista!$K$3=4,IF(ISBLANK(Deltagarlista!$C60),"",IF(ISBLANK(Arrangörslista!M$8),"",IFERROR(VLOOKUP($F47,Arrangörslista!M$8:$AG$45,16,FALSE),IF(ISBLANK(Deltagarlista!$C60),"",IF(ISBLANK(Arrangörslista!M$8),"",IFERROR(VLOOKUP($F47,Arrangörslista!N$8:$AG$45,16,FALSE),"DNS")))))),IF(Deltagarlista!$K$3=2,
IF(ISBLANK(Deltagarlista!$C60),"",IF(ISBLANK(Arrangörslista!H$8),"",IF($GV47=O$64," DNS ",IFERROR(VLOOKUP($F47,Arrangörslista!H$8:$AG$45,16,FALSE),"DNS")))),IF(ISBLANK(Deltagarlista!$C60),"",IF(ISBLANK(Arrangörslista!H$8),"",IFERROR(VLOOKUP($F47,Arrangörslista!H$8:$AG$45,16,FALSE),"DNS")))))</f>
        <v/>
      </c>
      <c r="P47" s="5" t="str">
        <f>IF(Deltagarlista!$K$3=4,IF(ISBLANK(Deltagarlista!$C60),"",IF(ISBLANK(Arrangörslista!O$8),"",IFERROR(VLOOKUP($F47,Arrangörslista!O$8:$AG$45,16,FALSE),IF(ISBLANK(Deltagarlista!$C60),"",IF(ISBLANK(Arrangörslista!O$8),"",IFERROR(VLOOKUP($F47,Arrangörslista!P$8:$AG$45,16,FALSE),"DNS")))))),IF(Deltagarlista!$K$3=2,
IF(ISBLANK(Deltagarlista!$C60),"",IF(ISBLANK(Arrangörslista!I$8),"",IF($GV47=P$64," DNS ",IFERROR(VLOOKUP($F47,Arrangörslista!I$8:$AG$45,16,FALSE),"DNS")))),IF(ISBLANK(Deltagarlista!$C60),"",IF(ISBLANK(Arrangörslista!I$8),"",IFERROR(VLOOKUP($F47,Arrangörslista!I$8:$AG$45,16,FALSE),"DNS")))))</f>
        <v/>
      </c>
      <c r="Q47" s="5" t="str">
        <f>IF(Deltagarlista!$K$3=4,IF(ISBLANK(Deltagarlista!$C60),"",IF(ISBLANK(Arrangörslista!Q$8),"",IFERROR(VLOOKUP($F47,Arrangörslista!Q$8:$AG$45,16,FALSE),IF(ISBLANK(Deltagarlista!$C60),"",IF(ISBLANK(Arrangörslista!Q$8),"",IFERROR(VLOOKUP($F47,Arrangörslista!C$53:$AG$90,16,FALSE),"DNS")))))),IF(Deltagarlista!$K$3=2,
IF(ISBLANK(Deltagarlista!$C60),"",IF(ISBLANK(Arrangörslista!J$8),"",IF($GV47=Q$64," DNS ",IFERROR(VLOOKUP($F47,Arrangörslista!J$8:$AG$45,16,FALSE),"DNS")))),IF(ISBLANK(Deltagarlista!$C60),"",IF(ISBLANK(Arrangörslista!J$8),"",IFERROR(VLOOKUP($F47,Arrangörslista!J$8:$AG$45,16,FALSE),"DNS")))))</f>
        <v/>
      </c>
      <c r="R47" s="5" t="str">
        <f>IF(Deltagarlista!$K$3=4,IF(ISBLANK(Deltagarlista!$C60),"",IF(ISBLANK(Arrangörslista!D$53),"",IFERROR(VLOOKUP($F47,Arrangörslista!D$53:$AG$90,16,FALSE),IF(ISBLANK(Deltagarlista!$C60),"",IF(ISBLANK(Arrangörslista!D$53),"",IFERROR(VLOOKUP($F47,Arrangörslista!E$53:$AG$90,16,FALSE),"DNS")))))),IF(Deltagarlista!$K$3=2,
IF(ISBLANK(Deltagarlista!$C60),"",IF(ISBLANK(Arrangörslista!K$8),"",IF($GV47=R$64," DNS ",IFERROR(VLOOKUP($F47,Arrangörslista!K$8:$AG$45,16,FALSE),"DNS")))),IF(ISBLANK(Deltagarlista!$C60),"",IF(ISBLANK(Arrangörslista!K$8),"",IFERROR(VLOOKUP($F47,Arrangörslista!K$8:$AG$45,16,FALSE),"DNS")))))</f>
        <v/>
      </c>
      <c r="S47" s="5" t="str">
        <f>IF(Deltagarlista!$K$3=4,IF(ISBLANK(Deltagarlista!$C60),"",IF(ISBLANK(Arrangörslista!F$53),"",IFERROR(VLOOKUP($F47,Arrangörslista!F$53:$AG$90,16,FALSE),IF(ISBLANK(Deltagarlista!$C60),"",IF(ISBLANK(Arrangörslista!F$53),"",IFERROR(VLOOKUP($F47,Arrangörslista!G$53:$AG$90,16,FALSE),"DNS")))))),IF(Deltagarlista!$K$3=2,
IF(ISBLANK(Deltagarlista!$C60),"",IF(ISBLANK(Arrangörslista!L$8),"",IF($GV47=S$64," DNS ",IFERROR(VLOOKUP($F47,Arrangörslista!L$8:$AG$45,16,FALSE),"DNS")))),IF(ISBLANK(Deltagarlista!$C60),"",IF(ISBLANK(Arrangörslista!L$8),"",IFERROR(VLOOKUP($F47,Arrangörslista!L$8:$AG$45,16,FALSE),"DNS")))))</f>
        <v/>
      </c>
      <c r="T47" s="5" t="str">
        <f>IF(Deltagarlista!$K$3=4,IF(ISBLANK(Deltagarlista!$C60),"",IF(ISBLANK(Arrangörslista!H$53),"",IFERROR(VLOOKUP($F47,Arrangörslista!H$53:$AG$90,16,FALSE),IF(ISBLANK(Deltagarlista!$C60),"",IF(ISBLANK(Arrangörslista!H$53),"",IFERROR(VLOOKUP($F47,Arrangörslista!I$53:$AG$90,16,FALSE),"DNS")))))),IF(Deltagarlista!$K$3=2,
IF(ISBLANK(Deltagarlista!$C60),"",IF(ISBLANK(Arrangörslista!M$8),"",IF($GV47=T$64," DNS ",IFERROR(VLOOKUP($F47,Arrangörslista!M$8:$AG$45,16,FALSE),"DNS")))),IF(ISBLANK(Deltagarlista!$C60),"",IF(ISBLANK(Arrangörslista!M$8),"",IFERROR(VLOOKUP($F47,Arrangörslista!M$8:$AG$45,16,FALSE),"DNS")))))</f>
        <v/>
      </c>
      <c r="U47" s="5" t="str">
        <f>IF(Deltagarlista!$K$3=4,IF(ISBLANK(Deltagarlista!$C60),"",IF(ISBLANK(Arrangörslista!J$53),"",IFERROR(VLOOKUP($F47,Arrangörslista!J$53:$AG$90,16,FALSE),IF(ISBLANK(Deltagarlista!$C60),"",IF(ISBLANK(Arrangörslista!J$53),"",IFERROR(VLOOKUP($F47,Arrangörslista!K$53:$AG$90,16,FALSE),"DNS")))))),IF(Deltagarlista!$K$3=2,
IF(ISBLANK(Deltagarlista!$C60),"",IF(ISBLANK(Arrangörslista!N$8),"",IF($GV47=U$64," DNS ",IFERROR(VLOOKUP($F47,Arrangörslista!N$8:$AG$45,16,FALSE),"DNS")))),IF(ISBLANK(Deltagarlista!$C60),"",IF(ISBLANK(Arrangörslista!N$8),"",IFERROR(VLOOKUP($F47,Arrangörslista!N$8:$AG$45,16,FALSE),"DNS")))))</f>
        <v/>
      </c>
      <c r="V47" s="5" t="str">
        <f>IF(Deltagarlista!$K$3=4,IF(ISBLANK(Deltagarlista!$C60),"",IF(ISBLANK(Arrangörslista!L$53),"",IFERROR(VLOOKUP($F47,Arrangörslista!L$53:$AG$90,16,FALSE),IF(ISBLANK(Deltagarlista!$C60),"",IF(ISBLANK(Arrangörslista!L$53),"",IFERROR(VLOOKUP($F47,Arrangörslista!M$53:$AG$90,16,FALSE),"DNS")))))),IF(Deltagarlista!$K$3=2,
IF(ISBLANK(Deltagarlista!$C60),"",IF(ISBLANK(Arrangörslista!O$8),"",IF($GV47=V$64," DNS ",IFERROR(VLOOKUP($F47,Arrangörslista!O$8:$AG$45,16,FALSE),"DNS")))),IF(ISBLANK(Deltagarlista!$C60),"",IF(ISBLANK(Arrangörslista!O$8),"",IFERROR(VLOOKUP($F47,Arrangörslista!O$8:$AG$45,16,FALSE),"DNS")))))</f>
        <v/>
      </c>
      <c r="W47" s="5" t="str">
        <f>IF(Deltagarlista!$K$3=4,IF(ISBLANK(Deltagarlista!$C60),"",IF(ISBLANK(Arrangörslista!N$53),"",IFERROR(VLOOKUP($F47,Arrangörslista!N$53:$AG$90,16,FALSE),IF(ISBLANK(Deltagarlista!$C60),"",IF(ISBLANK(Arrangörslista!N$53),"",IFERROR(VLOOKUP($F47,Arrangörslista!O$53:$AG$90,16,FALSE),"DNS")))))),IF(Deltagarlista!$K$3=2,
IF(ISBLANK(Deltagarlista!$C60),"",IF(ISBLANK(Arrangörslista!P$8),"",IF($GV47=W$64," DNS ",IFERROR(VLOOKUP($F47,Arrangörslista!P$8:$AG$45,16,FALSE),"DNS")))),IF(ISBLANK(Deltagarlista!$C60),"",IF(ISBLANK(Arrangörslista!P$8),"",IFERROR(VLOOKUP($F47,Arrangörslista!P$8:$AG$45,16,FALSE),"DNS")))))</f>
        <v/>
      </c>
      <c r="X47" s="5" t="str">
        <f>IF(Deltagarlista!$K$3=4,IF(ISBLANK(Deltagarlista!$C60),"",IF(ISBLANK(Arrangörslista!P$53),"",IFERROR(VLOOKUP($F47,Arrangörslista!P$53:$AG$90,16,FALSE),IF(ISBLANK(Deltagarlista!$C60),"",IF(ISBLANK(Arrangörslista!P$53),"",IFERROR(VLOOKUP($F47,Arrangörslista!Q$53:$AG$90,16,FALSE),"DNS")))))),IF(Deltagarlista!$K$3=2,
IF(ISBLANK(Deltagarlista!$C60),"",IF(ISBLANK(Arrangörslista!Q$8),"",IF($GV47=X$64," DNS ",IFERROR(VLOOKUP($F47,Arrangörslista!Q$8:$AG$45,16,FALSE),"DNS")))),IF(ISBLANK(Deltagarlista!$C60),"",IF(ISBLANK(Arrangörslista!Q$8),"",IFERROR(VLOOKUP($F47,Arrangörslista!Q$8:$AG$45,16,FALSE),"DNS")))))</f>
        <v/>
      </c>
      <c r="Y47" s="5" t="str">
        <f>IF(Deltagarlista!$K$3=4,IF(ISBLANK(Deltagarlista!$C60),"",IF(ISBLANK(Arrangörslista!C$98),"",IFERROR(VLOOKUP($F47,Arrangörslista!C$98:$AG$135,16,FALSE),IF(ISBLANK(Deltagarlista!$C60),"",IF(ISBLANK(Arrangörslista!C$98),"",IFERROR(VLOOKUP($F47,Arrangörslista!D$98:$AG$135,16,FALSE),"DNS")))))),IF(Deltagarlista!$K$3=2,
IF(ISBLANK(Deltagarlista!$C60),"",IF(ISBLANK(Arrangörslista!C$53),"",IF($GV47=Y$64," DNS ",IFERROR(VLOOKUP($F47,Arrangörslista!C$53:$AG$90,16,FALSE),"DNS")))),IF(ISBLANK(Deltagarlista!$C60),"",IF(ISBLANK(Arrangörslista!C$53),"",IFERROR(VLOOKUP($F47,Arrangörslista!C$53:$AG$90,16,FALSE),"DNS")))))</f>
        <v/>
      </c>
      <c r="Z47" s="5" t="str">
        <f>IF(Deltagarlista!$K$3=4,IF(ISBLANK(Deltagarlista!$C60),"",IF(ISBLANK(Arrangörslista!E$98),"",IFERROR(VLOOKUP($F47,Arrangörslista!E$98:$AG$135,16,FALSE),IF(ISBLANK(Deltagarlista!$C60),"",IF(ISBLANK(Arrangörslista!E$98),"",IFERROR(VLOOKUP($F47,Arrangörslista!F$98:$AG$135,16,FALSE),"DNS")))))),IF(Deltagarlista!$K$3=2,
IF(ISBLANK(Deltagarlista!$C60),"",IF(ISBLANK(Arrangörslista!D$53),"",IF($GV47=Z$64," DNS ",IFERROR(VLOOKUP($F47,Arrangörslista!D$53:$AG$90,16,FALSE),"DNS")))),IF(ISBLANK(Deltagarlista!$C60),"",IF(ISBLANK(Arrangörslista!D$53),"",IFERROR(VLOOKUP($F47,Arrangörslista!D$53:$AG$90,16,FALSE),"DNS")))))</f>
        <v/>
      </c>
      <c r="AA47" s="5" t="str">
        <f>IF(Deltagarlista!$K$3=4,IF(ISBLANK(Deltagarlista!$C60),"",IF(ISBLANK(Arrangörslista!G$98),"",IFERROR(VLOOKUP($F47,Arrangörslista!G$98:$AG$135,16,FALSE),IF(ISBLANK(Deltagarlista!$C60),"",IF(ISBLANK(Arrangörslista!G$98),"",IFERROR(VLOOKUP($F47,Arrangörslista!H$98:$AG$135,16,FALSE),"DNS")))))),IF(Deltagarlista!$K$3=2,
IF(ISBLANK(Deltagarlista!$C60),"",IF(ISBLANK(Arrangörslista!E$53),"",IF($GV47=AA$64," DNS ",IFERROR(VLOOKUP($F47,Arrangörslista!E$53:$AG$90,16,FALSE),"DNS")))),IF(ISBLANK(Deltagarlista!$C60),"",IF(ISBLANK(Arrangörslista!E$53),"",IFERROR(VLOOKUP($F47,Arrangörslista!E$53:$AG$90,16,FALSE),"DNS")))))</f>
        <v/>
      </c>
      <c r="AB47" s="5" t="str">
        <f>IF(Deltagarlista!$K$3=4,IF(ISBLANK(Deltagarlista!$C60),"",IF(ISBLANK(Arrangörslista!I$98),"",IFERROR(VLOOKUP($F47,Arrangörslista!I$98:$AG$135,16,FALSE),IF(ISBLANK(Deltagarlista!$C60),"",IF(ISBLANK(Arrangörslista!I$98),"",IFERROR(VLOOKUP($F47,Arrangörslista!J$98:$AG$135,16,FALSE),"DNS")))))),IF(Deltagarlista!$K$3=2,
IF(ISBLANK(Deltagarlista!$C60),"",IF(ISBLANK(Arrangörslista!F$53),"",IF($GV47=AB$64," DNS ",IFERROR(VLOOKUP($F47,Arrangörslista!F$53:$AG$90,16,FALSE),"DNS")))),IF(ISBLANK(Deltagarlista!$C60),"",IF(ISBLANK(Arrangörslista!F$53),"",IFERROR(VLOOKUP($F47,Arrangörslista!F$53:$AG$90,16,FALSE),"DNS")))))</f>
        <v/>
      </c>
      <c r="AC47" s="5" t="str">
        <f>IF(Deltagarlista!$K$3=4,IF(ISBLANK(Deltagarlista!$C60),"",IF(ISBLANK(Arrangörslista!K$98),"",IFERROR(VLOOKUP($F47,Arrangörslista!K$98:$AG$135,16,FALSE),IF(ISBLANK(Deltagarlista!$C60),"",IF(ISBLANK(Arrangörslista!K$98),"",IFERROR(VLOOKUP($F47,Arrangörslista!L$98:$AG$135,16,FALSE),"DNS")))))),IF(Deltagarlista!$K$3=2,
IF(ISBLANK(Deltagarlista!$C60),"",IF(ISBLANK(Arrangörslista!G$53),"",IF($GV47=AC$64," DNS ",IFERROR(VLOOKUP($F47,Arrangörslista!G$53:$AG$90,16,FALSE),"DNS")))),IF(ISBLANK(Deltagarlista!$C60),"",IF(ISBLANK(Arrangörslista!G$53),"",IFERROR(VLOOKUP($F47,Arrangörslista!G$53:$AG$90,16,FALSE),"DNS")))))</f>
        <v/>
      </c>
      <c r="AD47" s="5" t="str">
        <f>IF(Deltagarlista!$K$3=4,IF(ISBLANK(Deltagarlista!$C60),"",IF(ISBLANK(Arrangörslista!M$98),"",IFERROR(VLOOKUP($F47,Arrangörslista!M$98:$AG$135,16,FALSE),IF(ISBLANK(Deltagarlista!$C60),"",IF(ISBLANK(Arrangörslista!M$98),"",IFERROR(VLOOKUP($F47,Arrangörslista!N$98:$AG$135,16,FALSE),"DNS")))))),IF(Deltagarlista!$K$3=2,
IF(ISBLANK(Deltagarlista!$C60),"",IF(ISBLANK(Arrangörslista!H$53),"",IF($GV47=AD$64," DNS ",IFERROR(VLOOKUP($F47,Arrangörslista!H$53:$AG$90,16,FALSE),"DNS")))),IF(ISBLANK(Deltagarlista!$C60),"",IF(ISBLANK(Arrangörslista!H$53),"",IFERROR(VLOOKUP($F47,Arrangörslista!H$53:$AG$90,16,FALSE),"DNS")))))</f>
        <v/>
      </c>
      <c r="AE47" s="5" t="str">
        <f>IF(Deltagarlista!$K$3=4,IF(ISBLANK(Deltagarlista!$C60),"",IF(ISBLANK(Arrangörslista!O$98),"",IFERROR(VLOOKUP($F47,Arrangörslista!O$98:$AG$135,16,FALSE),IF(ISBLANK(Deltagarlista!$C60),"",IF(ISBLANK(Arrangörslista!O$98),"",IFERROR(VLOOKUP($F47,Arrangörslista!P$98:$AG$135,16,FALSE),"DNS")))))),IF(Deltagarlista!$K$3=2,
IF(ISBLANK(Deltagarlista!$C60),"",IF(ISBLANK(Arrangörslista!I$53),"",IF($GV47=AE$64," DNS ",IFERROR(VLOOKUP($F47,Arrangörslista!I$53:$AG$90,16,FALSE),"DNS")))),IF(ISBLANK(Deltagarlista!$C60),"",IF(ISBLANK(Arrangörslista!I$53),"",IFERROR(VLOOKUP($F47,Arrangörslista!I$53:$AG$90,16,FALSE),"DNS")))))</f>
        <v/>
      </c>
      <c r="AF47" s="5" t="str">
        <f>IF(Deltagarlista!$K$3=4,IF(ISBLANK(Deltagarlista!$C60),"",IF(ISBLANK(Arrangörslista!Q$98),"",IFERROR(VLOOKUP($F47,Arrangörslista!Q$98:$AG$135,16,FALSE),IF(ISBLANK(Deltagarlista!$C60),"",IF(ISBLANK(Arrangörslista!Q$98),"",IFERROR(VLOOKUP($F47,Arrangörslista!C$143:$AG$180,16,FALSE),"DNS")))))),IF(Deltagarlista!$K$3=2,
IF(ISBLANK(Deltagarlista!$C60),"",IF(ISBLANK(Arrangörslista!J$53),"",IF($GV47=AF$64," DNS ",IFERROR(VLOOKUP($F47,Arrangörslista!J$53:$AG$90,16,FALSE),"DNS")))),IF(ISBLANK(Deltagarlista!$C60),"",IF(ISBLANK(Arrangörslista!J$53),"",IFERROR(VLOOKUP($F47,Arrangörslista!J$53:$AG$90,16,FALSE),"DNS")))))</f>
        <v/>
      </c>
      <c r="AG47" s="5" t="str">
        <f>IF(Deltagarlista!$K$3=4,IF(ISBLANK(Deltagarlista!$C60),"",IF(ISBLANK(Arrangörslista!D$143),"",IFERROR(VLOOKUP($F47,Arrangörslista!D$143:$AG$180,16,FALSE),IF(ISBLANK(Deltagarlista!$C60),"",IF(ISBLANK(Arrangörslista!D$143),"",IFERROR(VLOOKUP($F47,Arrangörslista!E$143:$AG$180,16,FALSE),"DNS")))))),IF(Deltagarlista!$K$3=2,
IF(ISBLANK(Deltagarlista!$C60),"",IF(ISBLANK(Arrangörslista!K$53),"",IF($GV47=AG$64," DNS ",IFERROR(VLOOKUP($F47,Arrangörslista!K$53:$AG$90,16,FALSE),"DNS")))),IF(ISBLANK(Deltagarlista!$C60),"",IF(ISBLANK(Arrangörslista!K$53),"",IFERROR(VLOOKUP($F47,Arrangörslista!K$53:$AG$90,16,FALSE),"DNS")))))</f>
        <v/>
      </c>
      <c r="AH47" s="5" t="str">
        <f>IF(Deltagarlista!$K$3=4,IF(ISBLANK(Deltagarlista!$C60),"",IF(ISBLANK(Arrangörslista!F$143),"",IFERROR(VLOOKUP($F47,Arrangörslista!F$143:$AG$180,16,FALSE),IF(ISBLANK(Deltagarlista!$C60),"",IF(ISBLANK(Arrangörslista!F$143),"",IFERROR(VLOOKUP($F47,Arrangörslista!G$143:$AG$180,16,FALSE),"DNS")))))),IF(Deltagarlista!$K$3=2,
IF(ISBLANK(Deltagarlista!$C60),"",IF(ISBLANK(Arrangörslista!L$53),"",IF($GV47=AH$64," DNS ",IFERROR(VLOOKUP($F47,Arrangörslista!L$53:$AG$90,16,FALSE),"DNS")))),IF(ISBLANK(Deltagarlista!$C60),"",IF(ISBLANK(Arrangörslista!L$53),"",IFERROR(VLOOKUP($F47,Arrangörslista!L$53:$AG$90,16,FALSE),"DNS")))))</f>
        <v/>
      </c>
      <c r="AI47" s="5" t="str">
        <f>IF(Deltagarlista!$K$3=4,IF(ISBLANK(Deltagarlista!$C60),"",IF(ISBLANK(Arrangörslista!H$143),"",IFERROR(VLOOKUP($F47,Arrangörslista!H$143:$AG$180,16,FALSE),IF(ISBLANK(Deltagarlista!$C60),"",IF(ISBLANK(Arrangörslista!H$143),"",IFERROR(VLOOKUP($F47,Arrangörslista!I$143:$AG$180,16,FALSE),"DNS")))))),IF(Deltagarlista!$K$3=2,
IF(ISBLANK(Deltagarlista!$C60),"",IF(ISBLANK(Arrangörslista!M$53),"",IF($GV47=AI$64," DNS ",IFERROR(VLOOKUP($F47,Arrangörslista!M$53:$AG$90,16,FALSE),"DNS")))),IF(ISBLANK(Deltagarlista!$C60),"",IF(ISBLANK(Arrangörslista!M$53),"",IFERROR(VLOOKUP($F47,Arrangörslista!M$53:$AG$90,16,FALSE),"DNS")))))</f>
        <v/>
      </c>
      <c r="AJ47" s="5" t="str">
        <f>IF(Deltagarlista!$K$3=4,IF(ISBLANK(Deltagarlista!$C60),"",IF(ISBLANK(Arrangörslista!J$143),"",IFERROR(VLOOKUP($F47,Arrangörslista!J$143:$AG$180,16,FALSE),IF(ISBLANK(Deltagarlista!$C60),"",IF(ISBLANK(Arrangörslista!J$143),"",IFERROR(VLOOKUP($F47,Arrangörslista!K$143:$AG$180,16,FALSE),"DNS")))))),IF(Deltagarlista!$K$3=2,
IF(ISBLANK(Deltagarlista!$C60),"",IF(ISBLANK(Arrangörslista!N$53),"",IF($GV47=AJ$64," DNS ",IFERROR(VLOOKUP($F47,Arrangörslista!N$53:$AG$90,16,FALSE),"DNS")))),IF(ISBLANK(Deltagarlista!$C60),"",IF(ISBLANK(Arrangörslista!N$53),"",IFERROR(VLOOKUP($F47,Arrangörslista!N$53:$AG$90,16,FALSE),"DNS")))))</f>
        <v/>
      </c>
      <c r="AK47" s="5" t="str">
        <f>IF(Deltagarlista!$K$3=4,IF(ISBLANK(Deltagarlista!$C60),"",IF(ISBLANK(Arrangörslista!L$143),"",IFERROR(VLOOKUP($F47,Arrangörslista!L$143:$AG$180,16,FALSE),IF(ISBLANK(Deltagarlista!$C60),"",IF(ISBLANK(Arrangörslista!L$143),"",IFERROR(VLOOKUP($F47,Arrangörslista!M$143:$AG$180,16,FALSE),"DNS")))))),IF(Deltagarlista!$K$3=2,
IF(ISBLANK(Deltagarlista!$C60),"",IF(ISBLANK(Arrangörslista!O$53),"",IF($GV47=AK$64," DNS ",IFERROR(VLOOKUP($F47,Arrangörslista!O$53:$AG$90,16,FALSE),"DNS")))),IF(ISBLANK(Deltagarlista!$C60),"",IF(ISBLANK(Arrangörslista!O$53),"",IFERROR(VLOOKUP($F47,Arrangörslista!O$53:$AG$90,16,FALSE),"DNS")))))</f>
        <v/>
      </c>
      <c r="AL47" s="5" t="str">
        <f>IF(Deltagarlista!$K$3=4,IF(ISBLANK(Deltagarlista!$C60),"",IF(ISBLANK(Arrangörslista!N$143),"",IFERROR(VLOOKUP($F47,Arrangörslista!N$143:$AG$180,16,FALSE),IF(ISBLANK(Deltagarlista!$C60),"",IF(ISBLANK(Arrangörslista!N$143),"",IFERROR(VLOOKUP($F47,Arrangörslista!O$143:$AG$180,16,FALSE),"DNS")))))),IF(Deltagarlista!$K$3=2,
IF(ISBLANK(Deltagarlista!$C60),"",IF(ISBLANK(Arrangörslista!P$53),"",IF($GV47=AL$64," DNS ",IFERROR(VLOOKUP($F47,Arrangörslista!P$53:$AG$90,16,FALSE),"DNS")))),IF(ISBLANK(Deltagarlista!$C60),"",IF(ISBLANK(Arrangörslista!P$53),"",IFERROR(VLOOKUP($F47,Arrangörslista!P$53:$AG$90,16,FALSE),"DNS")))))</f>
        <v/>
      </c>
      <c r="AM47" s="5" t="str">
        <f>IF(Deltagarlista!$K$3=4,IF(ISBLANK(Deltagarlista!$C60),"",IF(ISBLANK(Arrangörslista!P$143),"",IFERROR(VLOOKUP($F47,Arrangörslista!P$143:$AG$180,16,FALSE),IF(ISBLANK(Deltagarlista!$C60),"",IF(ISBLANK(Arrangörslista!P$143),"",IFERROR(VLOOKUP($F47,Arrangörslista!Q$143:$AG$180,16,FALSE),"DNS")))))),IF(Deltagarlista!$K$3=2,
IF(ISBLANK(Deltagarlista!$C60),"",IF(ISBLANK(Arrangörslista!Q$53),"",IF($GV47=AM$64," DNS ",IFERROR(VLOOKUP($F47,Arrangörslista!Q$53:$AG$90,16,FALSE),"DNS")))),IF(ISBLANK(Deltagarlista!$C60),"",IF(ISBLANK(Arrangörslista!Q$53),"",IFERROR(VLOOKUP($F47,Arrangörslista!Q$53:$AG$90,16,FALSE),"DNS")))))</f>
        <v/>
      </c>
      <c r="AN47" s="5" t="str">
        <f>IF(Deltagarlista!$K$3=2,
IF(ISBLANK(Deltagarlista!$C60),"",IF(ISBLANK(Arrangörslista!C$98),"",IF($GV47=AN$64," DNS ",IFERROR(VLOOKUP($F47,Arrangörslista!C$98:$AG$135,16,FALSE), "DNS")))), IF(Deltagarlista!$K$3=1,IF(ISBLANK(Deltagarlista!$C60),"",IF(ISBLANK(Arrangörslista!C$98),"",IFERROR(VLOOKUP($F47,Arrangörslista!C$98:$AG$135,16,FALSE), "DNS"))),""))</f>
        <v/>
      </c>
      <c r="AO47" s="5" t="str">
        <f>IF(Deltagarlista!$K$3=2,
IF(ISBLANK(Deltagarlista!$C60),"",IF(ISBLANK(Arrangörslista!D$98),"",IF($GV47=AO$64," DNS ",IFERROR(VLOOKUP($F47,Arrangörslista!D$98:$AG$135,16,FALSE), "DNS")))), IF(Deltagarlista!$K$3=1,IF(ISBLANK(Deltagarlista!$C60),"",IF(ISBLANK(Arrangörslista!D$98),"",IFERROR(VLOOKUP($F47,Arrangörslista!D$98:$AG$135,16,FALSE), "DNS"))),""))</f>
        <v/>
      </c>
      <c r="AP47" s="5" t="str">
        <f>IF(Deltagarlista!$K$3=2,
IF(ISBLANK(Deltagarlista!$C60),"",IF(ISBLANK(Arrangörslista!E$98),"",IF($GV47=AP$64," DNS ",IFERROR(VLOOKUP($F47,Arrangörslista!E$98:$AG$135,16,FALSE), "DNS")))), IF(Deltagarlista!$K$3=1,IF(ISBLANK(Deltagarlista!$C60),"",IF(ISBLANK(Arrangörslista!E$98),"",IFERROR(VLOOKUP($F47,Arrangörslista!E$98:$AG$135,16,FALSE), "DNS"))),""))</f>
        <v/>
      </c>
      <c r="AQ47" s="5" t="str">
        <f>IF(Deltagarlista!$K$3=2,
IF(ISBLANK(Deltagarlista!$C60),"",IF(ISBLANK(Arrangörslista!F$98),"",IF($GV47=AQ$64," DNS ",IFERROR(VLOOKUP($F47,Arrangörslista!F$98:$AG$135,16,FALSE), "DNS")))), IF(Deltagarlista!$K$3=1,IF(ISBLANK(Deltagarlista!$C60),"",IF(ISBLANK(Arrangörslista!F$98),"",IFERROR(VLOOKUP($F47,Arrangörslista!F$98:$AG$135,16,FALSE), "DNS"))),""))</f>
        <v/>
      </c>
      <c r="AR47" s="5" t="str">
        <f>IF(Deltagarlista!$K$3=2,
IF(ISBLANK(Deltagarlista!$C60),"",IF(ISBLANK(Arrangörslista!G$98),"",IF($GV47=AR$64," DNS ",IFERROR(VLOOKUP($F47,Arrangörslista!G$98:$AG$135,16,FALSE), "DNS")))), IF(Deltagarlista!$K$3=1,IF(ISBLANK(Deltagarlista!$C60),"",IF(ISBLANK(Arrangörslista!G$98),"",IFERROR(VLOOKUP($F47,Arrangörslista!G$98:$AG$135,16,FALSE), "DNS"))),""))</f>
        <v/>
      </c>
      <c r="AS47" s="5" t="str">
        <f>IF(Deltagarlista!$K$3=2,
IF(ISBLANK(Deltagarlista!$C60),"",IF(ISBLANK(Arrangörslista!H$98),"",IF($GV47=AS$64," DNS ",IFERROR(VLOOKUP($F47,Arrangörslista!H$98:$AG$135,16,FALSE), "DNS")))), IF(Deltagarlista!$K$3=1,IF(ISBLANK(Deltagarlista!$C60),"",IF(ISBLANK(Arrangörslista!H$98),"",IFERROR(VLOOKUP($F47,Arrangörslista!H$98:$AG$135,16,FALSE), "DNS"))),""))</f>
        <v/>
      </c>
      <c r="AT47" s="5" t="str">
        <f>IF(Deltagarlista!$K$3=2,
IF(ISBLANK(Deltagarlista!$C60),"",IF(ISBLANK(Arrangörslista!I$98),"",IF($GV47=AT$64," DNS ",IFERROR(VLOOKUP($F47,Arrangörslista!I$98:$AG$135,16,FALSE), "DNS")))), IF(Deltagarlista!$K$3=1,IF(ISBLANK(Deltagarlista!$C60),"",IF(ISBLANK(Arrangörslista!I$98),"",IFERROR(VLOOKUP($F47,Arrangörslista!I$98:$AG$135,16,FALSE), "DNS"))),""))</f>
        <v/>
      </c>
      <c r="AU47" s="5" t="str">
        <f>IF(Deltagarlista!$K$3=2,
IF(ISBLANK(Deltagarlista!$C60),"",IF(ISBLANK(Arrangörslista!J$98),"",IF($GV47=AU$64," DNS ",IFERROR(VLOOKUP($F47,Arrangörslista!J$98:$AG$135,16,FALSE), "DNS")))), IF(Deltagarlista!$K$3=1,IF(ISBLANK(Deltagarlista!$C60),"",IF(ISBLANK(Arrangörslista!J$98),"",IFERROR(VLOOKUP($F47,Arrangörslista!J$98:$AG$135,16,FALSE), "DNS"))),""))</f>
        <v/>
      </c>
      <c r="AV47" s="5" t="str">
        <f>IF(Deltagarlista!$K$3=2,
IF(ISBLANK(Deltagarlista!$C60),"",IF(ISBLANK(Arrangörslista!K$98),"",IF($GV47=AV$64," DNS ",IFERROR(VLOOKUP($F47,Arrangörslista!K$98:$AG$135,16,FALSE), "DNS")))), IF(Deltagarlista!$K$3=1,IF(ISBLANK(Deltagarlista!$C60),"",IF(ISBLANK(Arrangörslista!K$98),"",IFERROR(VLOOKUP($F47,Arrangörslista!K$98:$AG$135,16,FALSE), "DNS"))),""))</f>
        <v/>
      </c>
      <c r="AW47" s="5" t="str">
        <f>IF(Deltagarlista!$K$3=2,
IF(ISBLANK(Deltagarlista!$C60),"",IF(ISBLANK(Arrangörslista!L$98),"",IF($GV47=AW$64," DNS ",IFERROR(VLOOKUP($F47,Arrangörslista!L$98:$AG$135,16,FALSE), "DNS")))), IF(Deltagarlista!$K$3=1,IF(ISBLANK(Deltagarlista!$C60),"",IF(ISBLANK(Arrangörslista!L$98),"",IFERROR(VLOOKUP($F47,Arrangörslista!L$98:$AG$135,16,FALSE), "DNS"))),""))</f>
        <v/>
      </c>
      <c r="AX47" s="5" t="str">
        <f>IF(Deltagarlista!$K$3=2,
IF(ISBLANK(Deltagarlista!$C60),"",IF(ISBLANK(Arrangörslista!M$98),"",IF($GV47=AX$64," DNS ",IFERROR(VLOOKUP($F47,Arrangörslista!M$98:$AG$135,16,FALSE), "DNS")))), IF(Deltagarlista!$K$3=1,IF(ISBLANK(Deltagarlista!$C60),"",IF(ISBLANK(Arrangörslista!M$98),"",IFERROR(VLOOKUP($F47,Arrangörslista!M$98:$AG$135,16,FALSE), "DNS"))),""))</f>
        <v/>
      </c>
      <c r="AY47" s="5" t="str">
        <f>IF(Deltagarlista!$K$3=2,
IF(ISBLANK(Deltagarlista!$C60),"",IF(ISBLANK(Arrangörslista!N$98),"",IF($GV47=AY$64," DNS ",IFERROR(VLOOKUP($F47,Arrangörslista!N$98:$AG$135,16,FALSE), "DNS")))), IF(Deltagarlista!$K$3=1,IF(ISBLANK(Deltagarlista!$C60),"",IF(ISBLANK(Arrangörslista!N$98),"",IFERROR(VLOOKUP($F47,Arrangörslista!N$98:$AG$135,16,FALSE), "DNS"))),""))</f>
        <v/>
      </c>
      <c r="AZ47" s="5" t="str">
        <f>IF(Deltagarlista!$K$3=2,
IF(ISBLANK(Deltagarlista!$C60),"",IF(ISBLANK(Arrangörslista!O$98),"",IF($GV47=AZ$64," DNS ",IFERROR(VLOOKUP($F47,Arrangörslista!O$98:$AG$135,16,FALSE), "DNS")))), IF(Deltagarlista!$K$3=1,IF(ISBLANK(Deltagarlista!$C60),"",IF(ISBLANK(Arrangörslista!O$98),"",IFERROR(VLOOKUP($F47,Arrangörslista!O$98:$AG$135,16,FALSE), "DNS"))),""))</f>
        <v/>
      </c>
      <c r="BA47" s="5" t="str">
        <f>IF(Deltagarlista!$K$3=2,
IF(ISBLANK(Deltagarlista!$C60),"",IF(ISBLANK(Arrangörslista!P$98),"",IF($GV47=BA$64," DNS ",IFERROR(VLOOKUP($F47,Arrangörslista!P$98:$AG$135,16,FALSE), "DNS")))), IF(Deltagarlista!$K$3=1,IF(ISBLANK(Deltagarlista!$C60),"",IF(ISBLANK(Arrangörslista!P$98),"",IFERROR(VLOOKUP($F47,Arrangörslista!P$98:$AG$135,16,FALSE), "DNS"))),""))</f>
        <v/>
      </c>
      <c r="BB47" s="5" t="str">
        <f>IF(Deltagarlista!$K$3=2,
IF(ISBLANK(Deltagarlista!$C60),"",IF(ISBLANK(Arrangörslista!Q$98),"",IF($GV47=BB$64," DNS ",IFERROR(VLOOKUP($F47,Arrangörslista!Q$98:$AG$135,16,FALSE), "DNS")))), IF(Deltagarlista!$K$3=1,IF(ISBLANK(Deltagarlista!$C60),"",IF(ISBLANK(Arrangörslista!Q$98),"",IFERROR(VLOOKUP($F47,Arrangörslista!Q$98:$AG$135,16,FALSE), "DNS"))),""))</f>
        <v/>
      </c>
      <c r="BC47" s="5" t="str">
        <f>IF(Deltagarlista!$K$3=2,
IF(ISBLANK(Deltagarlista!$C60),"",IF(ISBLANK(Arrangörslista!C$143),"",IF($GV47=BC$64," DNS ",IFERROR(VLOOKUP($F47,Arrangörslista!C$143:$AG$180,16,FALSE), "DNS")))), IF(Deltagarlista!$K$3=1,IF(ISBLANK(Deltagarlista!$C60),"",IF(ISBLANK(Arrangörslista!C$143),"",IFERROR(VLOOKUP($F47,Arrangörslista!C$143:$AG$180,16,FALSE), "DNS"))),""))</f>
        <v/>
      </c>
      <c r="BD47" s="5" t="str">
        <f>IF(Deltagarlista!$K$3=2,
IF(ISBLANK(Deltagarlista!$C60),"",IF(ISBLANK(Arrangörslista!D$143),"",IF($GV47=BD$64," DNS ",IFERROR(VLOOKUP($F47,Arrangörslista!D$143:$AG$180,16,FALSE), "DNS")))), IF(Deltagarlista!$K$3=1,IF(ISBLANK(Deltagarlista!$C60),"",IF(ISBLANK(Arrangörslista!D$143),"",IFERROR(VLOOKUP($F47,Arrangörslista!D$143:$AG$180,16,FALSE), "DNS"))),""))</f>
        <v/>
      </c>
      <c r="BE47" s="5" t="str">
        <f>IF(Deltagarlista!$K$3=2,
IF(ISBLANK(Deltagarlista!$C60),"",IF(ISBLANK(Arrangörslista!E$143),"",IF($GV47=BE$64," DNS ",IFERROR(VLOOKUP($F47,Arrangörslista!E$143:$AG$180,16,FALSE), "DNS")))), IF(Deltagarlista!$K$3=1,IF(ISBLANK(Deltagarlista!$C60),"",IF(ISBLANK(Arrangörslista!E$143),"",IFERROR(VLOOKUP($F47,Arrangörslista!E$143:$AG$180,16,FALSE), "DNS"))),""))</f>
        <v/>
      </c>
      <c r="BF47" s="5" t="str">
        <f>IF(Deltagarlista!$K$3=2,
IF(ISBLANK(Deltagarlista!$C60),"",IF(ISBLANK(Arrangörslista!F$143),"",IF($GV47=BF$64," DNS ",IFERROR(VLOOKUP($F47,Arrangörslista!F$143:$AG$180,16,FALSE), "DNS")))), IF(Deltagarlista!$K$3=1,IF(ISBLANK(Deltagarlista!$C60),"",IF(ISBLANK(Arrangörslista!F$143),"",IFERROR(VLOOKUP($F47,Arrangörslista!F$143:$AG$180,16,FALSE), "DNS"))),""))</f>
        <v/>
      </c>
      <c r="BG47" s="5" t="str">
        <f>IF(Deltagarlista!$K$3=2,
IF(ISBLANK(Deltagarlista!$C60),"",IF(ISBLANK(Arrangörslista!G$143),"",IF($GV47=BG$64," DNS ",IFERROR(VLOOKUP($F47,Arrangörslista!G$143:$AG$180,16,FALSE), "DNS")))), IF(Deltagarlista!$K$3=1,IF(ISBLANK(Deltagarlista!$C60),"",IF(ISBLANK(Arrangörslista!G$143),"",IFERROR(VLOOKUP($F47,Arrangörslista!G$143:$AG$180,16,FALSE), "DNS"))),""))</f>
        <v/>
      </c>
      <c r="BH47" s="5" t="str">
        <f>IF(Deltagarlista!$K$3=2,
IF(ISBLANK(Deltagarlista!$C60),"",IF(ISBLANK(Arrangörslista!H$143),"",IF($GV47=BH$64," DNS ",IFERROR(VLOOKUP($F47,Arrangörslista!H$143:$AG$180,16,FALSE), "DNS")))), IF(Deltagarlista!$K$3=1,IF(ISBLANK(Deltagarlista!$C60),"",IF(ISBLANK(Arrangörslista!H$143),"",IFERROR(VLOOKUP($F47,Arrangörslista!H$143:$AG$180,16,FALSE), "DNS"))),""))</f>
        <v/>
      </c>
      <c r="BI47" s="5" t="str">
        <f>IF(Deltagarlista!$K$3=2,
IF(ISBLANK(Deltagarlista!$C60),"",IF(ISBLANK(Arrangörslista!I$143),"",IF($GV47=BI$64," DNS ",IFERROR(VLOOKUP($F47,Arrangörslista!I$143:$AG$180,16,FALSE), "DNS")))), IF(Deltagarlista!$K$3=1,IF(ISBLANK(Deltagarlista!$C60),"",IF(ISBLANK(Arrangörslista!I$143),"",IFERROR(VLOOKUP($F47,Arrangörslista!I$143:$AG$180,16,FALSE), "DNS"))),""))</f>
        <v/>
      </c>
      <c r="BJ47" s="5" t="str">
        <f>IF(Deltagarlista!$K$3=2,
IF(ISBLANK(Deltagarlista!$C60),"",IF(ISBLANK(Arrangörslista!J$143),"",IF($GV47=BJ$64," DNS ",IFERROR(VLOOKUP($F47,Arrangörslista!J$143:$AG$180,16,FALSE), "DNS")))), IF(Deltagarlista!$K$3=1,IF(ISBLANK(Deltagarlista!$C60),"",IF(ISBLANK(Arrangörslista!J$143),"",IFERROR(VLOOKUP($F47,Arrangörslista!J$143:$AG$180,16,FALSE), "DNS"))),""))</f>
        <v/>
      </c>
      <c r="BK47" s="5" t="str">
        <f>IF(Deltagarlista!$K$3=2,
IF(ISBLANK(Deltagarlista!$C60),"",IF(ISBLANK(Arrangörslista!K$143),"",IF($GV47=BK$64," DNS ",IFERROR(VLOOKUP($F47,Arrangörslista!K$143:$AG$180,16,FALSE), "DNS")))), IF(Deltagarlista!$K$3=1,IF(ISBLANK(Deltagarlista!$C60),"",IF(ISBLANK(Arrangörslista!K$143),"",IFERROR(VLOOKUP($F47,Arrangörslista!K$143:$AG$180,16,FALSE), "DNS"))),""))</f>
        <v/>
      </c>
      <c r="BL47" s="5" t="str">
        <f>IF(Deltagarlista!$K$3=2,
IF(ISBLANK(Deltagarlista!$C60),"",IF(ISBLANK(Arrangörslista!L$143),"",IF($GV47=BL$64," DNS ",IFERROR(VLOOKUP($F47,Arrangörslista!L$143:$AG$180,16,FALSE), "DNS")))), IF(Deltagarlista!$K$3=1,IF(ISBLANK(Deltagarlista!$C60),"",IF(ISBLANK(Arrangörslista!L$143),"",IFERROR(VLOOKUP($F47,Arrangörslista!L$143:$AG$180,16,FALSE), "DNS"))),""))</f>
        <v/>
      </c>
      <c r="BM47" s="5" t="str">
        <f>IF(Deltagarlista!$K$3=2,
IF(ISBLANK(Deltagarlista!$C60),"",IF(ISBLANK(Arrangörslista!M$143),"",IF($GV47=BM$64," DNS ",IFERROR(VLOOKUP($F47,Arrangörslista!M$143:$AG$180,16,FALSE), "DNS")))), IF(Deltagarlista!$K$3=1,IF(ISBLANK(Deltagarlista!$C60),"",IF(ISBLANK(Arrangörslista!M$143),"",IFERROR(VLOOKUP($F47,Arrangörslista!M$143:$AG$180,16,FALSE), "DNS"))),""))</f>
        <v/>
      </c>
      <c r="BN47" s="5" t="str">
        <f>IF(Deltagarlista!$K$3=2,
IF(ISBLANK(Deltagarlista!$C60),"",IF(ISBLANK(Arrangörslista!N$143),"",IF($GV47=BN$64," DNS ",IFERROR(VLOOKUP($F47,Arrangörslista!N$143:$AG$180,16,FALSE), "DNS")))), IF(Deltagarlista!$K$3=1,IF(ISBLANK(Deltagarlista!$C60),"",IF(ISBLANK(Arrangörslista!N$143),"",IFERROR(VLOOKUP($F47,Arrangörslista!N$143:$AG$180,16,FALSE), "DNS"))),""))</f>
        <v/>
      </c>
      <c r="BO47" s="5" t="str">
        <f>IF(Deltagarlista!$K$3=2,
IF(ISBLANK(Deltagarlista!$C60),"",IF(ISBLANK(Arrangörslista!O$143),"",IF($GV47=BO$64," DNS ",IFERROR(VLOOKUP($F47,Arrangörslista!O$143:$AG$180,16,FALSE), "DNS")))), IF(Deltagarlista!$K$3=1,IF(ISBLANK(Deltagarlista!$C60),"",IF(ISBLANK(Arrangörslista!O$143),"",IFERROR(VLOOKUP($F47,Arrangörslista!O$143:$AG$180,16,FALSE), "DNS"))),""))</f>
        <v/>
      </c>
      <c r="BP47" s="5" t="str">
        <f>IF(Deltagarlista!$K$3=2,
IF(ISBLANK(Deltagarlista!$C60),"",IF(ISBLANK(Arrangörslista!P$143),"",IF($GV47=BP$64," DNS ",IFERROR(VLOOKUP($F47,Arrangörslista!P$143:$AG$180,16,FALSE), "DNS")))), IF(Deltagarlista!$K$3=1,IF(ISBLANK(Deltagarlista!$C60),"",IF(ISBLANK(Arrangörslista!P$143),"",IFERROR(VLOOKUP($F47,Arrangörslista!P$143:$AG$180,16,FALSE), "DNS"))),""))</f>
        <v/>
      </c>
      <c r="BQ47" s="80" t="str">
        <f>IF(Deltagarlista!$K$3=2,
IF(ISBLANK(Deltagarlista!$C60),"",IF(ISBLANK(Arrangörslista!Q$143),"",IF($GV47=BQ$64," DNS ",IFERROR(VLOOKUP($F47,Arrangörslista!Q$143:$AG$180,16,FALSE), "DNS")))), IF(Deltagarlista!$K$3=1,IF(ISBLANK(Deltagarlista!$C60),"",IF(ISBLANK(Arrangörslista!Q$143),"",IFERROR(VLOOKUP($F47,Arrangörslista!Q$143:$AG$180,16,FALSE), "DNS"))),""))</f>
        <v/>
      </c>
      <c r="BR47" s="48"/>
      <c r="BU47" s="71">
        <f>SUM(BV47:EC47)</f>
        <v>0</v>
      </c>
      <c r="BV47" s="61">
        <f>IF(J47="",0,IF(OR(J47="DNF",J47="OCS",J47="DSQ",J47="DNS",J47=" DNS "),$BW$3+1,J47))</f>
        <v>0</v>
      </c>
      <c r="BW47" s="61">
        <f>IF(K47="",0,IF(OR(K47="DNF",K47="OCS",K47="DSQ",K47="DNS",K47=" DNS "),$BW$3+1,K47))</f>
        <v>0</v>
      </c>
      <c r="BX47" s="61">
        <f>IF(L47="",0,IF(OR(L47="DNF",L47="OCS",L47="DSQ",L47="DNS",L47=" DNS "),$BW$3+1,L47))</f>
        <v>0</v>
      </c>
      <c r="BY47" s="61">
        <f>IF(M47="",0,IF(OR(M47="DNF",M47="OCS",M47="DSQ",M47="DNS",M47=" DNS "),$BW$3+1,M47))</f>
        <v>0</v>
      </c>
      <c r="BZ47" s="61">
        <f>IF(N47="",0,IF(OR(N47="DNF",N47="OCS",N47="DSQ",N47="DNS",N47=" DNS "),$BW$3+1,N47))</f>
        <v>0</v>
      </c>
      <c r="CA47" s="61">
        <f>IF(O47="",0,IF(OR(O47="DNF",O47="OCS",O47="DSQ",O47="DNS",O47=" DNS "),$BW$3+1,O47))</f>
        <v>0</v>
      </c>
      <c r="CB47" s="61">
        <f>IF(P47="",0,IF(OR(P47="DNF",P47="OCS",P47="DSQ",P47="DNS",P47=" DNS "),$BW$3+1,P47))</f>
        <v>0</v>
      </c>
      <c r="CC47" s="61">
        <f>IF(Q47="",0,IF(OR(Q47="DNF",Q47="OCS",Q47="DSQ",Q47="DNS",Q47=" DNS "),$BW$3+1,Q47))</f>
        <v>0</v>
      </c>
      <c r="CD47" s="61">
        <f>IF(R47="",0,IF(OR(R47="DNF",R47="OCS",R47="DSQ",R47="DNS",R47=" DNS "),$BW$3+1,R47))</f>
        <v>0</v>
      </c>
      <c r="CE47" s="61">
        <f>IF(S47="",0,IF(OR(S47="DNF",S47="OCS",S47="DSQ",S47="DNS",S47=" DNS "),$BW$3+1,S47))</f>
        <v>0</v>
      </c>
      <c r="CF47" s="61">
        <f>IF(T47="",0,IF(OR(T47="DNF",T47="OCS",T47="DSQ",T47="DNS",T47=" DNS "),$BW$3+1,T47))</f>
        <v>0</v>
      </c>
      <c r="CG47" s="61">
        <f>IF(U47="",0,IF(OR(U47="DNF",U47="OCS",U47="DSQ",U47="DNS",U47=" DNS "),$BW$3+1,U47))</f>
        <v>0</v>
      </c>
      <c r="CH47" s="61">
        <f>IF(V47="",0,IF(OR(V47="DNF",V47="OCS",V47="DSQ",V47="DNS",V47=" DNS "),$BW$3+1,V47))</f>
        <v>0</v>
      </c>
      <c r="CI47" s="61">
        <f>IF(W47="",0,IF(OR(W47="DNF",W47="OCS",W47="DSQ",W47="DNS",W47=" DNS "),$BW$3+1,W47))</f>
        <v>0</v>
      </c>
      <c r="CJ47" s="61">
        <f>IF(X47="",0,IF(OR(X47="DNF",X47="OCS",X47="DSQ",X47="DNS",X47=" DNS "),$BW$3+1,X47))</f>
        <v>0</v>
      </c>
      <c r="CK47" s="61">
        <f>IF(Y47="",0,IF(OR(Y47="DNF",Y47="OCS",Y47="DSQ",Y47="DNS",Y47=" DNS "),$BW$3+1,Y47))</f>
        <v>0</v>
      </c>
      <c r="CL47" s="61">
        <f>IF(Z47="",0,IF(OR(Z47="DNF",Z47="OCS",Z47="DSQ",Z47="DNS",Z47=" DNS "),$BW$3+1,Z47))</f>
        <v>0</v>
      </c>
      <c r="CM47" s="61">
        <f>IF(AA47="",0,IF(OR(AA47="DNF",AA47="OCS",AA47="DSQ",AA47="DNS",AA47=" DNS "),$BW$3+1,AA47))</f>
        <v>0</v>
      </c>
      <c r="CN47" s="61">
        <f>IF(AB47="",0,IF(OR(AB47="DNF",AB47="OCS",AB47="DSQ",AB47="DNS",AB47=" DNS "),$BW$3+1,AB47))</f>
        <v>0</v>
      </c>
      <c r="CO47" s="61">
        <f>IF(AC47="",0,IF(OR(AC47="DNF",AC47="OCS",AC47="DSQ",AC47="DNS",AC47=" DNS "),$BW$3+1,AC47))</f>
        <v>0</v>
      </c>
      <c r="CP47" s="61">
        <f>IF(AD47="",0,IF(OR(AD47="DNF",AD47="OCS",AD47="DSQ",AD47="DNS",AD47=" DNS "),$BW$3+1,AD47))</f>
        <v>0</v>
      </c>
      <c r="CQ47" s="61">
        <f>IF(AE47="",0,IF(OR(AE47="DNF",AE47="OCS",AE47="DSQ",AE47="DNS",AE47=" DNS "),$BW$3+1,AE47))</f>
        <v>0</v>
      </c>
      <c r="CR47" s="61">
        <f>IF(AF47="",0,IF(OR(AF47="DNF",AF47="OCS",AF47="DSQ",AF47="DNS",AF47=" DNS "),$BW$3+1,AF47))</f>
        <v>0</v>
      </c>
      <c r="CS47" s="61">
        <f>IF(AG47="",0,IF(OR(AG47="DNF",AG47="OCS",AG47="DSQ",AG47="DNS",AG47=" DNS "),$BW$3+1,AG47))</f>
        <v>0</v>
      </c>
      <c r="CT47" s="61">
        <f>IF(AH47="",0,IF(OR(AH47="DNF",AH47="OCS",AH47="DSQ",AH47="DNS",AH47=" DNS "),$BW$3+1,AH47))</f>
        <v>0</v>
      </c>
      <c r="CU47" s="61">
        <f>IF(AI47="",0,IF(OR(AI47="DNF",AI47="OCS",AI47="DSQ",AI47="DNS",AI47=" DNS "),$BW$3+1,AI47))</f>
        <v>0</v>
      </c>
      <c r="CV47" s="61">
        <f>IF(AJ47="",0,IF(OR(AJ47="DNF",AJ47="OCS",AJ47="DSQ",AJ47="DNS",AJ47=" DNS "),$BW$3+1,AJ47))</f>
        <v>0</v>
      </c>
      <c r="CW47" s="61">
        <f>IF(AK47="",0,IF(OR(AK47="DNF",AK47="OCS",AK47="DSQ",AK47="DNS",AK47=" DNS "),$BW$3+1,AK47))</f>
        <v>0</v>
      </c>
      <c r="CX47" s="61">
        <f>IF(AL47="",0,IF(OR(AL47="DNF",AL47="OCS",AL47="DSQ",AL47="DNS",AL47=" DNS "),$BW$3+1,AL47))</f>
        <v>0</v>
      </c>
      <c r="CY47" s="61">
        <f>IF(AM47="",0,IF(OR(AM47="DNF",AM47="OCS",AM47="DSQ",AM47="DNS",AM47=" DNS "),$BW$3+1,AM47))</f>
        <v>0</v>
      </c>
      <c r="CZ47" s="61">
        <f>IF(AN47="",0,IF(OR(AN47="DNF",AN47="OCS",AN47="DSQ",AN47="DNS",AN47=" DNS "),$BW$3+1,AN47))</f>
        <v>0</v>
      </c>
      <c r="DA47" s="61">
        <f>IF(AO47="",0,IF(OR(AO47="DNF",AO47="OCS",AO47="DSQ",AO47="DNS",AO47=" DNS "),$BW$3+1,AO47))</f>
        <v>0</v>
      </c>
      <c r="DB47" s="61">
        <f>IF(AP47="",0,IF(OR(AP47="DNF",AP47="OCS",AP47="DSQ",AP47="DNS",AP47=" DNS "),$BW$3+1,AP47))</f>
        <v>0</v>
      </c>
      <c r="DC47" s="61">
        <f>IF(AQ47="",0,IF(OR(AQ47="DNF",AQ47="OCS",AQ47="DSQ",AQ47="DNS",AQ47=" DNS "),$BW$3+1,AQ47))</f>
        <v>0</v>
      </c>
      <c r="DD47" s="61">
        <f>IF(AR47="",0,IF(OR(AR47="DNF",AR47="OCS",AR47="DSQ",AR47="DNS",AR47=" DNS "),$BW$3+1,AR47))</f>
        <v>0</v>
      </c>
      <c r="DE47" s="61">
        <f>IF(AS47="",0,IF(OR(AS47="DNF",AS47="OCS",AS47="DSQ",AS47="DNS",AS47=" DNS "),$BW$3+1,AS47))</f>
        <v>0</v>
      </c>
      <c r="DF47" s="61">
        <f>IF(AT47="",0,IF(OR(AT47="DNF",AT47="OCS",AT47="DSQ",AT47="DNS",AT47=" DNS "),$BW$3+1,AT47))</f>
        <v>0</v>
      </c>
      <c r="DG47" s="61">
        <f>IF(AU47="",0,IF(OR(AU47="DNF",AU47="OCS",AU47="DSQ",AU47="DNS",AU47=" DNS "),$BW$3+1,AU47))</f>
        <v>0</v>
      </c>
      <c r="DH47" s="61">
        <f>IF(AV47="",0,IF(OR(AV47="DNF",AV47="OCS",AV47="DSQ",AV47="DNS",AV47=" DNS "),$BW$3+1,AV47))</f>
        <v>0</v>
      </c>
      <c r="DI47" s="61">
        <f>IF(AW47="",0,IF(OR(AW47="DNF",AW47="OCS",AW47="DSQ",AW47="DNS",AW47=" DNS "),$BW$3+1,AW47))</f>
        <v>0</v>
      </c>
      <c r="DJ47" s="61">
        <f>IF(AX47="",0,IF(OR(AX47="DNF",AX47="OCS",AX47="DSQ",AX47="DNS",AX47=" DNS "),$BW$3+1,AX47))</f>
        <v>0</v>
      </c>
      <c r="DK47" s="61">
        <f>IF(AY47="",0,IF(OR(AY47="DNF",AY47="OCS",AY47="DSQ",AY47="DNS",AY47=" DNS "),$BW$3+1,AY47))</f>
        <v>0</v>
      </c>
      <c r="DL47" s="61">
        <f>IF(AZ47="",0,IF(OR(AZ47="DNF",AZ47="OCS",AZ47="DSQ",AZ47="DNS",AZ47=" DNS "),$BW$3+1,AZ47))</f>
        <v>0</v>
      </c>
      <c r="DM47" s="61">
        <f>IF(BA47="",0,IF(OR(BA47="DNF",BA47="OCS",BA47="DSQ",BA47="DNS",BA47=" DNS "),$BW$3+1,BA47))</f>
        <v>0</v>
      </c>
      <c r="DN47" s="61">
        <f>IF(BB47="",0,IF(OR(BB47="DNF",BB47="OCS",BB47="DSQ",BB47="DNS",BB47=" DNS "),$BW$3+1,BB47))</f>
        <v>0</v>
      </c>
      <c r="DO47" s="61">
        <f>IF(BC47="",0,IF(OR(BC47="DNF",BC47="OCS",BC47="DSQ",BC47="DNS",BC47=" DNS "),$BW$3+1,BC47))</f>
        <v>0</v>
      </c>
      <c r="DP47" s="61">
        <f>IF(BD47="",0,IF(OR(BD47="DNF",BD47="OCS",BD47="DSQ",BD47="DNS",BD47=" DNS "),$BW$3+1,BD47))</f>
        <v>0</v>
      </c>
      <c r="DQ47" s="61">
        <f>IF(BE47="",0,IF(OR(BE47="DNF",BE47="OCS",BE47="DSQ",BE47="DNS",BE47=" DNS "),$BW$3+1,BE47))</f>
        <v>0</v>
      </c>
      <c r="DR47" s="61">
        <f>IF(BF47="",0,IF(OR(BF47="DNF",BF47="OCS",BF47="DSQ",BF47="DNS",BF47=" DNS "),$BW$3+1,BF47))</f>
        <v>0</v>
      </c>
      <c r="DS47" s="61">
        <f>IF(BG47="",0,IF(OR(BG47="DNF",BG47="OCS",BG47="DSQ",BG47="DNS",BG47=" DNS "),$BW$3+1,BG47))</f>
        <v>0</v>
      </c>
      <c r="DT47" s="61">
        <f>IF(BH47="",0,IF(OR(BH47="DNF",BH47="OCS",BH47="DSQ",BH47="DNS",BH47=" DNS "),$BW$3+1,BH47))</f>
        <v>0</v>
      </c>
      <c r="DU47" s="61">
        <f>IF(BI47="",0,IF(OR(BI47="DNF",BI47="OCS",BI47="DSQ",BI47="DNS",BI47=" DNS "),$BW$3+1,BI47))</f>
        <v>0</v>
      </c>
      <c r="DV47" s="61">
        <f>IF(BJ47="",0,IF(OR(BJ47="DNF",BJ47="OCS",BJ47="DSQ",BJ47="DNS",BJ47=" DNS "),$BW$3+1,BJ47))</f>
        <v>0</v>
      </c>
      <c r="DW47" s="61">
        <f>IF(BK47="",0,IF(OR(BK47="DNF",BK47="OCS",BK47="DSQ",BK47="DNS",BK47=" DNS "),$BW$3+1,BK47))</f>
        <v>0</v>
      </c>
      <c r="DX47" s="61">
        <f>IF(BL47="",0,IF(OR(BL47="DNF",BL47="OCS",BL47="DSQ",BL47="DNS",BL47=" DNS "),$BW$3+1,BL47))</f>
        <v>0</v>
      </c>
      <c r="DY47" s="61">
        <f>IF(BM47="",0,IF(OR(BM47="DNF",BM47="OCS",BM47="DSQ",BM47="DNS",BM47=" DNS "),$BW$3+1,BM47))</f>
        <v>0</v>
      </c>
      <c r="DZ47" s="61">
        <f>IF(BN47="",0,IF(OR(BN47="DNF",BN47="OCS",BN47="DSQ",BN47="DNS",BN47=" DNS "),$BW$3+1,BN47))</f>
        <v>0</v>
      </c>
      <c r="EA47" s="61">
        <f>IF(BO47="",0,IF(OR(BO47="DNF",BO47="OCS",BO47="DSQ",BO47="DNS",BO47=" DNS "),$BW$3+1,BO47))</f>
        <v>0</v>
      </c>
      <c r="EB47" s="61">
        <f>IF(BP47="",0,IF(OR(BP47="DNF",BP47="OCS",BP47="DSQ",BP47="DNS",BP47=" DNS "),$BW$3+1,BP47))</f>
        <v>0</v>
      </c>
      <c r="EC47" s="61">
        <f>IF(BQ47="",0,IF(OR(BQ47="DNF",BQ47="OCS",BQ47="DSQ",BQ47="DNS",BQ47=" DNS "),$BW$3+1,BQ47))</f>
        <v>0</v>
      </c>
      <c r="EE47" s="61">
        <f xml:space="preserve">
IF(OR(Deltagarlista!$K$3=3,Deltagarlista!$K$3=4),
IF(Arrangörslista!$U$5&lt;8,0,
IF(Arrangörslista!$U$5&lt;16,SUM(LARGE(BV47:CJ47,1)),
IF(Arrangörslista!$U$5&lt;24,SUM(LARGE(BV47:CR47,{1;2})),
IF(Arrangörslista!$U$5&lt;32,SUM(LARGE(BV47:CZ47,{1;2;3})),
IF(Arrangörslista!$U$5&lt;40,SUM(LARGE(BV47:DH47,{1;2;3;4})),
IF(Arrangörslista!$U$5&lt;48,SUM(LARGE(BV47:DP47,{1;2;3;4;5})),
IF(Arrangörslista!$U$5&lt;56,SUM(LARGE(BV47:DX47,{1;2;3;4;5;6})),
IF(Arrangörslista!$U$5&lt;64,SUM(LARGE(BV47:EC47,{1;2;3;4;5;6;7})),0)))))))),
IF(Deltagarlista!$K$3=2,
IF(Arrangörslista!$U$5&lt;4,LARGE(BV47:BX47,1),
IF(Arrangörslista!$U$5&lt;7,SUM(LARGE(BV47:CA47,{1;2;3})),
IF(Arrangörslista!$U$5&lt;10,SUM(LARGE(BV47:CD47,{1;2;3;4})),
IF(Arrangörslista!$U$5&lt;13,SUM(LARGE(BV47:CG47,{1;2;3;4;5;6})),
IF(Arrangörslista!$U$5&lt;16,SUM(LARGE(BV47:CJ47,{1;2;3;4;5;6;7})),
IF(Arrangörslista!$U$5&lt;19,SUM(LARGE(BV47:CM47,{1;2;3;4;5;6;7;8;9})),
IF(Arrangörslista!$U$5&lt;22,SUM(LARGE(BV47:CP47,{1;2;3;4;5;6;7;8;9;10})),
IF(Arrangörslista!$U$5&lt;25,SUM(LARGE(BV47:CS47,{1;2;3;4;5;6;7;8;9;10;11;12})),
IF(Arrangörslista!$U$5&lt;28,SUM(LARGE(BV47:CV47,{1;2;3;4;5;6;7;8;9;10;11;12;13})),
IF(Arrangörslista!$U$5&lt;31,SUM(LARGE(BV47:CY47,{1;2;3;4;5;6;7;8;9;10;11;12;13;14;15})),
IF(Arrangörslista!$U$5&lt;34,SUM(LARGE(BV47:DB47,{1;2;3;4;5;6;7;8;9;10;11;12;13;14;15;16})),
IF(Arrangörslista!$U$5&lt;37,SUM(LARGE(BV47:DE47,{1;2;3;4;5;6;7;8;9;10;11;12;13;14;15;16;17;18})),
IF(Arrangörslista!$U$5&lt;40,SUM(LARGE(BV47:DH47,{1;2;3;4;5;6;7;8;9;10;11;12;13;14;15;16;17;18;19})),
IF(Arrangörslista!$U$5&lt;43,SUM(LARGE(BV47:DK47,{1;2;3;4;5;6;7;8;9;10;11;12;13;14;15;16;17;18;19;20;21})),
IF(Arrangörslista!$U$5&lt;46,SUM(LARGE(BV47:DN47,{1;2;3;4;5;6;7;8;9;10;11;12;13;14;15;16;17;18;19;20;21;22})),
IF(Arrangörslista!$U$5&lt;49,SUM(LARGE(BV47:DQ47,{1;2;3;4;5;6;7;8;9;10;11;12;13;14;15;16;17;18;19;20;21;22;23;24})),
IF(Arrangörslista!$U$5&lt;52,SUM(LARGE(BV47:DT47,{1;2;3;4;5;6;7;8;9;10;11;12;13;14;15;16;17;18;19;20;21;22;23;24;25})),
IF(Arrangörslista!$U$5&lt;55,SUM(LARGE(BV47:DW47,{1;2;3;4;5;6;7;8;9;10;11;12;13;14;15;16;17;18;19;20;21;22;23;24;25;26;27})),
IF(Arrangörslista!$U$5&lt;58,SUM(LARGE(BV47:DZ47,{1;2;3;4;5;6;7;8;9;10;11;12;13;14;15;16;17;18;19;20;21;22;23;24;25;26;27;28})),
IF(Arrangörslista!$U$5&lt;61,SUM(LARGE(BV47:EC47,{1;2;3;4;5;6;7;8;9;10;11;12;13;14;15;16;17;18;19;20;21;22;23;24;25;26;27;28;29;30})),0)))))))))))))))))))),
IF(Arrangörslista!$U$5&lt;4,0,
IF(Arrangörslista!$U$5&lt;8,SUM(LARGE(BV47:CB47,1)),
IF(Arrangörslista!$U$5&lt;12,SUM(LARGE(BV47:CF47,{1;2})),
IF(Arrangörslista!$U$5&lt;16,SUM(LARGE(BV47:CJ47,{1;2;3})),
IF(Arrangörslista!$U$5&lt;20,SUM(LARGE(BV47:CN47,{1;2;3;4})),
IF(Arrangörslista!$U$5&lt;24,SUM(LARGE(BV47:CR47,{1;2;3;4;5})),
IF(Arrangörslista!$U$5&lt;28,SUM(LARGE(BV47:CV47,{1;2;3;4;5;6})),
IF(Arrangörslista!$U$5&lt;32,SUM(LARGE(BV47:CZ47,{1;2;3;4;5;6;7})),
IF(Arrangörslista!$U$5&lt;36,SUM(LARGE(BV47:DD47,{1;2;3;4;5;6;7;8})),
IF(Arrangörslista!$U$5&lt;40,SUM(LARGE(BV47:DH47,{1;2;3;4;5;6;7;8;9})),
IF(Arrangörslista!$U$5&lt;44,SUM(LARGE(BV47:DL47,{1;2;3;4;5;6;7;8;9;10})),
IF(Arrangörslista!$U$5&lt;48,SUM(LARGE(BV47:DP47,{1;2;3;4;5;6;7;8;9;10;11})),
IF(Arrangörslista!$U$5&lt;52,SUM(LARGE(BV47:DT47,{1;2;3;4;5;6;7;8;9;10;11;12})),
IF(Arrangörslista!$U$5&lt;56,SUM(LARGE(BV47:DX47,{1;2;3;4;5;6;7;8;9;10;11;12;13})),
IF(Arrangörslista!$U$5&lt;60,SUM(LARGE(BV47:EB47,{1;2;3;4;5;6;7;8;9;10;11;12;13;14})),
IF(Arrangörslista!$U$5=60,SUM(LARGE(BV47:EC47,{1;2;3;4;5;6;7;8;9;10;11;12;13;14;15})),0))))))))))))))))))</f>
        <v>0</v>
      </c>
      <c r="EG47" s="67">
        <f>IF(F47="",,1)</f>
        <v>0</v>
      </c>
      <c r="EH47" s="61"/>
      <c r="EI47" s="61"/>
      <c r="EK47" s="62">
        <f>SMALL($J110:$BQ110,1)</f>
        <v>61</v>
      </c>
      <c r="EL47" s="62">
        <f>SMALL($J110:$BQ110,2)</f>
        <v>61</v>
      </c>
      <c r="EM47" s="62">
        <f>SMALL($J110:$BQ110,3)</f>
        <v>61</v>
      </c>
      <c r="EN47" s="62">
        <f>SMALL($J110:$BQ110,4)</f>
        <v>61</v>
      </c>
      <c r="EO47" s="62">
        <f>SMALL($J110:$BQ110,5)</f>
        <v>61</v>
      </c>
      <c r="EP47" s="62">
        <f>SMALL($J110:$BQ110,6)</f>
        <v>61</v>
      </c>
      <c r="EQ47" s="62">
        <f>SMALL($J110:$BQ110,7)</f>
        <v>61</v>
      </c>
      <c r="ER47" s="62">
        <f>SMALL($J110:$BQ110,8)</f>
        <v>61</v>
      </c>
      <c r="ES47" s="62">
        <f>SMALL($J110:$BQ110,9)</f>
        <v>61</v>
      </c>
      <c r="ET47" s="62">
        <f>SMALL($J110:$BQ110,10)</f>
        <v>61</v>
      </c>
      <c r="EU47" s="62">
        <f>SMALL($J110:$BQ110,11)</f>
        <v>61</v>
      </c>
      <c r="EV47" s="62">
        <f>SMALL($J110:$BQ110,12)</f>
        <v>61</v>
      </c>
      <c r="EW47" s="62">
        <f>SMALL($J110:$BQ110,13)</f>
        <v>61</v>
      </c>
      <c r="EX47" s="62">
        <f>SMALL($J110:$BQ110,14)</f>
        <v>61</v>
      </c>
      <c r="EY47" s="62">
        <f>SMALL($J110:$BQ110,15)</f>
        <v>61</v>
      </c>
      <c r="EZ47" s="62">
        <f>SMALL($J110:$BQ110,16)</f>
        <v>61</v>
      </c>
      <c r="FA47" s="62">
        <f>SMALL($J110:$BQ110,17)</f>
        <v>61</v>
      </c>
      <c r="FB47" s="62">
        <f>SMALL($J110:$BQ110,18)</f>
        <v>61</v>
      </c>
      <c r="FC47" s="62">
        <f>SMALL($J110:$BQ110,19)</f>
        <v>61</v>
      </c>
      <c r="FD47" s="62">
        <f>SMALL($J110:$BQ110,20)</f>
        <v>61</v>
      </c>
      <c r="FE47" s="62">
        <f>SMALL($J110:$BQ110,21)</f>
        <v>61</v>
      </c>
      <c r="FF47" s="62">
        <f>SMALL($J110:$BQ110,22)</f>
        <v>61</v>
      </c>
      <c r="FG47" s="62">
        <f>SMALL($J110:$BQ110,23)</f>
        <v>61</v>
      </c>
      <c r="FH47" s="62">
        <f>SMALL($J110:$BQ110,24)</f>
        <v>61</v>
      </c>
      <c r="FI47" s="62">
        <f>SMALL($J110:$BQ110,25)</f>
        <v>61</v>
      </c>
      <c r="FJ47" s="62">
        <f>SMALL($J110:$BQ110,26)</f>
        <v>61</v>
      </c>
      <c r="FK47" s="62">
        <f>SMALL($J110:$BQ110,27)</f>
        <v>61</v>
      </c>
      <c r="FL47" s="62">
        <f>SMALL($J110:$BQ110,28)</f>
        <v>61</v>
      </c>
      <c r="FM47" s="62">
        <f>SMALL($J110:$BQ110,29)</f>
        <v>61</v>
      </c>
      <c r="FN47" s="62">
        <f>SMALL($J110:$BQ110,30)</f>
        <v>61</v>
      </c>
      <c r="FO47" s="62">
        <f>SMALL($J110:$BQ110,31)</f>
        <v>61</v>
      </c>
      <c r="FP47" s="62">
        <f>SMALL($J110:$BQ110,32)</f>
        <v>61</v>
      </c>
      <c r="FQ47" s="62">
        <f>SMALL($J110:$BQ110,33)</f>
        <v>61</v>
      </c>
      <c r="FR47" s="62">
        <f>SMALL($J110:$BQ110,34)</f>
        <v>61</v>
      </c>
      <c r="FS47" s="62">
        <f>SMALL($J110:$BQ110,35)</f>
        <v>61</v>
      </c>
      <c r="FT47" s="62">
        <f>SMALL($J110:$BQ110,36)</f>
        <v>61</v>
      </c>
      <c r="FU47" s="62">
        <f>SMALL($J110:$BQ110,37)</f>
        <v>61</v>
      </c>
      <c r="FV47" s="62">
        <f>SMALL($J110:$BQ110,38)</f>
        <v>61</v>
      </c>
      <c r="FW47" s="62">
        <f>SMALL($J110:$BQ110,39)</f>
        <v>61</v>
      </c>
      <c r="FX47" s="62">
        <f>SMALL($J110:$BQ110,40)</f>
        <v>61</v>
      </c>
      <c r="FY47" s="62">
        <f>SMALL($J110:$BQ110,41)</f>
        <v>61</v>
      </c>
      <c r="FZ47" s="62">
        <f>SMALL($J110:$BQ110,42)</f>
        <v>61</v>
      </c>
      <c r="GA47" s="62">
        <f>SMALL($J110:$BQ110,43)</f>
        <v>61</v>
      </c>
      <c r="GB47" s="62">
        <f>SMALL($J110:$BQ110,44)</f>
        <v>61</v>
      </c>
      <c r="GC47" s="62">
        <f>SMALL($J110:$BQ110,45)</f>
        <v>61</v>
      </c>
      <c r="GD47" s="62">
        <f>SMALL($J110:$BQ110,46)</f>
        <v>61</v>
      </c>
      <c r="GE47" s="62">
        <f>SMALL($J110:$BQ110,47)</f>
        <v>61</v>
      </c>
      <c r="GF47" s="62">
        <f>SMALL($J110:$BQ110,48)</f>
        <v>61</v>
      </c>
      <c r="GG47" s="62">
        <f>SMALL($J110:$BQ110,49)</f>
        <v>61</v>
      </c>
      <c r="GH47" s="62">
        <f>SMALL($J110:$BQ110,50)</f>
        <v>61</v>
      </c>
      <c r="GI47" s="62">
        <f>SMALL($J110:$BQ110,51)</f>
        <v>61</v>
      </c>
      <c r="GJ47" s="62">
        <f>SMALL($J110:$BQ110,52)</f>
        <v>61</v>
      </c>
      <c r="GK47" s="62">
        <f>SMALL($J110:$BQ110,53)</f>
        <v>61</v>
      </c>
      <c r="GL47" s="62">
        <f>SMALL($J110:$BQ110,54)</f>
        <v>61</v>
      </c>
      <c r="GM47" s="62">
        <f>SMALL($J110:$BQ110,55)</f>
        <v>61</v>
      </c>
      <c r="GN47" s="62">
        <f>SMALL($J110:$BQ110,56)</f>
        <v>61</v>
      </c>
      <c r="GO47" s="62">
        <f>SMALL($J110:$BQ110,57)</f>
        <v>61</v>
      </c>
      <c r="GP47" s="62">
        <f>SMALL($J110:$BQ110,58)</f>
        <v>61</v>
      </c>
      <c r="GQ47" s="62">
        <f>SMALL($J110:$BQ110,59)</f>
        <v>61</v>
      </c>
      <c r="GR47" s="62">
        <f>SMALL($J110:$BQ110,60)</f>
        <v>61</v>
      </c>
      <c r="GT47" s="62">
        <f>IF(Deltagarlista!$K$3=2,
IF(GW47="1",
      IF(Arrangörslista!$U$5=1,J110,
IF(Arrangörslista!$U$5=2,K110,
IF(Arrangörslista!$U$5=3,L110,
IF(Arrangörslista!$U$5=4,M110,
IF(Arrangörslista!$U$5=5,N110,
IF(Arrangörslista!$U$5=6,O110,
IF(Arrangörslista!$U$5=7,P110,
IF(Arrangörslista!$U$5=8,Q110,
IF(Arrangörslista!$U$5=9,R110,
IF(Arrangörslista!$U$5=10,S110,
IF(Arrangörslista!$U$5=11,T110,
IF(Arrangörslista!$U$5=12,U110,
IF(Arrangörslista!$U$5=13,V110,
IF(Arrangörslista!$U$5=14,W110,
IF(Arrangörslista!$U$5=15,X110,
IF(Arrangörslista!$U$5=16,Y110,IF(Arrangörslista!$U$5=17,Z110,IF(Arrangörslista!$U$5=18,AA110,IF(Arrangörslista!$U$5=19,AB110,IF(Arrangörslista!$U$5=20,AC110,IF(Arrangörslista!$U$5=21,AD110,IF(Arrangörslista!$U$5=22,AE110,IF(Arrangörslista!$U$5=23,AF110, IF(Arrangörslista!$U$5=24,AG110, IF(Arrangörslista!$U$5=25,AH110, IF(Arrangörslista!$U$5=26,AI110, IF(Arrangörslista!$U$5=27,AJ110, IF(Arrangörslista!$U$5=28,AK110, IF(Arrangörslista!$U$5=29,AL110, IF(Arrangörslista!$U$5=30,AM110, IF(Arrangörslista!$U$5=31,AN110, IF(Arrangörslista!$U$5=32,AO110, IF(Arrangörslista!$U$5=33,AP110, IF(Arrangörslista!$U$5=34,AQ110, IF(Arrangörslista!$U$5=35,AR110, IF(Arrangörslista!$U$5=36,AS110, IF(Arrangörslista!$U$5=37,AT110, IF(Arrangörslista!$U$5=38,AU110, IF(Arrangörslista!$U$5=39,AV110, IF(Arrangörslista!$U$5=40,AW110, IF(Arrangörslista!$U$5=41,AX110, IF(Arrangörslista!$U$5=42,AY110, IF(Arrangörslista!$U$5=43,AZ110, IF(Arrangörslista!$U$5=44,BA110, IF(Arrangörslista!$U$5=45,BB110, IF(Arrangörslista!$U$5=46,BC110, IF(Arrangörslista!$U$5=47,BD110, IF(Arrangörslista!$U$5=48,BE110, IF(Arrangörslista!$U$5=49,BF110, IF(Arrangörslista!$U$5=50,BG110, IF(Arrangörslista!$U$5=51,BH110, IF(Arrangörslista!$U$5=52,BI110, IF(Arrangörslista!$U$5=53,BJ110, IF(Arrangörslista!$U$5=54,BK110, IF(Arrangörslista!$U$5=55,BL110, IF(Arrangörslista!$U$5=56,BM110, IF(Arrangörslista!$U$5=57,BN110, IF(Arrangörslista!$U$5=58,BO110, IF(Arrangörslista!$U$5=59,BP110, IF(Arrangörslista!$U$5=60,BQ110,0))))))))))))))))))))))))))))))))))))))))))))))))))))))))))))),IF(Deltagarlista!$K$3=4, IF(Arrangörslista!$U$5=1,J110,
IF(Arrangörslista!$U$5=2,J110,
IF(Arrangörslista!$U$5=3,K110,
IF(Arrangörslista!$U$5=4,K110,
IF(Arrangörslista!$U$5=5,L110,
IF(Arrangörslista!$U$5=6,L110,
IF(Arrangörslista!$U$5=7,M110,
IF(Arrangörslista!$U$5=8,M110,
IF(Arrangörslista!$U$5=9,N110,
IF(Arrangörslista!$U$5=10,N110,
IF(Arrangörslista!$U$5=11,O110,
IF(Arrangörslista!$U$5=12,O110,
IF(Arrangörslista!$U$5=13,P110,
IF(Arrangörslista!$U$5=14,P110,
IF(Arrangörslista!$U$5=15,Q110,
IF(Arrangörslista!$U$5=16,Q110,
IF(Arrangörslista!$U$5=17,R110,
IF(Arrangörslista!$U$5=18,R110,
IF(Arrangörslista!$U$5=19,S110,
IF(Arrangörslista!$U$5=20,S110,
IF(Arrangörslista!$U$5=21,T110,
IF(Arrangörslista!$U$5=22,T110,IF(Arrangörslista!$U$5=23,U110, IF(Arrangörslista!$U$5=24,U110, IF(Arrangörslista!$U$5=25,V110, IF(Arrangörslista!$U$5=26,V110, IF(Arrangörslista!$U$5=27,W110, IF(Arrangörslista!$U$5=28,W110, IF(Arrangörslista!$U$5=29,X110, IF(Arrangörslista!$U$5=30,X110, IF(Arrangörslista!$U$5=31,X110, IF(Arrangörslista!$U$5=32,Y110, IF(Arrangörslista!$U$5=33,AO110, IF(Arrangörslista!$U$5=34,Y110, IF(Arrangörslista!$U$5=35,Z110, IF(Arrangörslista!$U$5=36,AR110, IF(Arrangörslista!$U$5=37,Z110, IF(Arrangörslista!$U$5=38,AA110, IF(Arrangörslista!$U$5=39,AU110, IF(Arrangörslista!$U$5=40,AA110, IF(Arrangörslista!$U$5=41,AB110, IF(Arrangörslista!$U$5=42,AX110, IF(Arrangörslista!$U$5=43,AB110, IF(Arrangörslista!$U$5=44,AC110, IF(Arrangörslista!$U$5=45,BA110, IF(Arrangörslista!$U$5=46,AC110, IF(Arrangörslista!$U$5=47,AD110, IF(Arrangörslista!$U$5=48,BD110, IF(Arrangörslista!$U$5=49,AD110, IF(Arrangörslista!$U$5=50,AE110, IF(Arrangörslista!$U$5=51,BG110, IF(Arrangörslista!$U$5=52,AE110, IF(Arrangörslista!$U$5=53,AF110, IF(Arrangörslista!$U$5=54,BJ110, IF(Arrangörslista!$U$5=55,AF110, IF(Arrangörslista!$U$5=56,AG110, IF(Arrangörslista!$U$5=57,BM110, IF(Arrangörslista!$U$5=58,AG110, IF(Arrangörslista!$U$5=59,AH110, IF(Arrangörslista!$U$5=60,AH110,0)))))))))))))))))))))))))))))))))))))))))))))))))))))))))))),IF(Arrangörslista!$U$5=1,J110,
IF(Arrangörslista!$U$5=2,K110,
IF(Arrangörslista!$U$5=3,L110,
IF(Arrangörslista!$U$5=4,M110,
IF(Arrangörslista!$U$5=5,N110,
IF(Arrangörslista!$U$5=6,O110,
IF(Arrangörslista!$U$5=7,P110,
IF(Arrangörslista!$U$5=8,Q110,
IF(Arrangörslista!$U$5=9,R110,
IF(Arrangörslista!$U$5=10,S110,
IF(Arrangörslista!$U$5=11,T110,
IF(Arrangörslista!$U$5=12,U110,
IF(Arrangörslista!$U$5=13,V110,
IF(Arrangörslista!$U$5=14,W110,
IF(Arrangörslista!$U$5=15,X110,
IF(Arrangörslista!$U$5=16,Y110,IF(Arrangörslista!$U$5=17,Z110,IF(Arrangörslista!$U$5=18,AA110,IF(Arrangörslista!$U$5=19,AB110,IF(Arrangörslista!$U$5=20,AC110,IF(Arrangörslista!$U$5=21,AD110,IF(Arrangörslista!$U$5=22,AE110,IF(Arrangörslista!$U$5=23,AF110, IF(Arrangörslista!$U$5=24,AG110, IF(Arrangörslista!$U$5=25,AH110, IF(Arrangörslista!$U$5=26,AI110, IF(Arrangörslista!$U$5=27,AJ110, IF(Arrangörslista!$U$5=28,AK110, IF(Arrangörslista!$U$5=29,AL110, IF(Arrangörslista!$U$5=30,AM110, IF(Arrangörslista!$U$5=31,AN110, IF(Arrangörslista!$U$5=32,AO110, IF(Arrangörslista!$U$5=33,AP110, IF(Arrangörslista!$U$5=34,AQ110, IF(Arrangörslista!$U$5=35,AR110, IF(Arrangörslista!$U$5=36,AS110, IF(Arrangörslista!$U$5=37,AT110, IF(Arrangörslista!$U$5=38,AU110, IF(Arrangörslista!$U$5=39,AV110, IF(Arrangörslista!$U$5=40,AW110, IF(Arrangörslista!$U$5=41,AX110, IF(Arrangörslista!$U$5=42,AY110, IF(Arrangörslista!$U$5=43,AZ110, IF(Arrangörslista!$U$5=44,BA110, IF(Arrangörslista!$U$5=45,BB110, IF(Arrangörslista!$U$5=46,BC110, IF(Arrangörslista!$U$5=47,BD110, IF(Arrangörslista!$U$5=48,BE110, IF(Arrangörslista!$U$5=49,BF110, IF(Arrangörslista!$U$5=50,BG110, IF(Arrangörslista!$U$5=51,BH110, IF(Arrangörslista!$U$5=52,BI110, IF(Arrangörslista!$U$5=53,BJ110, IF(Arrangörslista!$U$5=54,BK110, IF(Arrangörslista!$U$5=55,BL110, IF(Arrangörslista!$U$5=56,BM110, IF(Arrangörslista!$U$5=57,BN110, IF(Arrangörslista!$U$5=58,BO110, IF(Arrangörslista!$U$5=59,BP110, IF(Arrangörslista!$U$5=60,BQ110,0))))))))))))))))))))))))))))))))))))))))))))))))))))))))))))
))</f>
        <v>0</v>
      </c>
      <c r="GV47" s="65" t="str">
        <f>IFERROR(IF(VLOOKUP(F47,Deltagarlista!$E$5:$I$64,5,FALSE)="Grön","Gr",IF(VLOOKUP(F47,Deltagarlista!$E$5:$I$64,5,FALSE)="Röd","R",IF(VLOOKUP(F47,Deltagarlista!$E$5:$I$64,5,FALSE)="Blå","B","Gu"))),"")</f>
        <v/>
      </c>
      <c r="GW47" s="62" t="str">
        <f t="shared" si="1"/>
        <v/>
      </c>
    </row>
    <row r="48" spans="1:205" ht="15.75" customHeight="1" x14ac:dyDescent="0.3">
      <c r="A48" s="23"/>
      <c r="B48" s="23" t="str">
        <f>IF($BW$3&gt;44,45,"")</f>
        <v/>
      </c>
      <c r="C48" s="92" t="str">
        <f>IF(ISBLANK(Deltagarlista!C51),"",Deltagarlista!C51)</f>
        <v/>
      </c>
      <c r="D48" s="109" t="str">
        <f>CONCATENATE(IF(AND(Deltagarlista!H51="GM",Deltagarlista!$S$14=TRUE),"GM   ",""),  IF(OR(Deltagarlista!$K$3=4,Deltagarlista!$K$3=2),Deltagarlista!I51,""))</f>
        <v/>
      </c>
      <c r="E48" s="8" t="str">
        <f>IF(ISBLANK(Deltagarlista!D51),"",Deltagarlista!D51)</f>
        <v/>
      </c>
      <c r="F48" s="8" t="str">
        <f>IF(ISBLANK(Deltagarlista!E51),"",Deltagarlista!E51)</f>
        <v/>
      </c>
      <c r="G48" s="95" t="str">
        <f>IF(ISBLANK(Deltagarlista!F51),"",Deltagarlista!F51)</f>
        <v/>
      </c>
      <c r="H48" s="72" t="str">
        <f>IF(ISBLANK(Deltagarlista!C51),"",BU48-EE48)</f>
        <v/>
      </c>
      <c r="I48" s="13" t="str">
        <f>IF(ISBLANK(Deltagarlista!C51),"",IF(AND(Deltagarlista!$K$3=2,Deltagarlista!$L$3&lt;37),SUM(SUM(BV48:EC48)-(ROUNDDOWN(Arrangörslista!$U$5/3,1))*($BW$3+1)),SUM(BV48:EC48)))</f>
        <v/>
      </c>
      <c r="J48" s="79" t="str">
        <f>IF(Deltagarlista!$K$3=4,IF(ISBLANK(Deltagarlista!$C51),"",IF(ISBLANK(Arrangörslista!C$8),"",IFERROR(VLOOKUP($F48,Arrangörslista!C$8:$AG$45,16,FALSE),IF(ISBLANK(Deltagarlista!$C51),"",IF(ISBLANK(Arrangörslista!C$8),"",IFERROR(VLOOKUP($F48,Arrangörslista!D$8:$AG$45,16,FALSE),"DNS")))))),IF(Deltagarlista!$K$3=2,
IF(ISBLANK(Deltagarlista!$C51),"",IF(ISBLANK(Arrangörslista!C$8),"",IF($GV48=J$64," DNS ",IFERROR(VLOOKUP($F48,Arrangörslista!C$8:$AG$45,16,FALSE),"DNS")))),IF(ISBLANK(Deltagarlista!$C51),"",IF(ISBLANK(Arrangörslista!C$8),"",IFERROR(VLOOKUP($F48,Arrangörslista!C$8:$AG$45,16,FALSE),"DNS")))))</f>
        <v/>
      </c>
      <c r="K48" s="5" t="str">
        <f>IF(Deltagarlista!$K$3=4,IF(ISBLANK(Deltagarlista!$C51),"",IF(ISBLANK(Arrangörslista!E$8),"",IFERROR(VLOOKUP($F48,Arrangörslista!E$8:$AG$45,16,FALSE),IF(ISBLANK(Deltagarlista!$C51),"",IF(ISBLANK(Arrangörslista!E$8),"",IFERROR(VLOOKUP($F48,Arrangörslista!F$8:$AG$45,16,FALSE),"DNS")))))),IF(Deltagarlista!$K$3=2,
IF(ISBLANK(Deltagarlista!$C51),"",IF(ISBLANK(Arrangörslista!D$8),"",IF($GV48=K$64," DNS ",IFERROR(VLOOKUP($F48,Arrangörslista!D$8:$AG$45,16,FALSE),"DNS")))),IF(ISBLANK(Deltagarlista!$C51),"",IF(ISBLANK(Arrangörslista!D$8),"",IFERROR(VLOOKUP($F48,Arrangörslista!D$8:$AG$45,16,FALSE),"DNS")))))</f>
        <v/>
      </c>
      <c r="L48" s="5" t="str">
        <f>IF(Deltagarlista!$K$3=4,IF(ISBLANK(Deltagarlista!$C51),"",IF(ISBLANK(Arrangörslista!G$8),"",IFERROR(VLOOKUP($F48,Arrangörslista!G$8:$AG$45,16,FALSE),IF(ISBLANK(Deltagarlista!$C51),"",IF(ISBLANK(Arrangörslista!G$8),"",IFERROR(VLOOKUP($F48,Arrangörslista!H$8:$AG$45,16,FALSE),"DNS")))))),IF(Deltagarlista!$K$3=2,
IF(ISBLANK(Deltagarlista!$C51),"",IF(ISBLANK(Arrangörslista!E$8),"",IF($GV48=L$64," DNS ",IFERROR(VLOOKUP($F48,Arrangörslista!E$8:$AG$45,16,FALSE),"DNS")))),IF(ISBLANK(Deltagarlista!$C51),"",IF(ISBLANK(Arrangörslista!E$8),"",IFERROR(VLOOKUP($F48,Arrangörslista!E$8:$AG$45,16,FALSE),"DNS")))))</f>
        <v/>
      </c>
      <c r="M48" s="5" t="str">
        <f>IF(Deltagarlista!$K$3=4,IF(ISBLANK(Deltagarlista!$C51),"",IF(ISBLANK(Arrangörslista!I$8),"",IFERROR(VLOOKUP($F48,Arrangörslista!I$8:$AG$45,16,FALSE),IF(ISBLANK(Deltagarlista!$C51),"",IF(ISBLANK(Arrangörslista!I$8),"",IFERROR(VLOOKUP($F48,Arrangörslista!J$8:$AG$45,16,FALSE),"DNS")))))),IF(Deltagarlista!$K$3=2,
IF(ISBLANK(Deltagarlista!$C51),"",IF(ISBLANK(Arrangörslista!F$8),"",IF($GV48=M$64," DNS ",IFERROR(VLOOKUP($F48,Arrangörslista!F$8:$AG$45,16,FALSE),"DNS")))),IF(ISBLANK(Deltagarlista!$C51),"",IF(ISBLANK(Arrangörslista!F$8),"",IFERROR(VLOOKUP($F48,Arrangörslista!F$8:$AG$45,16,FALSE),"DNS")))))</f>
        <v/>
      </c>
      <c r="N48" s="5" t="str">
        <f>IF(Deltagarlista!$K$3=4,IF(ISBLANK(Deltagarlista!$C51),"",IF(ISBLANK(Arrangörslista!K$8),"",IFERROR(VLOOKUP($F48,Arrangörslista!K$8:$AG$45,16,FALSE),IF(ISBLANK(Deltagarlista!$C51),"",IF(ISBLANK(Arrangörslista!K$8),"",IFERROR(VLOOKUP($F48,Arrangörslista!L$8:$AG$45,16,FALSE),"DNS")))))),IF(Deltagarlista!$K$3=2,
IF(ISBLANK(Deltagarlista!$C51),"",IF(ISBLANK(Arrangörslista!G$8),"",IF($GV48=N$64," DNS ",IFERROR(VLOOKUP($F48,Arrangörslista!G$8:$AG$45,16,FALSE),"DNS")))),IF(ISBLANK(Deltagarlista!$C51),"",IF(ISBLANK(Arrangörslista!G$8),"",IFERROR(VLOOKUP($F48,Arrangörslista!G$8:$AG$45,16,FALSE),"DNS")))))</f>
        <v/>
      </c>
      <c r="O48" s="5" t="str">
        <f>IF(Deltagarlista!$K$3=4,IF(ISBLANK(Deltagarlista!$C51),"",IF(ISBLANK(Arrangörslista!M$8),"",IFERROR(VLOOKUP($F48,Arrangörslista!M$8:$AG$45,16,FALSE),IF(ISBLANK(Deltagarlista!$C51),"",IF(ISBLANK(Arrangörslista!M$8),"",IFERROR(VLOOKUP($F48,Arrangörslista!N$8:$AG$45,16,FALSE),"DNS")))))),IF(Deltagarlista!$K$3=2,
IF(ISBLANK(Deltagarlista!$C51),"",IF(ISBLANK(Arrangörslista!H$8),"",IF($GV48=O$64," DNS ",IFERROR(VLOOKUP($F48,Arrangörslista!H$8:$AG$45,16,FALSE),"DNS")))),IF(ISBLANK(Deltagarlista!$C51),"",IF(ISBLANK(Arrangörslista!H$8),"",IFERROR(VLOOKUP($F48,Arrangörslista!H$8:$AG$45,16,FALSE),"DNS")))))</f>
        <v/>
      </c>
      <c r="P48" s="5" t="str">
        <f>IF(Deltagarlista!$K$3=4,IF(ISBLANK(Deltagarlista!$C51),"",IF(ISBLANK(Arrangörslista!O$8),"",IFERROR(VLOOKUP($F48,Arrangörslista!O$8:$AG$45,16,FALSE),IF(ISBLANK(Deltagarlista!$C51),"",IF(ISBLANK(Arrangörslista!O$8),"",IFERROR(VLOOKUP($F48,Arrangörslista!P$8:$AG$45,16,FALSE),"DNS")))))),IF(Deltagarlista!$K$3=2,
IF(ISBLANK(Deltagarlista!$C51),"",IF(ISBLANK(Arrangörslista!I$8),"",IF($GV48=P$64," DNS ",IFERROR(VLOOKUP($F48,Arrangörslista!I$8:$AG$45,16,FALSE),"DNS")))),IF(ISBLANK(Deltagarlista!$C51),"",IF(ISBLANK(Arrangörslista!I$8),"",IFERROR(VLOOKUP($F48,Arrangörslista!I$8:$AG$45,16,FALSE),"DNS")))))</f>
        <v/>
      </c>
      <c r="Q48" s="5" t="str">
        <f>IF(Deltagarlista!$K$3=4,IF(ISBLANK(Deltagarlista!$C51),"",IF(ISBLANK(Arrangörslista!Q$8),"",IFERROR(VLOOKUP($F48,Arrangörslista!Q$8:$AG$45,16,FALSE),IF(ISBLANK(Deltagarlista!$C51),"",IF(ISBLANK(Arrangörslista!Q$8),"",IFERROR(VLOOKUP($F48,Arrangörslista!C$53:$AG$90,16,FALSE),"DNS")))))),IF(Deltagarlista!$K$3=2,
IF(ISBLANK(Deltagarlista!$C51),"",IF(ISBLANK(Arrangörslista!J$8),"",IF($GV48=Q$64," DNS ",IFERROR(VLOOKUP($F48,Arrangörslista!J$8:$AG$45,16,FALSE),"DNS")))),IF(ISBLANK(Deltagarlista!$C51),"",IF(ISBLANK(Arrangörslista!J$8),"",IFERROR(VLOOKUP($F48,Arrangörslista!J$8:$AG$45,16,FALSE),"DNS")))))</f>
        <v/>
      </c>
      <c r="R48" s="5" t="str">
        <f>IF(Deltagarlista!$K$3=4,IF(ISBLANK(Deltagarlista!$C51),"",IF(ISBLANK(Arrangörslista!D$53),"",IFERROR(VLOOKUP($F48,Arrangörslista!D$53:$AG$90,16,FALSE),IF(ISBLANK(Deltagarlista!$C51),"",IF(ISBLANK(Arrangörslista!D$53),"",IFERROR(VLOOKUP($F48,Arrangörslista!E$53:$AG$90,16,FALSE),"DNS")))))),IF(Deltagarlista!$K$3=2,
IF(ISBLANK(Deltagarlista!$C51),"",IF(ISBLANK(Arrangörslista!K$8),"",IF($GV48=R$64," DNS ",IFERROR(VLOOKUP($F48,Arrangörslista!K$8:$AG$45,16,FALSE),"DNS")))),IF(ISBLANK(Deltagarlista!$C51),"",IF(ISBLANK(Arrangörslista!K$8),"",IFERROR(VLOOKUP($F48,Arrangörslista!K$8:$AG$45,16,FALSE),"DNS")))))</f>
        <v/>
      </c>
      <c r="S48" s="5" t="str">
        <f>IF(Deltagarlista!$K$3=4,IF(ISBLANK(Deltagarlista!$C51),"",IF(ISBLANK(Arrangörslista!F$53),"",IFERROR(VLOOKUP($F48,Arrangörslista!F$53:$AG$90,16,FALSE),IF(ISBLANK(Deltagarlista!$C51),"",IF(ISBLANK(Arrangörslista!F$53),"",IFERROR(VLOOKUP($F48,Arrangörslista!G$53:$AG$90,16,FALSE),"DNS")))))),IF(Deltagarlista!$K$3=2,
IF(ISBLANK(Deltagarlista!$C51),"",IF(ISBLANK(Arrangörslista!L$8),"",IF($GV48=S$64," DNS ",IFERROR(VLOOKUP($F48,Arrangörslista!L$8:$AG$45,16,FALSE),"DNS")))),IF(ISBLANK(Deltagarlista!$C51),"",IF(ISBLANK(Arrangörslista!L$8),"",IFERROR(VLOOKUP($F48,Arrangörslista!L$8:$AG$45,16,FALSE),"DNS")))))</f>
        <v/>
      </c>
      <c r="T48" s="5" t="str">
        <f>IF(Deltagarlista!$K$3=4,IF(ISBLANK(Deltagarlista!$C51),"",IF(ISBLANK(Arrangörslista!H$53),"",IFERROR(VLOOKUP($F48,Arrangörslista!H$53:$AG$90,16,FALSE),IF(ISBLANK(Deltagarlista!$C51),"",IF(ISBLANK(Arrangörslista!H$53),"",IFERROR(VLOOKUP($F48,Arrangörslista!I$53:$AG$90,16,FALSE),"DNS")))))),IF(Deltagarlista!$K$3=2,
IF(ISBLANK(Deltagarlista!$C51),"",IF(ISBLANK(Arrangörslista!M$8),"",IF($GV48=T$64," DNS ",IFERROR(VLOOKUP($F48,Arrangörslista!M$8:$AG$45,16,FALSE),"DNS")))),IF(ISBLANK(Deltagarlista!$C51),"",IF(ISBLANK(Arrangörslista!M$8),"",IFERROR(VLOOKUP($F48,Arrangörslista!M$8:$AG$45,16,FALSE),"DNS")))))</f>
        <v/>
      </c>
      <c r="U48" s="5" t="str">
        <f>IF(Deltagarlista!$K$3=4,IF(ISBLANK(Deltagarlista!$C51),"",IF(ISBLANK(Arrangörslista!J$53),"",IFERROR(VLOOKUP($F48,Arrangörslista!J$53:$AG$90,16,FALSE),IF(ISBLANK(Deltagarlista!$C51),"",IF(ISBLANK(Arrangörslista!J$53),"",IFERROR(VLOOKUP($F48,Arrangörslista!K$53:$AG$90,16,FALSE),"DNS")))))),IF(Deltagarlista!$K$3=2,
IF(ISBLANK(Deltagarlista!$C51),"",IF(ISBLANK(Arrangörslista!N$8),"",IF($GV48=U$64," DNS ",IFERROR(VLOOKUP($F48,Arrangörslista!N$8:$AG$45,16,FALSE),"DNS")))),IF(ISBLANK(Deltagarlista!$C51),"",IF(ISBLANK(Arrangörslista!N$8),"",IFERROR(VLOOKUP($F48,Arrangörslista!N$8:$AG$45,16,FALSE),"DNS")))))</f>
        <v/>
      </c>
      <c r="V48" s="5" t="str">
        <f>IF(Deltagarlista!$K$3=4,IF(ISBLANK(Deltagarlista!$C51),"",IF(ISBLANK(Arrangörslista!L$53),"",IFERROR(VLOOKUP($F48,Arrangörslista!L$53:$AG$90,16,FALSE),IF(ISBLANK(Deltagarlista!$C51),"",IF(ISBLANK(Arrangörslista!L$53),"",IFERROR(VLOOKUP($F48,Arrangörslista!M$53:$AG$90,16,FALSE),"DNS")))))),IF(Deltagarlista!$K$3=2,
IF(ISBLANK(Deltagarlista!$C51),"",IF(ISBLANK(Arrangörslista!O$8),"",IF($GV48=V$64," DNS ",IFERROR(VLOOKUP($F48,Arrangörslista!O$8:$AG$45,16,FALSE),"DNS")))),IF(ISBLANK(Deltagarlista!$C51),"",IF(ISBLANK(Arrangörslista!O$8),"",IFERROR(VLOOKUP($F48,Arrangörslista!O$8:$AG$45,16,FALSE),"DNS")))))</f>
        <v/>
      </c>
      <c r="W48" s="5" t="str">
        <f>IF(Deltagarlista!$K$3=4,IF(ISBLANK(Deltagarlista!$C51),"",IF(ISBLANK(Arrangörslista!N$53),"",IFERROR(VLOOKUP($F48,Arrangörslista!N$53:$AG$90,16,FALSE),IF(ISBLANK(Deltagarlista!$C51),"",IF(ISBLANK(Arrangörslista!N$53),"",IFERROR(VLOOKUP($F48,Arrangörslista!O$53:$AG$90,16,FALSE),"DNS")))))),IF(Deltagarlista!$K$3=2,
IF(ISBLANK(Deltagarlista!$C51),"",IF(ISBLANK(Arrangörslista!P$8),"",IF($GV48=W$64," DNS ",IFERROR(VLOOKUP($F48,Arrangörslista!P$8:$AG$45,16,FALSE),"DNS")))),IF(ISBLANK(Deltagarlista!$C51),"",IF(ISBLANK(Arrangörslista!P$8),"",IFERROR(VLOOKUP($F48,Arrangörslista!P$8:$AG$45,16,FALSE),"DNS")))))</f>
        <v/>
      </c>
      <c r="X48" s="5" t="str">
        <f>IF(Deltagarlista!$K$3=4,IF(ISBLANK(Deltagarlista!$C51),"",IF(ISBLANK(Arrangörslista!P$53),"",IFERROR(VLOOKUP($F48,Arrangörslista!P$53:$AG$90,16,FALSE),IF(ISBLANK(Deltagarlista!$C51),"",IF(ISBLANK(Arrangörslista!P$53),"",IFERROR(VLOOKUP($F48,Arrangörslista!Q$53:$AG$90,16,FALSE),"DNS")))))),IF(Deltagarlista!$K$3=2,
IF(ISBLANK(Deltagarlista!$C51),"",IF(ISBLANK(Arrangörslista!Q$8),"",IF($GV48=X$64," DNS ",IFERROR(VLOOKUP($F48,Arrangörslista!Q$8:$AG$45,16,FALSE),"DNS")))),IF(ISBLANK(Deltagarlista!$C51),"",IF(ISBLANK(Arrangörslista!Q$8),"",IFERROR(VLOOKUP($F48,Arrangörslista!Q$8:$AG$45,16,FALSE),"DNS")))))</f>
        <v/>
      </c>
      <c r="Y48" s="5" t="str">
        <f>IF(Deltagarlista!$K$3=4,IF(ISBLANK(Deltagarlista!$C51),"",IF(ISBLANK(Arrangörslista!C$98),"",IFERROR(VLOOKUP($F48,Arrangörslista!C$98:$AG$135,16,FALSE),IF(ISBLANK(Deltagarlista!$C51),"",IF(ISBLANK(Arrangörslista!C$98),"",IFERROR(VLOOKUP($F48,Arrangörslista!D$98:$AG$135,16,FALSE),"DNS")))))),IF(Deltagarlista!$K$3=2,
IF(ISBLANK(Deltagarlista!$C51),"",IF(ISBLANK(Arrangörslista!C$53),"",IF($GV48=Y$64," DNS ",IFERROR(VLOOKUP($F48,Arrangörslista!C$53:$AG$90,16,FALSE),"DNS")))),IF(ISBLANK(Deltagarlista!$C51),"",IF(ISBLANK(Arrangörslista!C$53),"",IFERROR(VLOOKUP($F48,Arrangörslista!C$53:$AG$90,16,FALSE),"DNS")))))</f>
        <v/>
      </c>
      <c r="Z48" s="5" t="str">
        <f>IF(Deltagarlista!$K$3=4,IF(ISBLANK(Deltagarlista!$C51),"",IF(ISBLANK(Arrangörslista!E$98),"",IFERROR(VLOOKUP($F48,Arrangörslista!E$98:$AG$135,16,FALSE),IF(ISBLANK(Deltagarlista!$C51),"",IF(ISBLANK(Arrangörslista!E$98),"",IFERROR(VLOOKUP($F48,Arrangörslista!F$98:$AG$135,16,FALSE),"DNS")))))),IF(Deltagarlista!$K$3=2,
IF(ISBLANK(Deltagarlista!$C51),"",IF(ISBLANK(Arrangörslista!D$53),"",IF($GV48=Z$64," DNS ",IFERROR(VLOOKUP($F48,Arrangörslista!D$53:$AG$90,16,FALSE),"DNS")))),IF(ISBLANK(Deltagarlista!$C51),"",IF(ISBLANK(Arrangörslista!D$53),"",IFERROR(VLOOKUP($F48,Arrangörslista!D$53:$AG$90,16,FALSE),"DNS")))))</f>
        <v/>
      </c>
      <c r="AA48" s="5" t="str">
        <f>IF(Deltagarlista!$K$3=4,IF(ISBLANK(Deltagarlista!$C51),"",IF(ISBLANK(Arrangörslista!G$98),"",IFERROR(VLOOKUP($F48,Arrangörslista!G$98:$AG$135,16,FALSE),IF(ISBLANK(Deltagarlista!$C51),"",IF(ISBLANK(Arrangörslista!G$98),"",IFERROR(VLOOKUP($F48,Arrangörslista!H$98:$AG$135,16,FALSE),"DNS")))))),IF(Deltagarlista!$K$3=2,
IF(ISBLANK(Deltagarlista!$C51),"",IF(ISBLANK(Arrangörslista!E$53),"",IF($GV48=AA$64," DNS ",IFERROR(VLOOKUP($F48,Arrangörslista!E$53:$AG$90,16,FALSE),"DNS")))),IF(ISBLANK(Deltagarlista!$C51),"",IF(ISBLANK(Arrangörslista!E$53),"",IFERROR(VLOOKUP($F48,Arrangörslista!E$53:$AG$90,16,FALSE),"DNS")))))</f>
        <v/>
      </c>
      <c r="AB48" s="5" t="str">
        <f>IF(Deltagarlista!$K$3=4,IF(ISBLANK(Deltagarlista!$C51),"",IF(ISBLANK(Arrangörslista!I$98),"",IFERROR(VLOOKUP($F48,Arrangörslista!I$98:$AG$135,16,FALSE),IF(ISBLANK(Deltagarlista!$C51),"",IF(ISBLANK(Arrangörslista!I$98),"",IFERROR(VLOOKUP($F48,Arrangörslista!J$98:$AG$135,16,FALSE),"DNS")))))),IF(Deltagarlista!$K$3=2,
IF(ISBLANK(Deltagarlista!$C51),"",IF(ISBLANK(Arrangörslista!F$53),"",IF($GV48=AB$64," DNS ",IFERROR(VLOOKUP($F48,Arrangörslista!F$53:$AG$90,16,FALSE),"DNS")))),IF(ISBLANK(Deltagarlista!$C51),"",IF(ISBLANK(Arrangörslista!F$53),"",IFERROR(VLOOKUP($F48,Arrangörslista!F$53:$AG$90,16,FALSE),"DNS")))))</f>
        <v/>
      </c>
      <c r="AC48" s="5" t="str">
        <f>IF(Deltagarlista!$K$3=4,IF(ISBLANK(Deltagarlista!$C51),"",IF(ISBLANK(Arrangörslista!K$98),"",IFERROR(VLOOKUP($F48,Arrangörslista!K$98:$AG$135,16,FALSE),IF(ISBLANK(Deltagarlista!$C51),"",IF(ISBLANK(Arrangörslista!K$98),"",IFERROR(VLOOKUP($F48,Arrangörslista!L$98:$AG$135,16,FALSE),"DNS")))))),IF(Deltagarlista!$K$3=2,
IF(ISBLANK(Deltagarlista!$C51),"",IF(ISBLANK(Arrangörslista!G$53),"",IF($GV48=AC$64," DNS ",IFERROR(VLOOKUP($F48,Arrangörslista!G$53:$AG$90,16,FALSE),"DNS")))),IF(ISBLANK(Deltagarlista!$C51),"",IF(ISBLANK(Arrangörslista!G$53),"",IFERROR(VLOOKUP($F48,Arrangörslista!G$53:$AG$90,16,FALSE),"DNS")))))</f>
        <v/>
      </c>
      <c r="AD48" s="5" t="str">
        <f>IF(Deltagarlista!$K$3=4,IF(ISBLANK(Deltagarlista!$C51),"",IF(ISBLANK(Arrangörslista!M$98),"",IFERROR(VLOOKUP($F48,Arrangörslista!M$98:$AG$135,16,FALSE),IF(ISBLANK(Deltagarlista!$C51),"",IF(ISBLANK(Arrangörslista!M$98),"",IFERROR(VLOOKUP($F48,Arrangörslista!N$98:$AG$135,16,FALSE),"DNS")))))),IF(Deltagarlista!$K$3=2,
IF(ISBLANK(Deltagarlista!$C51),"",IF(ISBLANK(Arrangörslista!H$53),"",IF($GV48=AD$64," DNS ",IFERROR(VLOOKUP($F48,Arrangörslista!H$53:$AG$90,16,FALSE),"DNS")))),IF(ISBLANK(Deltagarlista!$C51),"",IF(ISBLANK(Arrangörslista!H$53),"",IFERROR(VLOOKUP($F48,Arrangörslista!H$53:$AG$90,16,FALSE),"DNS")))))</f>
        <v/>
      </c>
      <c r="AE48" s="5" t="str">
        <f>IF(Deltagarlista!$K$3=4,IF(ISBLANK(Deltagarlista!$C51),"",IF(ISBLANK(Arrangörslista!O$98),"",IFERROR(VLOOKUP($F48,Arrangörslista!O$98:$AG$135,16,FALSE),IF(ISBLANK(Deltagarlista!$C51),"",IF(ISBLANK(Arrangörslista!O$98),"",IFERROR(VLOOKUP($F48,Arrangörslista!P$98:$AG$135,16,FALSE),"DNS")))))),IF(Deltagarlista!$K$3=2,
IF(ISBLANK(Deltagarlista!$C51),"",IF(ISBLANK(Arrangörslista!I$53),"",IF($GV48=AE$64," DNS ",IFERROR(VLOOKUP($F48,Arrangörslista!I$53:$AG$90,16,FALSE),"DNS")))),IF(ISBLANK(Deltagarlista!$C51),"",IF(ISBLANK(Arrangörslista!I$53),"",IFERROR(VLOOKUP($F48,Arrangörslista!I$53:$AG$90,16,FALSE),"DNS")))))</f>
        <v/>
      </c>
      <c r="AF48" s="5" t="str">
        <f>IF(Deltagarlista!$K$3=4,IF(ISBLANK(Deltagarlista!$C51),"",IF(ISBLANK(Arrangörslista!Q$98),"",IFERROR(VLOOKUP($F48,Arrangörslista!Q$98:$AG$135,16,FALSE),IF(ISBLANK(Deltagarlista!$C51),"",IF(ISBLANK(Arrangörslista!Q$98),"",IFERROR(VLOOKUP($F48,Arrangörslista!C$143:$AG$180,16,FALSE),"DNS")))))),IF(Deltagarlista!$K$3=2,
IF(ISBLANK(Deltagarlista!$C51),"",IF(ISBLANK(Arrangörslista!J$53),"",IF($GV48=AF$64," DNS ",IFERROR(VLOOKUP($F48,Arrangörslista!J$53:$AG$90,16,FALSE),"DNS")))),IF(ISBLANK(Deltagarlista!$C51),"",IF(ISBLANK(Arrangörslista!J$53),"",IFERROR(VLOOKUP($F48,Arrangörslista!J$53:$AG$90,16,FALSE),"DNS")))))</f>
        <v/>
      </c>
      <c r="AG48" s="5" t="str">
        <f>IF(Deltagarlista!$K$3=4,IF(ISBLANK(Deltagarlista!$C51),"",IF(ISBLANK(Arrangörslista!D$143),"",IFERROR(VLOOKUP($F48,Arrangörslista!D$143:$AG$180,16,FALSE),IF(ISBLANK(Deltagarlista!$C51),"",IF(ISBLANK(Arrangörslista!D$143),"",IFERROR(VLOOKUP($F48,Arrangörslista!E$143:$AG$180,16,FALSE),"DNS")))))),IF(Deltagarlista!$K$3=2,
IF(ISBLANK(Deltagarlista!$C51),"",IF(ISBLANK(Arrangörslista!K$53),"",IF($GV48=AG$64," DNS ",IFERROR(VLOOKUP($F48,Arrangörslista!K$53:$AG$90,16,FALSE),"DNS")))),IF(ISBLANK(Deltagarlista!$C51),"",IF(ISBLANK(Arrangörslista!K$53),"",IFERROR(VLOOKUP($F48,Arrangörslista!K$53:$AG$90,16,FALSE),"DNS")))))</f>
        <v/>
      </c>
      <c r="AH48" s="5" t="str">
        <f>IF(Deltagarlista!$K$3=4,IF(ISBLANK(Deltagarlista!$C51),"",IF(ISBLANK(Arrangörslista!F$143),"",IFERROR(VLOOKUP($F48,Arrangörslista!F$143:$AG$180,16,FALSE),IF(ISBLANK(Deltagarlista!$C51),"",IF(ISBLANK(Arrangörslista!F$143),"",IFERROR(VLOOKUP($F48,Arrangörslista!G$143:$AG$180,16,FALSE),"DNS")))))),IF(Deltagarlista!$K$3=2,
IF(ISBLANK(Deltagarlista!$C51),"",IF(ISBLANK(Arrangörslista!L$53),"",IF($GV48=AH$64," DNS ",IFERROR(VLOOKUP($F48,Arrangörslista!L$53:$AG$90,16,FALSE),"DNS")))),IF(ISBLANK(Deltagarlista!$C51),"",IF(ISBLANK(Arrangörslista!L$53),"",IFERROR(VLOOKUP($F48,Arrangörslista!L$53:$AG$90,16,FALSE),"DNS")))))</f>
        <v/>
      </c>
      <c r="AI48" s="5" t="str">
        <f>IF(Deltagarlista!$K$3=4,IF(ISBLANK(Deltagarlista!$C51),"",IF(ISBLANK(Arrangörslista!H$143),"",IFERROR(VLOOKUP($F48,Arrangörslista!H$143:$AG$180,16,FALSE),IF(ISBLANK(Deltagarlista!$C51),"",IF(ISBLANK(Arrangörslista!H$143),"",IFERROR(VLOOKUP($F48,Arrangörslista!I$143:$AG$180,16,FALSE),"DNS")))))),IF(Deltagarlista!$K$3=2,
IF(ISBLANK(Deltagarlista!$C51),"",IF(ISBLANK(Arrangörslista!M$53),"",IF($GV48=AI$64," DNS ",IFERROR(VLOOKUP($F48,Arrangörslista!M$53:$AG$90,16,FALSE),"DNS")))),IF(ISBLANK(Deltagarlista!$C51),"",IF(ISBLANK(Arrangörslista!M$53),"",IFERROR(VLOOKUP($F48,Arrangörslista!M$53:$AG$90,16,FALSE),"DNS")))))</f>
        <v/>
      </c>
      <c r="AJ48" s="5" t="str">
        <f>IF(Deltagarlista!$K$3=4,IF(ISBLANK(Deltagarlista!$C51),"",IF(ISBLANK(Arrangörslista!J$143),"",IFERROR(VLOOKUP($F48,Arrangörslista!J$143:$AG$180,16,FALSE),IF(ISBLANK(Deltagarlista!$C51),"",IF(ISBLANK(Arrangörslista!J$143),"",IFERROR(VLOOKUP($F48,Arrangörslista!K$143:$AG$180,16,FALSE),"DNS")))))),IF(Deltagarlista!$K$3=2,
IF(ISBLANK(Deltagarlista!$C51),"",IF(ISBLANK(Arrangörslista!N$53),"",IF($GV48=AJ$64," DNS ",IFERROR(VLOOKUP($F48,Arrangörslista!N$53:$AG$90,16,FALSE),"DNS")))),IF(ISBLANK(Deltagarlista!$C51),"",IF(ISBLANK(Arrangörslista!N$53),"",IFERROR(VLOOKUP($F48,Arrangörslista!N$53:$AG$90,16,FALSE),"DNS")))))</f>
        <v/>
      </c>
      <c r="AK48" s="5" t="str">
        <f>IF(Deltagarlista!$K$3=4,IF(ISBLANK(Deltagarlista!$C51),"",IF(ISBLANK(Arrangörslista!L$143),"",IFERROR(VLOOKUP($F48,Arrangörslista!L$143:$AG$180,16,FALSE),IF(ISBLANK(Deltagarlista!$C51),"",IF(ISBLANK(Arrangörslista!L$143),"",IFERROR(VLOOKUP($F48,Arrangörslista!M$143:$AG$180,16,FALSE),"DNS")))))),IF(Deltagarlista!$K$3=2,
IF(ISBLANK(Deltagarlista!$C51),"",IF(ISBLANK(Arrangörslista!O$53),"",IF($GV48=AK$64," DNS ",IFERROR(VLOOKUP($F48,Arrangörslista!O$53:$AG$90,16,FALSE),"DNS")))),IF(ISBLANK(Deltagarlista!$C51),"",IF(ISBLANK(Arrangörslista!O$53),"",IFERROR(VLOOKUP($F48,Arrangörslista!O$53:$AG$90,16,FALSE),"DNS")))))</f>
        <v/>
      </c>
      <c r="AL48" s="5" t="str">
        <f>IF(Deltagarlista!$K$3=4,IF(ISBLANK(Deltagarlista!$C51),"",IF(ISBLANK(Arrangörslista!N$143),"",IFERROR(VLOOKUP($F48,Arrangörslista!N$143:$AG$180,16,FALSE),IF(ISBLANK(Deltagarlista!$C51),"",IF(ISBLANK(Arrangörslista!N$143),"",IFERROR(VLOOKUP($F48,Arrangörslista!O$143:$AG$180,16,FALSE),"DNS")))))),IF(Deltagarlista!$K$3=2,
IF(ISBLANK(Deltagarlista!$C51),"",IF(ISBLANK(Arrangörslista!P$53),"",IF($GV48=AL$64," DNS ",IFERROR(VLOOKUP($F48,Arrangörslista!P$53:$AG$90,16,FALSE),"DNS")))),IF(ISBLANK(Deltagarlista!$C51),"",IF(ISBLANK(Arrangörslista!P$53),"",IFERROR(VLOOKUP($F48,Arrangörslista!P$53:$AG$90,16,FALSE),"DNS")))))</f>
        <v/>
      </c>
      <c r="AM48" s="5" t="str">
        <f>IF(Deltagarlista!$K$3=4,IF(ISBLANK(Deltagarlista!$C51),"",IF(ISBLANK(Arrangörslista!P$143),"",IFERROR(VLOOKUP($F48,Arrangörslista!P$143:$AG$180,16,FALSE),IF(ISBLANK(Deltagarlista!$C51),"",IF(ISBLANK(Arrangörslista!P$143),"",IFERROR(VLOOKUP($F48,Arrangörslista!Q$143:$AG$180,16,FALSE),"DNS")))))),IF(Deltagarlista!$K$3=2,
IF(ISBLANK(Deltagarlista!$C51),"",IF(ISBLANK(Arrangörslista!Q$53),"",IF($GV48=AM$64," DNS ",IFERROR(VLOOKUP($F48,Arrangörslista!Q$53:$AG$90,16,FALSE),"DNS")))),IF(ISBLANK(Deltagarlista!$C51),"",IF(ISBLANK(Arrangörslista!Q$53),"",IFERROR(VLOOKUP($F48,Arrangörslista!Q$53:$AG$90,16,FALSE),"DNS")))))</f>
        <v/>
      </c>
      <c r="AN48" s="5" t="str">
        <f>IF(Deltagarlista!$K$3=2,
IF(ISBLANK(Deltagarlista!$C51),"",IF(ISBLANK(Arrangörslista!C$98),"",IF($GV48=AN$64," DNS ",IFERROR(VLOOKUP($F48,Arrangörslista!C$98:$AG$135,16,FALSE), "DNS")))), IF(Deltagarlista!$K$3=1,IF(ISBLANK(Deltagarlista!$C51),"",IF(ISBLANK(Arrangörslista!C$98),"",IFERROR(VLOOKUP($F48,Arrangörslista!C$98:$AG$135,16,FALSE), "DNS"))),""))</f>
        <v/>
      </c>
      <c r="AO48" s="5" t="str">
        <f>IF(Deltagarlista!$K$3=2,
IF(ISBLANK(Deltagarlista!$C51),"",IF(ISBLANK(Arrangörslista!D$98),"",IF($GV48=AO$64," DNS ",IFERROR(VLOOKUP($F48,Arrangörslista!D$98:$AG$135,16,FALSE), "DNS")))), IF(Deltagarlista!$K$3=1,IF(ISBLANK(Deltagarlista!$C51),"",IF(ISBLANK(Arrangörslista!D$98),"",IFERROR(VLOOKUP($F48,Arrangörslista!D$98:$AG$135,16,FALSE), "DNS"))),""))</f>
        <v/>
      </c>
      <c r="AP48" s="5" t="str">
        <f>IF(Deltagarlista!$K$3=2,
IF(ISBLANK(Deltagarlista!$C51),"",IF(ISBLANK(Arrangörslista!E$98),"",IF($GV48=AP$64," DNS ",IFERROR(VLOOKUP($F48,Arrangörslista!E$98:$AG$135,16,FALSE), "DNS")))), IF(Deltagarlista!$K$3=1,IF(ISBLANK(Deltagarlista!$C51),"",IF(ISBLANK(Arrangörslista!E$98),"",IFERROR(VLOOKUP($F48,Arrangörslista!E$98:$AG$135,16,FALSE), "DNS"))),""))</f>
        <v/>
      </c>
      <c r="AQ48" s="5" t="str">
        <f>IF(Deltagarlista!$K$3=2,
IF(ISBLANK(Deltagarlista!$C51),"",IF(ISBLANK(Arrangörslista!F$98),"",IF($GV48=AQ$64," DNS ",IFERROR(VLOOKUP($F48,Arrangörslista!F$98:$AG$135,16,FALSE), "DNS")))), IF(Deltagarlista!$K$3=1,IF(ISBLANK(Deltagarlista!$C51),"",IF(ISBLANK(Arrangörslista!F$98),"",IFERROR(VLOOKUP($F48,Arrangörslista!F$98:$AG$135,16,FALSE), "DNS"))),""))</f>
        <v/>
      </c>
      <c r="AR48" s="5" t="str">
        <f>IF(Deltagarlista!$K$3=2,
IF(ISBLANK(Deltagarlista!$C51),"",IF(ISBLANK(Arrangörslista!G$98),"",IF($GV48=AR$64," DNS ",IFERROR(VLOOKUP($F48,Arrangörslista!G$98:$AG$135,16,FALSE), "DNS")))), IF(Deltagarlista!$K$3=1,IF(ISBLANK(Deltagarlista!$C51),"",IF(ISBLANK(Arrangörslista!G$98),"",IFERROR(VLOOKUP($F48,Arrangörslista!G$98:$AG$135,16,FALSE), "DNS"))),""))</f>
        <v/>
      </c>
      <c r="AS48" s="5" t="str">
        <f>IF(Deltagarlista!$K$3=2,
IF(ISBLANK(Deltagarlista!$C51),"",IF(ISBLANK(Arrangörslista!H$98),"",IF($GV48=AS$64," DNS ",IFERROR(VLOOKUP($F48,Arrangörslista!H$98:$AG$135,16,FALSE), "DNS")))), IF(Deltagarlista!$K$3=1,IF(ISBLANK(Deltagarlista!$C51),"",IF(ISBLANK(Arrangörslista!H$98),"",IFERROR(VLOOKUP($F48,Arrangörslista!H$98:$AG$135,16,FALSE), "DNS"))),""))</f>
        <v/>
      </c>
      <c r="AT48" s="5" t="str">
        <f>IF(Deltagarlista!$K$3=2,
IF(ISBLANK(Deltagarlista!$C51),"",IF(ISBLANK(Arrangörslista!I$98),"",IF($GV48=AT$64," DNS ",IFERROR(VLOOKUP($F48,Arrangörslista!I$98:$AG$135,16,FALSE), "DNS")))), IF(Deltagarlista!$K$3=1,IF(ISBLANK(Deltagarlista!$C51),"",IF(ISBLANK(Arrangörslista!I$98),"",IFERROR(VLOOKUP($F48,Arrangörslista!I$98:$AG$135,16,FALSE), "DNS"))),""))</f>
        <v/>
      </c>
      <c r="AU48" s="5" t="str">
        <f>IF(Deltagarlista!$K$3=2,
IF(ISBLANK(Deltagarlista!$C51),"",IF(ISBLANK(Arrangörslista!J$98),"",IF($GV48=AU$64," DNS ",IFERROR(VLOOKUP($F48,Arrangörslista!J$98:$AG$135,16,FALSE), "DNS")))), IF(Deltagarlista!$K$3=1,IF(ISBLANK(Deltagarlista!$C51),"",IF(ISBLANK(Arrangörslista!J$98),"",IFERROR(VLOOKUP($F48,Arrangörslista!J$98:$AG$135,16,FALSE), "DNS"))),""))</f>
        <v/>
      </c>
      <c r="AV48" s="5" t="str">
        <f>IF(Deltagarlista!$K$3=2,
IF(ISBLANK(Deltagarlista!$C51),"",IF(ISBLANK(Arrangörslista!K$98),"",IF($GV48=AV$64," DNS ",IFERROR(VLOOKUP($F48,Arrangörslista!K$98:$AG$135,16,FALSE), "DNS")))), IF(Deltagarlista!$K$3=1,IF(ISBLANK(Deltagarlista!$C51),"",IF(ISBLANK(Arrangörslista!K$98),"",IFERROR(VLOOKUP($F48,Arrangörslista!K$98:$AG$135,16,FALSE), "DNS"))),""))</f>
        <v/>
      </c>
      <c r="AW48" s="5" t="str">
        <f>IF(Deltagarlista!$K$3=2,
IF(ISBLANK(Deltagarlista!$C51),"",IF(ISBLANK(Arrangörslista!L$98),"",IF($GV48=AW$64," DNS ",IFERROR(VLOOKUP($F48,Arrangörslista!L$98:$AG$135,16,FALSE), "DNS")))), IF(Deltagarlista!$K$3=1,IF(ISBLANK(Deltagarlista!$C51),"",IF(ISBLANK(Arrangörslista!L$98),"",IFERROR(VLOOKUP($F48,Arrangörslista!L$98:$AG$135,16,FALSE), "DNS"))),""))</f>
        <v/>
      </c>
      <c r="AX48" s="5" t="str">
        <f>IF(Deltagarlista!$K$3=2,
IF(ISBLANK(Deltagarlista!$C51),"",IF(ISBLANK(Arrangörslista!M$98),"",IF($GV48=AX$64," DNS ",IFERROR(VLOOKUP($F48,Arrangörslista!M$98:$AG$135,16,FALSE), "DNS")))), IF(Deltagarlista!$K$3=1,IF(ISBLANK(Deltagarlista!$C51),"",IF(ISBLANK(Arrangörslista!M$98),"",IFERROR(VLOOKUP($F48,Arrangörslista!M$98:$AG$135,16,FALSE), "DNS"))),""))</f>
        <v/>
      </c>
      <c r="AY48" s="5" t="str">
        <f>IF(Deltagarlista!$K$3=2,
IF(ISBLANK(Deltagarlista!$C51),"",IF(ISBLANK(Arrangörslista!N$98),"",IF($GV48=AY$64," DNS ",IFERROR(VLOOKUP($F48,Arrangörslista!N$98:$AG$135,16,FALSE), "DNS")))), IF(Deltagarlista!$K$3=1,IF(ISBLANK(Deltagarlista!$C51),"",IF(ISBLANK(Arrangörslista!N$98),"",IFERROR(VLOOKUP($F48,Arrangörslista!N$98:$AG$135,16,FALSE), "DNS"))),""))</f>
        <v/>
      </c>
      <c r="AZ48" s="5" t="str">
        <f>IF(Deltagarlista!$K$3=2,
IF(ISBLANK(Deltagarlista!$C51),"",IF(ISBLANK(Arrangörslista!O$98),"",IF($GV48=AZ$64," DNS ",IFERROR(VLOOKUP($F48,Arrangörslista!O$98:$AG$135,16,FALSE), "DNS")))), IF(Deltagarlista!$K$3=1,IF(ISBLANK(Deltagarlista!$C51),"",IF(ISBLANK(Arrangörslista!O$98),"",IFERROR(VLOOKUP($F48,Arrangörslista!O$98:$AG$135,16,FALSE), "DNS"))),""))</f>
        <v/>
      </c>
      <c r="BA48" s="5" t="str">
        <f>IF(Deltagarlista!$K$3=2,
IF(ISBLANK(Deltagarlista!$C51),"",IF(ISBLANK(Arrangörslista!P$98),"",IF($GV48=BA$64," DNS ",IFERROR(VLOOKUP($F48,Arrangörslista!P$98:$AG$135,16,FALSE), "DNS")))), IF(Deltagarlista!$K$3=1,IF(ISBLANK(Deltagarlista!$C51),"",IF(ISBLANK(Arrangörslista!P$98),"",IFERROR(VLOOKUP($F48,Arrangörslista!P$98:$AG$135,16,FALSE), "DNS"))),""))</f>
        <v/>
      </c>
      <c r="BB48" s="5" t="str">
        <f>IF(Deltagarlista!$K$3=2,
IF(ISBLANK(Deltagarlista!$C51),"",IF(ISBLANK(Arrangörslista!Q$98),"",IF($GV48=BB$64," DNS ",IFERROR(VLOOKUP($F48,Arrangörslista!Q$98:$AG$135,16,FALSE), "DNS")))), IF(Deltagarlista!$K$3=1,IF(ISBLANK(Deltagarlista!$C51),"",IF(ISBLANK(Arrangörslista!Q$98),"",IFERROR(VLOOKUP($F48,Arrangörslista!Q$98:$AG$135,16,FALSE), "DNS"))),""))</f>
        <v/>
      </c>
      <c r="BC48" s="5" t="str">
        <f>IF(Deltagarlista!$K$3=2,
IF(ISBLANK(Deltagarlista!$C51),"",IF(ISBLANK(Arrangörslista!C$143),"",IF($GV48=BC$64," DNS ",IFERROR(VLOOKUP($F48,Arrangörslista!C$143:$AG$180,16,FALSE), "DNS")))), IF(Deltagarlista!$K$3=1,IF(ISBLANK(Deltagarlista!$C51),"",IF(ISBLANK(Arrangörslista!C$143),"",IFERROR(VLOOKUP($F48,Arrangörslista!C$143:$AG$180,16,FALSE), "DNS"))),""))</f>
        <v/>
      </c>
      <c r="BD48" s="5" t="str">
        <f>IF(Deltagarlista!$K$3=2,
IF(ISBLANK(Deltagarlista!$C51),"",IF(ISBLANK(Arrangörslista!D$143),"",IF($GV48=BD$64," DNS ",IFERROR(VLOOKUP($F48,Arrangörslista!D$143:$AG$180,16,FALSE), "DNS")))), IF(Deltagarlista!$K$3=1,IF(ISBLANK(Deltagarlista!$C51),"",IF(ISBLANK(Arrangörslista!D$143),"",IFERROR(VLOOKUP($F48,Arrangörslista!D$143:$AG$180,16,FALSE), "DNS"))),""))</f>
        <v/>
      </c>
      <c r="BE48" s="5" t="str">
        <f>IF(Deltagarlista!$K$3=2,
IF(ISBLANK(Deltagarlista!$C51),"",IF(ISBLANK(Arrangörslista!E$143),"",IF($GV48=BE$64," DNS ",IFERROR(VLOOKUP($F48,Arrangörslista!E$143:$AG$180,16,FALSE), "DNS")))), IF(Deltagarlista!$K$3=1,IF(ISBLANK(Deltagarlista!$C51),"",IF(ISBLANK(Arrangörslista!E$143),"",IFERROR(VLOOKUP($F48,Arrangörslista!E$143:$AG$180,16,FALSE), "DNS"))),""))</f>
        <v/>
      </c>
      <c r="BF48" s="5" t="str">
        <f>IF(Deltagarlista!$K$3=2,
IF(ISBLANK(Deltagarlista!$C51),"",IF(ISBLANK(Arrangörslista!F$143),"",IF($GV48=BF$64," DNS ",IFERROR(VLOOKUP($F48,Arrangörslista!F$143:$AG$180,16,FALSE), "DNS")))), IF(Deltagarlista!$K$3=1,IF(ISBLANK(Deltagarlista!$C51),"",IF(ISBLANK(Arrangörslista!F$143),"",IFERROR(VLOOKUP($F48,Arrangörslista!F$143:$AG$180,16,FALSE), "DNS"))),""))</f>
        <v/>
      </c>
      <c r="BG48" s="5" t="str">
        <f>IF(Deltagarlista!$K$3=2,
IF(ISBLANK(Deltagarlista!$C51),"",IF(ISBLANK(Arrangörslista!G$143),"",IF($GV48=BG$64," DNS ",IFERROR(VLOOKUP($F48,Arrangörslista!G$143:$AG$180,16,FALSE), "DNS")))), IF(Deltagarlista!$K$3=1,IF(ISBLANK(Deltagarlista!$C51),"",IF(ISBLANK(Arrangörslista!G$143),"",IFERROR(VLOOKUP($F48,Arrangörslista!G$143:$AG$180,16,FALSE), "DNS"))),""))</f>
        <v/>
      </c>
      <c r="BH48" s="5" t="str">
        <f>IF(Deltagarlista!$K$3=2,
IF(ISBLANK(Deltagarlista!$C51),"",IF(ISBLANK(Arrangörslista!H$143),"",IF($GV48=BH$64," DNS ",IFERROR(VLOOKUP($F48,Arrangörslista!H$143:$AG$180,16,FALSE), "DNS")))), IF(Deltagarlista!$K$3=1,IF(ISBLANK(Deltagarlista!$C51),"",IF(ISBLANK(Arrangörslista!H$143),"",IFERROR(VLOOKUP($F48,Arrangörslista!H$143:$AG$180,16,FALSE), "DNS"))),""))</f>
        <v/>
      </c>
      <c r="BI48" s="5" t="str">
        <f>IF(Deltagarlista!$K$3=2,
IF(ISBLANK(Deltagarlista!$C51),"",IF(ISBLANK(Arrangörslista!I$143),"",IF($GV48=BI$64," DNS ",IFERROR(VLOOKUP($F48,Arrangörslista!I$143:$AG$180,16,FALSE), "DNS")))), IF(Deltagarlista!$K$3=1,IF(ISBLANK(Deltagarlista!$C51),"",IF(ISBLANK(Arrangörslista!I$143),"",IFERROR(VLOOKUP($F48,Arrangörslista!I$143:$AG$180,16,FALSE), "DNS"))),""))</f>
        <v/>
      </c>
      <c r="BJ48" s="5" t="str">
        <f>IF(Deltagarlista!$K$3=2,
IF(ISBLANK(Deltagarlista!$C51),"",IF(ISBLANK(Arrangörslista!J$143),"",IF($GV48=BJ$64," DNS ",IFERROR(VLOOKUP($F48,Arrangörslista!J$143:$AG$180,16,FALSE), "DNS")))), IF(Deltagarlista!$K$3=1,IF(ISBLANK(Deltagarlista!$C51),"",IF(ISBLANK(Arrangörslista!J$143),"",IFERROR(VLOOKUP($F48,Arrangörslista!J$143:$AG$180,16,FALSE), "DNS"))),""))</f>
        <v/>
      </c>
      <c r="BK48" s="5" t="str">
        <f>IF(Deltagarlista!$K$3=2,
IF(ISBLANK(Deltagarlista!$C51),"",IF(ISBLANK(Arrangörslista!K$143),"",IF($GV48=BK$64," DNS ",IFERROR(VLOOKUP($F48,Arrangörslista!K$143:$AG$180,16,FALSE), "DNS")))), IF(Deltagarlista!$K$3=1,IF(ISBLANK(Deltagarlista!$C51),"",IF(ISBLANK(Arrangörslista!K$143),"",IFERROR(VLOOKUP($F48,Arrangörslista!K$143:$AG$180,16,FALSE), "DNS"))),""))</f>
        <v/>
      </c>
      <c r="BL48" s="5" t="str">
        <f>IF(Deltagarlista!$K$3=2,
IF(ISBLANK(Deltagarlista!$C51),"",IF(ISBLANK(Arrangörslista!L$143),"",IF($GV48=BL$64," DNS ",IFERROR(VLOOKUP($F48,Arrangörslista!L$143:$AG$180,16,FALSE), "DNS")))), IF(Deltagarlista!$K$3=1,IF(ISBLANK(Deltagarlista!$C51),"",IF(ISBLANK(Arrangörslista!L$143),"",IFERROR(VLOOKUP($F48,Arrangörslista!L$143:$AG$180,16,FALSE), "DNS"))),""))</f>
        <v/>
      </c>
      <c r="BM48" s="5" t="str">
        <f>IF(Deltagarlista!$K$3=2,
IF(ISBLANK(Deltagarlista!$C51),"",IF(ISBLANK(Arrangörslista!M$143),"",IF($GV48=BM$64," DNS ",IFERROR(VLOOKUP($F48,Arrangörslista!M$143:$AG$180,16,FALSE), "DNS")))), IF(Deltagarlista!$K$3=1,IF(ISBLANK(Deltagarlista!$C51),"",IF(ISBLANK(Arrangörslista!M$143),"",IFERROR(VLOOKUP($F48,Arrangörslista!M$143:$AG$180,16,FALSE), "DNS"))),""))</f>
        <v/>
      </c>
      <c r="BN48" s="5" t="str">
        <f>IF(Deltagarlista!$K$3=2,
IF(ISBLANK(Deltagarlista!$C51),"",IF(ISBLANK(Arrangörslista!N$143),"",IF($GV48=BN$64," DNS ",IFERROR(VLOOKUP($F48,Arrangörslista!N$143:$AG$180,16,FALSE), "DNS")))), IF(Deltagarlista!$K$3=1,IF(ISBLANK(Deltagarlista!$C51),"",IF(ISBLANK(Arrangörslista!N$143),"",IFERROR(VLOOKUP($F48,Arrangörslista!N$143:$AG$180,16,FALSE), "DNS"))),""))</f>
        <v/>
      </c>
      <c r="BO48" s="5" t="str">
        <f>IF(Deltagarlista!$K$3=2,
IF(ISBLANK(Deltagarlista!$C51),"",IF(ISBLANK(Arrangörslista!O$143),"",IF($GV48=BO$64," DNS ",IFERROR(VLOOKUP($F48,Arrangörslista!O$143:$AG$180,16,FALSE), "DNS")))), IF(Deltagarlista!$K$3=1,IF(ISBLANK(Deltagarlista!$C51),"",IF(ISBLANK(Arrangörslista!O$143),"",IFERROR(VLOOKUP($F48,Arrangörslista!O$143:$AG$180,16,FALSE), "DNS"))),""))</f>
        <v/>
      </c>
      <c r="BP48" s="5" t="str">
        <f>IF(Deltagarlista!$K$3=2,
IF(ISBLANK(Deltagarlista!$C51),"",IF(ISBLANK(Arrangörslista!P$143),"",IF($GV48=BP$64," DNS ",IFERROR(VLOOKUP($F48,Arrangörslista!P$143:$AG$180,16,FALSE), "DNS")))), IF(Deltagarlista!$K$3=1,IF(ISBLANK(Deltagarlista!$C51),"",IF(ISBLANK(Arrangörslista!P$143),"",IFERROR(VLOOKUP($F48,Arrangörslista!P$143:$AG$180,16,FALSE), "DNS"))),""))</f>
        <v/>
      </c>
      <c r="BQ48" s="80" t="str">
        <f>IF(Deltagarlista!$K$3=2,
IF(ISBLANK(Deltagarlista!$C51),"",IF(ISBLANK(Arrangörslista!Q$143),"",IF($GV48=BQ$64," DNS ",IFERROR(VLOOKUP($F48,Arrangörslista!Q$143:$AG$180,16,FALSE), "DNS")))), IF(Deltagarlista!$K$3=1,IF(ISBLANK(Deltagarlista!$C51),"",IF(ISBLANK(Arrangörslista!Q$143),"",IFERROR(VLOOKUP($F48,Arrangörslista!Q$143:$AG$180,16,FALSE), "DNS"))),""))</f>
        <v/>
      </c>
      <c r="BR48" s="48"/>
      <c r="BU48" s="71">
        <f>SUM(BV48:EC48)</f>
        <v>0</v>
      </c>
      <c r="BV48" s="61">
        <f>IF(J48="",0,IF(OR(J48="DNF",J48="OCS",J48="DSQ",J48="DNS",J48=" DNS "),$BW$3+1,J48))</f>
        <v>0</v>
      </c>
      <c r="BW48" s="61">
        <f>IF(K48="",0,IF(OR(K48="DNF",K48="OCS",K48="DSQ",K48="DNS",K48=" DNS "),$BW$3+1,K48))</f>
        <v>0</v>
      </c>
      <c r="BX48" s="61">
        <f>IF(L48="",0,IF(OR(L48="DNF",L48="OCS",L48="DSQ",L48="DNS",L48=" DNS "),$BW$3+1,L48))</f>
        <v>0</v>
      </c>
      <c r="BY48" s="61">
        <f>IF(M48="",0,IF(OR(M48="DNF",M48="OCS",M48="DSQ",M48="DNS",M48=" DNS "),$BW$3+1,M48))</f>
        <v>0</v>
      </c>
      <c r="BZ48" s="61">
        <f>IF(N48="",0,IF(OR(N48="DNF",N48="OCS",N48="DSQ",N48="DNS",N48=" DNS "),$BW$3+1,N48))</f>
        <v>0</v>
      </c>
      <c r="CA48" s="61">
        <f>IF(O48="",0,IF(OR(O48="DNF",O48="OCS",O48="DSQ",O48="DNS",O48=" DNS "),$BW$3+1,O48))</f>
        <v>0</v>
      </c>
      <c r="CB48" s="61">
        <f>IF(P48="",0,IF(OR(P48="DNF",P48="OCS",P48="DSQ",P48="DNS",P48=" DNS "),$BW$3+1,P48))</f>
        <v>0</v>
      </c>
      <c r="CC48" s="61">
        <f>IF(Q48="",0,IF(OR(Q48="DNF",Q48="OCS",Q48="DSQ",Q48="DNS",Q48=" DNS "),$BW$3+1,Q48))</f>
        <v>0</v>
      </c>
      <c r="CD48" s="61">
        <f>IF(R48="",0,IF(OR(R48="DNF",R48="OCS",R48="DSQ",R48="DNS",R48=" DNS "),$BW$3+1,R48))</f>
        <v>0</v>
      </c>
      <c r="CE48" s="61">
        <f>IF(S48="",0,IF(OR(S48="DNF",S48="OCS",S48="DSQ",S48="DNS",S48=" DNS "),$BW$3+1,S48))</f>
        <v>0</v>
      </c>
      <c r="CF48" s="61">
        <f>IF(T48="",0,IF(OR(T48="DNF",T48="OCS",T48="DSQ",T48="DNS",T48=" DNS "),$BW$3+1,T48))</f>
        <v>0</v>
      </c>
      <c r="CG48" s="61">
        <f>IF(U48="",0,IF(OR(U48="DNF",U48="OCS",U48="DSQ",U48="DNS",U48=" DNS "),$BW$3+1,U48))</f>
        <v>0</v>
      </c>
      <c r="CH48" s="61">
        <f>IF(V48="",0,IF(OR(V48="DNF",V48="OCS",V48="DSQ",V48="DNS",V48=" DNS "),$BW$3+1,V48))</f>
        <v>0</v>
      </c>
      <c r="CI48" s="61">
        <f>IF(W48="",0,IF(OR(W48="DNF",W48="OCS",W48="DSQ",W48="DNS",W48=" DNS "),$BW$3+1,W48))</f>
        <v>0</v>
      </c>
      <c r="CJ48" s="61">
        <f>IF(X48="",0,IF(OR(X48="DNF",X48="OCS",X48="DSQ",X48="DNS",X48=" DNS "),$BW$3+1,X48))</f>
        <v>0</v>
      </c>
      <c r="CK48" s="61">
        <f>IF(Y48="",0,IF(OR(Y48="DNF",Y48="OCS",Y48="DSQ",Y48="DNS",Y48=" DNS "),$BW$3+1,Y48))</f>
        <v>0</v>
      </c>
      <c r="CL48" s="61">
        <f>IF(Z48="",0,IF(OR(Z48="DNF",Z48="OCS",Z48="DSQ",Z48="DNS",Z48=" DNS "),$BW$3+1,Z48))</f>
        <v>0</v>
      </c>
      <c r="CM48" s="61">
        <f>IF(AA48="",0,IF(OR(AA48="DNF",AA48="OCS",AA48="DSQ",AA48="DNS",AA48=" DNS "),$BW$3+1,AA48))</f>
        <v>0</v>
      </c>
      <c r="CN48" s="61">
        <f>IF(AB48="",0,IF(OR(AB48="DNF",AB48="OCS",AB48="DSQ",AB48="DNS",AB48=" DNS "),$BW$3+1,AB48))</f>
        <v>0</v>
      </c>
      <c r="CO48" s="61">
        <f>IF(AC48="",0,IF(OR(AC48="DNF",AC48="OCS",AC48="DSQ",AC48="DNS",AC48=" DNS "),$BW$3+1,AC48))</f>
        <v>0</v>
      </c>
      <c r="CP48" s="61">
        <f>IF(AD48="",0,IF(OR(AD48="DNF",AD48="OCS",AD48="DSQ",AD48="DNS",AD48=" DNS "),$BW$3+1,AD48))</f>
        <v>0</v>
      </c>
      <c r="CQ48" s="61">
        <f>IF(AE48="",0,IF(OR(AE48="DNF",AE48="OCS",AE48="DSQ",AE48="DNS",AE48=" DNS "),$BW$3+1,AE48))</f>
        <v>0</v>
      </c>
      <c r="CR48" s="61">
        <f>IF(AF48="",0,IF(OR(AF48="DNF",AF48="OCS",AF48="DSQ",AF48="DNS",AF48=" DNS "),$BW$3+1,AF48))</f>
        <v>0</v>
      </c>
      <c r="CS48" s="61">
        <f>IF(AG48="",0,IF(OR(AG48="DNF",AG48="OCS",AG48="DSQ",AG48="DNS",AG48=" DNS "),$BW$3+1,AG48))</f>
        <v>0</v>
      </c>
      <c r="CT48" s="61">
        <f>IF(AH48="",0,IF(OR(AH48="DNF",AH48="OCS",AH48="DSQ",AH48="DNS",AH48=" DNS "),$BW$3+1,AH48))</f>
        <v>0</v>
      </c>
      <c r="CU48" s="61">
        <f>IF(AI48="",0,IF(OR(AI48="DNF",AI48="OCS",AI48="DSQ",AI48="DNS",AI48=" DNS "),$BW$3+1,AI48))</f>
        <v>0</v>
      </c>
      <c r="CV48" s="61">
        <f>IF(AJ48="",0,IF(OR(AJ48="DNF",AJ48="OCS",AJ48="DSQ",AJ48="DNS",AJ48=" DNS "),$BW$3+1,AJ48))</f>
        <v>0</v>
      </c>
      <c r="CW48" s="61">
        <f>IF(AK48="",0,IF(OR(AK48="DNF",AK48="OCS",AK48="DSQ",AK48="DNS",AK48=" DNS "),$BW$3+1,AK48))</f>
        <v>0</v>
      </c>
      <c r="CX48" s="61">
        <f>IF(AL48="",0,IF(OR(AL48="DNF",AL48="OCS",AL48="DSQ",AL48="DNS",AL48=" DNS "),$BW$3+1,AL48))</f>
        <v>0</v>
      </c>
      <c r="CY48" s="61">
        <f>IF(AM48="",0,IF(OR(AM48="DNF",AM48="OCS",AM48="DSQ",AM48="DNS",AM48=" DNS "),$BW$3+1,AM48))</f>
        <v>0</v>
      </c>
      <c r="CZ48" s="61">
        <f>IF(AN48="",0,IF(OR(AN48="DNF",AN48="OCS",AN48="DSQ",AN48="DNS",AN48=" DNS "),$BW$3+1,AN48))</f>
        <v>0</v>
      </c>
      <c r="DA48" s="61">
        <f>IF(AO48="",0,IF(OR(AO48="DNF",AO48="OCS",AO48="DSQ",AO48="DNS",AO48=" DNS "),$BW$3+1,AO48))</f>
        <v>0</v>
      </c>
      <c r="DB48" s="61">
        <f>IF(AP48="",0,IF(OR(AP48="DNF",AP48="OCS",AP48="DSQ",AP48="DNS",AP48=" DNS "),$BW$3+1,AP48))</f>
        <v>0</v>
      </c>
      <c r="DC48" s="61">
        <f>IF(AQ48="",0,IF(OR(AQ48="DNF",AQ48="OCS",AQ48="DSQ",AQ48="DNS",AQ48=" DNS "),$BW$3+1,AQ48))</f>
        <v>0</v>
      </c>
      <c r="DD48" s="61">
        <f>IF(AR48="",0,IF(OR(AR48="DNF",AR48="OCS",AR48="DSQ",AR48="DNS",AR48=" DNS "),$BW$3+1,AR48))</f>
        <v>0</v>
      </c>
      <c r="DE48" s="61">
        <f>IF(AS48="",0,IF(OR(AS48="DNF",AS48="OCS",AS48="DSQ",AS48="DNS",AS48=" DNS "),$BW$3+1,AS48))</f>
        <v>0</v>
      </c>
      <c r="DF48" s="61">
        <f>IF(AT48="",0,IF(OR(AT48="DNF",AT48="OCS",AT48="DSQ",AT48="DNS",AT48=" DNS "),$BW$3+1,AT48))</f>
        <v>0</v>
      </c>
      <c r="DG48" s="61">
        <f>IF(AU48="",0,IF(OR(AU48="DNF",AU48="OCS",AU48="DSQ",AU48="DNS",AU48=" DNS "),$BW$3+1,AU48))</f>
        <v>0</v>
      </c>
      <c r="DH48" s="61">
        <f>IF(AV48="",0,IF(OR(AV48="DNF",AV48="OCS",AV48="DSQ",AV48="DNS",AV48=" DNS "),$BW$3+1,AV48))</f>
        <v>0</v>
      </c>
      <c r="DI48" s="61">
        <f>IF(AW48="",0,IF(OR(AW48="DNF",AW48="OCS",AW48="DSQ",AW48="DNS",AW48=" DNS "),$BW$3+1,AW48))</f>
        <v>0</v>
      </c>
      <c r="DJ48" s="61">
        <f>IF(AX48="",0,IF(OR(AX48="DNF",AX48="OCS",AX48="DSQ",AX48="DNS",AX48=" DNS "),$BW$3+1,AX48))</f>
        <v>0</v>
      </c>
      <c r="DK48" s="61">
        <f>IF(AY48="",0,IF(OR(AY48="DNF",AY48="OCS",AY48="DSQ",AY48="DNS",AY48=" DNS "),$BW$3+1,AY48))</f>
        <v>0</v>
      </c>
      <c r="DL48" s="61">
        <f>IF(AZ48="",0,IF(OR(AZ48="DNF",AZ48="OCS",AZ48="DSQ",AZ48="DNS",AZ48=" DNS "),$BW$3+1,AZ48))</f>
        <v>0</v>
      </c>
      <c r="DM48" s="61">
        <f>IF(BA48="",0,IF(OR(BA48="DNF",BA48="OCS",BA48="DSQ",BA48="DNS",BA48=" DNS "),$BW$3+1,BA48))</f>
        <v>0</v>
      </c>
      <c r="DN48" s="61">
        <f>IF(BB48="",0,IF(OR(BB48="DNF",BB48="OCS",BB48="DSQ",BB48="DNS",BB48=" DNS "),$BW$3+1,BB48))</f>
        <v>0</v>
      </c>
      <c r="DO48" s="61">
        <f>IF(BC48="",0,IF(OR(BC48="DNF",BC48="OCS",BC48="DSQ",BC48="DNS",BC48=" DNS "),$BW$3+1,BC48))</f>
        <v>0</v>
      </c>
      <c r="DP48" s="61">
        <f>IF(BD48="",0,IF(OR(BD48="DNF",BD48="OCS",BD48="DSQ",BD48="DNS",BD48=" DNS "),$BW$3+1,BD48))</f>
        <v>0</v>
      </c>
      <c r="DQ48" s="61">
        <f>IF(BE48="",0,IF(OR(BE48="DNF",BE48="OCS",BE48="DSQ",BE48="DNS",BE48=" DNS "),$BW$3+1,BE48))</f>
        <v>0</v>
      </c>
      <c r="DR48" s="61">
        <f>IF(BF48="",0,IF(OR(BF48="DNF",BF48="OCS",BF48="DSQ",BF48="DNS",BF48=" DNS "),$BW$3+1,BF48))</f>
        <v>0</v>
      </c>
      <c r="DS48" s="61">
        <f>IF(BG48="",0,IF(OR(BG48="DNF",BG48="OCS",BG48="DSQ",BG48="DNS",BG48=" DNS "),$BW$3+1,BG48))</f>
        <v>0</v>
      </c>
      <c r="DT48" s="61">
        <f>IF(BH48="",0,IF(OR(BH48="DNF",BH48="OCS",BH48="DSQ",BH48="DNS",BH48=" DNS "),$BW$3+1,BH48))</f>
        <v>0</v>
      </c>
      <c r="DU48" s="61">
        <f>IF(BI48="",0,IF(OR(BI48="DNF",BI48="OCS",BI48="DSQ",BI48="DNS",BI48=" DNS "),$BW$3+1,BI48))</f>
        <v>0</v>
      </c>
      <c r="DV48" s="61">
        <f>IF(BJ48="",0,IF(OR(BJ48="DNF",BJ48="OCS",BJ48="DSQ",BJ48="DNS",BJ48=" DNS "),$BW$3+1,BJ48))</f>
        <v>0</v>
      </c>
      <c r="DW48" s="61">
        <f>IF(BK48="",0,IF(OR(BK48="DNF",BK48="OCS",BK48="DSQ",BK48="DNS",BK48=" DNS "),$BW$3+1,BK48))</f>
        <v>0</v>
      </c>
      <c r="DX48" s="61">
        <f>IF(BL48="",0,IF(OR(BL48="DNF",BL48="OCS",BL48="DSQ",BL48="DNS",BL48=" DNS "),$BW$3+1,BL48))</f>
        <v>0</v>
      </c>
      <c r="DY48" s="61">
        <f>IF(BM48="",0,IF(OR(BM48="DNF",BM48="OCS",BM48="DSQ",BM48="DNS",BM48=" DNS "),$BW$3+1,BM48))</f>
        <v>0</v>
      </c>
      <c r="DZ48" s="61">
        <f>IF(BN48="",0,IF(OR(BN48="DNF",BN48="OCS",BN48="DSQ",BN48="DNS",BN48=" DNS "),$BW$3+1,BN48))</f>
        <v>0</v>
      </c>
      <c r="EA48" s="61">
        <f>IF(BO48="",0,IF(OR(BO48="DNF",BO48="OCS",BO48="DSQ",BO48="DNS",BO48=" DNS "),$BW$3+1,BO48))</f>
        <v>0</v>
      </c>
      <c r="EB48" s="61">
        <f>IF(BP48="",0,IF(OR(BP48="DNF",BP48="OCS",BP48="DSQ",BP48="DNS",BP48=" DNS "),$BW$3+1,BP48))</f>
        <v>0</v>
      </c>
      <c r="EC48" s="61">
        <f>IF(BQ48="",0,IF(OR(BQ48="DNF",BQ48="OCS",BQ48="DSQ",BQ48="DNS",BQ48=" DNS "),$BW$3+1,BQ48))</f>
        <v>0</v>
      </c>
      <c r="EE48" s="61">
        <f xml:space="preserve">
IF(OR(Deltagarlista!$K$3=3,Deltagarlista!$K$3=4),
IF(Arrangörslista!$U$5&lt;8,0,
IF(Arrangörslista!$U$5&lt;16,SUM(LARGE(BV48:CJ48,1)),
IF(Arrangörslista!$U$5&lt;24,SUM(LARGE(BV48:CR48,{1;2})),
IF(Arrangörslista!$U$5&lt;32,SUM(LARGE(BV48:CZ48,{1;2;3})),
IF(Arrangörslista!$U$5&lt;40,SUM(LARGE(BV48:DH48,{1;2;3;4})),
IF(Arrangörslista!$U$5&lt;48,SUM(LARGE(BV48:DP48,{1;2;3;4;5})),
IF(Arrangörslista!$U$5&lt;56,SUM(LARGE(BV48:DX48,{1;2;3;4;5;6})),
IF(Arrangörslista!$U$5&lt;64,SUM(LARGE(BV48:EC48,{1;2;3;4;5;6;7})),0)))))))),
IF(Deltagarlista!$K$3=2,
IF(Arrangörslista!$U$5&lt;4,LARGE(BV48:BX48,1),
IF(Arrangörslista!$U$5&lt;7,SUM(LARGE(BV48:CA48,{1;2;3})),
IF(Arrangörslista!$U$5&lt;10,SUM(LARGE(BV48:CD48,{1;2;3;4})),
IF(Arrangörslista!$U$5&lt;13,SUM(LARGE(BV48:CG48,{1;2;3;4;5;6})),
IF(Arrangörslista!$U$5&lt;16,SUM(LARGE(BV48:CJ48,{1;2;3;4;5;6;7})),
IF(Arrangörslista!$U$5&lt;19,SUM(LARGE(BV48:CM48,{1;2;3;4;5;6;7;8;9})),
IF(Arrangörslista!$U$5&lt;22,SUM(LARGE(BV48:CP48,{1;2;3;4;5;6;7;8;9;10})),
IF(Arrangörslista!$U$5&lt;25,SUM(LARGE(BV48:CS48,{1;2;3;4;5;6;7;8;9;10;11;12})),
IF(Arrangörslista!$U$5&lt;28,SUM(LARGE(BV48:CV48,{1;2;3;4;5;6;7;8;9;10;11;12;13})),
IF(Arrangörslista!$U$5&lt;31,SUM(LARGE(BV48:CY48,{1;2;3;4;5;6;7;8;9;10;11;12;13;14;15})),
IF(Arrangörslista!$U$5&lt;34,SUM(LARGE(BV48:DB48,{1;2;3;4;5;6;7;8;9;10;11;12;13;14;15;16})),
IF(Arrangörslista!$U$5&lt;37,SUM(LARGE(BV48:DE48,{1;2;3;4;5;6;7;8;9;10;11;12;13;14;15;16;17;18})),
IF(Arrangörslista!$U$5&lt;40,SUM(LARGE(BV48:DH48,{1;2;3;4;5;6;7;8;9;10;11;12;13;14;15;16;17;18;19})),
IF(Arrangörslista!$U$5&lt;43,SUM(LARGE(BV48:DK48,{1;2;3;4;5;6;7;8;9;10;11;12;13;14;15;16;17;18;19;20;21})),
IF(Arrangörslista!$U$5&lt;46,SUM(LARGE(BV48:DN48,{1;2;3;4;5;6;7;8;9;10;11;12;13;14;15;16;17;18;19;20;21;22})),
IF(Arrangörslista!$U$5&lt;49,SUM(LARGE(BV48:DQ48,{1;2;3;4;5;6;7;8;9;10;11;12;13;14;15;16;17;18;19;20;21;22;23;24})),
IF(Arrangörslista!$U$5&lt;52,SUM(LARGE(BV48:DT48,{1;2;3;4;5;6;7;8;9;10;11;12;13;14;15;16;17;18;19;20;21;22;23;24;25})),
IF(Arrangörslista!$U$5&lt;55,SUM(LARGE(BV48:DW48,{1;2;3;4;5;6;7;8;9;10;11;12;13;14;15;16;17;18;19;20;21;22;23;24;25;26;27})),
IF(Arrangörslista!$U$5&lt;58,SUM(LARGE(BV48:DZ48,{1;2;3;4;5;6;7;8;9;10;11;12;13;14;15;16;17;18;19;20;21;22;23;24;25;26;27;28})),
IF(Arrangörslista!$U$5&lt;61,SUM(LARGE(BV48:EC48,{1;2;3;4;5;6;7;8;9;10;11;12;13;14;15;16;17;18;19;20;21;22;23;24;25;26;27;28;29;30})),0)))))))))))))))))))),
IF(Arrangörslista!$U$5&lt;4,0,
IF(Arrangörslista!$U$5&lt;8,SUM(LARGE(BV48:CB48,1)),
IF(Arrangörslista!$U$5&lt;12,SUM(LARGE(BV48:CF48,{1;2})),
IF(Arrangörslista!$U$5&lt;16,SUM(LARGE(BV48:CJ48,{1;2;3})),
IF(Arrangörslista!$U$5&lt;20,SUM(LARGE(BV48:CN48,{1;2;3;4})),
IF(Arrangörslista!$U$5&lt;24,SUM(LARGE(BV48:CR48,{1;2;3;4;5})),
IF(Arrangörslista!$U$5&lt;28,SUM(LARGE(BV48:CV48,{1;2;3;4;5;6})),
IF(Arrangörslista!$U$5&lt;32,SUM(LARGE(BV48:CZ48,{1;2;3;4;5;6;7})),
IF(Arrangörslista!$U$5&lt;36,SUM(LARGE(BV48:DD48,{1;2;3;4;5;6;7;8})),
IF(Arrangörslista!$U$5&lt;40,SUM(LARGE(BV48:DH48,{1;2;3;4;5;6;7;8;9})),
IF(Arrangörslista!$U$5&lt;44,SUM(LARGE(BV48:DL48,{1;2;3;4;5;6;7;8;9;10})),
IF(Arrangörslista!$U$5&lt;48,SUM(LARGE(BV48:DP48,{1;2;3;4;5;6;7;8;9;10;11})),
IF(Arrangörslista!$U$5&lt;52,SUM(LARGE(BV48:DT48,{1;2;3;4;5;6;7;8;9;10;11;12})),
IF(Arrangörslista!$U$5&lt;56,SUM(LARGE(BV48:DX48,{1;2;3;4;5;6;7;8;9;10;11;12;13})),
IF(Arrangörslista!$U$5&lt;60,SUM(LARGE(BV48:EB48,{1;2;3;4;5;6;7;8;9;10;11;12;13;14})),
IF(Arrangörslista!$U$5=60,SUM(LARGE(BV48:EC48,{1;2;3;4;5;6;7;8;9;10;11;12;13;14;15})),0))))))))))))))))))</f>
        <v>0</v>
      </c>
      <c r="EG48" s="67">
        <f>IF(F48="",,1)</f>
        <v>0</v>
      </c>
      <c r="EH48" s="61"/>
      <c r="EI48" s="61"/>
      <c r="EK48" s="62">
        <f>SMALL($J111:$BQ111,1)</f>
        <v>61</v>
      </c>
      <c r="EL48" s="62">
        <f>SMALL($J111:$BQ111,2)</f>
        <v>61</v>
      </c>
      <c r="EM48" s="62">
        <f>SMALL($J111:$BQ111,3)</f>
        <v>61</v>
      </c>
      <c r="EN48" s="62">
        <f>SMALL($J111:$BQ111,4)</f>
        <v>61</v>
      </c>
      <c r="EO48" s="62">
        <f>SMALL($J111:$BQ111,5)</f>
        <v>61</v>
      </c>
      <c r="EP48" s="62">
        <f>SMALL($J111:$BQ111,6)</f>
        <v>61</v>
      </c>
      <c r="EQ48" s="62">
        <f>SMALL($J111:$BQ111,7)</f>
        <v>61</v>
      </c>
      <c r="ER48" s="62">
        <f>SMALL($J111:$BQ111,8)</f>
        <v>61</v>
      </c>
      <c r="ES48" s="62">
        <f>SMALL($J111:$BQ111,9)</f>
        <v>61</v>
      </c>
      <c r="ET48" s="62">
        <f>SMALL($J111:$BQ111,10)</f>
        <v>61</v>
      </c>
      <c r="EU48" s="62">
        <f>SMALL($J111:$BQ111,11)</f>
        <v>61</v>
      </c>
      <c r="EV48" s="62">
        <f>SMALL($J111:$BQ111,12)</f>
        <v>61</v>
      </c>
      <c r="EW48" s="62">
        <f>SMALL($J111:$BQ111,13)</f>
        <v>61</v>
      </c>
      <c r="EX48" s="62">
        <f>SMALL($J111:$BQ111,14)</f>
        <v>61</v>
      </c>
      <c r="EY48" s="62">
        <f>SMALL($J111:$BQ111,15)</f>
        <v>61</v>
      </c>
      <c r="EZ48" s="62">
        <f>SMALL($J111:$BQ111,16)</f>
        <v>61</v>
      </c>
      <c r="FA48" s="62">
        <f>SMALL($J111:$BQ111,17)</f>
        <v>61</v>
      </c>
      <c r="FB48" s="62">
        <f>SMALL($J111:$BQ111,18)</f>
        <v>61</v>
      </c>
      <c r="FC48" s="62">
        <f>SMALL($J111:$BQ111,19)</f>
        <v>61</v>
      </c>
      <c r="FD48" s="62">
        <f>SMALL($J111:$BQ111,20)</f>
        <v>61</v>
      </c>
      <c r="FE48" s="62">
        <f>SMALL($J111:$BQ111,21)</f>
        <v>61</v>
      </c>
      <c r="FF48" s="62">
        <f>SMALL($J111:$BQ111,22)</f>
        <v>61</v>
      </c>
      <c r="FG48" s="62">
        <f>SMALL($J111:$BQ111,23)</f>
        <v>61</v>
      </c>
      <c r="FH48" s="62">
        <f>SMALL($J111:$BQ111,24)</f>
        <v>61</v>
      </c>
      <c r="FI48" s="62">
        <f>SMALL($J111:$BQ111,25)</f>
        <v>61</v>
      </c>
      <c r="FJ48" s="62">
        <f>SMALL($J111:$BQ111,26)</f>
        <v>61</v>
      </c>
      <c r="FK48" s="62">
        <f>SMALL($J111:$BQ111,27)</f>
        <v>61</v>
      </c>
      <c r="FL48" s="62">
        <f>SMALL($J111:$BQ111,28)</f>
        <v>61</v>
      </c>
      <c r="FM48" s="62">
        <f>SMALL($J111:$BQ111,29)</f>
        <v>61</v>
      </c>
      <c r="FN48" s="62">
        <f>SMALL($J111:$BQ111,30)</f>
        <v>61</v>
      </c>
      <c r="FO48" s="62">
        <f>SMALL($J111:$BQ111,31)</f>
        <v>61</v>
      </c>
      <c r="FP48" s="62">
        <f>SMALL($J111:$BQ111,32)</f>
        <v>61</v>
      </c>
      <c r="FQ48" s="62">
        <f>SMALL($J111:$BQ111,33)</f>
        <v>61</v>
      </c>
      <c r="FR48" s="62">
        <f>SMALL($J111:$BQ111,34)</f>
        <v>61</v>
      </c>
      <c r="FS48" s="62">
        <f>SMALL($J111:$BQ111,35)</f>
        <v>61</v>
      </c>
      <c r="FT48" s="62">
        <f>SMALL($J111:$BQ111,36)</f>
        <v>61</v>
      </c>
      <c r="FU48" s="62">
        <f>SMALL($J111:$BQ111,37)</f>
        <v>61</v>
      </c>
      <c r="FV48" s="62">
        <f>SMALL($J111:$BQ111,38)</f>
        <v>61</v>
      </c>
      <c r="FW48" s="62">
        <f>SMALL($J111:$BQ111,39)</f>
        <v>61</v>
      </c>
      <c r="FX48" s="62">
        <f>SMALL($J111:$BQ111,40)</f>
        <v>61</v>
      </c>
      <c r="FY48" s="62">
        <f>SMALL($J111:$BQ111,41)</f>
        <v>61</v>
      </c>
      <c r="FZ48" s="62">
        <f>SMALL($J111:$BQ111,42)</f>
        <v>61</v>
      </c>
      <c r="GA48" s="62">
        <f>SMALL($J111:$BQ111,43)</f>
        <v>61</v>
      </c>
      <c r="GB48" s="62">
        <f>SMALL($J111:$BQ111,44)</f>
        <v>61</v>
      </c>
      <c r="GC48" s="62">
        <f>SMALL($J111:$BQ111,45)</f>
        <v>61</v>
      </c>
      <c r="GD48" s="62">
        <f>SMALL($J111:$BQ111,46)</f>
        <v>61</v>
      </c>
      <c r="GE48" s="62">
        <f>SMALL($J111:$BQ111,47)</f>
        <v>61</v>
      </c>
      <c r="GF48" s="62">
        <f>SMALL($J111:$BQ111,48)</f>
        <v>61</v>
      </c>
      <c r="GG48" s="62">
        <f>SMALL($J111:$BQ111,49)</f>
        <v>61</v>
      </c>
      <c r="GH48" s="62">
        <f>SMALL($J111:$BQ111,50)</f>
        <v>61</v>
      </c>
      <c r="GI48" s="62">
        <f>SMALL($J111:$BQ111,51)</f>
        <v>61</v>
      </c>
      <c r="GJ48" s="62">
        <f>SMALL($J111:$BQ111,52)</f>
        <v>61</v>
      </c>
      <c r="GK48" s="62">
        <f>SMALL($J111:$BQ111,53)</f>
        <v>61</v>
      </c>
      <c r="GL48" s="62">
        <f>SMALL($J111:$BQ111,54)</f>
        <v>61</v>
      </c>
      <c r="GM48" s="62">
        <f>SMALL($J111:$BQ111,55)</f>
        <v>61</v>
      </c>
      <c r="GN48" s="62">
        <f>SMALL($J111:$BQ111,56)</f>
        <v>61</v>
      </c>
      <c r="GO48" s="62">
        <f>SMALL($J111:$BQ111,57)</f>
        <v>61</v>
      </c>
      <c r="GP48" s="62">
        <f>SMALL($J111:$BQ111,58)</f>
        <v>61</v>
      </c>
      <c r="GQ48" s="62">
        <f>SMALL($J111:$BQ111,59)</f>
        <v>61</v>
      </c>
      <c r="GR48" s="62">
        <f>SMALL($J111:$BQ111,60)</f>
        <v>61</v>
      </c>
      <c r="GT48" s="62">
        <f>IF(Deltagarlista!$K$3=2,
IF(GW48="1",
      IF(Arrangörslista!$U$5=1,J111,
IF(Arrangörslista!$U$5=2,K111,
IF(Arrangörslista!$U$5=3,L111,
IF(Arrangörslista!$U$5=4,M111,
IF(Arrangörslista!$U$5=5,N111,
IF(Arrangörslista!$U$5=6,O111,
IF(Arrangörslista!$U$5=7,P111,
IF(Arrangörslista!$U$5=8,Q111,
IF(Arrangörslista!$U$5=9,R111,
IF(Arrangörslista!$U$5=10,S111,
IF(Arrangörslista!$U$5=11,T111,
IF(Arrangörslista!$U$5=12,U111,
IF(Arrangörslista!$U$5=13,V111,
IF(Arrangörslista!$U$5=14,W111,
IF(Arrangörslista!$U$5=15,X111,
IF(Arrangörslista!$U$5=16,Y111,IF(Arrangörslista!$U$5=17,Z111,IF(Arrangörslista!$U$5=18,AA111,IF(Arrangörslista!$U$5=19,AB111,IF(Arrangörslista!$U$5=20,AC111,IF(Arrangörslista!$U$5=21,AD111,IF(Arrangörslista!$U$5=22,AE111,IF(Arrangörslista!$U$5=23,AF111, IF(Arrangörslista!$U$5=24,AG111, IF(Arrangörslista!$U$5=25,AH111, IF(Arrangörslista!$U$5=26,AI111, IF(Arrangörslista!$U$5=27,AJ111, IF(Arrangörslista!$U$5=28,AK111, IF(Arrangörslista!$U$5=29,AL111, IF(Arrangörslista!$U$5=30,AM111, IF(Arrangörslista!$U$5=31,AN111, IF(Arrangörslista!$U$5=32,AO111, IF(Arrangörslista!$U$5=33,AP111, IF(Arrangörslista!$U$5=34,AQ111, IF(Arrangörslista!$U$5=35,AR111, IF(Arrangörslista!$U$5=36,AS111, IF(Arrangörslista!$U$5=37,AT111, IF(Arrangörslista!$U$5=38,AU111, IF(Arrangörslista!$U$5=39,AV111, IF(Arrangörslista!$U$5=40,AW111, IF(Arrangörslista!$U$5=41,AX111, IF(Arrangörslista!$U$5=42,AY111, IF(Arrangörslista!$U$5=43,AZ111, IF(Arrangörslista!$U$5=44,BA111, IF(Arrangörslista!$U$5=45,BB111, IF(Arrangörslista!$U$5=46,BC111, IF(Arrangörslista!$U$5=47,BD111, IF(Arrangörslista!$U$5=48,BE111, IF(Arrangörslista!$U$5=49,BF111, IF(Arrangörslista!$U$5=50,BG111, IF(Arrangörslista!$U$5=51,BH111, IF(Arrangörslista!$U$5=52,BI111, IF(Arrangörslista!$U$5=53,BJ111, IF(Arrangörslista!$U$5=54,BK111, IF(Arrangörslista!$U$5=55,BL111, IF(Arrangörslista!$U$5=56,BM111, IF(Arrangörslista!$U$5=57,BN111, IF(Arrangörslista!$U$5=58,BO111, IF(Arrangörslista!$U$5=59,BP111, IF(Arrangörslista!$U$5=60,BQ111,0))))))))))))))))))))))))))))))))))))))))))))))))))))))))))))),IF(Deltagarlista!$K$3=4, IF(Arrangörslista!$U$5=1,J111,
IF(Arrangörslista!$U$5=2,J111,
IF(Arrangörslista!$U$5=3,K111,
IF(Arrangörslista!$U$5=4,K111,
IF(Arrangörslista!$U$5=5,L111,
IF(Arrangörslista!$U$5=6,L111,
IF(Arrangörslista!$U$5=7,M111,
IF(Arrangörslista!$U$5=8,M111,
IF(Arrangörslista!$U$5=9,N111,
IF(Arrangörslista!$U$5=10,N111,
IF(Arrangörslista!$U$5=11,O111,
IF(Arrangörslista!$U$5=12,O111,
IF(Arrangörslista!$U$5=13,P111,
IF(Arrangörslista!$U$5=14,P111,
IF(Arrangörslista!$U$5=15,Q111,
IF(Arrangörslista!$U$5=16,Q111,
IF(Arrangörslista!$U$5=17,R111,
IF(Arrangörslista!$U$5=18,R111,
IF(Arrangörslista!$U$5=19,S111,
IF(Arrangörslista!$U$5=20,S111,
IF(Arrangörslista!$U$5=21,T111,
IF(Arrangörslista!$U$5=22,T111,IF(Arrangörslista!$U$5=23,U111, IF(Arrangörslista!$U$5=24,U111, IF(Arrangörslista!$U$5=25,V111, IF(Arrangörslista!$U$5=26,V111, IF(Arrangörslista!$U$5=27,W111, IF(Arrangörslista!$U$5=28,W111, IF(Arrangörslista!$U$5=29,X111, IF(Arrangörslista!$U$5=30,X111, IF(Arrangörslista!$U$5=31,X111, IF(Arrangörslista!$U$5=32,Y111, IF(Arrangörslista!$U$5=33,AO111, IF(Arrangörslista!$U$5=34,Y111, IF(Arrangörslista!$U$5=35,Z111, IF(Arrangörslista!$U$5=36,AR111, IF(Arrangörslista!$U$5=37,Z111, IF(Arrangörslista!$U$5=38,AA111, IF(Arrangörslista!$U$5=39,AU111, IF(Arrangörslista!$U$5=40,AA111, IF(Arrangörslista!$U$5=41,AB111, IF(Arrangörslista!$U$5=42,AX111, IF(Arrangörslista!$U$5=43,AB111, IF(Arrangörslista!$U$5=44,AC111, IF(Arrangörslista!$U$5=45,BA111, IF(Arrangörslista!$U$5=46,AC111, IF(Arrangörslista!$U$5=47,AD111, IF(Arrangörslista!$U$5=48,BD111, IF(Arrangörslista!$U$5=49,AD111, IF(Arrangörslista!$U$5=50,AE111, IF(Arrangörslista!$U$5=51,BG111, IF(Arrangörslista!$U$5=52,AE111, IF(Arrangörslista!$U$5=53,AF111, IF(Arrangörslista!$U$5=54,BJ111, IF(Arrangörslista!$U$5=55,AF111, IF(Arrangörslista!$U$5=56,AG111, IF(Arrangörslista!$U$5=57,BM111, IF(Arrangörslista!$U$5=58,AG111, IF(Arrangörslista!$U$5=59,AH111, IF(Arrangörslista!$U$5=60,AH111,0)))))))))))))))))))))))))))))))))))))))))))))))))))))))))))),IF(Arrangörslista!$U$5=1,J111,
IF(Arrangörslista!$U$5=2,K111,
IF(Arrangörslista!$U$5=3,L111,
IF(Arrangörslista!$U$5=4,M111,
IF(Arrangörslista!$U$5=5,N111,
IF(Arrangörslista!$U$5=6,O111,
IF(Arrangörslista!$U$5=7,P111,
IF(Arrangörslista!$U$5=8,Q111,
IF(Arrangörslista!$U$5=9,R111,
IF(Arrangörslista!$U$5=10,S111,
IF(Arrangörslista!$U$5=11,T111,
IF(Arrangörslista!$U$5=12,U111,
IF(Arrangörslista!$U$5=13,V111,
IF(Arrangörslista!$U$5=14,W111,
IF(Arrangörslista!$U$5=15,X111,
IF(Arrangörslista!$U$5=16,Y111,IF(Arrangörslista!$U$5=17,Z111,IF(Arrangörslista!$U$5=18,AA111,IF(Arrangörslista!$U$5=19,AB111,IF(Arrangörslista!$U$5=20,AC111,IF(Arrangörslista!$U$5=21,AD111,IF(Arrangörslista!$U$5=22,AE111,IF(Arrangörslista!$U$5=23,AF111, IF(Arrangörslista!$U$5=24,AG111, IF(Arrangörslista!$U$5=25,AH111, IF(Arrangörslista!$U$5=26,AI111, IF(Arrangörslista!$U$5=27,AJ111, IF(Arrangörslista!$U$5=28,AK111, IF(Arrangörslista!$U$5=29,AL111, IF(Arrangörslista!$U$5=30,AM111, IF(Arrangörslista!$U$5=31,AN111, IF(Arrangörslista!$U$5=32,AO111, IF(Arrangörslista!$U$5=33,AP111, IF(Arrangörslista!$U$5=34,AQ111, IF(Arrangörslista!$U$5=35,AR111, IF(Arrangörslista!$U$5=36,AS111, IF(Arrangörslista!$U$5=37,AT111, IF(Arrangörslista!$U$5=38,AU111, IF(Arrangörslista!$U$5=39,AV111, IF(Arrangörslista!$U$5=40,AW111, IF(Arrangörslista!$U$5=41,AX111, IF(Arrangörslista!$U$5=42,AY111, IF(Arrangörslista!$U$5=43,AZ111, IF(Arrangörslista!$U$5=44,BA111, IF(Arrangörslista!$U$5=45,BB111, IF(Arrangörslista!$U$5=46,BC111, IF(Arrangörslista!$U$5=47,BD111, IF(Arrangörslista!$U$5=48,BE111, IF(Arrangörslista!$U$5=49,BF111, IF(Arrangörslista!$U$5=50,BG111, IF(Arrangörslista!$U$5=51,BH111, IF(Arrangörslista!$U$5=52,BI111, IF(Arrangörslista!$U$5=53,BJ111, IF(Arrangörslista!$U$5=54,BK111, IF(Arrangörslista!$U$5=55,BL111, IF(Arrangörslista!$U$5=56,BM111, IF(Arrangörslista!$U$5=57,BN111, IF(Arrangörslista!$U$5=58,BO111, IF(Arrangörslista!$U$5=59,BP111, IF(Arrangörslista!$U$5=60,BQ111,0))))))))))))))))))))))))))))))))))))))))))))))))))))))))))))
))</f>
        <v>0</v>
      </c>
      <c r="GV48" s="65" t="str">
        <f>IFERROR(IF(VLOOKUP(F48,Deltagarlista!$E$5:$I$64,5,FALSE)="Grön","Gr",IF(VLOOKUP(F48,Deltagarlista!$E$5:$I$64,5,FALSE)="Röd","R",IF(VLOOKUP(F48,Deltagarlista!$E$5:$I$64,5,FALSE)="Blå","B","Gu"))),"")</f>
        <v/>
      </c>
      <c r="GW48" s="62" t="str">
        <f t="shared" si="1"/>
        <v/>
      </c>
    </row>
    <row r="49" spans="1:205" ht="15.75" customHeight="1" x14ac:dyDescent="0.3">
      <c r="A49" s="23"/>
      <c r="B49" s="23" t="str">
        <f>IF($BW$3&gt;45,46,"")</f>
        <v/>
      </c>
      <c r="C49" s="92" t="str">
        <f>IF(ISBLANK(Deltagarlista!C43),"",Deltagarlista!C43)</f>
        <v/>
      </c>
      <c r="D49" s="109" t="str">
        <f>CONCATENATE(IF(AND(Deltagarlista!H43="GM",Deltagarlista!$S$14=TRUE),"GM   ",""), IF(OR(Deltagarlista!$K$3=4,Deltagarlista!$K$3=2),Deltagarlista!I43,""))</f>
        <v/>
      </c>
      <c r="E49" s="8" t="str">
        <f>IF(ISBLANK(Deltagarlista!D43),"",Deltagarlista!D43)</f>
        <v/>
      </c>
      <c r="F49" s="8" t="str">
        <f>IF(ISBLANK(Deltagarlista!E43),"",Deltagarlista!E43)</f>
        <v/>
      </c>
      <c r="G49" s="95" t="str">
        <f>IF(ISBLANK(Deltagarlista!F43),"",Deltagarlista!F43)</f>
        <v/>
      </c>
      <c r="H49" s="72" t="str">
        <f>IF(ISBLANK(Deltagarlista!C43),"",BU49-EE49)</f>
        <v/>
      </c>
      <c r="I49" s="13" t="str">
        <f>IF(ISBLANK(Deltagarlista!C43),"",IF(AND(Deltagarlista!$K$3=2,Deltagarlista!$L$3&lt;37),SUM(SUM(BV49:EC49)-(ROUNDDOWN(Arrangörslista!$U$5/3,1))*($BW$3+1)),SUM(BV49:EC49)))</f>
        <v/>
      </c>
      <c r="J49" s="79" t="str">
        <f>IF(Deltagarlista!$K$3=4,IF(ISBLANK(Deltagarlista!$C43),"",IF(ISBLANK(Arrangörslista!C$8),"",IFERROR(VLOOKUP($F49,Arrangörslista!C$8:$AG$45,16,FALSE),IF(ISBLANK(Deltagarlista!$C43),"",IF(ISBLANK(Arrangörslista!C$8),"",IFERROR(VLOOKUP($F49,Arrangörslista!D$8:$AG$45,16,FALSE),"DNS")))))),IF(Deltagarlista!$K$3=2,
IF(ISBLANK(Deltagarlista!$C43),"",IF(ISBLANK(Arrangörslista!C$8),"",IF($GV49=J$64," DNS ",IFERROR(VLOOKUP($F49,Arrangörslista!C$8:$AG$45,16,FALSE),"DNS")))),IF(ISBLANK(Deltagarlista!$C43),"",IF(ISBLANK(Arrangörslista!C$8),"",IFERROR(VLOOKUP($F49,Arrangörslista!C$8:$AG$45,16,FALSE),"DNS")))))</f>
        <v/>
      </c>
      <c r="K49" s="5" t="str">
        <f>IF(Deltagarlista!$K$3=4,IF(ISBLANK(Deltagarlista!$C43),"",IF(ISBLANK(Arrangörslista!E$8),"",IFERROR(VLOOKUP($F49,Arrangörslista!E$8:$AG$45,16,FALSE),IF(ISBLANK(Deltagarlista!$C43),"",IF(ISBLANK(Arrangörslista!E$8),"",IFERROR(VLOOKUP($F49,Arrangörslista!F$8:$AG$45,16,FALSE),"DNS")))))),IF(Deltagarlista!$K$3=2,
IF(ISBLANK(Deltagarlista!$C43),"",IF(ISBLANK(Arrangörslista!D$8),"",IF($GV49=K$64," DNS ",IFERROR(VLOOKUP($F49,Arrangörslista!D$8:$AG$45,16,FALSE),"DNS")))),IF(ISBLANK(Deltagarlista!$C43),"",IF(ISBLANK(Arrangörslista!D$8),"",IFERROR(VLOOKUP($F49,Arrangörslista!D$8:$AG$45,16,FALSE),"DNS")))))</f>
        <v/>
      </c>
      <c r="L49" s="5" t="str">
        <f>IF(Deltagarlista!$K$3=4,IF(ISBLANK(Deltagarlista!$C43),"",IF(ISBLANK(Arrangörslista!G$8),"",IFERROR(VLOOKUP($F49,Arrangörslista!G$8:$AG$45,16,FALSE),IF(ISBLANK(Deltagarlista!$C43),"",IF(ISBLANK(Arrangörslista!G$8),"",IFERROR(VLOOKUP($F49,Arrangörslista!H$8:$AG$45,16,FALSE),"DNS")))))),IF(Deltagarlista!$K$3=2,
IF(ISBLANK(Deltagarlista!$C43),"",IF(ISBLANK(Arrangörslista!E$8),"",IF($GV49=L$64," DNS ",IFERROR(VLOOKUP($F49,Arrangörslista!E$8:$AG$45,16,FALSE),"DNS")))),IF(ISBLANK(Deltagarlista!$C43),"",IF(ISBLANK(Arrangörslista!E$8),"",IFERROR(VLOOKUP($F49,Arrangörslista!E$8:$AG$45,16,FALSE),"DNS")))))</f>
        <v/>
      </c>
      <c r="M49" s="5" t="str">
        <f>IF(Deltagarlista!$K$3=4,IF(ISBLANK(Deltagarlista!$C43),"",IF(ISBLANK(Arrangörslista!I$8),"",IFERROR(VLOOKUP($F49,Arrangörslista!I$8:$AG$45,16,FALSE),IF(ISBLANK(Deltagarlista!$C43),"",IF(ISBLANK(Arrangörslista!I$8),"",IFERROR(VLOOKUP($F49,Arrangörslista!J$8:$AG$45,16,FALSE),"DNS")))))),IF(Deltagarlista!$K$3=2,
IF(ISBLANK(Deltagarlista!$C43),"",IF(ISBLANK(Arrangörslista!F$8),"",IF($GV49=M$64," DNS ",IFERROR(VLOOKUP($F49,Arrangörslista!F$8:$AG$45,16,FALSE),"DNS")))),IF(ISBLANK(Deltagarlista!$C43),"",IF(ISBLANK(Arrangörslista!F$8),"",IFERROR(VLOOKUP($F49,Arrangörslista!F$8:$AG$45,16,FALSE),"DNS")))))</f>
        <v/>
      </c>
      <c r="N49" s="5" t="str">
        <f>IF(Deltagarlista!$K$3=4,IF(ISBLANK(Deltagarlista!$C43),"",IF(ISBLANK(Arrangörslista!K$8),"",IFERROR(VLOOKUP($F49,Arrangörslista!K$8:$AG$45,16,FALSE),IF(ISBLANK(Deltagarlista!$C43),"",IF(ISBLANK(Arrangörslista!K$8),"",IFERROR(VLOOKUP($F49,Arrangörslista!L$8:$AG$45,16,FALSE),"DNS")))))),IF(Deltagarlista!$K$3=2,
IF(ISBLANK(Deltagarlista!$C43),"",IF(ISBLANK(Arrangörslista!G$8),"",IF($GV49=N$64," DNS ",IFERROR(VLOOKUP($F49,Arrangörslista!G$8:$AG$45,16,FALSE),"DNS")))),IF(ISBLANK(Deltagarlista!$C43),"",IF(ISBLANK(Arrangörslista!G$8),"",IFERROR(VLOOKUP($F49,Arrangörslista!G$8:$AG$45,16,FALSE),"DNS")))))</f>
        <v/>
      </c>
      <c r="O49" s="5" t="str">
        <f>IF(Deltagarlista!$K$3=4,IF(ISBLANK(Deltagarlista!$C43),"",IF(ISBLANK(Arrangörslista!M$8),"",IFERROR(VLOOKUP($F49,Arrangörslista!M$8:$AG$45,16,FALSE),IF(ISBLANK(Deltagarlista!$C43),"",IF(ISBLANK(Arrangörslista!M$8),"",IFERROR(VLOOKUP($F49,Arrangörslista!N$8:$AG$45,16,FALSE),"DNS")))))),IF(Deltagarlista!$K$3=2,
IF(ISBLANK(Deltagarlista!$C43),"",IF(ISBLANK(Arrangörslista!H$8),"",IF($GV49=O$64," DNS ",IFERROR(VLOOKUP($F49,Arrangörslista!H$8:$AG$45,16,FALSE),"DNS")))),IF(ISBLANK(Deltagarlista!$C43),"",IF(ISBLANK(Arrangörslista!H$8),"",IFERROR(VLOOKUP($F49,Arrangörslista!H$8:$AG$45,16,FALSE),"DNS")))))</f>
        <v/>
      </c>
      <c r="P49" s="5" t="str">
        <f>IF(Deltagarlista!$K$3=4,IF(ISBLANK(Deltagarlista!$C43),"",IF(ISBLANK(Arrangörslista!O$8),"",IFERROR(VLOOKUP($F49,Arrangörslista!O$8:$AG$45,16,FALSE),IF(ISBLANK(Deltagarlista!$C43),"",IF(ISBLANK(Arrangörslista!O$8),"",IFERROR(VLOOKUP($F49,Arrangörslista!P$8:$AG$45,16,FALSE),"DNS")))))),IF(Deltagarlista!$K$3=2,
IF(ISBLANK(Deltagarlista!$C43),"",IF(ISBLANK(Arrangörslista!I$8),"",IF($GV49=P$64," DNS ",IFERROR(VLOOKUP($F49,Arrangörslista!I$8:$AG$45,16,FALSE),"DNS")))),IF(ISBLANK(Deltagarlista!$C43),"",IF(ISBLANK(Arrangörslista!I$8),"",IFERROR(VLOOKUP($F49,Arrangörslista!I$8:$AG$45,16,FALSE),"DNS")))))</f>
        <v/>
      </c>
      <c r="Q49" s="5" t="str">
        <f>IF(Deltagarlista!$K$3=4,IF(ISBLANK(Deltagarlista!$C43),"",IF(ISBLANK(Arrangörslista!Q$8),"",IFERROR(VLOOKUP($F49,Arrangörslista!Q$8:$AG$45,16,FALSE),IF(ISBLANK(Deltagarlista!$C43),"",IF(ISBLANK(Arrangörslista!Q$8),"",IFERROR(VLOOKUP($F49,Arrangörslista!C$53:$AG$90,16,FALSE),"DNS")))))),IF(Deltagarlista!$K$3=2,
IF(ISBLANK(Deltagarlista!$C43),"",IF(ISBLANK(Arrangörslista!J$8),"",IF($GV49=Q$64," DNS ",IFERROR(VLOOKUP($F49,Arrangörslista!J$8:$AG$45,16,FALSE),"DNS")))),IF(ISBLANK(Deltagarlista!$C43),"",IF(ISBLANK(Arrangörslista!J$8),"",IFERROR(VLOOKUP($F49,Arrangörslista!J$8:$AG$45,16,FALSE),"DNS")))))</f>
        <v/>
      </c>
      <c r="R49" s="5" t="str">
        <f>IF(Deltagarlista!$K$3=4,IF(ISBLANK(Deltagarlista!$C43),"",IF(ISBLANK(Arrangörslista!D$53),"",IFERROR(VLOOKUP($F49,Arrangörslista!D$53:$AG$90,16,FALSE),IF(ISBLANK(Deltagarlista!$C43),"",IF(ISBLANK(Arrangörslista!D$53),"",IFERROR(VLOOKUP($F49,Arrangörslista!E$53:$AG$90,16,FALSE),"DNS")))))),IF(Deltagarlista!$K$3=2,
IF(ISBLANK(Deltagarlista!$C43),"",IF(ISBLANK(Arrangörslista!K$8),"",IF($GV49=R$64," DNS ",IFERROR(VLOOKUP($F49,Arrangörslista!K$8:$AG$45,16,FALSE),"DNS")))),IF(ISBLANK(Deltagarlista!$C43),"",IF(ISBLANK(Arrangörslista!K$8),"",IFERROR(VLOOKUP($F49,Arrangörslista!K$8:$AG$45,16,FALSE),"DNS")))))</f>
        <v/>
      </c>
      <c r="S49" s="5" t="str">
        <f>IF(Deltagarlista!$K$3=4,IF(ISBLANK(Deltagarlista!$C43),"",IF(ISBLANK(Arrangörslista!F$53),"",IFERROR(VLOOKUP($F49,Arrangörslista!F$53:$AG$90,16,FALSE),IF(ISBLANK(Deltagarlista!$C43),"",IF(ISBLANK(Arrangörslista!F$53),"",IFERROR(VLOOKUP($F49,Arrangörslista!G$53:$AG$90,16,FALSE),"DNS")))))),IF(Deltagarlista!$K$3=2,
IF(ISBLANK(Deltagarlista!$C43),"",IF(ISBLANK(Arrangörslista!L$8),"",IF($GV49=S$64," DNS ",IFERROR(VLOOKUP($F49,Arrangörslista!L$8:$AG$45,16,FALSE),"DNS")))),IF(ISBLANK(Deltagarlista!$C43),"",IF(ISBLANK(Arrangörslista!L$8),"",IFERROR(VLOOKUP($F49,Arrangörslista!L$8:$AG$45,16,FALSE),"DNS")))))</f>
        <v/>
      </c>
      <c r="T49" s="5" t="str">
        <f>IF(Deltagarlista!$K$3=4,IF(ISBLANK(Deltagarlista!$C43),"",IF(ISBLANK(Arrangörslista!H$53),"",IFERROR(VLOOKUP($F49,Arrangörslista!H$53:$AG$90,16,FALSE),IF(ISBLANK(Deltagarlista!$C43),"",IF(ISBLANK(Arrangörslista!H$53),"",IFERROR(VLOOKUP($F49,Arrangörslista!I$53:$AG$90,16,FALSE),"DNS")))))),IF(Deltagarlista!$K$3=2,
IF(ISBLANK(Deltagarlista!$C43),"",IF(ISBLANK(Arrangörslista!M$8),"",IF($GV49=T$64," DNS ",IFERROR(VLOOKUP($F49,Arrangörslista!M$8:$AG$45,16,FALSE),"DNS")))),IF(ISBLANK(Deltagarlista!$C43),"",IF(ISBLANK(Arrangörslista!M$8),"",IFERROR(VLOOKUP($F49,Arrangörslista!M$8:$AG$45,16,FALSE),"DNS")))))</f>
        <v/>
      </c>
      <c r="U49" s="5" t="str">
        <f>IF(Deltagarlista!$K$3=4,IF(ISBLANK(Deltagarlista!$C43),"",IF(ISBLANK(Arrangörslista!J$53),"",IFERROR(VLOOKUP($F49,Arrangörslista!J$53:$AG$90,16,FALSE),IF(ISBLANK(Deltagarlista!$C43),"",IF(ISBLANK(Arrangörslista!J$53),"",IFERROR(VLOOKUP($F49,Arrangörslista!K$53:$AG$90,16,FALSE),"DNS")))))),IF(Deltagarlista!$K$3=2,
IF(ISBLANK(Deltagarlista!$C43),"",IF(ISBLANK(Arrangörslista!N$8),"",IF($GV49=U$64," DNS ",IFERROR(VLOOKUP($F49,Arrangörslista!N$8:$AG$45,16,FALSE),"DNS")))),IF(ISBLANK(Deltagarlista!$C43),"",IF(ISBLANK(Arrangörslista!N$8),"",IFERROR(VLOOKUP($F49,Arrangörslista!N$8:$AG$45,16,FALSE),"DNS")))))</f>
        <v/>
      </c>
      <c r="V49" s="5" t="str">
        <f>IF(Deltagarlista!$K$3=4,IF(ISBLANK(Deltagarlista!$C43),"",IF(ISBLANK(Arrangörslista!L$53),"",IFERROR(VLOOKUP($F49,Arrangörslista!L$53:$AG$90,16,FALSE),IF(ISBLANK(Deltagarlista!$C43),"",IF(ISBLANK(Arrangörslista!L$53),"",IFERROR(VLOOKUP($F49,Arrangörslista!M$53:$AG$90,16,FALSE),"DNS")))))),IF(Deltagarlista!$K$3=2,
IF(ISBLANK(Deltagarlista!$C43),"",IF(ISBLANK(Arrangörslista!O$8),"",IF($GV49=V$64," DNS ",IFERROR(VLOOKUP($F49,Arrangörslista!O$8:$AG$45,16,FALSE),"DNS")))),IF(ISBLANK(Deltagarlista!$C43),"",IF(ISBLANK(Arrangörslista!O$8),"",IFERROR(VLOOKUP($F49,Arrangörslista!O$8:$AG$45,16,FALSE),"DNS")))))</f>
        <v/>
      </c>
      <c r="W49" s="5" t="str">
        <f>IF(Deltagarlista!$K$3=4,IF(ISBLANK(Deltagarlista!$C43),"",IF(ISBLANK(Arrangörslista!N$53),"",IFERROR(VLOOKUP($F49,Arrangörslista!N$53:$AG$90,16,FALSE),IF(ISBLANK(Deltagarlista!$C43),"",IF(ISBLANK(Arrangörslista!N$53),"",IFERROR(VLOOKUP($F49,Arrangörslista!O$53:$AG$90,16,FALSE),"DNS")))))),IF(Deltagarlista!$K$3=2,
IF(ISBLANK(Deltagarlista!$C43),"",IF(ISBLANK(Arrangörslista!P$8),"",IF($GV49=W$64," DNS ",IFERROR(VLOOKUP($F49,Arrangörslista!P$8:$AG$45,16,FALSE),"DNS")))),IF(ISBLANK(Deltagarlista!$C43),"",IF(ISBLANK(Arrangörslista!P$8),"",IFERROR(VLOOKUP($F49,Arrangörslista!P$8:$AG$45,16,FALSE),"DNS")))))</f>
        <v/>
      </c>
      <c r="X49" s="5" t="str">
        <f>IF(Deltagarlista!$K$3=4,IF(ISBLANK(Deltagarlista!$C43),"",IF(ISBLANK(Arrangörslista!P$53),"",IFERROR(VLOOKUP($F49,Arrangörslista!P$53:$AG$90,16,FALSE),IF(ISBLANK(Deltagarlista!$C43),"",IF(ISBLANK(Arrangörslista!P$53),"",IFERROR(VLOOKUP($F49,Arrangörslista!Q$53:$AG$90,16,FALSE),"DNS")))))),IF(Deltagarlista!$K$3=2,
IF(ISBLANK(Deltagarlista!$C43),"",IF(ISBLANK(Arrangörslista!Q$8),"",IF($GV49=X$64," DNS ",IFERROR(VLOOKUP($F49,Arrangörslista!Q$8:$AG$45,16,FALSE),"DNS")))),IF(ISBLANK(Deltagarlista!$C43),"",IF(ISBLANK(Arrangörslista!Q$8),"",IFERROR(VLOOKUP($F49,Arrangörslista!Q$8:$AG$45,16,FALSE),"DNS")))))</f>
        <v/>
      </c>
      <c r="Y49" s="5" t="str">
        <f>IF(Deltagarlista!$K$3=4,IF(ISBLANK(Deltagarlista!$C43),"",IF(ISBLANK(Arrangörslista!C$98),"",IFERROR(VLOOKUP($F49,Arrangörslista!C$98:$AG$135,16,FALSE),IF(ISBLANK(Deltagarlista!$C43),"",IF(ISBLANK(Arrangörslista!C$98),"",IFERROR(VLOOKUP($F49,Arrangörslista!D$98:$AG$135,16,FALSE),"DNS")))))),IF(Deltagarlista!$K$3=2,
IF(ISBLANK(Deltagarlista!$C43),"",IF(ISBLANK(Arrangörslista!C$53),"",IF($GV49=Y$64," DNS ",IFERROR(VLOOKUP($F49,Arrangörslista!C$53:$AG$90,16,FALSE),"DNS")))),IF(ISBLANK(Deltagarlista!$C43),"",IF(ISBLANK(Arrangörslista!C$53),"",IFERROR(VLOOKUP($F49,Arrangörslista!C$53:$AG$90,16,FALSE),"DNS")))))</f>
        <v/>
      </c>
      <c r="Z49" s="5" t="str">
        <f>IF(Deltagarlista!$K$3=4,IF(ISBLANK(Deltagarlista!$C43),"",IF(ISBLANK(Arrangörslista!E$98),"",IFERROR(VLOOKUP($F49,Arrangörslista!E$98:$AG$135,16,FALSE),IF(ISBLANK(Deltagarlista!$C43),"",IF(ISBLANK(Arrangörslista!E$98),"",IFERROR(VLOOKUP($F49,Arrangörslista!F$98:$AG$135,16,FALSE),"DNS")))))),IF(Deltagarlista!$K$3=2,
IF(ISBLANK(Deltagarlista!$C43),"",IF(ISBLANK(Arrangörslista!D$53),"",IF($GV49=Z$64," DNS ",IFERROR(VLOOKUP($F49,Arrangörslista!D$53:$AG$90,16,FALSE),"DNS")))),IF(ISBLANK(Deltagarlista!$C43),"",IF(ISBLANK(Arrangörslista!D$53),"",IFERROR(VLOOKUP($F49,Arrangörslista!D$53:$AG$90,16,FALSE),"DNS")))))</f>
        <v/>
      </c>
      <c r="AA49" s="5" t="str">
        <f>IF(Deltagarlista!$K$3=4,IF(ISBLANK(Deltagarlista!$C43),"",IF(ISBLANK(Arrangörslista!G$98),"",IFERROR(VLOOKUP($F49,Arrangörslista!G$98:$AG$135,16,FALSE),IF(ISBLANK(Deltagarlista!$C43),"",IF(ISBLANK(Arrangörslista!G$98),"",IFERROR(VLOOKUP($F49,Arrangörslista!H$98:$AG$135,16,FALSE),"DNS")))))),IF(Deltagarlista!$K$3=2,
IF(ISBLANK(Deltagarlista!$C43),"",IF(ISBLANK(Arrangörslista!E$53),"",IF($GV49=AA$64," DNS ",IFERROR(VLOOKUP($F49,Arrangörslista!E$53:$AG$90,16,FALSE),"DNS")))),IF(ISBLANK(Deltagarlista!$C43),"",IF(ISBLANK(Arrangörslista!E$53),"",IFERROR(VLOOKUP($F49,Arrangörslista!E$53:$AG$90,16,FALSE),"DNS")))))</f>
        <v/>
      </c>
      <c r="AB49" s="5" t="str">
        <f>IF(Deltagarlista!$K$3=4,IF(ISBLANK(Deltagarlista!$C43),"",IF(ISBLANK(Arrangörslista!I$98),"",IFERROR(VLOOKUP($F49,Arrangörslista!I$98:$AG$135,16,FALSE),IF(ISBLANK(Deltagarlista!$C43),"",IF(ISBLANK(Arrangörslista!I$98),"",IFERROR(VLOOKUP($F49,Arrangörslista!J$98:$AG$135,16,FALSE),"DNS")))))),IF(Deltagarlista!$K$3=2,
IF(ISBLANK(Deltagarlista!$C43),"",IF(ISBLANK(Arrangörslista!F$53),"",IF($GV49=AB$64," DNS ",IFERROR(VLOOKUP($F49,Arrangörslista!F$53:$AG$90,16,FALSE),"DNS")))),IF(ISBLANK(Deltagarlista!$C43),"",IF(ISBLANK(Arrangörslista!F$53),"",IFERROR(VLOOKUP($F49,Arrangörslista!F$53:$AG$90,16,FALSE),"DNS")))))</f>
        <v/>
      </c>
      <c r="AC49" s="5" t="str">
        <f>IF(Deltagarlista!$K$3=4,IF(ISBLANK(Deltagarlista!$C43),"",IF(ISBLANK(Arrangörslista!K$98),"",IFERROR(VLOOKUP($F49,Arrangörslista!K$98:$AG$135,16,FALSE),IF(ISBLANK(Deltagarlista!$C43),"",IF(ISBLANK(Arrangörslista!K$98),"",IFERROR(VLOOKUP($F49,Arrangörslista!L$98:$AG$135,16,FALSE),"DNS")))))),IF(Deltagarlista!$K$3=2,
IF(ISBLANK(Deltagarlista!$C43),"",IF(ISBLANK(Arrangörslista!G$53),"",IF($GV49=AC$64," DNS ",IFERROR(VLOOKUP($F49,Arrangörslista!G$53:$AG$90,16,FALSE),"DNS")))),IF(ISBLANK(Deltagarlista!$C43),"",IF(ISBLANK(Arrangörslista!G$53),"",IFERROR(VLOOKUP($F49,Arrangörslista!G$53:$AG$90,16,FALSE),"DNS")))))</f>
        <v/>
      </c>
      <c r="AD49" s="5" t="str">
        <f>IF(Deltagarlista!$K$3=4,IF(ISBLANK(Deltagarlista!$C43),"",IF(ISBLANK(Arrangörslista!M$98),"",IFERROR(VLOOKUP($F49,Arrangörslista!M$98:$AG$135,16,FALSE),IF(ISBLANK(Deltagarlista!$C43),"",IF(ISBLANK(Arrangörslista!M$98),"",IFERROR(VLOOKUP($F49,Arrangörslista!N$98:$AG$135,16,FALSE),"DNS")))))),IF(Deltagarlista!$K$3=2,
IF(ISBLANK(Deltagarlista!$C43),"",IF(ISBLANK(Arrangörslista!H$53),"",IF($GV49=AD$64," DNS ",IFERROR(VLOOKUP($F49,Arrangörslista!H$53:$AG$90,16,FALSE),"DNS")))),IF(ISBLANK(Deltagarlista!$C43),"",IF(ISBLANK(Arrangörslista!H$53),"",IFERROR(VLOOKUP($F49,Arrangörslista!H$53:$AG$90,16,FALSE),"DNS")))))</f>
        <v/>
      </c>
      <c r="AE49" s="5" t="str">
        <f>IF(Deltagarlista!$K$3=4,IF(ISBLANK(Deltagarlista!$C43),"",IF(ISBLANK(Arrangörslista!O$98),"",IFERROR(VLOOKUP($F49,Arrangörslista!O$98:$AG$135,16,FALSE),IF(ISBLANK(Deltagarlista!$C43),"",IF(ISBLANK(Arrangörslista!O$98),"",IFERROR(VLOOKUP($F49,Arrangörslista!P$98:$AG$135,16,FALSE),"DNS")))))),IF(Deltagarlista!$K$3=2,
IF(ISBLANK(Deltagarlista!$C43),"",IF(ISBLANK(Arrangörslista!I$53),"",IF($GV49=AE$64," DNS ",IFERROR(VLOOKUP($F49,Arrangörslista!I$53:$AG$90,16,FALSE),"DNS")))),IF(ISBLANK(Deltagarlista!$C43),"",IF(ISBLANK(Arrangörslista!I$53),"",IFERROR(VLOOKUP($F49,Arrangörslista!I$53:$AG$90,16,FALSE),"DNS")))))</f>
        <v/>
      </c>
      <c r="AF49" s="5" t="str">
        <f>IF(Deltagarlista!$K$3=4,IF(ISBLANK(Deltagarlista!$C43),"",IF(ISBLANK(Arrangörslista!Q$98),"",IFERROR(VLOOKUP($F49,Arrangörslista!Q$98:$AG$135,16,FALSE),IF(ISBLANK(Deltagarlista!$C43),"",IF(ISBLANK(Arrangörslista!Q$98),"",IFERROR(VLOOKUP($F49,Arrangörslista!C$143:$AG$180,16,FALSE),"DNS")))))),IF(Deltagarlista!$K$3=2,
IF(ISBLANK(Deltagarlista!$C43),"",IF(ISBLANK(Arrangörslista!J$53),"",IF($GV49=AF$64," DNS ",IFERROR(VLOOKUP($F49,Arrangörslista!J$53:$AG$90,16,FALSE),"DNS")))),IF(ISBLANK(Deltagarlista!$C43),"",IF(ISBLANK(Arrangörslista!J$53),"",IFERROR(VLOOKUP($F49,Arrangörslista!J$53:$AG$90,16,FALSE),"DNS")))))</f>
        <v/>
      </c>
      <c r="AG49" s="5" t="str">
        <f>IF(Deltagarlista!$K$3=4,IF(ISBLANK(Deltagarlista!$C43),"",IF(ISBLANK(Arrangörslista!D$143),"",IFERROR(VLOOKUP($F49,Arrangörslista!D$143:$AG$180,16,FALSE),IF(ISBLANK(Deltagarlista!$C43),"",IF(ISBLANK(Arrangörslista!D$143),"",IFERROR(VLOOKUP($F49,Arrangörslista!E$143:$AG$180,16,FALSE),"DNS")))))),IF(Deltagarlista!$K$3=2,
IF(ISBLANK(Deltagarlista!$C43),"",IF(ISBLANK(Arrangörslista!K$53),"",IF($GV49=AG$64," DNS ",IFERROR(VLOOKUP($F49,Arrangörslista!K$53:$AG$90,16,FALSE),"DNS")))),IF(ISBLANK(Deltagarlista!$C43),"",IF(ISBLANK(Arrangörslista!K$53),"",IFERROR(VLOOKUP($F49,Arrangörslista!K$53:$AG$90,16,FALSE),"DNS")))))</f>
        <v/>
      </c>
      <c r="AH49" s="5" t="str">
        <f>IF(Deltagarlista!$K$3=4,IF(ISBLANK(Deltagarlista!$C43),"",IF(ISBLANK(Arrangörslista!F$143),"",IFERROR(VLOOKUP($F49,Arrangörslista!F$143:$AG$180,16,FALSE),IF(ISBLANK(Deltagarlista!$C43),"",IF(ISBLANK(Arrangörslista!F$143),"",IFERROR(VLOOKUP($F49,Arrangörslista!G$143:$AG$180,16,FALSE),"DNS")))))),IF(Deltagarlista!$K$3=2,
IF(ISBLANK(Deltagarlista!$C43),"",IF(ISBLANK(Arrangörslista!L$53),"",IF($GV49=AH$64," DNS ",IFERROR(VLOOKUP($F49,Arrangörslista!L$53:$AG$90,16,FALSE),"DNS")))),IF(ISBLANK(Deltagarlista!$C43),"",IF(ISBLANK(Arrangörslista!L$53),"",IFERROR(VLOOKUP($F49,Arrangörslista!L$53:$AG$90,16,FALSE),"DNS")))))</f>
        <v/>
      </c>
      <c r="AI49" s="5" t="str">
        <f>IF(Deltagarlista!$K$3=4,IF(ISBLANK(Deltagarlista!$C43),"",IF(ISBLANK(Arrangörslista!H$143),"",IFERROR(VLOOKUP($F49,Arrangörslista!H$143:$AG$180,16,FALSE),IF(ISBLANK(Deltagarlista!$C43),"",IF(ISBLANK(Arrangörslista!H$143),"",IFERROR(VLOOKUP($F49,Arrangörslista!I$143:$AG$180,16,FALSE),"DNS")))))),IF(Deltagarlista!$K$3=2,
IF(ISBLANK(Deltagarlista!$C43),"",IF(ISBLANK(Arrangörslista!M$53),"",IF($GV49=AI$64," DNS ",IFERROR(VLOOKUP($F49,Arrangörslista!M$53:$AG$90,16,FALSE),"DNS")))),IF(ISBLANK(Deltagarlista!$C43),"",IF(ISBLANK(Arrangörslista!M$53),"",IFERROR(VLOOKUP($F49,Arrangörslista!M$53:$AG$90,16,FALSE),"DNS")))))</f>
        <v/>
      </c>
      <c r="AJ49" s="5" t="str">
        <f>IF(Deltagarlista!$K$3=4,IF(ISBLANK(Deltagarlista!$C43),"",IF(ISBLANK(Arrangörslista!J$143),"",IFERROR(VLOOKUP($F49,Arrangörslista!J$143:$AG$180,16,FALSE),IF(ISBLANK(Deltagarlista!$C43),"",IF(ISBLANK(Arrangörslista!J$143),"",IFERROR(VLOOKUP($F49,Arrangörslista!K$143:$AG$180,16,FALSE),"DNS")))))),IF(Deltagarlista!$K$3=2,
IF(ISBLANK(Deltagarlista!$C43),"",IF(ISBLANK(Arrangörslista!N$53),"",IF($GV49=AJ$64," DNS ",IFERROR(VLOOKUP($F49,Arrangörslista!N$53:$AG$90,16,FALSE),"DNS")))),IF(ISBLANK(Deltagarlista!$C43),"",IF(ISBLANK(Arrangörslista!N$53),"",IFERROR(VLOOKUP($F49,Arrangörslista!N$53:$AG$90,16,FALSE),"DNS")))))</f>
        <v/>
      </c>
      <c r="AK49" s="5" t="str">
        <f>IF(Deltagarlista!$K$3=4,IF(ISBLANK(Deltagarlista!$C43),"",IF(ISBLANK(Arrangörslista!L$143),"",IFERROR(VLOOKUP($F49,Arrangörslista!L$143:$AG$180,16,FALSE),IF(ISBLANK(Deltagarlista!$C43),"",IF(ISBLANK(Arrangörslista!L$143),"",IFERROR(VLOOKUP($F49,Arrangörslista!M$143:$AG$180,16,FALSE),"DNS")))))),IF(Deltagarlista!$K$3=2,
IF(ISBLANK(Deltagarlista!$C43),"",IF(ISBLANK(Arrangörslista!O$53),"",IF($GV49=AK$64," DNS ",IFERROR(VLOOKUP($F49,Arrangörslista!O$53:$AG$90,16,FALSE),"DNS")))),IF(ISBLANK(Deltagarlista!$C43),"",IF(ISBLANK(Arrangörslista!O$53),"",IFERROR(VLOOKUP($F49,Arrangörslista!O$53:$AG$90,16,FALSE),"DNS")))))</f>
        <v/>
      </c>
      <c r="AL49" s="5" t="str">
        <f>IF(Deltagarlista!$K$3=4,IF(ISBLANK(Deltagarlista!$C43),"",IF(ISBLANK(Arrangörslista!N$143),"",IFERROR(VLOOKUP($F49,Arrangörslista!N$143:$AG$180,16,FALSE),IF(ISBLANK(Deltagarlista!$C43),"",IF(ISBLANK(Arrangörslista!N$143),"",IFERROR(VLOOKUP($F49,Arrangörslista!O$143:$AG$180,16,FALSE),"DNS")))))),IF(Deltagarlista!$K$3=2,
IF(ISBLANK(Deltagarlista!$C43),"",IF(ISBLANK(Arrangörslista!P$53),"",IF($GV49=AL$64," DNS ",IFERROR(VLOOKUP($F49,Arrangörslista!P$53:$AG$90,16,FALSE),"DNS")))),IF(ISBLANK(Deltagarlista!$C43),"",IF(ISBLANK(Arrangörslista!P$53),"",IFERROR(VLOOKUP($F49,Arrangörslista!P$53:$AG$90,16,FALSE),"DNS")))))</f>
        <v/>
      </c>
      <c r="AM49" s="5" t="str">
        <f>IF(Deltagarlista!$K$3=4,IF(ISBLANK(Deltagarlista!$C43),"",IF(ISBLANK(Arrangörslista!P$143),"",IFERROR(VLOOKUP($F49,Arrangörslista!P$143:$AG$180,16,FALSE),IF(ISBLANK(Deltagarlista!$C43),"",IF(ISBLANK(Arrangörslista!P$143),"",IFERROR(VLOOKUP($F49,Arrangörslista!Q$143:$AG$180,16,FALSE),"DNS")))))),IF(Deltagarlista!$K$3=2,
IF(ISBLANK(Deltagarlista!$C43),"",IF(ISBLANK(Arrangörslista!Q$53),"",IF($GV49=AM$64," DNS ",IFERROR(VLOOKUP($F49,Arrangörslista!Q$53:$AG$90,16,FALSE),"DNS")))),IF(ISBLANK(Deltagarlista!$C43),"",IF(ISBLANK(Arrangörslista!Q$53),"",IFERROR(VLOOKUP($F49,Arrangörslista!Q$53:$AG$90,16,FALSE),"DNS")))))</f>
        <v/>
      </c>
      <c r="AN49" s="5" t="str">
        <f>IF(Deltagarlista!$K$3=2,
IF(ISBLANK(Deltagarlista!$C43),"",IF(ISBLANK(Arrangörslista!C$98),"",IF($GV49=AN$64," DNS ",IFERROR(VLOOKUP($F49,Arrangörslista!C$98:$AG$135,16,FALSE), "DNS")))), IF(Deltagarlista!$K$3=1,IF(ISBLANK(Deltagarlista!$C43),"",IF(ISBLANK(Arrangörslista!C$98),"",IFERROR(VLOOKUP($F49,Arrangörslista!C$98:$AG$135,16,FALSE), "DNS"))),""))</f>
        <v/>
      </c>
      <c r="AO49" s="5" t="str">
        <f>IF(Deltagarlista!$K$3=2,
IF(ISBLANK(Deltagarlista!$C43),"",IF(ISBLANK(Arrangörslista!D$98),"",IF($GV49=AO$64," DNS ",IFERROR(VLOOKUP($F49,Arrangörslista!D$98:$AG$135,16,FALSE), "DNS")))), IF(Deltagarlista!$K$3=1,IF(ISBLANK(Deltagarlista!$C43),"",IF(ISBLANK(Arrangörslista!D$98),"",IFERROR(VLOOKUP($F49,Arrangörslista!D$98:$AG$135,16,FALSE), "DNS"))),""))</f>
        <v/>
      </c>
      <c r="AP49" s="5" t="str">
        <f>IF(Deltagarlista!$K$3=2,
IF(ISBLANK(Deltagarlista!$C43),"",IF(ISBLANK(Arrangörslista!E$98),"",IF($GV49=AP$64," DNS ",IFERROR(VLOOKUP($F49,Arrangörslista!E$98:$AG$135,16,FALSE), "DNS")))), IF(Deltagarlista!$K$3=1,IF(ISBLANK(Deltagarlista!$C43),"",IF(ISBLANK(Arrangörslista!E$98),"",IFERROR(VLOOKUP($F49,Arrangörslista!E$98:$AG$135,16,FALSE), "DNS"))),""))</f>
        <v/>
      </c>
      <c r="AQ49" s="5" t="str">
        <f>IF(Deltagarlista!$K$3=2,
IF(ISBLANK(Deltagarlista!$C43),"",IF(ISBLANK(Arrangörslista!F$98),"",IF($GV49=AQ$64," DNS ",IFERROR(VLOOKUP($F49,Arrangörslista!F$98:$AG$135,16,FALSE), "DNS")))), IF(Deltagarlista!$K$3=1,IF(ISBLANK(Deltagarlista!$C43),"",IF(ISBLANK(Arrangörslista!F$98),"",IFERROR(VLOOKUP($F49,Arrangörslista!F$98:$AG$135,16,FALSE), "DNS"))),""))</f>
        <v/>
      </c>
      <c r="AR49" s="5" t="str">
        <f>IF(Deltagarlista!$K$3=2,
IF(ISBLANK(Deltagarlista!$C43),"",IF(ISBLANK(Arrangörslista!G$98),"",IF($GV49=AR$64," DNS ",IFERROR(VLOOKUP($F49,Arrangörslista!G$98:$AG$135,16,FALSE), "DNS")))), IF(Deltagarlista!$K$3=1,IF(ISBLANK(Deltagarlista!$C43),"",IF(ISBLANK(Arrangörslista!G$98),"",IFERROR(VLOOKUP($F49,Arrangörslista!G$98:$AG$135,16,FALSE), "DNS"))),""))</f>
        <v/>
      </c>
      <c r="AS49" s="5" t="str">
        <f>IF(Deltagarlista!$K$3=2,
IF(ISBLANK(Deltagarlista!$C43),"",IF(ISBLANK(Arrangörslista!H$98),"",IF($GV49=AS$64," DNS ",IFERROR(VLOOKUP($F49,Arrangörslista!H$98:$AG$135,16,FALSE), "DNS")))), IF(Deltagarlista!$K$3=1,IF(ISBLANK(Deltagarlista!$C43),"",IF(ISBLANK(Arrangörslista!H$98),"",IFERROR(VLOOKUP($F49,Arrangörslista!H$98:$AG$135,16,FALSE), "DNS"))),""))</f>
        <v/>
      </c>
      <c r="AT49" s="5" t="str">
        <f>IF(Deltagarlista!$K$3=2,
IF(ISBLANK(Deltagarlista!$C43),"",IF(ISBLANK(Arrangörslista!I$98),"",IF($GV49=AT$64," DNS ",IFERROR(VLOOKUP($F49,Arrangörslista!I$98:$AG$135,16,FALSE), "DNS")))), IF(Deltagarlista!$K$3=1,IF(ISBLANK(Deltagarlista!$C43),"",IF(ISBLANK(Arrangörslista!I$98),"",IFERROR(VLOOKUP($F49,Arrangörslista!I$98:$AG$135,16,FALSE), "DNS"))),""))</f>
        <v/>
      </c>
      <c r="AU49" s="5" t="str">
        <f>IF(Deltagarlista!$K$3=2,
IF(ISBLANK(Deltagarlista!$C43),"",IF(ISBLANK(Arrangörslista!J$98),"",IF($GV49=AU$64," DNS ",IFERROR(VLOOKUP($F49,Arrangörslista!J$98:$AG$135,16,FALSE), "DNS")))), IF(Deltagarlista!$K$3=1,IF(ISBLANK(Deltagarlista!$C43),"",IF(ISBLANK(Arrangörslista!J$98),"",IFERROR(VLOOKUP($F49,Arrangörslista!J$98:$AG$135,16,FALSE), "DNS"))),""))</f>
        <v/>
      </c>
      <c r="AV49" s="5" t="str">
        <f>IF(Deltagarlista!$K$3=2,
IF(ISBLANK(Deltagarlista!$C43),"",IF(ISBLANK(Arrangörslista!K$98),"",IF($GV49=AV$64," DNS ",IFERROR(VLOOKUP($F49,Arrangörslista!K$98:$AG$135,16,FALSE), "DNS")))), IF(Deltagarlista!$K$3=1,IF(ISBLANK(Deltagarlista!$C43),"",IF(ISBLANK(Arrangörslista!K$98),"",IFERROR(VLOOKUP($F49,Arrangörslista!K$98:$AG$135,16,FALSE), "DNS"))),""))</f>
        <v/>
      </c>
      <c r="AW49" s="5" t="str">
        <f>IF(Deltagarlista!$K$3=2,
IF(ISBLANK(Deltagarlista!$C43),"",IF(ISBLANK(Arrangörslista!L$98),"",IF($GV49=AW$64," DNS ",IFERROR(VLOOKUP($F49,Arrangörslista!L$98:$AG$135,16,FALSE), "DNS")))), IF(Deltagarlista!$K$3=1,IF(ISBLANK(Deltagarlista!$C43),"",IF(ISBLANK(Arrangörslista!L$98),"",IFERROR(VLOOKUP($F49,Arrangörslista!L$98:$AG$135,16,FALSE), "DNS"))),""))</f>
        <v/>
      </c>
      <c r="AX49" s="5" t="str">
        <f>IF(Deltagarlista!$K$3=2,
IF(ISBLANK(Deltagarlista!$C43),"",IF(ISBLANK(Arrangörslista!M$98),"",IF($GV49=AX$64," DNS ",IFERROR(VLOOKUP($F49,Arrangörslista!M$98:$AG$135,16,FALSE), "DNS")))), IF(Deltagarlista!$K$3=1,IF(ISBLANK(Deltagarlista!$C43),"",IF(ISBLANK(Arrangörslista!M$98),"",IFERROR(VLOOKUP($F49,Arrangörslista!M$98:$AG$135,16,FALSE), "DNS"))),""))</f>
        <v/>
      </c>
      <c r="AY49" s="5" t="str">
        <f>IF(Deltagarlista!$K$3=2,
IF(ISBLANK(Deltagarlista!$C43),"",IF(ISBLANK(Arrangörslista!N$98),"",IF($GV49=AY$64," DNS ",IFERROR(VLOOKUP($F49,Arrangörslista!N$98:$AG$135,16,FALSE), "DNS")))), IF(Deltagarlista!$K$3=1,IF(ISBLANK(Deltagarlista!$C43),"",IF(ISBLANK(Arrangörslista!N$98),"",IFERROR(VLOOKUP($F49,Arrangörslista!N$98:$AG$135,16,FALSE), "DNS"))),""))</f>
        <v/>
      </c>
      <c r="AZ49" s="5" t="str">
        <f>IF(Deltagarlista!$K$3=2,
IF(ISBLANK(Deltagarlista!$C43),"",IF(ISBLANK(Arrangörslista!O$98),"",IF($GV49=AZ$64," DNS ",IFERROR(VLOOKUP($F49,Arrangörslista!O$98:$AG$135,16,FALSE), "DNS")))), IF(Deltagarlista!$K$3=1,IF(ISBLANK(Deltagarlista!$C43),"",IF(ISBLANK(Arrangörslista!O$98),"",IFERROR(VLOOKUP($F49,Arrangörslista!O$98:$AG$135,16,FALSE), "DNS"))),""))</f>
        <v/>
      </c>
      <c r="BA49" s="5" t="str">
        <f>IF(Deltagarlista!$K$3=2,
IF(ISBLANK(Deltagarlista!$C43),"",IF(ISBLANK(Arrangörslista!P$98),"",IF($GV49=BA$64," DNS ",IFERROR(VLOOKUP($F49,Arrangörslista!P$98:$AG$135,16,FALSE), "DNS")))), IF(Deltagarlista!$K$3=1,IF(ISBLANK(Deltagarlista!$C43),"",IF(ISBLANK(Arrangörslista!P$98),"",IFERROR(VLOOKUP($F49,Arrangörslista!P$98:$AG$135,16,FALSE), "DNS"))),""))</f>
        <v/>
      </c>
      <c r="BB49" s="5" t="str">
        <f>IF(Deltagarlista!$K$3=2,
IF(ISBLANK(Deltagarlista!$C43),"",IF(ISBLANK(Arrangörslista!Q$98),"",IF($GV49=BB$64," DNS ",IFERROR(VLOOKUP($F49,Arrangörslista!Q$98:$AG$135,16,FALSE), "DNS")))), IF(Deltagarlista!$K$3=1,IF(ISBLANK(Deltagarlista!$C43),"",IF(ISBLANK(Arrangörslista!Q$98),"",IFERROR(VLOOKUP($F49,Arrangörslista!Q$98:$AG$135,16,FALSE), "DNS"))),""))</f>
        <v/>
      </c>
      <c r="BC49" s="5" t="str">
        <f>IF(Deltagarlista!$K$3=2,
IF(ISBLANK(Deltagarlista!$C43),"",IF(ISBLANK(Arrangörslista!C$143),"",IF($GV49=BC$64," DNS ",IFERROR(VLOOKUP($F49,Arrangörslista!C$143:$AG$180,16,FALSE), "DNS")))), IF(Deltagarlista!$K$3=1,IF(ISBLANK(Deltagarlista!$C43),"",IF(ISBLANK(Arrangörslista!C$143),"",IFERROR(VLOOKUP($F49,Arrangörslista!C$143:$AG$180,16,FALSE), "DNS"))),""))</f>
        <v/>
      </c>
      <c r="BD49" s="5" t="str">
        <f>IF(Deltagarlista!$K$3=2,
IF(ISBLANK(Deltagarlista!$C43),"",IF(ISBLANK(Arrangörslista!D$143),"",IF($GV49=BD$64," DNS ",IFERROR(VLOOKUP($F49,Arrangörslista!D$143:$AG$180,16,FALSE), "DNS")))), IF(Deltagarlista!$K$3=1,IF(ISBLANK(Deltagarlista!$C43),"",IF(ISBLANK(Arrangörslista!D$143),"",IFERROR(VLOOKUP($F49,Arrangörslista!D$143:$AG$180,16,FALSE), "DNS"))),""))</f>
        <v/>
      </c>
      <c r="BE49" s="5" t="str">
        <f>IF(Deltagarlista!$K$3=2,
IF(ISBLANK(Deltagarlista!$C43),"",IF(ISBLANK(Arrangörslista!E$143),"",IF($GV49=BE$64," DNS ",IFERROR(VLOOKUP($F49,Arrangörslista!E$143:$AG$180,16,FALSE), "DNS")))), IF(Deltagarlista!$K$3=1,IF(ISBLANK(Deltagarlista!$C43),"",IF(ISBLANK(Arrangörslista!E$143),"",IFERROR(VLOOKUP($F49,Arrangörslista!E$143:$AG$180,16,FALSE), "DNS"))),""))</f>
        <v/>
      </c>
      <c r="BF49" s="5" t="str">
        <f>IF(Deltagarlista!$K$3=2,
IF(ISBLANK(Deltagarlista!$C43),"",IF(ISBLANK(Arrangörslista!F$143),"",IF($GV49=BF$64," DNS ",IFERROR(VLOOKUP($F49,Arrangörslista!F$143:$AG$180,16,FALSE), "DNS")))), IF(Deltagarlista!$K$3=1,IF(ISBLANK(Deltagarlista!$C43),"",IF(ISBLANK(Arrangörslista!F$143),"",IFERROR(VLOOKUP($F49,Arrangörslista!F$143:$AG$180,16,FALSE), "DNS"))),""))</f>
        <v/>
      </c>
      <c r="BG49" s="5" t="str">
        <f>IF(Deltagarlista!$K$3=2,
IF(ISBLANK(Deltagarlista!$C43),"",IF(ISBLANK(Arrangörslista!G$143),"",IF($GV49=BG$64," DNS ",IFERROR(VLOOKUP($F49,Arrangörslista!G$143:$AG$180,16,FALSE), "DNS")))), IF(Deltagarlista!$K$3=1,IF(ISBLANK(Deltagarlista!$C43),"",IF(ISBLANK(Arrangörslista!G$143),"",IFERROR(VLOOKUP($F49,Arrangörslista!G$143:$AG$180,16,FALSE), "DNS"))),""))</f>
        <v/>
      </c>
      <c r="BH49" s="5" t="str">
        <f>IF(Deltagarlista!$K$3=2,
IF(ISBLANK(Deltagarlista!$C43),"",IF(ISBLANK(Arrangörslista!H$143),"",IF($GV49=BH$64," DNS ",IFERROR(VLOOKUP($F49,Arrangörslista!H$143:$AG$180,16,FALSE), "DNS")))), IF(Deltagarlista!$K$3=1,IF(ISBLANK(Deltagarlista!$C43),"",IF(ISBLANK(Arrangörslista!H$143),"",IFERROR(VLOOKUP($F49,Arrangörslista!H$143:$AG$180,16,FALSE), "DNS"))),""))</f>
        <v/>
      </c>
      <c r="BI49" s="5" t="str">
        <f>IF(Deltagarlista!$K$3=2,
IF(ISBLANK(Deltagarlista!$C43),"",IF(ISBLANK(Arrangörslista!I$143),"",IF($GV49=BI$64," DNS ",IFERROR(VLOOKUP($F49,Arrangörslista!I$143:$AG$180,16,FALSE), "DNS")))), IF(Deltagarlista!$K$3=1,IF(ISBLANK(Deltagarlista!$C43),"",IF(ISBLANK(Arrangörslista!I$143),"",IFERROR(VLOOKUP($F49,Arrangörslista!I$143:$AG$180,16,FALSE), "DNS"))),""))</f>
        <v/>
      </c>
      <c r="BJ49" s="5" t="str">
        <f>IF(Deltagarlista!$K$3=2,
IF(ISBLANK(Deltagarlista!$C43),"",IF(ISBLANK(Arrangörslista!J$143),"",IF($GV49=BJ$64," DNS ",IFERROR(VLOOKUP($F49,Arrangörslista!J$143:$AG$180,16,FALSE), "DNS")))), IF(Deltagarlista!$K$3=1,IF(ISBLANK(Deltagarlista!$C43),"",IF(ISBLANK(Arrangörslista!J$143),"",IFERROR(VLOOKUP($F49,Arrangörslista!J$143:$AG$180,16,FALSE), "DNS"))),""))</f>
        <v/>
      </c>
      <c r="BK49" s="5" t="str">
        <f>IF(Deltagarlista!$K$3=2,
IF(ISBLANK(Deltagarlista!$C43),"",IF(ISBLANK(Arrangörslista!K$143),"",IF($GV49=BK$64," DNS ",IFERROR(VLOOKUP($F49,Arrangörslista!K$143:$AG$180,16,FALSE), "DNS")))), IF(Deltagarlista!$K$3=1,IF(ISBLANK(Deltagarlista!$C43),"",IF(ISBLANK(Arrangörslista!K$143),"",IFERROR(VLOOKUP($F49,Arrangörslista!K$143:$AG$180,16,FALSE), "DNS"))),""))</f>
        <v/>
      </c>
      <c r="BL49" s="5" t="str">
        <f>IF(Deltagarlista!$K$3=2,
IF(ISBLANK(Deltagarlista!$C43),"",IF(ISBLANK(Arrangörslista!L$143),"",IF($GV49=BL$64," DNS ",IFERROR(VLOOKUP($F49,Arrangörslista!L$143:$AG$180,16,FALSE), "DNS")))), IF(Deltagarlista!$K$3=1,IF(ISBLANK(Deltagarlista!$C43),"",IF(ISBLANK(Arrangörslista!L$143),"",IFERROR(VLOOKUP($F49,Arrangörslista!L$143:$AG$180,16,FALSE), "DNS"))),""))</f>
        <v/>
      </c>
      <c r="BM49" s="5" t="str">
        <f>IF(Deltagarlista!$K$3=2,
IF(ISBLANK(Deltagarlista!$C43),"",IF(ISBLANK(Arrangörslista!M$143),"",IF($GV49=BM$64," DNS ",IFERROR(VLOOKUP($F49,Arrangörslista!M$143:$AG$180,16,FALSE), "DNS")))), IF(Deltagarlista!$K$3=1,IF(ISBLANK(Deltagarlista!$C43),"",IF(ISBLANK(Arrangörslista!M$143),"",IFERROR(VLOOKUP($F49,Arrangörslista!M$143:$AG$180,16,FALSE), "DNS"))),""))</f>
        <v/>
      </c>
      <c r="BN49" s="5" t="str">
        <f>IF(Deltagarlista!$K$3=2,
IF(ISBLANK(Deltagarlista!$C43),"",IF(ISBLANK(Arrangörslista!N$143),"",IF($GV49=BN$64," DNS ",IFERROR(VLOOKUP($F49,Arrangörslista!N$143:$AG$180,16,FALSE), "DNS")))), IF(Deltagarlista!$K$3=1,IF(ISBLANK(Deltagarlista!$C43),"",IF(ISBLANK(Arrangörslista!N$143),"",IFERROR(VLOOKUP($F49,Arrangörslista!N$143:$AG$180,16,FALSE), "DNS"))),""))</f>
        <v/>
      </c>
      <c r="BO49" s="5" t="str">
        <f>IF(Deltagarlista!$K$3=2,
IF(ISBLANK(Deltagarlista!$C43),"",IF(ISBLANK(Arrangörslista!O$143),"",IF($GV49=BO$64," DNS ",IFERROR(VLOOKUP($F49,Arrangörslista!O$143:$AG$180,16,FALSE), "DNS")))), IF(Deltagarlista!$K$3=1,IF(ISBLANK(Deltagarlista!$C43),"",IF(ISBLANK(Arrangörslista!O$143),"",IFERROR(VLOOKUP($F49,Arrangörslista!O$143:$AG$180,16,FALSE), "DNS"))),""))</f>
        <v/>
      </c>
      <c r="BP49" s="5" t="str">
        <f>IF(Deltagarlista!$K$3=2,
IF(ISBLANK(Deltagarlista!$C43),"",IF(ISBLANK(Arrangörslista!P$143),"",IF($GV49=BP$64," DNS ",IFERROR(VLOOKUP($F49,Arrangörslista!P$143:$AG$180,16,FALSE), "DNS")))), IF(Deltagarlista!$K$3=1,IF(ISBLANK(Deltagarlista!$C43),"",IF(ISBLANK(Arrangörslista!P$143),"",IFERROR(VLOOKUP($F49,Arrangörslista!P$143:$AG$180,16,FALSE), "DNS"))),""))</f>
        <v/>
      </c>
      <c r="BQ49" s="80" t="str">
        <f>IF(Deltagarlista!$K$3=2,
IF(ISBLANK(Deltagarlista!$C43),"",IF(ISBLANK(Arrangörslista!Q$143),"",IF($GV49=BQ$64," DNS ",IFERROR(VLOOKUP($F49,Arrangörslista!Q$143:$AG$180,16,FALSE), "DNS")))), IF(Deltagarlista!$K$3=1,IF(ISBLANK(Deltagarlista!$C43),"",IF(ISBLANK(Arrangörslista!Q$143),"",IFERROR(VLOOKUP($F49,Arrangörslista!Q$143:$AG$180,16,FALSE), "DNS"))),""))</f>
        <v/>
      </c>
      <c r="BR49" s="51"/>
      <c r="BS49" s="51"/>
      <c r="BT49" s="51"/>
      <c r="BU49" s="71">
        <f>SUM(BV49:EC49)</f>
        <v>0</v>
      </c>
      <c r="BV49" s="61">
        <f>IF(J49="",0,IF(OR(J49="DNF",J49="OCS",J49="DSQ",J49="DNS",J49=" DNS "),$BW$3+1,J49))</f>
        <v>0</v>
      </c>
      <c r="BW49" s="61">
        <f>IF(K49="",0,IF(OR(K49="DNF",K49="OCS",K49="DSQ",K49="DNS",K49=" DNS "),$BW$3+1,K49))</f>
        <v>0</v>
      </c>
      <c r="BX49" s="61">
        <f>IF(L49="",0,IF(OR(L49="DNF",L49="OCS",L49="DSQ",L49="DNS",L49=" DNS "),$BW$3+1,L49))</f>
        <v>0</v>
      </c>
      <c r="BY49" s="61">
        <f>IF(M49="",0,IF(OR(M49="DNF",M49="OCS",M49="DSQ",M49="DNS",M49=" DNS "),$BW$3+1,M49))</f>
        <v>0</v>
      </c>
      <c r="BZ49" s="61">
        <f>IF(N49="",0,IF(OR(N49="DNF",N49="OCS",N49="DSQ",N49="DNS",N49=" DNS "),$BW$3+1,N49))</f>
        <v>0</v>
      </c>
      <c r="CA49" s="61">
        <f>IF(O49="",0,IF(OR(O49="DNF",O49="OCS",O49="DSQ",O49="DNS",O49=" DNS "),$BW$3+1,O49))</f>
        <v>0</v>
      </c>
      <c r="CB49" s="61">
        <f>IF(P49="",0,IF(OR(P49="DNF",P49="OCS",P49="DSQ",P49="DNS",P49=" DNS "),$BW$3+1,P49))</f>
        <v>0</v>
      </c>
      <c r="CC49" s="61">
        <f>IF(Q49="",0,IF(OR(Q49="DNF",Q49="OCS",Q49="DSQ",Q49="DNS",Q49=" DNS "),$BW$3+1,Q49))</f>
        <v>0</v>
      </c>
      <c r="CD49" s="61">
        <f>IF(R49="",0,IF(OR(R49="DNF",R49="OCS",R49="DSQ",R49="DNS",R49=" DNS "),$BW$3+1,R49))</f>
        <v>0</v>
      </c>
      <c r="CE49" s="61">
        <f>IF(S49="",0,IF(OR(S49="DNF",S49="OCS",S49="DSQ",S49="DNS",S49=" DNS "),$BW$3+1,S49))</f>
        <v>0</v>
      </c>
      <c r="CF49" s="61">
        <f>IF(T49="",0,IF(OR(T49="DNF",T49="OCS",T49="DSQ",T49="DNS",T49=" DNS "),$BW$3+1,T49))</f>
        <v>0</v>
      </c>
      <c r="CG49" s="61">
        <f>IF(U49="",0,IF(OR(U49="DNF",U49="OCS",U49="DSQ",U49="DNS",U49=" DNS "),$BW$3+1,U49))</f>
        <v>0</v>
      </c>
      <c r="CH49" s="61">
        <f>IF(V49="",0,IF(OR(V49="DNF",V49="OCS",V49="DSQ",V49="DNS",V49=" DNS "),$BW$3+1,V49))</f>
        <v>0</v>
      </c>
      <c r="CI49" s="61">
        <f>IF(W49="",0,IF(OR(W49="DNF",W49="OCS",W49="DSQ",W49="DNS",W49=" DNS "),$BW$3+1,W49))</f>
        <v>0</v>
      </c>
      <c r="CJ49" s="61">
        <f>IF(X49="",0,IF(OR(X49="DNF",X49="OCS",X49="DSQ",X49="DNS",X49=" DNS "),$BW$3+1,X49))</f>
        <v>0</v>
      </c>
      <c r="CK49" s="61">
        <f>IF(Y49="",0,IF(OR(Y49="DNF",Y49="OCS",Y49="DSQ",Y49="DNS",Y49=" DNS "),$BW$3+1,Y49))</f>
        <v>0</v>
      </c>
      <c r="CL49" s="61">
        <f>IF(Z49="",0,IF(OR(Z49="DNF",Z49="OCS",Z49="DSQ",Z49="DNS",Z49=" DNS "),$BW$3+1,Z49))</f>
        <v>0</v>
      </c>
      <c r="CM49" s="61">
        <f>IF(AA49="",0,IF(OR(AA49="DNF",AA49="OCS",AA49="DSQ",AA49="DNS",AA49=" DNS "),$BW$3+1,AA49))</f>
        <v>0</v>
      </c>
      <c r="CN49" s="61">
        <f>IF(AB49="",0,IF(OR(AB49="DNF",AB49="OCS",AB49="DSQ",AB49="DNS",AB49=" DNS "),$BW$3+1,AB49))</f>
        <v>0</v>
      </c>
      <c r="CO49" s="61">
        <f>IF(AC49="",0,IF(OR(AC49="DNF",AC49="OCS",AC49="DSQ",AC49="DNS",AC49=" DNS "),$BW$3+1,AC49))</f>
        <v>0</v>
      </c>
      <c r="CP49" s="61">
        <f>IF(AD49="",0,IF(OR(AD49="DNF",AD49="OCS",AD49="DSQ",AD49="DNS",AD49=" DNS "),$BW$3+1,AD49))</f>
        <v>0</v>
      </c>
      <c r="CQ49" s="61">
        <f>IF(AE49="",0,IF(OR(AE49="DNF",AE49="OCS",AE49="DSQ",AE49="DNS",AE49=" DNS "),$BW$3+1,AE49))</f>
        <v>0</v>
      </c>
      <c r="CR49" s="61">
        <f>IF(AF49="",0,IF(OR(AF49="DNF",AF49="OCS",AF49="DSQ",AF49="DNS",AF49=" DNS "),$BW$3+1,AF49))</f>
        <v>0</v>
      </c>
      <c r="CS49" s="61">
        <f>IF(AG49="",0,IF(OR(AG49="DNF",AG49="OCS",AG49="DSQ",AG49="DNS",AG49=" DNS "),$BW$3+1,AG49))</f>
        <v>0</v>
      </c>
      <c r="CT49" s="61">
        <f>IF(AH49="",0,IF(OR(AH49="DNF",AH49="OCS",AH49="DSQ",AH49="DNS",AH49=" DNS "),$BW$3+1,AH49))</f>
        <v>0</v>
      </c>
      <c r="CU49" s="61">
        <f>IF(AI49="",0,IF(OR(AI49="DNF",AI49="OCS",AI49="DSQ",AI49="DNS",AI49=" DNS "),$BW$3+1,AI49))</f>
        <v>0</v>
      </c>
      <c r="CV49" s="61">
        <f>IF(AJ49="",0,IF(OR(AJ49="DNF",AJ49="OCS",AJ49="DSQ",AJ49="DNS",AJ49=" DNS "),$BW$3+1,AJ49))</f>
        <v>0</v>
      </c>
      <c r="CW49" s="61">
        <f>IF(AK49="",0,IF(OR(AK49="DNF",AK49="OCS",AK49="DSQ",AK49="DNS",AK49=" DNS "),$BW$3+1,AK49))</f>
        <v>0</v>
      </c>
      <c r="CX49" s="61">
        <f>IF(AL49="",0,IF(OR(AL49="DNF",AL49="OCS",AL49="DSQ",AL49="DNS",AL49=" DNS "),$BW$3+1,AL49))</f>
        <v>0</v>
      </c>
      <c r="CY49" s="61">
        <f>IF(AM49="",0,IF(OR(AM49="DNF",AM49="OCS",AM49="DSQ",AM49="DNS",AM49=" DNS "),$BW$3+1,AM49))</f>
        <v>0</v>
      </c>
      <c r="CZ49" s="61">
        <f>IF(AN49="",0,IF(OR(AN49="DNF",AN49="OCS",AN49="DSQ",AN49="DNS",AN49=" DNS "),$BW$3+1,AN49))</f>
        <v>0</v>
      </c>
      <c r="DA49" s="61">
        <f>IF(AO49="",0,IF(OR(AO49="DNF",AO49="OCS",AO49="DSQ",AO49="DNS",AO49=" DNS "),$BW$3+1,AO49))</f>
        <v>0</v>
      </c>
      <c r="DB49" s="61">
        <f>IF(AP49="",0,IF(OR(AP49="DNF",AP49="OCS",AP49="DSQ",AP49="DNS",AP49=" DNS "),$BW$3+1,AP49))</f>
        <v>0</v>
      </c>
      <c r="DC49" s="61">
        <f>IF(AQ49="",0,IF(OR(AQ49="DNF",AQ49="OCS",AQ49="DSQ",AQ49="DNS",AQ49=" DNS "),$BW$3+1,AQ49))</f>
        <v>0</v>
      </c>
      <c r="DD49" s="61">
        <f>IF(AR49="",0,IF(OR(AR49="DNF",AR49="OCS",AR49="DSQ",AR49="DNS",AR49=" DNS "),$BW$3+1,AR49))</f>
        <v>0</v>
      </c>
      <c r="DE49" s="61">
        <f>IF(AS49="",0,IF(OR(AS49="DNF",AS49="OCS",AS49="DSQ",AS49="DNS",AS49=" DNS "),$BW$3+1,AS49))</f>
        <v>0</v>
      </c>
      <c r="DF49" s="61">
        <f>IF(AT49="",0,IF(OR(AT49="DNF",AT49="OCS",AT49="DSQ",AT49="DNS",AT49=" DNS "),$BW$3+1,AT49))</f>
        <v>0</v>
      </c>
      <c r="DG49" s="61">
        <f>IF(AU49="",0,IF(OR(AU49="DNF",AU49="OCS",AU49="DSQ",AU49="DNS",AU49=" DNS "),$BW$3+1,AU49))</f>
        <v>0</v>
      </c>
      <c r="DH49" s="61">
        <f>IF(AV49="",0,IF(OR(AV49="DNF",AV49="OCS",AV49="DSQ",AV49="DNS",AV49=" DNS "),$BW$3+1,AV49))</f>
        <v>0</v>
      </c>
      <c r="DI49" s="61">
        <f>IF(AW49="",0,IF(OR(AW49="DNF",AW49="OCS",AW49="DSQ",AW49="DNS",AW49=" DNS "),$BW$3+1,AW49))</f>
        <v>0</v>
      </c>
      <c r="DJ49" s="61">
        <f>IF(AX49="",0,IF(OR(AX49="DNF",AX49="OCS",AX49="DSQ",AX49="DNS",AX49=" DNS "),$BW$3+1,AX49))</f>
        <v>0</v>
      </c>
      <c r="DK49" s="61">
        <f>IF(AY49="",0,IF(OR(AY49="DNF",AY49="OCS",AY49="DSQ",AY49="DNS",AY49=" DNS "),$BW$3+1,AY49))</f>
        <v>0</v>
      </c>
      <c r="DL49" s="61">
        <f>IF(AZ49="",0,IF(OR(AZ49="DNF",AZ49="OCS",AZ49="DSQ",AZ49="DNS",AZ49=" DNS "),$BW$3+1,AZ49))</f>
        <v>0</v>
      </c>
      <c r="DM49" s="61">
        <f>IF(BA49="",0,IF(OR(BA49="DNF",BA49="OCS",BA49="DSQ",BA49="DNS",BA49=" DNS "),$BW$3+1,BA49))</f>
        <v>0</v>
      </c>
      <c r="DN49" s="61">
        <f>IF(BB49="",0,IF(OR(BB49="DNF",BB49="OCS",BB49="DSQ",BB49="DNS",BB49=" DNS "),$BW$3+1,BB49))</f>
        <v>0</v>
      </c>
      <c r="DO49" s="61">
        <f>IF(BC49="",0,IF(OR(BC49="DNF",BC49="OCS",BC49="DSQ",BC49="DNS",BC49=" DNS "),$BW$3+1,BC49))</f>
        <v>0</v>
      </c>
      <c r="DP49" s="61">
        <f>IF(BD49="",0,IF(OR(BD49="DNF",BD49="OCS",BD49="DSQ",BD49="DNS",BD49=" DNS "),$BW$3+1,BD49))</f>
        <v>0</v>
      </c>
      <c r="DQ49" s="61">
        <f>IF(BE49="",0,IF(OR(BE49="DNF",BE49="OCS",BE49="DSQ",BE49="DNS",BE49=" DNS "),$BW$3+1,BE49))</f>
        <v>0</v>
      </c>
      <c r="DR49" s="61">
        <f>IF(BF49="",0,IF(OR(BF49="DNF",BF49="OCS",BF49="DSQ",BF49="DNS",BF49=" DNS "),$BW$3+1,BF49))</f>
        <v>0</v>
      </c>
      <c r="DS49" s="61">
        <f>IF(BG49="",0,IF(OR(BG49="DNF",BG49="OCS",BG49="DSQ",BG49="DNS",BG49=" DNS "),$BW$3+1,BG49))</f>
        <v>0</v>
      </c>
      <c r="DT49" s="61">
        <f>IF(BH49="",0,IF(OR(BH49="DNF",BH49="OCS",BH49="DSQ",BH49="DNS",BH49=" DNS "),$BW$3+1,BH49))</f>
        <v>0</v>
      </c>
      <c r="DU49" s="61">
        <f>IF(BI49="",0,IF(OR(BI49="DNF",BI49="OCS",BI49="DSQ",BI49="DNS",BI49=" DNS "),$BW$3+1,BI49))</f>
        <v>0</v>
      </c>
      <c r="DV49" s="61">
        <f>IF(BJ49="",0,IF(OR(BJ49="DNF",BJ49="OCS",BJ49="DSQ",BJ49="DNS",BJ49=" DNS "),$BW$3+1,BJ49))</f>
        <v>0</v>
      </c>
      <c r="DW49" s="61">
        <f>IF(BK49="",0,IF(OR(BK49="DNF",BK49="OCS",BK49="DSQ",BK49="DNS",BK49=" DNS "),$BW$3+1,BK49))</f>
        <v>0</v>
      </c>
      <c r="DX49" s="61">
        <f>IF(BL49="",0,IF(OR(BL49="DNF",BL49="OCS",BL49="DSQ",BL49="DNS",BL49=" DNS "),$BW$3+1,BL49))</f>
        <v>0</v>
      </c>
      <c r="DY49" s="61">
        <f>IF(BM49="",0,IF(OR(BM49="DNF",BM49="OCS",BM49="DSQ",BM49="DNS",BM49=" DNS "),$BW$3+1,BM49))</f>
        <v>0</v>
      </c>
      <c r="DZ49" s="61">
        <f>IF(BN49="",0,IF(OR(BN49="DNF",BN49="OCS",BN49="DSQ",BN49="DNS",BN49=" DNS "),$BW$3+1,BN49))</f>
        <v>0</v>
      </c>
      <c r="EA49" s="61">
        <f>IF(BO49="",0,IF(OR(BO49="DNF",BO49="OCS",BO49="DSQ",BO49="DNS",BO49=" DNS "),$BW$3+1,BO49))</f>
        <v>0</v>
      </c>
      <c r="EB49" s="61">
        <f>IF(BP49="",0,IF(OR(BP49="DNF",BP49="OCS",BP49="DSQ",BP49="DNS",BP49=" DNS "),$BW$3+1,BP49))</f>
        <v>0</v>
      </c>
      <c r="EC49" s="61">
        <f>IF(BQ49="",0,IF(OR(BQ49="DNF",BQ49="OCS",BQ49="DSQ",BQ49="DNS",BQ49=" DNS "),$BW$3+1,BQ49))</f>
        <v>0</v>
      </c>
      <c r="EE49" s="61">
        <f xml:space="preserve">
IF(OR(Deltagarlista!$K$3=3,Deltagarlista!$K$3=4),
IF(Arrangörslista!$U$5&lt;8,0,
IF(Arrangörslista!$U$5&lt;16,SUM(LARGE(BV49:CJ49,1)),
IF(Arrangörslista!$U$5&lt;24,SUM(LARGE(BV49:CR49,{1;2})),
IF(Arrangörslista!$U$5&lt;32,SUM(LARGE(BV49:CZ49,{1;2;3})),
IF(Arrangörslista!$U$5&lt;40,SUM(LARGE(BV49:DH49,{1;2;3;4})),
IF(Arrangörslista!$U$5&lt;48,SUM(LARGE(BV49:DP49,{1;2;3;4;5})),
IF(Arrangörslista!$U$5&lt;56,SUM(LARGE(BV49:DX49,{1;2;3;4;5;6})),
IF(Arrangörslista!$U$5&lt;64,SUM(LARGE(BV49:EC49,{1;2;3;4;5;6;7})),0)))))))),
IF(Deltagarlista!$K$3=2,
IF(Arrangörslista!$U$5&lt;4,LARGE(BV49:BX49,1),
IF(Arrangörslista!$U$5&lt;7,SUM(LARGE(BV49:CA49,{1;2;3})),
IF(Arrangörslista!$U$5&lt;10,SUM(LARGE(BV49:CD49,{1;2;3;4})),
IF(Arrangörslista!$U$5&lt;13,SUM(LARGE(BV49:CG49,{1;2;3;4;5;6})),
IF(Arrangörslista!$U$5&lt;16,SUM(LARGE(BV49:CJ49,{1;2;3;4;5;6;7})),
IF(Arrangörslista!$U$5&lt;19,SUM(LARGE(BV49:CM49,{1;2;3;4;5;6;7;8;9})),
IF(Arrangörslista!$U$5&lt;22,SUM(LARGE(BV49:CP49,{1;2;3;4;5;6;7;8;9;10})),
IF(Arrangörslista!$U$5&lt;25,SUM(LARGE(BV49:CS49,{1;2;3;4;5;6;7;8;9;10;11;12})),
IF(Arrangörslista!$U$5&lt;28,SUM(LARGE(BV49:CV49,{1;2;3;4;5;6;7;8;9;10;11;12;13})),
IF(Arrangörslista!$U$5&lt;31,SUM(LARGE(BV49:CY49,{1;2;3;4;5;6;7;8;9;10;11;12;13;14;15})),
IF(Arrangörslista!$U$5&lt;34,SUM(LARGE(BV49:DB49,{1;2;3;4;5;6;7;8;9;10;11;12;13;14;15;16})),
IF(Arrangörslista!$U$5&lt;37,SUM(LARGE(BV49:DE49,{1;2;3;4;5;6;7;8;9;10;11;12;13;14;15;16;17;18})),
IF(Arrangörslista!$U$5&lt;40,SUM(LARGE(BV49:DH49,{1;2;3;4;5;6;7;8;9;10;11;12;13;14;15;16;17;18;19})),
IF(Arrangörslista!$U$5&lt;43,SUM(LARGE(BV49:DK49,{1;2;3;4;5;6;7;8;9;10;11;12;13;14;15;16;17;18;19;20;21})),
IF(Arrangörslista!$U$5&lt;46,SUM(LARGE(BV49:DN49,{1;2;3;4;5;6;7;8;9;10;11;12;13;14;15;16;17;18;19;20;21;22})),
IF(Arrangörslista!$U$5&lt;49,SUM(LARGE(BV49:DQ49,{1;2;3;4;5;6;7;8;9;10;11;12;13;14;15;16;17;18;19;20;21;22;23;24})),
IF(Arrangörslista!$U$5&lt;52,SUM(LARGE(BV49:DT49,{1;2;3;4;5;6;7;8;9;10;11;12;13;14;15;16;17;18;19;20;21;22;23;24;25})),
IF(Arrangörslista!$U$5&lt;55,SUM(LARGE(BV49:DW49,{1;2;3;4;5;6;7;8;9;10;11;12;13;14;15;16;17;18;19;20;21;22;23;24;25;26;27})),
IF(Arrangörslista!$U$5&lt;58,SUM(LARGE(BV49:DZ49,{1;2;3;4;5;6;7;8;9;10;11;12;13;14;15;16;17;18;19;20;21;22;23;24;25;26;27;28})),
IF(Arrangörslista!$U$5&lt;61,SUM(LARGE(BV49:EC49,{1;2;3;4;5;6;7;8;9;10;11;12;13;14;15;16;17;18;19;20;21;22;23;24;25;26;27;28;29;30})),0)))))))))))))))))))),
IF(Arrangörslista!$U$5&lt;4,0,
IF(Arrangörslista!$U$5&lt;8,SUM(LARGE(BV49:CB49,1)),
IF(Arrangörslista!$U$5&lt;12,SUM(LARGE(BV49:CF49,{1;2})),
IF(Arrangörslista!$U$5&lt;16,SUM(LARGE(BV49:CJ49,{1;2;3})),
IF(Arrangörslista!$U$5&lt;20,SUM(LARGE(BV49:CN49,{1;2;3;4})),
IF(Arrangörslista!$U$5&lt;24,SUM(LARGE(BV49:CR49,{1;2;3;4;5})),
IF(Arrangörslista!$U$5&lt;28,SUM(LARGE(BV49:CV49,{1;2;3;4;5;6})),
IF(Arrangörslista!$U$5&lt;32,SUM(LARGE(BV49:CZ49,{1;2;3;4;5;6;7})),
IF(Arrangörslista!$U$5&lt;36,SUM(LARGE(BV49:DD49,{1;2;3;4;5;6;7;8})),
IF(Arrangörslista!$U$5&lt;40,SUM(LARGE(BV49:DH49,{1;2;3;4;5;6;7;8;9})),
IF(Arrangörslista!$U$5&lt;44,SUM(LARGE(BV49:DL49,{1;2;3;4;5;6;7;8;9;10})),
IF(Arrangörslista!$U$5&lt;48,SUM(LARGE(BV49:DP49,{1;2;3;4;5;6;7;8;9;10;11})),
IF(Arrangörslista!$U$5&lt;52,SUM(LARGE(BV49:DT49,{1;2;3;4;5;6;7;8;9;10;11;12})),
IF(Arrangörslista!$U$5&lt;56,SUM(LARGE(BV49:DX49,{1;2;3;4;5;6;7;8;9;10;11;12;13})),
IF(Arrangörslista!$U$5&lt;60,SUM(LARGE(BV49:EB49,{1;2;3;4;5;6;7;8;9;10;11;12;13;14})),
IF(Arrangörslista!$U$5=60,SUM(LARGE(BV49:EC49,{1;2;3;4;5;6;7;8;9;10;11;12;13;14;15})),0))))))))))))))))))</f>
        <v>0</v>
      </c>
      <c r="EG49" s="67">
        <f>IF(F49="",,1)</f>
        <v>0</v>
      </c>
      <c r="EH49" s="61"/>
      <c r="EI49" s="61"/>
      <c r="EK49" s="62">
        <f>SMALL($J112:$BQ112,1)</f>
        <v>61</v>
      </c>
      <c r="EL49" s="62">
        <f>SMALL($J112:$BQ112,2)</f>
        <v>61</v>
      </c>
      <c r="EM49" s="62">
        <f>SMALL($J112:$BQ112,3)</f>
        <v>61</v>
      </c>
      <c r="EN49" s="62">
        <f>SMALL($J112:$BQ112,4)</f>
        <v>61</v>
      </c>
      <c r="EO49" s="62">
        <f>SMALL($J112:$BQ112,5)</f>
        <v>61</v>
      </c>
      <c r="EP49" s="62">
        <f>SMALL($J112:$BQ112,6)</f>
        <v>61</v>
      </c>
      <c r="EQ49" s="62">
        <f>SMALL($J112:$BQ112,7)</f>
        <v>61</v>
      </c>
      <c r="ER49" s="62">
        <f>SMALL($J112:$BQ112,8)</f>
        <v>61</v>
      </c>
      <c r="ES49" s="62">
        <f>SMALL($J112:$BQ112,9)</f>
        <v>61</v>
      </c>
      <c r="ET49" s="62">
        <f>SMALL($J112:$BQ112,10)</f>
        <v>61</v>
      </c>
      <c r="EU49" s="62">
        <f>SMALL($J112:$BQ112,11)</f>
        <v>61</v>
      </c>
      <c r="EV49" s="62">
        <f>SMALL($J112:$BQ112,12)</f>
        <v>61</v>
      </c>
      <c r="EW49" s="62">
        <f>SMALL($J112:$BQ112,13)</f>
        <v>61</v>
      </c>
      <c r="EX49" s="62">
        <f>SMALL($J112:$BQ112,14)</f>
        <v>61</v>
      </c>
      <c r="EY49" s="62">
        <f>SMALL($J112:$BQ112,15)</f>
        <v>61</v>
      </c>
      <c r="EZ49" s="62">
        <f>SMALL($J112:$BQ112,16)</f>
        <v>61</v>
      </c>
      <c r="FA49" s="62">
        <f>SMALL($J112:$BQ112,17)</f>
        <v>61</v>
      </c>
      <c r="FB49" s="62">
        <f>SMALL($J112:$BQ112,18)</f>
        <v>61</v>
      </c>
      <c r="FC49" s="62">
        <f>SMALL($J112:$BQ112,19)</f>
        <v>61</v>
      </c>
      <c r="FD49" s="62">
        <f>SMALL($J112:$BQ112,20)</f>
        <v>61</v>
      </c>
      <c r="FE49" s="62">
        <f>SMALL($J112:$BQ112,21)</f>
        <v>61</v>
      </c>
      <c r="FF49" s="62">
        <f>SMALL($J112:$BQ112,22)</f>
        <v>61</v>
      </c>
      <c r="FG49" s="62">
        <f>SMALL($J112:$BQ112,23)</f>
        <v>61</v>
      </c>
      <c r="FH49" s="62">
        <f>SMALL($J112:$BQ112,24)</f>
        <v>61</v>
      </c>
      <c r="FI49" s="62">
        <f>SMALL($J112:$BQ112,25)</f>
        <v>61</v>
      </c>
      <c r="FJ49" s="62">
        <f>SMALL($J112:$BQ112,26)</f>
        <v>61</v>
      </c>
      <c r="FK49" s="62">
        <f>SMALL($J112:$BQ112,27)</f>
        <v>61</v>
      </c>
      <c r="FL49" s="62">
        <f>SMALL($J112:$BQ112,28)</f>
        <v>61</v>
      </c>
      <c r="FM49" s="62">
        <f>SMALL($J112:$BQ112,29)</f>
        <v>61</v>
      </c>
      <c r="FN49" s="62">
        <f>SMALL($J112:$BQ112,30)</f>
        <v>61</v>
      </c>
      <c r="FO49" s="62">
        <f>SMALL($J112:$BQ112,31)</f>
        <v>61</v>
      </c>
      <c r="FP49" s="62">
        <f>SMALL($J112:$BQ112,32)</f>
        <v>61</v>
      </c>
      <c r="FQ49" s="62">
        <f>SMALL($J112:$BQ112,33)</f>
        <v>61</v>
      </c>
      <c r="FR49" s="62">
        <f>SMALL($J112:$BQ112,34)</f>
        <v>61</v>
      </c>
      <c r="FS49" s="62">
        <f>SMALL($J112:$BQ112,35)</f>
        <v>61</v>
      </c>
      <c r="FT49" s="62">
        <f>SMALL($J112:$BQ112,36)</f>
        <v>61</v>
      </c>
      <c r="FU49" s="62">
        <f>SMALL($J112:$BQ112,37)</f>
        <v>61</v>
      </c>
      <c r="FV49" s="62">
        <f>SMALL($J112:$BQ112,38)</f>
        <v>61</v>
      </c>
      <c r="FW49" s="62">
        <f>SMALL($J112:$BQ112,39)</f>
        <v>61</v>
      </c>
      <c r="FX49" s="62">
        <f>SMALL($J112:$BQ112,40)</f>
        <v>61</v>
      </c>
      <c r="FY49" s="62">
        <f>SMALL($J112:$BQ112,41)</f>
        <v>61</v>
      </c>
      <c r="FZ49" s="62">
        <f>SMALL($J112:$BQ112,42)</f>
        <v>61</v>
      </c>
      <c r="GA49" s="62">
        <f>SMALL($J112:$BQ112,43)</f>
        <v>61</v>
      </c>
      <c r="GB49" s="62">
        <f>SMALL($J112:$BQ112,44)</f>
        <v>61</v>
      </c>
      <c r="GC49" s="62">
        <f>SMALL($J112:$BQ112,45)</f>
        <v>61</v>
      </c>
      <c r="GD49" s="62">
        <f>SMALL($J112:$BQ112,46)</f>
        <v>61</v>
      </c>
      <c r="GE49" s="62">
        <f>SMALL($J112:$BQ112,47)</f>
        <v>61</v>
      </c>
      <c r="GF49" s="62">
        <f>SMALL($J112:$BQ112,48)</f>
        <v>61</v>
      </c>
      <c r="GG49" s="62">
        <f>SMALL($J112:$BQ112,49)</f>
        <v>61</v>
      </c>
      <c r="GH49" s="62">
        <f>SMALL($J112:$BQ112,50)</f>
        <v>61</v>
      </c>
      <c r="GI49" s="62">
        <f>SMALL($J112:$BQ112,51)</f>
        <v>61</v>
      </c>
      <c r="GJ49" s="62">
        <f>SMALL($J112:$BQ112,52)</f>
        <v>61</v>
      </c>
      <c r="GK49" s="62">
        <f>SMALL($J112:$BQ112,53)</f>
        <v>61</v>
      </c>
      <c r="GL49" s="62">
        <f>SMALL($J112:$BQ112,54)</f>
        <v>61</v>
      </c>
      <c r="GM49" s="62">
        <f>SMALL($J112:$BQ112,55)</f>
        <v>61</v>
      </c>
      <c r="GN49" s="62">
        <f>SMALL($J112:$BQ112,56)</f>
        <v>61</v>
      </c>
      <c r="GO49" s="62">
        <f>SMALL($J112:$BQ112,57)</f>
        <v>61</v>
      </c>
      <c r="GP49" s="62">
        <f>SMALL($J112:$BQ112,58)</f>
        <v>61</v>
      </c>
      <c r="GQ49" s="62">
        <f>SMALL($J112:$BQ112,59)</f>
        <v>61</v>
      </c>
      <c r="GR49" s="62">
        <f>SMALL($J112:$BQ112,60)</f>
        <v>61</v>
      </c>
      <c r="GT49" s="62">
        <f>IF(Deltagarlista!$K$3=2,
IF(GW49="1",
      IF(Arrangörslista!$U$5=1,J112,
IF(Arrangörslista!$U$5=2,K112,
IF(Arrangörslista!$U$5=3,L112,
IF(Arrangörslista!$U$5=4,M112,
IF(Arrangörslista!$U$5=5,N112,
IF(Arrangörslista!$U$5=6,O112,
IF(Arrangörslista!$U$5=7,P112,
IF(Arrangörslista!$U$5=8,Q112,
IF(Arrangörslista!$U$5=9,R112,
IF(Arrangörslista!$U$5=10,S112,
IF(Arrangörslista!$U$5=11,T112,
IF(Arrangörslista!$U$5=12,U112,
IF(Arrangörslista!$U$5=13,V112,
IF(Arrangörslista!$U$5=14,W112,
IF(Arrangörslista!$U$5=15,X112,
IF(Arrangörslista!$U$5=16,Y112,IF(Arrangörslista!$U$5=17,Z112,IF(Arrangörslista!$U$5=18,AA112,IF(Arrangörslista!$U$5=19,AB112,IF(Arrangörslista!$U$5=20,AC112,IF(Arrangörslista!$U$5=21,AD112,IF(Arrangörslista!$U$5=22,AE112,IF(Arrangörslista!$U$5=23,AF112, IF(Arrangörslista!$U$5=24,AG112, IF(Arrangörslista!$U$5=25,AH112, IF(Arrangörslista!$U$5=26,AI112, IF(Arrangörslista!$U$5=27,AJ112, IF(Arrangörslista!$U$5=28,AK112, IF(Arrangörslista!$U$5=29,AL112, IF(Arrangörslista!$U$5=30,AM112, IF(Arrangörslista!$U$5=31,AN112, IF(Arrangörslista!$U$5=32,AO112, IF(Arrangörslista!$U$5=33,AP112, IF(Arrangörslista!$U$5=34,AQ112, IF(Arrangörslista!$U$5=35,AR112, IF(Arrangörslista!$U$5=36,AS112, IF(Arrangörslista!$U$5=37,AT112, IF(Arrangörslista!$U$5=38,AU112, IF(Arrangörslista!$U$5=39,AV112, IF(Arrangörslista!$U$5=40,AW112, IF(Arrangörslista!$U$5=41,AX112, IF(Arrangörslista!$U$5=42,AY112, IF(Arrangörslista!$U$5=43,AZ112, IF(Arrangörslista!$U$5=44,BA112, IF(Arrangörslista!$U$5=45,BB112, IF(Arrangörslista!$U$5=46,BC112, IF(Arrangörslista!$U$5=47,BD112, IF(Arrangörslista!$U$5=48,BE112, IF(Arrangörslista!$U$5=49,BF112, IF(Arrangörslista!$U$5=50,BG112, IF(Arrangörslista!$U$5=51,BH112, IF(Arrangörslista!$U$5=52,BI112, IF(Arrangörslista!$U$5=53,BJ112, IF(Arrangörslista!$U$5=54,BK112, IF(Arrangörslista!$U$5=55,BL112, IF(Arrangörslista!$U$5=56,BM112, IF(Arrangörslista!$U$5=57,BN112, IF(Arrangörslista!$U$5=58,BO112, IF(Arrangörslista!$U$5=59,BP112, IF(Arrangörslista!$U$5=60,BQ112,0))))))))))))))))))))))))))))))))))))))))))))))))))))))))))))),IF(Deltagarlista!$K$3=4, IF(Arrangörslista!$U$5=1,J112,
IF(Arrangörslista!$U$5=2,J112,
IF(Arrangörslista!$U$5=3,K112,
IF(Arrangörslista!$U$5=4,K112,
IF(Arrangörslista!$U$5=5,L112,
IF(Arrangörslista!$U$5=6,L112,
IF(Arrangörslista!$U$5=7,M112,
IF(Arrangörslista!$U$5=8,M112,
IF(Arrangörslista!$U$5=9,N112,
IF(Arrangörslista!$U$5=10,N112,
IF(Arrangörslista!$U$5=11,O112,
IF(Arrangörslista!$U$5=12,O112,
IF(Arrangörslista!$U$5=13,P112,
IF(Arrangörslista!$U$5=14,P112,
IF(Arrangörslista!$U$5=15,Q112,
IF(Arrangörslista!$U$5=16,Q112,
IF(Arrangörslista!$U$5=17,R112,
IF(Arrangörslista!$U$5=18,R112,
IF(Arrangörslista!$U$5=19,S112,
IF(Arrangörslista!$U$5=20,S112,
IF(Arrangörslista!$U$5=21,T112,
IF(Arrangörslista!$U$5=22,T112,IF(Arrangörslista!$U$5=23,U112, IF(Arrangörslista!$U$5=24,U112, IF(Arrangörslista!$U$5=25,V112, IF(Arrangörslista!$U$5=26,V112, IF(Arrangörslista!$U$5=27,W112, IF(Arrangörslista!$U$5=28,W112, IF(Arrangörslista!$U$5=29,X112, IF(Arrangörslista!$U$5=30,X112, IF(Arrangörslista!$U$5=31,X112, IF(Arrangörslista!$U$5=32,Y112, IF(Arrangörslista!$U$5=33,AO112, IF(Arrangörslista!$U$5=34,Y112, IF(Arrangörslista!$U$5=35,Z112, IF(Arrangörslista!$U$5=36,AR112, IF(Arrangörslista!$U$5=37,Z112, IF(Arrangörslista!$U$5=38,AA112, IF(Arrangörslista!$U$5=39,AU112, IF(Arrangörslista!$U$5=40,AA112, IF(Arrangörslista!$U$5=41,AB112, IF(Arrangörslista!$U$5=42,AX112, IF(Arrangörslista!$U$5=43,AB112, IF(Arrangörslista!$U$5=44,AC112, IF(Arrangörslista!$U$5=45,BA112, IF(Arrangörslista!$U$5=46,AC112, IF(Arrangörslista!$U$5=47,AD112, IF(Arrangörslista!$U$5=48,BD112, IF(Arrangörslista!$U$5=49,AD112, IF(Arrangörslista!$U$5=50,AE112, IF(Arrangörslista!$U$5=51,BG112, IF(Arrangörslista!$U$5=52,AE112, IF(Arrangörslista!$U$5=53,AF112, IF(Arrangörslista!$U$5=54,BJ112, IF(Arrangörslista!$U$5=55,AF112, IF(Arrangörslista!$U$5=56,AG112, IF(Arrangörslista!$U$5=57,BM112, IF(Arrangörslista!$U$5=58,AG112, IF(Arrangörslista!$U$5=59,AH112, IF(Arrangörslista!$U$5=60,AH112,0)))))))))))))))))))))))))))))))))))))))))))))))))))))))))))),IF(Arrangörslista!$U$5=1,J112,
IF(Arrangörslista!$U$5=2,K112,
IF(Arrangörslista!$U$5=3,L112,
IF(Arrangörslista!$U$5=4,M112,
IF(Arrangörslista!$U$5=5,N112,
IF(Arrangörslista!$U$5=6,O112,
IF(Arrangörslista!$U$5=7,P112,
IF(Arrangörslista!$U$5=8,Q112,
IF(Arrangörslista!$U$5=9,R112,
IF(Arrangörslista!$U$5=10,S112,
IF(Arrangörslista!$U$5=11,T112,
IF(Arrangörslista!$U$5=12,U112,
IF(Arrangörslista!$U$5=13,V112,
IF(Arrangörslista!$U$5=14,W112,
IF(Arrangörslista!$U$5=15,X112,
IF(Arrangörslista!$U$5=16,Y112,IF(Arrangörslista!$U$5=17,Z112,IF(Arrangörslista!$U$5=18,AA112,IF(Arrangörslista!$U$5=19,AB112,IF(Arrangörslista!$U$5=20,AC112,IF(Arrangörslista!$U$5=21,AD112,IF(Arrangörslista!$U$5=22,AE112,IF(Arrangörslista!$U$5=23,AF112, IF(Arrangörslista!$U$5=24,AG112, IF(Arrangörslista!$U$5=25,AH112, IF(Arrangörslista!$U$5=26,AI112, IF(Arrangörslista!$U$5=27,AJ112, IF(Arrangörslista!$U$5=28,AK112, IF(Arrangörslista!$U$5=29,AL112, IF(Arrangörslista!$U$5=30,AM112, IF(Arrangörslista!$U$5=31,AN112, IF(Arrangörslista!$U$5=32,AO112, IF(Arrangörslista!$U$5=33,AP112, IF(Arrangörslista!$U$5=34,AQ112, IF(Arrangörslista!$U$5=35,AR112, IF(Arrangörslista!$U$5=36,AS112, IF(Arrangörslista!$U$5=37,AT112, IF(Arrangörslista!$U$5=38,AU112, IF(Arrangörslista!$U$5=39,AV112, IF(Arrangörslista!$U$5=40,AW112, IF(Arrangörslista!$U$5=41,AX112, IF(Arrangörslista!$U$5=42,AY112, IF(Arrangörslista!$U$5=43,AZ112, IF(Arrangörslista!$U$5=44,BA112, IF(Arrangörslista!$U$5=45,BB112, IF(Arrangörslista!$U$5=46,BC112, IF(Arrangörslista!$U$5=47,BD112, IF(Arrangörslista!$U$5=48,BE112, IF(Arrangörslista!$U$5=49,BF112, IF(Arrangörslista!$U$5=50,BG112, IF(Arrangörslista!$U$5=51,BH112, IF(Arrangörslista!$U$5=52,BI112, IF(Arrangörslista!$U$5=53,BJ112, IF(Arrangörslista!$U$5=54,BK112, IF(Arrangörslista!$U$5=55,BL112, IF(Arrangörslista!$U$5=56,BM112, IF(Arrangörslista!$U$5=57,BN112, IF(Arrangörslista!$U$5=58,BO112, IF(Arrangörslista!$U$5=59,BP112, IF(Arrangörslista!$U$5=60,BQ112,0))))))))))))))))))))))))))))))))))))))))))))))))))))))))))))
))</f>
        <v>0</v>
      </c>
      <c r="GV49" s="65" t="str">
        <f>IFERROR(IF(VLOOKUP(F49,Deltagarlista!$E$5:$I$64,5,FALSE)="Grön","Gr",IF(VLOOKUP(F49,Deltagarlista!$E$5:$I$64,5,FALSE)="Röd","R",IF(VLOOKUP(F49,Deltagarlista!$E$5:$I$64,5,FALSE)="Blå","B","Gu"))),"")</f>
        <v/>
      </c>
      <c r="GW49" s="62" t="str">
        <f t="shared" si="1"/>
        <v/>
      </c>
    </row>
    <row r="50" spans="1:205" ht="15.75" customHeight="1" x14ac:dyDescent="0.3">
      <c r="A50" s="23"/>
      <c r="B50" s="23" t="str">
        <f>IF($BW$3&gt;46,47,"")</f>
        <v/>
      </c>
      <c r="C50" s="92" t="str">
        <f>IF(ISBLANK(Deltagarlista!C59),"",Deltagarlista!C59)</f>
        <v/>
      </c>
      <c r="D50" s="109" t="str">
        <f>CONCATENATE(IF(AND(Deltagarlista!H59="GM",Deltagarlista!$S$14=TRUE),"GM   ",""), IF(OR(Deltagarlista!$K$3=4,Deltagarlista!$K$3=2),Deltagarlista!I59,""))</f>
        <v/>
      </c>
      <c r="E50" s="8" t="str">
        <f>IF(ISBLANK(Deltagarlista!D59),"",Deltagarlista!D59)</f>
        <v/>
      </c>
      <c r="F50" s="8" t="str">
        <f>IF(ISBLANK(Deltagarlista!E59),"",Deltagarlista!E59)</f>
        <v/>
      </c>
      <c r="G50" s="95" t="str">
        <f>IF(ISBLANK(Deltagarlista!F59),"",Deltagarlista!F59)</f>
        <v/>
      </c>
      <c r="H50" s="72" t="str">
        <f>IF(ISBLANK(Deltagarlista!C59),"",BU50-EE50)</f>
        <v/>
      </c>
      <c r="I50" s="13" t="str">
        <f>IF(ISBLANK(Deltagarlista!C59),"",IF(AND(Deltagarlista!$K$3=2,Deltagarlista!$L$3&lt;37),SUM(SUM(BV50:EC50)-(ROUNDDOWN(Arrangörslista!$U$5/3,1))*($BW$3+1)),SUM(BV50:EC50)))</f>
        <v/>
      </c>
      <c r="J50" s="79" t="str">
        <f>IF(Deltagarlista!$K$3=4,IF(ISBLANK(Deltagarlista!$C59),"",IF(ISBLANK(Arrangörslista!C$8),"",IFERROR(VLOOKUP($F50,Arrangörslista!C$8:$AG$45,16,FALSE),IF(ISBLANK(Deltagarlista!$C59),"",IF(ISBLANK(Arrangörslista!C$8),"",IFERROR(VLOOKUP($F50,Arrangörslista!D$8:$AG$45,16,FALSE),"DNS")))))),IF(Deltagarlista!$K$3=2,
IF(ISBLANK(Deltagarlista!$C59),"",IF(ISBLANK(Arrangörslista!C$8),"",IF($GV50=J$64," DNS ",IFERROR(VLOOKUP($F50,Arrangörslista!C$8:$AG$45,16,FALSE),"DNS")))),IF(ISBLANK(Deltagarlista!$C59),"",IF(ISBLANK(Arrangörslista!C$8),"",IFERROR(VLOOKUP($F50,Arrangörslista!C$8:$AG$45,16,FALSE),"DNS")))))</f>
        <v/>
      </c>
      <c r="K50" s="5" t="str">
        <f>IF(Deltagarlista!$K$3=4,IF(ISBLANK(Deltagarlista!$C59),"",IF(ISBLANK(Arrangörslista!E$8),"",IFERROR(VLOOKUP($F50,Arrangörslista!E$8:$AG$45,16,FALSE),IF(ISBLANK(Deltagarlista!$C59),"",IF(ISBLANK(Arrangörslista!E$8),"",IFERROR(VLOOKUP($F50,Arrangörslista!F$8:$AG$45,16,FALSE),"DNS")))))),IF(Deltagarlista!$K$3=2,
IF(ISBLANK(Deltagarlista!$C59),"",IF(ISBLANK(Arrangörslista!D$8),"",IF($GV50=K$64," DNS ",IFERROR(VLOOKUP($F50,Arrangörslista!D$8:$AG$45,16,FALSE),"DNS")))),IF(ISBLANK(Deltagarlista!$C59),"",IF(ISBLANK(Arrangörslista!D$8),"",IFERROR(VLOOKUP($F50,Arrangörslista!D$8:$AG$45,16,FALSE),"DNS")))))</f>
        <v/>
      </c>
      <c r="L50" s="5" t="str">
        <f>IF(Deltagarlista!$K$3=4,IF(ISBLANK(Deltagarlista!$C59),"",IF(ISBLANK(Arrangörslista!G$8),"",IFERROR(VLOOKUP($F50,Arrangörslista!G$8:$AG$45,16,FALSE),IF(ISBLANK(Deltagarlista!$C59),"",IF(ISBLANK(Arrangörslista!G$8),"",IFERROR(VLOOKUP($F50,Arrangörslista!H$8:$AG$45,16,FALSE),"DNS")))))),IF(Deltagarlista!$K$3=2,
IF(ISBLANK(Deltagarlista!$C59),"",IF(ISBLANK(Arrangörslista!E$8),"",IF($GV50=L$64," DNS ",IFERROR(VLOOKUP($F50,Arrangörslista!E$8:$AG$45,16,FALSE),"DNS")))),IF(ISBLANK(Deltagarlista!$C59),"",IF(ISBLANK(Arrangörslista!E$8),"",IFERROR(VLOOKUP($F50,Arrangörslista!E$8:$AG$45,16,FALSE),"DNS")))))</f>
        <v/>
      </c>
      <c r="M50" s="5" t="str">
        <f>IF(Deltagarlista!$K$3=4,IF(ISBLANK(Deltagarlista!$C59),"",IF(ISBLANK(Arrangörslista!I$8),"",IFERROR(VLOOKUP($F50,Arrangörslista!I$8:$AG$45,16,FALSE),IF(ISBLANK(Deltagarlista!$C59),"",IF(ISBLANK(Arrangörslista!I$8),"",IFERROR(VLOOKUP($F50,Arrangörslista!J$8:$AG$45,16,FALSE),"DNS")))))),IF(Deltagarlista!$K$3=2,
IF(ISBLANK(Deltagarlista!$C59),"",IF(ISBLANK(Arrangörslista!F$8),"",IF($GV50=M$64," DNS ",IFERROR(VLOOKUP($F50,Arrangörslista!F$8:$AG$45,16,FALSE),"DNS")))),IF(ISBLANK(Deltagarlista!$C59),"",IF(ISBLANK(Arrangörslista!F$8),"",IFERROR(VLOOKUP($F50,Arrangörslista!F$8:$AG$45,16,FALSE),"DNS")))))</f>
        <v/>
      </c>
      <c r="N50" s="5" t="str">
        <f>IF(Deltagarlista!$K$3=4,IF(ISBLANK(Deltagarlista!$C59),"",IF(ISBLANK(Arrangörslista!K$8),"",IFERROR(VLOOKUP($F50,Arrangörslista!K$8:$AG$45,16,FALSE),IF(ISBLANK(Deltagarlista!$C59),"",IF(ISBLANK(Arrangörslista!K$8),"",IFERROR(VLOOKUP($F50,Arrangörslista!L$8:$AG$45,16,FALSE),"DNS")))))),IF(Deltagarlista!$K$3=2,
IF(ISBLANK(Deltagarlista!$C59),"",IF(ISBLANK(Arrangörslista!G$8),"",IF($GV50=N$64," DNS ",IFERROR(VLOOKUP($F50,Arrangörslista!G$8:$AG$45,16,FALSE),"DNS")))),IF(ISBLANK(Deltagarlista!$C59),"",IF(ISBLANK(Arrangörslista!G$8),"",IFERROR(VLOOKUP($F50,Arrangörslista!G$8:$AG$45,16,FALSE),"DNS")))))</f>
        <v/>
      </c>
      <c r="O50" s="5" t="str">
        <f>IF(Deltagarlista!$K$3=4,IF(ISBLANK(Deltagarlista!$C59),"",IF(ISBLANK(Arrangörslista!M$8),"",IFERROR(VLOOKUP($F50,Arrangörslista!M$8:$AG$45,16,FALSE),IF(ISBLANK(Deltagarlista!$C59),"",IF(ISBLANK(Arrangörslista!M$8),"",IFERROR(VLOOKUP($F50,Arrangörslista!N$8:$AG$45,16,FALSE),"DNS")))))),IF(Deltagarlista!$K$3=2,
IF(ISBLANK(Deltagarlista!$C59),"",IF(ISBLANK(Arrangörslista!H$8),"",IF($GV50=O$64," DNS ",IFERROR(VLOOKUP($F50,Arrangörslista!H$8:$AG$45,16,FALSE),"DNS")))),IF(ISBLANK(Deltagarlista!$C59),"",IF(ISBLANK(Arrangörslista!H$8),"",IFERROR(VLOOKUP($F50,Arrangörslista!H$8:$AG$45,16,FALSE),"DNS")))))</f>
        <v/>
      </c>
      <c r="P50" s="5" t="str">
        <f>IF(Deltagarlista!$K$3=4,IF(ISBLANK(Deltagarlista!$C59),"",IF(ISBLANK(Arrangörslista!O$8),"",IFERROR(VLOOKUP($F50,Arrangörslista!O$8:$AG$45,16,FALSE),IF(ISBLANK(Deltagarlista!$C59),"",IF(ISBLANK(Arrangörslista!O$8),"",IFERROR(VLOOKUP($F50,Arrangörslista!P$8:$AG$45,16,FALSE),"DNS")))))),IF(Deltagarlista!$K$3=2,
IF(ISBLANK(Deltagarlista!$C59),"",IF(ISBLANK(Arrangörslista!I$8),"",IF($GV50=P$64," DNS ",IFERROR(VLOOKUP($F50,Arrangörslista!I$8:$AG$45,16,FALSE),"DNS")))),IF(ISBLANK(Deltagarlista!$C59),"",IF(ISBLANK(Arrangörslista!I$8),"",IFERROR(VLOOKUP($F50,Arrangörslista!I$8:$AG$45,16,FALSE),"DNS")))))</f>
        <v/>
      </c>
      <c r="Q50" s="5" t="str">
        <f>IF(Deltagarlista!$K$3=4,IF(ISBLANK(Deltagarlista!$C59),"",IF(ISBLANK(Arrangörslista!Q$8),"",IFERROR(VLOOKUP($F50,Arrangörslista!Q$8:$AG$45,16,FALSE),IF(ISBLANK(Deltagarlista!$C59),"",IF(ISBLANK(Arrangörslista!Q$8),"",IFERROR(VLOOKUP($F50,Arrangörslista!C$53:$AG$90,16,FALSE),"DNS")))))),IF(Deltagarlista!$K$3=2,
IF(ISBLANK(Deltagarlista!$C59),"",IF(ISBLANK(Arrangörslista!J$8),"",IF($GV50=Q$64," DNS ",IFERROR(VLOOKUP($F50,Arrangörslista!J$8:$AG$45,16,FALSE),"DNS")))),IF(ISBLANK(Deltagarlista!$C59),"",IF(ISBLANK(Arrangörslista!J$8),"",IFERROR(VLOOKUP($F50,Arrangörslista!J$8:$AG$45,16,FALSE),"DNS")))))</f>
        <v/>
      </c>
      <c r="R50" s="5" t="str">
        <f>IF(Deltagarlista!$K$3=4,IF(ISBLANK(Deltagarlista!$C59),"",IF(ISBLANK(Arrangörslista!D$53),"",IFERROR(VLOOKUP($F50,Arrangörslista!D$53:$AG$90,16,FALSE),IF(ISBLANK(Deltagarlista!$C59),"",IF(ISBLANK(Arrangörslista!D$53),"",IFERROR(VLOOKUP($F50,Arrangörslista!E$53:$AG$90,16,FALSE),"DNS")))))),IF(Deltagarlista!$K$3=2,
IF(ISBLANK(Deltagarlista!$C59),"",IF(ISBLANK(Arrangörslista!K$8),"",IF($GV50=R$64," DNS ",IFERROR(VLOOKUP($F50,Arrangörslista!K$8:$AG$45,16,FALSE),"DNS")))),IF(ISBLANK(Deltagarlista!$C59),"",IF(ISBLANK(Arrangörslista!K$8),"",IFERROR(VLOOKUP($F50,Arrangörslista!K$8:$AG$45,16,FALSE),"DNS")))))</f>
        <v/>
      </c>
      <c r="S50" s="5" t="str">
        <f>IF(Deltagarlista!$K$3=4,IF(ISBLANK(Deltagarlista!$C59),"",IF(ISBLANK(Arrangörslista!F$53),"",IFERROR(VLOOKUP($F50,Arrangörslista!F$53:$AG$90,16,FALSE),IF(ISBLANK(Deltagarlista!$C59),"",IF(ISBLANK(Arrangörslista!F$53),"",IFERROR(VLOOKUP($F50,Arrangörslista!G$53:$AG$90,16,FALSE),"DNS")))))),IF(Deltagarlista!$K$3=2,
IF(ISBLANK(Deltagarlista!$C59),"",IF(ISBLANK(Arrangörslista!L$8),"",IF($GV50=S$64," DNS ",IFERROR(VLOOKUP($F50,Arrangörslista!L$8:$AG$45,16,FALSE),"DNS")))),IF(ISBLANK(Deltagarlista!$C59),"",IF(ISBLANK(Arrangörslista!L$8),"",IFERROR(VLOOKUP($F50,Arrangörslista!L$8:$AG$45,16,FALSE),"DNS")))))</f>
        <v/>
      </c>
      <c r="T50" s="5" t="str">
        <f>IF(Deltagarlista!$K$3=4,IF(ISBLANK(Deltagarlista!$C59),"",IF(ISBLANK(Arrangörslista!H$53),"",IFERROR(VLOOKUP($F50,Arrangörslista!H$53:$AG$90,16,FALSE),IF(ISBLANK(Deltagarlista!$C59),"",IF(ISBLANK(Arrangörslista!H$53),"",IFERROR(VLOOKUP($F50,Arrangörslista!I$53:$AG$90,16,FALSE),"DNS")))))),IF(Deltagarlista!$K$3=2,
IF(ISBLANK(Deltagarlista!$C59),"",IF(ISBLANK(Arrangörslista!M$8),"",IF($GV50=T$64," DNS ",IFERROR(VLOOKUP($F50,Arrangörslista!M$8:$AG$45,16,FALSE),"DNS")))),IF(ISBLANK(Deltagarlista!$C59),"",IF(ISBLANK(Arrangörslista!M$8),"",IFERROR(VLOOKUP($F50,Arrangörslista!M$8:$AG$45,16,FALSE),"DNS")))))</f>
        <v/>
      </c>
      <c r="U50" s="5" t="str">
        <f>IF(Deltagarlista!$K$3=4,IF(ISBLANK(Deltagarlista!$C59),"",IF(ISBLANK(Arrangörslista!J$53),"",IFERROR(VLOOKUP($F50,Arrangörslista!J$53:$AG$90,16,FALSE),IF(ISBLANK(Deltagarlista!$C59),"",IF(ISBLANK(Arrangörslista!J$53),"",IFERROR(VLOOKUP($F50,Arrangörslista!K$53:$AG$90,16,FALSE),"DNS")))))),IF(Deltagarlista!$K$3=2,
IF(ISBLANK(Deltagarlista!$C59),"",IF(ISBLANK(Arrangörslista!N$8),"",IF($GV50=U$64," DNS ",IFERROR(VLOOKUP($F50,Arrangörslista!N$8:$AG$45,16,FALSE),"DNS")))),IF(ISBLANK(Deltagarlista!$C59),"",IF(ISBLANK(Arrangörslista!N$8),"",IFERROR(VLOOKUP($F50,Arrangörslista!N$8:$AG$45,16,FALSE),"DNS")))))</f>
        <v/>
      </c>
      <c r="V50" s="5" t="str">
        <f>IF(Deltagarlista!$K$3=4,IF(ISBLANK(Deltagarlista!$C59),"",IF(ISBLANK(Arrangörslista!L$53),"",IFERROR(VLOOKUP($F50,Arrangörslista!L$53:$AG$90,16,FALSE),IF(ISBLANK(Deltagarlista!$C59),"",IF(ISBLANK(Arrangörslista!L$53),"",IFERROR(VLOOKUP($F50,Arrangörslista!M$53:$AG$90,16,FALSE),"DNS")))))),IF(Deltagarlista!$K$3=2,
IF(ISBLANK(Deltagarlista!$C59),"",IF(ISBLANK(Arrangörslista!O$8),"",IF($GV50=V$64," DNS ",IFERROR(VLOOKUP($F50,Arrangörslista!O$8:$AG$45,16,FALSE),"DNS")))),IF(ISBLANK(Deltagarlista!$C59),"",IF(ISBLANK(Arrangörslista!O$8),"",IFERROR(VLOOKUP($F50,Arrangörslista!O$8:$AG$45,16,FALSE),"DNS")))))</f>
        <v/>
      </c>
      <c r="W50" s="5" t="str">
        <f>IF(Deltagarlista!$K$3=4,IF(ISBLANK(Deltagarlista!$C59),"",IF(ISBLANK(Arrangörslista!N$53),"",IFERROR(VLOOKUP($F50,Arrangörslista!N$53:$AG$90,16,FALSE),IF(ISBLANK(Deltagarlista!$C59),"",IF(ISBLANK(Arrangörslista!N$53),"",IFERROR(VLOOKUP($F50,Arrangörslista!O$53:$AG$90,16,FALSE),"DNS")))))),IF(Deltagarlista!$K$3=2,
IF(ISBLANK(Deltagarlista!$C59),"",IF(ISBLANK(Arrangörslista!P$8),"",IF($GV50=W$64," DNS ",IFERROR(VLOOKUP($F50,Arrangörslista!P$8:$AG$45,16,FALSE),"DNS")))),IF(ISBLANK(Deltagarlista!$C59),"",IF(ISBLANK(Arrangörslista!P$8),"",IFERROR(VLOOKUP($F50,Arrangörslista!P$8:$AG$45,16,FALSE),"DNS")))))</f>
        <v/>
      </c>
      <c r="X50" s="5" t="str">
        <f>IF(Deltagarlista!$K$3=4,IF(ISBLANK(Deltagarlista!$C59),"",IF(ISBLANK(Arrangörslista!P$53),"",IFERROR(VLOOKUP($F50,Arrangörslista!P$53:$AG$90,16,FALSE),IF(ISBLANK(Deltagarlista!$C59),"",IF(ISBLANK(Arrangörslista!P$53),"",IFERROR(VLOOKUP($F50,Arrangörslista!Q$53:$AG$90,16,FALSE),"DNS")))))),IF(Deltagarlista!$K$3=2,
IF(ISBLANK(Deltagarlista!$C59),"",IF(ISBLANK(Arrangörslista!Q$8),"",IF($GV50=X$64," DNS ",IFERROR(VLOOKUP($F50,Arrangörslista!Q$8:$AG$45,16,FALSE),"DNS")))),IF(ISBLANK(Deltagarlista!$C59),"",IF(ISBLANK(Arrangörslista!Q$8),"",IFERROR(VLOOKUP($F50,Arrangörslista!Q$8:$AG$45,16,FALSE),"DNS")))))</f>
        <v/>
      </c>
      <c r="Y50" s="5" t="str">
        <f>IF(Deltagarlista!$K$3=4,IF(ISBLANK(Deltagarlista!$C59),"",IF(ISBLANK(Arrangörslista!C$98),"",IFERROR(VLOOKUP($F50,Arrangörslista!C$98:$AG$135,16,FALSE),IF(ISBLANK(Deltagarlista!$C59),"",IF(ISBLANK(Arrangörslista!C$98),"",IFERROR(VLOOKUP($F50,Arrangörslista!D$98:$AG$135,16,FALSE),"DNS")))))),IF(Deltagarlista!$K$3=2,
IF(ISBLANK(Deltagarlista!$C59),"",IF(ISBLANK(Arrangörslista!C$53),"",IF($GV50=Y$64," DNS ",IFERROR(VLOOKUP($F50,Arrangörslista!C$53:$AG$90,16,FALSE),"DNS")))),IF(ISBLANK(Deltagarlista!$C59),"",IF(ISBLANK(Arrangörslista!C$53),"",IFERROR(VLOOKUP($F50,Arrangörslista!C$53:$AG$90,16,FALSE),"DNS")))))</f>
        <v/>
      </c>
      <c r="Z50" s="5" t="str">
        <f>IF(Deltagarlista!$K$3=4,IF(ISBLANK(Deltagarlista!$C59),"",IF(ISBLANK(Arrangörslista!E$98),"",IFERROR(VLOOKUP($F50,Arrangörslista!E$98:$AG$135,16,FALSE),IF(ISBLANK(Deltagarlista!$C59),"",IF(ISBLANK(Arrangörslista!E$98),"",IFERROR(VLOOKUP($F50,Arrangörslista!F$98:$AG$135,16,FALSE),"DNS")))))),IF(Deltagarlista!$K$3=2,
IF(ISBLANK(Deltagarlista!$C59),"",IF(ISBLANK(Arrangörslista!D$53),"",IF($GV50=Z$64," DNS ",IFERROR(VLOOKUP($F50,Arrangörslista!D$53:$AG$90,16,FALSE),"DNS")))),IF(ISBLANK(Deltagarlista!$C59),"",IF(ISBLANK(Arrangörslista!D$53),"",IFERROR(VLOOKUP($F50,Arrangörslista!D$53:$AG$90,16,FALSE),"DNS")))))</f>
        <v/>
      </c>
      <c r="AA50" s="5" t="str">
        <f>IF(Deltagarlista!$K$3=4,IF(ISBLANK(Deltagarlista!$C59),"",IF(ISBLANK(Arrangörslista!G$98),"",IFERROR(VLOOKUP($F50,Arrangörslista!G$98:$AG$135,16,FALSE),IF(ISBLANK(Deltagarlista!$C59),"",IF(ISBLANK(Arrangörslista!G$98),"",IFERROR(VLOOKUP($F50,Arrangörslista!H$98:$AG$135,16,FALSE),"DNS")))))),IF(Deltagarlista!$K$3=2,
IF(ISBLANK(Deltagarlista!$C59),"",IF(ISBLANK(Arrangörslista!E$53),"",IF($GV50=AA$64," DNS ",IFERROR(VLOOKUP($F50,Arrangörslista!E$53:$AG$90,16,FALSE),"DNS")))),IF(ISBLANK(Deltagarlista!$C59),"",IF(ISBLANK(Arrangörslista!E$53),"",IFERROR(VLOOKUP($F50,Arrangörslista!E$53:$AG$90,16,FALSE),"DNS")))))</f>
        <v/>
      </c>
      <c r="AB50" s="5" t="str">
        <f>IF(Deltagarlista!$K$3=4,IF(ISBLANK(Deltagarlista!$C59),"",IF(ISBLANK(Arrangörslista!I$98),"",IFERROR(VLOOKUP($F50,Arrangörslista!I$98:$AG$135,16,FALSE),IF(ISBLANK(Deltagarlista!$C59),"",IF(ISBLANK(Arrangörslista!I$98),"",IFERROR(VLOOKUP($F50,Arrangörslista!J$98:$AG$135,16,FALSE),"DNS")))))),IF(Deltagarlista!$K$3=2,
IF(ISBLANK(Deltagarlista!$C59),"",IF(ISBLANK(Arrangörslista!F$53),"",IF($GV50=AB$64," DNS ",IFERROR(VLOOKUP($F50,Arrangörslista!F$53:$AG$90,16,FALSE),"DNS")))),IF(ISBLANK(Deltagarlista!$C59),"",IF(ISBLANK(Arrangörslista!F$53),"",IFERROR(VLOOKUP($F50,Arrangörslista!F$53:$AG$90,16,FALSE),"DNS")))))</f>
        <v/>
      </c>
      <c r="AC50" s="5" t="str">
        <f>IF(Deltagarlista!$K$3=4,IF(ISBLANK(Deltagarlista!$C59),"",IF(ISBLANK(Arrangörslista!K$98),"",IFERROR(VLOOKUP($F50,Arrangörslista!K$98:$AG$135,16,FALSE),IF(ISBLANK(Deltagarlista!$C59),"",IF(ISBLANK(Arrangörslista!K$98),"",IFERROR(VLOOKUP($F50,Arrangörslista!L$98:$AG$135,16,FALSE),"DNS")))))),IF(Deltagarlista!$K$3=2,
IF(ISBLANK(Deltagarlista!$C59),"",IF(ISBLANK(Arrangörslista!G$53),"",IF($GV50=AC$64," DNS ",IFERROR(VLOOKUP($F50,Arrangörslista!G$53:$AG$90,16,FALSE),"DNS")))),IF(ISBLANK(Deltagarlista!$C59),"",IF(ISBLANK(Arrangörslista!G$53),"",IFERROR(VLOOKUP($F50,Arrangörslista!G$53:$AG$90,16,FALSE),"DNS")))))</f>
        <v/>
      </c>
      <c r="AD50" s="5" t="str">
        <f>IF(Deltagarlista!$K$3=4,IF(ISBLANK(Deltagarlista!$C59),"",IF(ISBLANK(Arrangörslista!M$98),"",IFERROR(VLOOKUP($F50,Arrangörslista!M$98:$AG$135,16,FALSE),IF(ISBLANK(Deltagarlista!$C59),"",IF(ISBLANK(Arrangörslista!M$98),"",IFERROR(VLOOKUP($F50,Arrangörslista!N$98:$AG$135,16,FALSE),"DNS")))))),IF(Deltagarlista!$K$3=2,
IF(ISBLANK(Deltagarlista!$C59),"",IF(ISBLANK(Arrangörslista!H$53),"",IF($GV50=AD$64," DNS ",IFERROR(VLOOKUP($F50,Arrangörslista!H$53:$AG$90,16,FALSE),"DNS")))),IF(ISBLANK(Deltagarlista!$C59),"",IF(ISBLANK(Arrangörslista!H$53),"",IFERROR(VLOOKUP($F50,Arrangörslista!H$53:$AG$90,16,FALSE),"DNS")))))</f>
        <v/>
      </c>
      <c r="AE50" s="5" t="str">
        <f>IF(Deltagarlista!$K$3=4,IF(ISBLANK(Deltagarlista!$C59),"",IF(ISBLANK(Arrangörslista!O$98),"",IFERROR(VLOOKUP($F50,Arrangörslista!O$98:$AG$135,16,FALSE),IF(ISBLANK(Deltagarlista!$C59),"",IF(ISBLANK(Arrangörslista!O$98),"",IFERROR(VLOOKUP($F50,Arrangörslista!P$98:$AG$135,16,FALSE),"DNS")))))),IF(Deltagarlista!$K$3=2,
IF(ISBLANK(Deltagarlista!$C59),"",IF(ISBLANK(Arrangörslista!I$53),"",IF($GV50=AE$64," DNS ",IFERROR(VLOOKUP($F50,Arrangörslista!I$53:$AG$90,16,FALSE),"DNS")))),IF(ISBLANK(Deltagarlista!$C59),"",IF(ISBLANK(Arrangörslista!I$53),"",IFERROR(VLOOKUP($F50,Arrangörslista!I$53:$AG$90,16,FALSE),"DNS")))))</f>
        <v/>
      </c>
      <c r="AF50" s="5" t="str">
        <f>IF(Deltagarlista!$K$3=4,IF(ISBLANK(Deltagarlista!$C59),"",IF(ISBLANK(Arrangörslista!Q$98),"",IFERROR(VLOOKUP($F50,Arrangörslista!Q$98:$AG$135,16,FALSE),IF(ISBLANK(Deltagarlista!$C59),"",IF(ISBLANK(Arrangörslista!Q$98),"",IFERROR(VLOOKUP($F50,Arrangörslista!C$143:$AG$180,16,FALSE),"DNS")))))),IF(Deltagarlista!$K$3=2,
IF(ISBLANK(Deltagarlista!$C59),"",IF(ISBLANK(Arrangörslista!J$53),"",IF($GV50=AF$64," DNS ",IFERROR(VLOOKUP($F50,Arrangörslista!J$53:$AG$90,16,FALSE),"DNS")))),IF(ISBLANK(Deltagarlista!$C59),"",IF(ISBLANK(Arrangörslista!J$53),"",IFERROR(VLOOKUP($F50,Arrangörslista!J$53:$AG$90,16,FALSE),"DNS")))))</f>
        <v/>
      </c>
      <c r="AG50" s="5" t="str">
        <f>IF(Deltagarlista!$K$3=4,IF(ISBLANK(Deltagarlista!$C59),"",IF(ISBLANK(Arrangörslista!D$143),"",IFERROR(VLOOKUP($F50,Arrangörslista!D$143:$AG$180,16,FALSE),IF(ISBLANK(Deltagarlista!$C59),"",IF(ISBLANK(Arrangörslista!D$143),"",IFERROR(VLOOKUP($F50,Arrangörslista!E$143:$AG$180,16,FALSE),"DNS")))))),IF(Deltagarlista!$K$3=2,
IF(ISBLANK(Deltagarlista!$C59),"",IF(ISBLANK(Arrangörslista!K$53),"",IF($GV50=AG$64," DNS ",IFERROR(VLOOKUP($F50,Arrangörslista!K$53:$AG$90,16,FALSE),"DNS")))),IF(ISBLANK(Deltagarlista!$C59),"",IF(ISBLANK(Arrangörslista!K$53),"",IFERROR(VLOOKUP($F50,Arrangörslista!K$53:$AG$90,16,FALSE),"DNS")))))</f>
        <v/>
      </c>
      <c r="AH50" s="5" t="str">
        <f>IF(Deltagarlista!$K$3=4,IF(ISBLANK(Deltagarlista!$C59),"",IF(ISBLANK(Arrangörslista!F$143),"",IFERROR(VLOOKUP($F50,Arrangörslista!F$143:$AG$180,16,FALSE),IF(ISBLANK(Deltagarlista!$C59),"",IF(ISBLANK(Arrangörslista!F$143),"",IFERROR(VLOOKUP($F50,Arrangörslista!G$143:$AG$180,16,FALSE),"DNS")))))),IF(Deltagarlista!$K$3=2,
IF(ISBLANK(Deltagarlista!$C59),"",IF(ISBLANK(Arrangörslista!L$53),"",IF($GV50=AH$64," DNS ",IFERROR(VLOOKUP($F50,Arrangörslista!L$53:$AG$90,16,FALSE),"DNS")))),IF(ISBLANK(Deltagarlista!$C59),"",IF(ISBLANK(Arrangörslista!L$53),"",IFERROR(VLOOKUP($F50,Arrangörslista!L$53:$AG$90,16,FALSE),"DNS")))))</f>
        <v/>
      </c>
      <c r="AI50" s="5" t="str">
        <f>IF(Deltagarlista!$K$3=4,IF(ISBLANK(Deltagarlista!$C59),"",IF(ISBLANK(Arrangörslista!H$143),"",IFERROR(VLOOKUP($F50,Arrangörslista!H$143:$AG$180,16,FALSE),IF(ISBLANK(Deltagarlista!$C59),"",IF(ISBLANK(Arrangörslista!H$143),"",IFERROR(VLOOKUP($F50,Arrangörslista!I$143:$AG$180,16,FALSE),"DNS")))))),IF(Deltagarlista!$K$3=2,
IF(ISBLANK(Deltagarlista!$C59),"",IF(ISBLANK(Arrangörslista!M$53),"",IF($GV50=AI$64," DNS ",IFERROR(VLOOKUP($F50,Arrangörslista!M$53:$AG$90,16,FALSE),"DNS")))),IF(ISBLANK(Deltagarlista!$C59),"",IF(ISBLANK(Arrangörslista!M$53),"",IFERROR(VLOOKUP($F50,Arrangörslista!M$53:$AG$90,16,FALSE),"DNS")))))</f>
        <v/>
      </c>
      <c r="AJ50" s="5" t="str">
        <f>IF(Deltagarlista!$K$3=4,IF(ISBLANK(Deltagarlista!$C59),"",IF(ISBLANK(Arrangörslista!J$143),"",IFERROR(VLOOKUP($F50,Arrangörslista!J$143:$AG$180,16,FALSE),IF(ISBLANK(Deltagarlista!$C59),"",IF(ISBLANK(Arrangörslista!J$143),"",IFERROR(VLOOKUP($F50,Arrangörslista!K$143:$AG$180,16,FALSE),"DNS")))))),IF(Deltagarlista!$K$3=2,
IF(ISBLANK(Deltagarlista!$C59),"",IF(ISBLANK(Arrangörslista!N$53),"",IF($GV50=AJ$64," DNS ",IFERROR(VLOOKUP($F50,Arrangörslista!N$53:$AG$90,16,FALSE),"DNS")))),IF(ISBLANK(Deltagarlista!$C59),"",IF(ISBLANK(Arrangörslista!N$53),"",IFERROR(VLOOKUP($F50,Arrangörslista!N$53:$AG$90,16,FALSE),"DNS")))))</f>
        <v/>
      </c>
      <c r="AK50" s="5" t="str">
        <f>IF(Deltagarlista!$K$3=4,IF(ISBLANK(Deltagarlista!$C59),"",IF(ISBLANK(Arrangörslista!L$143),"",IFERROR(VLOOKUP($F50,Arrangörslista!L$143:$AG$180,16,FALSE),IF(ISBLANK(Deltagarlista!$C59),"",IF(ISBLANK(Arrangörslista!L$143),"",IFERROR(VLOOKUP($F50,Arrangörslista!M$143:$AG$180,16,FALSE),"DNS")))))),IF(Deltagarlista!$K$3=2,
IF(ISBLANK(Deltagarlista!$C59),"",IF(ISBLANK(Arrangörslista!O$53),"",IF($GV50=AK$64," DNS ",IFERROR(VLOOKUP($F50,Arrangörslista!O$53:$AG$90,16,FALSE),"DNS")))),IF(ISBLANK(Deltagarlista!$C59),"",IF(ISBLANK(Arrangörslista!O$53),"",IFERROR(VLOOKUP($F50,Arrangörslista!O$53:$AG$90,16,FALSE),"DNS")))))</f>
        <v/>
      </c>
      <c r="AL50" s="5" t="str">
        <f>IF(Deltagarlista!$K$3=4,IF(ISBLANK(Deltagarlista!$C59),"",IF(ISBLANK(Arrangörslista!N$143),"",IFERROR(VLOOKUP($F50,Arrangörslista!N$143:$AG$180,16,FALSE),IF(ISBLANK(Deltagarlista!$C59),"",IF(ISBLANK(Arrangörslista!N$143),"",IFERROR(VLOOKUP($F50,Arrangörslista!O$143:$AG$180,16,FALSE),"DNS")))))),IF(Deltagarlista!$K$3=2,
IF(ISBLANK(Deltagarlista!$C59),"",IF(ISBLANK(Arrangörslista!P$53),"",IF($GV50=AL$64," DNS ",IFERROR(VLOOKUP($F50,Arrangörslista!P$53:$AG$90,16,FALSE),"DNS")))),IF(ISBLANK(Deltagarlista!$C59),"",IF(ISBLANK(Arrangörslista!P$53),"",IFERROR(VLOOKUP($F50,Arrangörslista!P$53:$AG$90,16,FALSE),"DNS")))))</f>
        <v/>
      </c>
      <c r="AM50" s="5" t="str">
        <f>IF(Deltagarlista!$K$3=4,IF(ISBLANK(Deltagarlista!$C59),"",IF(ISBLANK(Arrangörslista!P$143),"",IFERROR(VLOOKUP($F50,Arrangörslista!P$143:$AG$180,16,FALSE),IF(ISBLANK(Deltagarlista!$C59),"",IF(ISBLANK(Arrangörslista!P$143),"",IFERROR(VLOOKUP($F50,Arrangörslista!Q$143:$AG$180,16,FALSE),"DNS")))))),IF(Deltagarlista!$K$3=2,
IF(ISBLANK(Deltagarlista!$C59),"",IF(ISBLANK(Arrangörslista!Q$53),"",IF($GV50=AM$64," DNS ",IFERROR(VLOOKUP($F50,Arrangörslista!Q$53:$AG$90,16,FALSE),"DNS")))),IF(ISBLANK(Deltagarlista!$C59),"",IF(ISBLANK(Arrangörslista!Q$53),"",IFERROR(VLOOKUP($F50,Arrangörslista!Q$53:$AG$90,16,FALSE),"DNS")))))</f>
        <v/>
      </c>
      <c r="AN50" s="5" t="str">
        <f>IF(Deltagarlista!$K$3=2,
IF(ISBLANK(Deltagarlista!$C59),"",IF(ISBLANK(Arrangörslista!C$98),"",IF($GV50=AN$64," DNS ",IFERROR(VLOOKUP($F50,Arrangörslista!C$98:$AG$135,16,FALSE), "DNS")))), IF(Deltagarlista!$K$3=1,IF(ISBLANK(Deltagarlista!$C59),"",IF(ISBLANK(Arrangörslista!C$98),"",IFERROR(VLOOKUP($F50,Arrangörslista!C$98:$AG$135,16,FALSE), "DNS"))),""))</f>
        <v/>
      </c>
      <c r="AO50" s="5" t="str">
        <f>IF(Deltagarlista!$K$3=2,
IF(ISBLANK(Deltagarlista!$C59),"",IF(ISBLANK(Arrangörslista!D$98),"",IF($GV50=AO$64," DNS ",IFERROR(VLOOKUP($F50,Arrangörslista!D$98:$AG$135,16,FALSE), "DNS")))), IF(Deltagarlista!$K$3=1,IF(ISBLANK(Deltagarlista!$C59),"",IF(ISBLANK(Arrangörslista!D$98),"",IFERROR(VLOOKUP($F50,Arrangörslista!D$98:$AG$135,16,FALSE), "DNS"))),""))</f>
        <v/>
      </c>
      <c r="AP50" s="5" t="str">
        <f>IF(Deltagarlista!$K$3=2,
IF(ISBLANK(Deltagarlista!$C59),"",IF(ISBLANK(Arrangörslista!E$98),"",IF($GV50=AP$64," DNS ",IFERROR(VLOOKUP($F50,Arrangörslista!E$98:$AG$135,16,FALSE), "DNS")))), IF(Deltagarlista!$K$3=1,IF(ISBLANK(Deltagarlista!$C59),"",IF(ISBLANK(Arrangörslista!E$98),"",IFERROR(VLOOKUP($F50,Arrangörslista!E$98:$AG$135,16,FALSE), "DNS"))),""))</f>
        <v/>
      </c>
      <c r="AQ50" s="5" t="str">
        <f>IF(Deltagarlista!$K$3=2,
IF(ISBLANK(Deltagarlista!$C59),"",IF(ISBLANK(Arrangörslista!F$98),"",IF($GV50=AQ$64," DNS ",IFERROR(VLOOKUP($F50,Arrangörslista!F$98:$AG$135,16,FALSE), "DNS")))), IF(Deltagarlista!$K$3=1,IF(ISBLANK(Deltagarlista!$C59),"",IF(ISBLANK(Arrangörslista!F$98),"",IFERROR(VLOOKUP($F50,Arrangörslista!F$98:$AG$135,16,FALSE), "DNS"))),""))</f>
        <v/>
      </c>
      <c r="AR50" s="5" t="str">
        <f>IF(Deltagarlista!$K$3=2,
IF(ISBLANK(Deltagarlista!$C59),"",IF(ISBLANK(Arrangörslista!G$98),"",IF($GV50=AR$64," DNS ",IFERROR(VLOOKUP($F50,Arrangörslista!G$98:$AG$135,16,FALSE), "DNS")))), IF(Deltagarlista!$K$3=1,IF(ISBLANK(Deltagarlista!$C59),"",IF(ISBLANK(Arrangörslista!G$98),"",IFERROR(VLOOKUP($F50,Arrangörslista!G$98:$AG$135,16,FALSE), "DNS"))),""))</f>
        <v/>
      </c>
      <c r="AS50" s="5" t="str">
        <f>IF(Deltagarlista!$K$3=2,
IF(ISBLANK(Deltagarlista!$C59),"",IF(ISBLANK(Arrangörslista!H$98),"",IF($GV50=AS$64," DNS ",IFERROR(VLOOKUP($F50,Arrangörslista!H$98:$AG$135,16,FALSE), "DNS")))), IF(Deltagarlista!$K$3=1,IF(ISBLANK(Deltagarlista!$C59),"",IF(ISBLANK(Arrangörslista!H$98),"",IFERROR(VLOOKUP($F50,Arrangörslista!H$98:$AG$135,16,FALSE), "DNS"))),""))</f>
        <v/>
      </c>
      <c r="AT50" s="5" t="str">
        <f>IF(Deltagarlista!$K$3=2,
IF(ISBLANK(Deltagarlista!$C59),"",IF(ISBLANK(Arrangörslista!I$98),"",IF($GV50=AT$64," DNS ",IFERROR(VLOOKUP($F50,Arrangörslista!I$98:$AG$135,16,FALSE), "DNS")))), IF(Deltagarlista!$K$3=1,IF(ISBLANK(Deltagarlista!$C59),"",IF(ISBLANK(Arrangörslista!I$98),"",IFERROR(VLOOKUP($F50,Arrangörslista!I$98:$AG$135,16,FALSE), "DNS"))),""))</f>
        <v/>
      </c>
      <c r="AU50" s="5" t="str">
        <f>IF(Deltagarlista!$K$3=2,
IF(ISBLANK(Deltagarlista!$C59),"",IF(ISBLANK(Arrangörslista!J$98),"",IF($GV50=AU$64," DNS ",IFERROR(VLOOKUP($F50,Arrangörslista!J$98:$AG$135,16,FALSE), "DNS")))), IF(Deltagarlista!$K$3=1,IF(ISBLANK(Deltagarlista!$C59),"",IF(ISBLANK(Arrangörslista!J$98),"",IFERROR(VLOOKUP($F50,Arrangörslista!J$98:$AG$135,16,FALSE), "DNS"))),""))</f>
        <v/>
      </c>
      <c r="AV50" s="5" t="str">
        <f>IF(Deltagarlista!$K$3=2,
IF(ISBLANK(Deltagarlista!$C59),"",IF(ISBLANK(Arrangörslista!K$98),"",IF($GV50=AV$64," DNS ",IFERROR(VLOOKUP($F50,Arrangörslista!K$98:$AG$135,16,FALSE), "DNS")))), IF(Deltagarlista!$K$3=1,IF(ISBLANK(Deltagarlista!$C59),"",IF(ISBLANK(Arrangörslista!K$98),"",IFERROR(VLOOKUP($F50,Arrangörslista!K$98:$AG$135,16,FALSE), "DNS"))),""))</f>
        <v/>
      </c>
      <c r="AW50" s="5" t="str">
        <f>IF(Deltagarlista!$K$3=2,
IF(ISBLANK(Deltagarlista!$C59),"",IF(ISBLANK(Arrangörslista!L$98),"",IF($GV50=AW$64," DNS ",IFERROR(VLOOKUP($F50,Arrangörslista!L$98:$AG$135,16,FALSE), "DNS")))), IF(Deltagarlista!$K$3=1,IF(ISBLANK(Deltagarlista!$C59),"",IF(ISBLANK(Arrangörslista!L$98),"",IFERROR(VLOOKUP($F50,Arrangörslista!L$98:$AG$135,16,FALSE), "DNS"))),""))</f>
        <v/>
      </c>
      <c r="AX50" s="5" t="str">
        <f>IF(Deltagarlista!$K$3=2,
IF(ISBLANK(Deltagarlista!$C59),"",IF(ISBLANK(Arrangörslista!M$98),"",IF($GV50=AX$64," DNS ",IFERROR(VLOOKUP($F50,Arrangörslista!M$98:$AG$135,16,FALSE), "DNS")))), IF(Deltagarlista!$K$3=1,IF(ISBLANK(Deltagarlista!$C59),"",IF(ISBLANK(Arrangörslista!M$98),"",IFERROR(VLOOKUP($F50,Arrangörslista!M$98:$AG$135,16,FALSE), "DNS"))),""))</f>
        <v/>
      </c>
      <c r="AY50" s="5" t="str">
        <f>IF(Deltagarlista!$K$3=2,
IF(ISBLANK(Deltagarlista!$C59),"",IF(ISBLANK(Arrangörslista!N$98),"",IF($GV50=AY$64," DNS ",IFERROR(VLOOKUP($F50,Arrangörslista!N$98:$AG$135,16,FALSE), "DNS")))), IF(Deltagarlista!$K$3=1,IF(ISBLANK(Deltagarlista!$C59),"",IF(ISBLANK(Arrangörslista!N$98),"",IFERROR(VLOOKUP($F50,Arrangörslista!N$98:$AG$135,16,FALSE), "DNS"))),""))</f>
        <v/>
      </c>
      <c r="AZ50" s="5" t="str">
        <f>IF(Deltagarlista!$K$3=2,
IF(ISBLANK(Deltagarlista!$C59),"",IF(ISBLANK(Arrangörslista!O$98),"",IF($GV50=AZ$64," DNS ",IFERROR(VLOOKUP($F50,Arrangörslista!O$98:$AG$135,16,FALSE), "DNS")))), IF(Deltagarlista!$K$3=1,IF(ISBLANK(Deltagarlista!$C59),"",IF(ISBLANK(Arrangörslista!O$98),"",IFERROR(VLOOKUP($F50,Arrangörslista!O$98:$AG$135,16,FALSE), "DNS"))),""))</f>
        <v/>
      </c>
      <c r="BA50" s="5" t="str">
        <f>IF(Deltagarlista!$K$3=2,
IF(ISBLANK(Deltagarlista!$C59),"",IF(ISBLANK(Arrangörslista!P$98),"",IF($GV50=BA$64," DNS ",IFERROR(VLOOKUP($F50,Arrangörslista!P$98:$AG$135,16,FALSE), "DNS")))), IF(Deltagarlista!$K$3=1,IF(ISBLANK(Deltagarlista!$C59),"",IF(ISBLANK(Arrangörslista!P$98),"",IFERROR(VLOOKUP($F50,Arrangörslista!P$98:$AG$135,16,FALSE), "DNS"))),""))</f>
        <v/>
      </c>
      <c r="BB50" s="5" t="str">
        <f>IF(Deltagarlista!$K$3=2,
IF(ISBLANK(Deltagarlista!$C59),"",IF(ISBLANK(Arrangörslista!Q$98),"",IF($GV50=BB$64," DNS ",IFERROR(VLOOKUP($F50,Arrangörslista!Q$98:$AG$135,16,FALSE), "DNS")))), IF(Deltagarlista!$K$3=1,IF(ISBLANK(Deltagarlista!$C59),"",IF(ISBLANK(Arrangörslista!Q$98),"",IFERROR(VLOOKUP($F50,Arrangörslista!Q$98:$AG$135,16,FALSE), "DNS"))),""))</f>
        <v/>
      </c>
      <c r="BC50" s="5" t="str">
        <f>IF(Deltagarlista!$K$3=2,
IF(ISBLANK(Deltagarlista!$C59),"",IF(ISBLANK(Arrangörslista!C$143),"",IF($GV50=BC$64," DNS ",IFERROR(VLOOKUP($F50,Arrangörslista!C$143:$AG$180,16,FALSE), "DNS")))), IF(Deltagarlista!$K$3=1,IF(ISBLANK(Deltagarlista!$C59),"",IF(ISBLANK(Arrangörslista!C$143),"",IFERROR(VLOOKUP($F50,Arrangörslista!C$143:$AG$180,16,FALSE), "DNS"))),""))</f>
        <v/>
      </c>
      <c r="BD50" s="5" t="str">
        <f>IF(Deltagarlista!$K$3=2,
IF(ISBLANK(Deltagarlista!$C59),"",IF(ISBLANK(Arrangörslista!D$143),"",IF($GV50=BD$64," DNS ",IFERROR(VLOOKUP($F50,Arrangörslista!D$143:$AG$180,16,FALSE), "DNS")))), IF(Deltagarlista!$K$3=1,IF(ISBLANK(Deltagarlista!$C59),"",IF(ISBLANK(Arrangörslista!D$143),"",IFERROR(VLOOKUP($F50,Arrangörslista!D$143:$AG$180,16,FALSE), "DNS"))),""))</f>
        <v/>
      </c>
      <c r="BE50" s="5" t="str">
        <f>IF(Deltagarlista!$K$3=2,
IF(ISBLANK(Deltagarlista!$C59),"",IF(ISBLANK(Arrangörslista!E$143),"",IF($GV50=BE$64," DNS ",IFERROR(VLOOKUP($F50,Arrangörslista!E$143:$AG$180,16,FALSE), "DNS")))), IF(Deltagarlista!$K$3=1,IF(ISBLANK(Deltagarlista!$C59),"",IF(ISBLANK(Arrangörslista!E$143),"",IFERROR(VLOOKUP($F50,Arrangörslista!E$143:$AG$180,16,FALSE), "DNS"))),""))</f>
        <v/>
      </c>
      <c r="BF50" s="5" t="str">
        <f>IF(Deltagarlista!$K$3=2,
IF(ISBLANK(Deltagarlista!$C59),"",IF(ISBLANK(Arrangörslista!F$143),"",IF($GV50=BF$64," DNS ",IFERROR(VLOOKUP($F50,Arrangörslista!F$143:$AG$180,16,FALSE), "DNS")))), IF(Deltagarlista!$K$3=1,IF(ISBLANK(Deltagarlista!$C59),"",IF(ISBLANK(Arrangörslista!F$143),"",IFERROR(VLOOKUP($F50,Arrangörslista!F$143:$AG$180,16,FALSE), "DNS"))),""))</f>
        <v/>
      </c>
      <c r="BG50" s="5" t="str">
        <f>IF(Deltagarlista!$K$3=2,
IF(ISBLANK(Deltagarlista!$C59),"",IF(ISBLANK(Arrangörslista!G$143),"",IF($GV50=BG$64," DNS ",IFERROR(VLOOKUP($F50,Arrangörslista!G$143:$AG$180,16,FALSE), "DNS")))), IF(Deltagarlista!$K$3=1,IF(ISBLANK(Deltagarlista!$C59),"",IF(ISBLANK(Arrangörslista!G$143),"",IFERROR(VLOOKUP($F50,Arrangörslista!G$143:$AG$180,16,FALSE), "DNS"))),""))</f>
        <v/>
      </c>
      <c r="BH50" s="5" t="str">
        <f>IF(Deltagarlista!$K$3=2,
IF(ISBLANK(Deltagarlista!$C59),"",IF(ISBLANK(Arrangörslista!H$143),"",IF($GV50=BH$64," DNS ",IFERROR(VLOOKUP($F50,Arrangörslista!H$143:$AG$180,16,FALSE), "DNS")))), IF(Deltagarlista!$K$3=1,IF(ISBLANK(Deltagarlista!$C59),"",IF(ISBLANK(Arrangörslista!H$143),"",IFERROR(VLOOKUP($F50,Arrangörslista!H$143:$AG$180,16,FALSE), "DNS"))),""))</f>
        <v/>
      </c>
      <c r="BI50" s="5" t="str">
        <f>IF(Deltagarlista!$K$3=2,
IF(ISBLANK(Deltagarlista!$C59),"",IF(ISBLANK(Arrangörslista!I$143),"",IF($GV50=BI$64," DNS ",IFERROR(VLOOKUP($F50,Arrangörslista!I$143:$AG$180,16,FALSE), "DNS")))), IF(Deltagarlista!$K$3=1,IF(ISBLANK(Deltagarlista!$C59),"",IF(ISBLANK(Arrangörslista!I$143),"",IFERROR(VLOOKUP($F50,Arrangörslista!I$143:$AG$180,16,FALSE), "DNS"))),""))</f>
        <v/>
      </c>
      <c r="BJ50" s="5" t="str">
        <f>IF(Deltagarlista!$K$3=2,
IF(ISBLANK(Deltagarlista!$C59),"",IF(ISBLANK(Arrangörslista!J$143),"",IF($GV50=BJ$64," DNS ",IFERROR(VLOOKUP($F50,Arrangörslista!J$143:$AG$180,16,FALSE), "DNS")))), IF(Deltagarlista!$K$3=1,IF(ISBLANK(Deltagarlista!$C59),"",IF(ISBLANK(Arrangörslista!J$143),"",IFERROR(VLOOKUP($F50,Arrangörslista!J$143:$AG$180,16,FALSE), "DNS"))),""))</f>
        <v/>
      </c>
      <c r="BK50" s="5" t="str">
        <f>IF(Deltagarlista!$K$3=2,
IF(ISBLANK(Deltagarlista!$C59),"",IF(ISBLANK(Arrangörslista!K$143),"",IF($GV50=BK$64," DNS ",IFERROR(VLOOKUP($F50,Arrangörslista!K$143:$AG$180,16,FALSE), "DNS")))), IF(Deltagarlista!$K$3=1,IF(ISBLANK(Deltagarlista!$C59),"",IF(ISBLANK(Arrangörslista!K$143),"",IFERROR(VLOOKUP($F50,Arrangörslista!K$143:$AG$180,16,FALSE), "DNS"))),""))</f>
        <v/>
      </c>
      <c r="BL50" s="5" t="str">
        <f>IF(Deltagarlista!$K$3=2,
IF(ISBLANK(Deltagarlista!$C59),"",IF(ISBLANK(Arrangörslista!L$143),"",IF($GV50=BL$64," DNS ",IFERROR(VLOOKUP($F50,Arrangörslista!L$143:$AG$180,16,FALSE), "DNS")))), IF(Deltagarlista!$K$3=1,IF(ISBLANK(Deltagarlista!$C59),"",IF(ISBLANK(Arrangörslista!L$143),"",IFERROR(VLOOKUP($F50,Arrangörslista!L$143:$AG$180,16,FALSE), "DNS"))),""))</f>
        <v/>
      </c>
      <c r="BM50" s="5" t="str">
        <f>IF(Deltagarlista!$K$3=2,
IF(ISBLANK(Deltagarlista!$C59),"",IF(ISBLANK(Arrangörslista!M$143),"",IF($GV50=BM$64," DNS ",IFERROR(VLOOKUP($F50,Arrangörslista!M$143:$AG$180,16,FALSE), "DNS")))), IF(Deltagarlista!$K$3=1,IF(ISBLANK(Deltagarlista!$C59),"",IF(ISBLANK(Arrangörslista!M$143),"",IFERROR(VLOOKUP($F50,Arrangörslista!M$143:$AG$180,16,FALSE), "DNS"))),""))</f>
        <v/>
      </c>
      <c r="BN50" s="5" t="str">
        <f>IF(Deltagarlista!$K$3=2,
IF(ISBLANK(Deltagarlista!$C59),"",IF(ISBLANK(Arrangörslista!N$143),"",IF($GV50=BN$64," DNS ",IFERROR(VLOOKUP($F50,Arrangörslista!N$143:$AG$180,16,FALSE), "DNS")))), IF(Deltagarlista!$K$3=1,IF(ISBLANK(Deltagarlista!$C59),"",IF(ISBLANK(Arrangörslista!N$143),"",IFERROR(VLOOKUP($F50,Arrangörslista!N$143:$AG$180,16,FALSE), "DNS"))),""))</f>
        <v/>
      </c>
      <c r="BO50" s="5" t="str">
        <f>IF(Deltagarlista!$K$3=2,
IF(ISBLANK(Deltagarlista!$C59),"",IF(ISBLANK(Arrangörslista!O$143),"",IF($GV50=BO$64," DNS ",IFERROR(VLOOKUP($F50,Arrangörslista!O$143:$AG$180,16,FALSE), "DNS")))), IF(Deltagarlista!$K$3=1,IF(ISBLANK(Deltagarlista!$C59),"",IF(ISBLANK(Arrangörslista!O$143),"",IFERROR(VLOOKUP($F50,Arrangörslista!O$143:$AG$180,16,FALSE), "DNS"))),""))</f>
        <v/>
      </c>
      <c r="BP50" s="5" t="str">
        <f>IF(Deltagarlista!$K$3=2,
IF(ISBLANK(Deltagarlista!$C59),"",IF(ISBLANK(Arrangörslista!P$143),"",IF($GV50=BP$64," DNS ",IFERROR(VLOOKUP($F50,Arrangörslista!P$143:$AG$180,16,FALSE), "DNS")))), IF(Deltagarlista!$K$3=1,IF(ISBLANK(Deltagarlista!$C59),"",IF(ISBLANK(Arrangörslista!P$143),"",IFERROR(VLOOKUP($F50,Arrangörslista!P$143:$AG$180,16,FALSE), "DNS"))),""))</f>
        <v/>
      </c>
      <c r="BQ50" s="80" t="str">
        <f>IF(Deltagarlista!$K$3=2,
IF(ISBLANK(Deltagarlista!$C59),"",IF(ISBLANK(Arrangörslista!Q$143),"",IF($GV50=BQ$64," DNS ",IFERROR(VLOOKUP($F50,Arrangörslista!Q$143:$AG$180,16,FALSE), "DNS")))), IF(Deltagarlista!$K$3=1,IF(ISBLANK(Deltagarlista!$C59),"",IF(ISBLANK(Arrangörslista!Q$143),"",IFERROR(VLOOKUP($F50,Arrangörslista!Q$143:$AG$180,16,FALSE), "DNS"))),""))</f>
        <v/>
      </c>
      <c r="BR50" s="48"/>
      <c r="BU50" s="71">
        <f>SUM(BV50:EC50)</f>
        <v>0</v>
      </c>
      <c r="BV50" s="61">
        <f>IF(J50="",0,IF(OR(J50="DNF",J50="OCS",J50="DSQ",J50="DNS",J50=" DNS "),$BW$3+1,J50))</f>
        <v>0</v>
      </c>
      <c r="BW50" s="61">
        <f>IF(K50="",0,IF(OR(K50="DNF",K50="OCS",K50="DSQ",K50="DNS",K50=" DNS "),$BW$3+1,K50))</f>
        <v>0</v>
      </c>
      <c r="BX50" s="61">
        <f>IF(L50="",0,IF(OR(L50="DNF",L50="OCS",L50="DSQ",L50="DNS",L50=" DNS "),$BW$3+1,L50))</f>
        <v>0</v>
      </c>
      <c r="BY50" s="61">
        <f>IF(M50="",0,IF(OR(M50="DNF",M50="OCS",M50="DSQ",M50="DNS",M50=" DNS "),$BW$3+1,M50))</f>
        <v>0</v>
      </c>
      <c r="BZ50" s="61">
        <f>IF(N50="",0,IF(OR(N50="DNF",N50="OCS",N50="DSQ",N50="DNS",N50=" DNS "),$BW$3+1,N50))</f>
        <v>0</v>
      </c>
      <c r="CA50" s="61">
        <f>IF(O50="",0,IF(OR(O50="DNF",O50="OCS",O50="DSQ",O50="DNS",O50=" DNS "),$BW$3+1,O50))</f>
        <v>0</v>
      </c>
      <c r="CB50" s="61">
        <f>IF(P50="",0,IF(OR(P50="DNF",P50="OCS",P50="DSQ",P50="DNS",P50=" DNS "),$BW$3+1,P50))</f>
        <v>0</v>
      </c>
      <c r="CC50" s="61">
        <f>IF(Q50="",0,IF(OR(Q50="DNF",Q50="OCS",Q50="DSQ",Q50="DNS",Q50=" DNS "),$BW$3+1,Q50))</f>
        <v>0</v>
      </c>
      <c r="CD50" s="61">
        <f>IF(R50="",0,IF(OR(R50="DNF",R50="OCS",R50="DSQ",R50="DNS",R50=" DNS "),$BW$3+1,R50))</f>
        <v>0</v>
      </c>
      <c r="CE50" s="61">
        <f>IF(S50="",0,IF(OR(S50="DNF",S50="OCS",S50="DSQ",S50="DNS",S50=" DNS "),$BW$3+1,S50))</f>
        <v>0</v>
      </c>
      <c r="CF50" s="61">
        <f>IF(T50="",0,IF(OR(T50="DNF",T50="OCS",T50="DSQ",T50="DNS",T50=" DNS "),$BW$3+1,T50))</f>
        <v>0</v>
      </c>
      <c r="CG50" s="61">
        <f>IF(U50="",0,IF(OR(U50="DNF",U50="OCS",U50="DSQ",U50="DNS",U50=" DNS "),$BW$3+1,U50))</f>
        <v>0</v>
      </c>
      <c r="CH50" s="61">
        <f>IF(V50="",0,IF(OR(V50="DNF",V50="OCS",V50="DSQ",V50="DNS",V50=" DNS "),$BW$3+1,V50))</f>
        <v>0</v>
      </c>
      <c r="CI50" s="61">
        <f>IF(W50="",0,IF(OR(W50="DNF",W50="OCS",W50="DSQ",W50="DNS",W50=" DNS "),$BW$3+1,W50))</f>
        <v>0</v>
      </c>
      <c r="CJ50" s="61">
        <f>IF(X50="",0,IF(OR(X50="DNF",X50="OCS",X50="DSQ",X50="DNS",X50=" DNS "),$BW$3+1,X50))</f>
        <v>0</v>
      </c>
      <c r="CK50" s="61">
        <f>IF(Y50="",0,IF(OR(Y50="DNF",Y50="OCS",Y50="DSQ",Y50="DNS",Y50=" DNS "),$BW$3+1,Y50))</f>
        <v>0</v>
      </c>
      <c r="CL50" s="61">
        <f>IF(Z50="",0,IF(OR(Z50="DNF",Z50="OCS",Z50="DSQ",Z50="DNS",Z50=" DNS "),$BW$3+1,Z50))</f>
        <v>0</v>
      </c>
      <c r="CM50" s="61">
        <f>IF(AA50="",0,IF(OR(AA50="DNF",AA50="OCS",AA50="DSQ",AA50="DNS",AA50=" DNS "),$BW$3+1,AA50))</f>
        <v>0</v>
      </c>
      <c r="CN50" s="61">
        <f>IF(AB50="",0,IF(OR(AB50="DNF",AB50="OCS",AB50="DSQ",AB50="DNS",AB50=" DNS "),$BW$3+1,AB50))</f>
        <v>0</v>
      </c>
      <c r="CO50" s="61">
        <f>IF(AC50="",0,IF(OR(AC50="DNF",AC50="OCS",AC50="DSQ",AC50="DNS",AC50=" DNS "),$BW$3+1,AC50))</f>
        <v>0</v>
      </c>
      <c r="CP50" s="61">
        <f>IF(AD50="",0,IF(OR(AD50="DNF",AD50="OCS",AD50="DSQ",AD50="DNS",AD50=" DNS "),$BW$3+1,AD50))</f>
        <v>0</v>
      </c>
      <c r="CQ50" s="61">
        <f>IF(AE50="",0,IF(OR(AE50="DNF",AE50="OCS",AE50="DSQ",AE50="DNS",AE50=" DNS "),$BW$3+1,AE50))</f>
        <v>0</v>
      </c>
      <c r="CR50" s="61">
        <f>IF(AF50="",0,IF(OR(AF50="DNF",AF50="OCS",AF50="DSQ",AF50="DNS",AF50=" DNS "),$BW$3+1,AF50))</f>
        <v>0</v>
      </c>
      <c r="CS50" s="61">
        <f>IF(AG50="",0,IF(OR(AG50="DNF",AG50="OCS",AG50="DSQ",AG50="DNS",AG50=" DNS "),$BW$3+1,AG50))</f>
        <v>0</v>
      </c>
      <c r="CT50" s="61">
        <f>IF(AH50="",0,IF(OR(AH50="DNF",AH50="OCS",AH50="DSQ",AH50="DNS",AH50=" DNS "),$BW$3+1,AH50))</f>
        <v>0</v>
      </c>
      <c r="CU50" s="61">
        <f>IF(AI50="",0,IF(OR(AI50="DNF",AI50="OCS",AI50="DSQ",AI50="DNS",AI50=" DNS "),$BW$3+1,AI50))</f>
        <v>0</v>
      </c>
      <c r="CV50" s="61">
        <f>IF(AJ50="",0,IF(OR(AJ50="DNF",AJ50="OCS",AJ50="DSQ",AJ50="DNS",AJ50=" DNS "),$BW$3+1,AJ50))</f>
        <v>0</v>
      </c>
      <c r="CW50" s="61">
        <f>IF(AK50="",0,IF(OR(AK50="DNF",AK50="OCS",AK50="DSQ",AK50="DNS",AK50=" DNS "),$BW$3+1,AK50))</f>
        <v>0</v>
      </c>
      <c r="CX50" s="61">
        <f>IF(AL50="",0,IF(OR(AL50="DNF",AL50="OCS",AL50="DSQ",AL50="DNS",AL50=" DNS "),$BW$3+1,AL50))</f>
        <v>0</v>
      </c>
      <c r="CY50" s="61">
        <f>IF(AM50="",0,IF(OR(AM50="DNF",AM50="OCS",AM50="DSQ",AM50="DNS",AM50=" DNS "),$BW$3+1,AM50))</f>
        <v>0</v>
      </c>
      <c r="CZ50" s="61">
        <f>IF(AN50="",0,IF(OR(AN50="DNF",AN50="OCS",AN50="DSQ",AN50="DNS",AN50=" DNS "),$BW$3+1,AN50))</f>
        <v>0</v>
      </c>
      <c r="DA50" s="61">
        <f>IF(AO50="",0,IF(OR(AO50="DNF",AO50="OCS",AO50="DSQ",AO50="DNS",AO50=" DNS "),$BW$3+1,AO50))</f>
        <v>0</v>
      </c>
      <c r="DB50" s="61">
        <f>IF(AP50="",0,IF(OR(AP50="DNF",AP50="OCS",AP50="DSQ",AP50="DNS",AP50=" DNS "),$BW$3+1,AP50))</f>
        <v>0</v>
      </c>
      <c r="DC50" s="61">
        <f>IF(AQ50="",0,IF(OR(AQ50="DNF",AQ50="OCS",AQ50="DSQ",AQ50="DNS",AQ50=" DNS "),$BW$3+1,AQ50))</f>
        <v>0</v>
      </c>
      <c r="DD50" s="61">
        <f>IF(AR50="",0,IF(OR(AR50="DNF",AR50="OCS",AR50="DSQ",AR50="DNS",AR50=" DNS "),$BW$3+1,AR50))</f>
        <v>0</v>
      </c>
      <c r="DE50" s="61">
        <f>IF(AS50="",0,IF(OR(AS50="DNF",AS50="OCS",AS50="DSQ",AS50="DNS",AS50=" DNS "),$BW$3+1,AS50))</f>
        <v>0</v>
      </c>
      <c r="DF50" s="61">
        <f>IF(AT50="",0,IF(OR(AT50="DNF",AT50="OCS",AT50="DSQ",AT50="DNS",AT50=" DNS "),$BW$3+1,AT50))</f>
        <v>0</v>
      </c>
      <c r="DG50" s="61">
        <f>IF(AU50="",0,IF(OR(AU50="DNF",AU50="OCS",AU50="DSQ",AU50="DNS",AU50=" DNS "),$BW$3+1,AU50))</f>
        <v>0</v>
      </c>
      <c r="DH50" s="61">
        <f>IF(AV50="",0,IF(OR(AV50="DNF",AV50="OCS",AV50="DSQ",AV50="DNS",AV50=" DNS "),$BW$3+1,AV50))</f>
        <v>0</v>
      </c>
      <c r="DI50" s="61">
        <f>IF(AW50="",0,IF(OR(AW50="DNF",AW50="OCS",AW50="DSQ",AW50="DNS",AW50=" DNS "),$BW$3+1,AW50))</f>
        <v>0</v>
      </c>
      <c r="DJ50" s="61">
        <f>IF(AX50="",0,IF(OR(AX50="DNF",AX50="OCS",AX50="DSQ",AX50="DNS",AX50=" DNS "),$BW$3+1,AX50))</f>
        <v>0</v>
      </c>
      <c r="DK50" s="61">
        <f>IF(AY50="",0,IF(OR(AY50="DNF",AY50="OCS",AY50="DSQ",AY50="DNS",AY50=" DNS "),$BW$3+1,AY50))</f>
        <v>0</v>
      </c>
      <c r="DL50" s="61">
        <f>IF(AZ50="",0,IF(OR(AZ50="DNF",AZ50="OCS",AZ50="DSQ",AZ50="DNS",AZ50=" DNS "),$BW$3+1,AZ50))</f>
        <v>0</v>
      </c>
      <c r="DM50" s="61">
        <f>IF(BA50="",0,IF(OR(BA50="DNF",BA50="OCS",BA50="DSQ",BA50="DNS",BA50=" DNS "),$BW$3+1,BA50))</f>
        <v>0</v>
      </c>
      <c r="DN50" s="61">
        <f>IF(BB50="",0,IF(OR(BB50="DNF",BB50="OCS",BB50="DSQ",BB50="DNS",BB50=" DNS "),$BW$3+1,BB50))</f>
        <v>0</v>
      </c>
      <c r="DO50" s="61">
        <f>IF(BC50="",0,IF(OR(BC50="DNF",BC50="OCS",BC50="DSQ",BC50="DNS",BC50=" DNS "),$BW$3+1,BC50))</f>
        <v>0</v>
      </c>
      <c r="DP50" s="61">
        <f>IF(BD50="",0,IF(OR(BD50="DNF",BD50="OCS",BD50="DSQ",BD50="DNS",BD50=" DNS "),$BW$3+1,BD50))</f>
        <v>0</v>
      </c>
      <c r="DQ50" s="61">
        <f>IF(BE50="",0,IF(OR(BE50="DNF",BE50="OCS",BE50="DSQ",BE50="DNS",BE50=" DNS "),$BW$3+1,BE50))</f>
        <v>0</v>
      </c>
      <c r="DR50" s="61">
        <f>IF(BF50="",0,IF(OR(BF50="DNF",BF50="OCS",BF50="DSQ",BF50="DNS",BF50=" DNS "),$BW$3+1,BF50))</f>
        <v>0</v>
      </c>
      <c r="DS50" s="61">
        <f>IF(BG50="",0,IF(OR(BG50="DNF",BG50="OCS",BG50="DSQ",BG50="DNS",BG50=" DNS "),$BW$3+1,BG50))</f>
        <v>0</v>
      </c>
      <c r="DT50" s="61">
        <f>IF(BH50="",0,IF(OR(BH50="DNF",BH50="OCS",BH50="DSQ",BH50="DNS",BH50=" DNS "),$BW$3+1,BH50))</f>
        <v>0</v>
      </c>
      <c r="DU50" s="61">
        <f>IF(BI50="",0,IF(OR(BI50="DNF",BI50="OCS",BI50="DSQ",BI50="DNS",BI50=" DNS "),$BW$3+1,BI50))</f>
        <v>0</v>
      </c>
      <c r="DV50" s="61">
        <f>IF(BJ50="",0,IF(OR(BJ50="DNF",BJ50="OCS",BJ50="DSQ",BJ50="DNS",BJ50=" DNS "),$BW$3+1,BJ50))</f>
        <v>0</v>
      </c>
      <c r="DW50" s="61">
        <f>IF(BK50="",0,IF(OR(BK50="DNF",BK50="OCS",BK50="DSQ",BK50="DNS",BK50=" DNS "),$BW$3+1,BK50))</f>
        <v>0</v>
      </c>
      <c r="DX50" s="61">
        <f>IF(BL50="",0,IF(OR(BL50="DNF",BL50="OCS",BL50="DSQ",BL50="DNS",BL50=" DNS "),$BW$3+1,BL50))</f>
        <v>0</v>
      </c>
      <c r="DY50" s="61">
        <f>IF(BM50="",0,IF(OR(BM50="DNF",BM50="OCS",BM50="DSQ",BM50="DNS",BM50=" DNS "),$BW$3+1,BM50))</f>
        <v>0</v>
      </c>
      <c r="DZ50" s="61">
        <f>IF(BN50="",0,IF(OR(BN50="DNF",BN50="OCS",BN50="DSQ",BN50="DNS",BN50=" DNS "),$BW$3+1,BN50))</f>
        <v>0</v>
      </c>
      <c r="EA50" s="61">
        <f>IF(BO50="",0,IF(OR(BO50="DNF",BO50="OCS",BO50="DSQ",BO50="DNS",BO50=" DNS "),$BW$3+1,BO50))</f>
        <v>0</v>
      </c>
      <c r="EB50" s="61">
        <f>IF(BP50="",0,IF(OR(BP50="DNF",BP50="OCS",BP50="DSQ",BP50="DNS",BP50=" DNS "),$BW$3+1,BP50))</f>
        <v>0</v>
      </c>
      <c r="EC50" s="61">
        <f>IF(BQ50="",0,IF(OR(BQ50="DNF",BQ50="OCS",BQ50="DSQ",BQ50="DNS",BQ50=" DNS "),$BW$3+1,BQ50))</f>
        <v>0</v>
      </c>
      <c r="EE50" s="61">
        <f xml:space="preserve">
IF(OR(Deltagarlista!$K$3=3,Deltagarlista!$K$3=4),
IF(Arrangörslista!$U$5&lt;8,0,
IF(Arrangörslista!$U$5&lt;16,SUM(LARGE(BV50:CJ50,1)),
IF(Arrangörslista!$U$5&lt;24,SUM(LARGE(BV50:CR50,{1;2})),
IF(Arrangörslista!$U$5&lt;32,SUM(LARGE(BV50:CZ50,{1;2;3})),
IF(Arrangörslista!$U$5&lt;40,SUM(LARGE(BV50:DH50,{1;2;3;4})),
IF(Arrangörslista!$U$5&lt;48,SUM(LARGE(BV50:DP50,{1;2;3;4;5})),
IF(Arrangörslista!$U$5&lt;56,SUM(LARGE(BV50:DX50,{1;2;3;4;5;6})),
IF(Arrangörslista!$U$5&lt;64,SUM(LARGE(BV50:EC50,{1;2;3;4;5;6;7})),0)))))))),
IF(Deltagarlista!$K$3=2,
IF(Arrangörslista!$U$5&lt;4,LARGE(BV50:BX50,1),
IF(Arrangörslista!$U$5&lt;7,SUM(LARGE(BV50:CA50,{1;2;3})),
IF(Arrangörslista!$U$5&lt;10,SUM(LARGE(BV50:CD50,{1;2;3;4})),
IF(Arrangörslista!$U$5&lt;13,SUM(LARGE(BV50:CG50,{1;2;3;4;5;6})),
IF(Arrangörslista!$U$5&lt;16,SUM(LARGE(BV50:CJ50,{1;2;3;4;5;6;7})),
IF(Arrangörslista!$U$5&lt;19,SUM(LARGE(BV50:CM50,{1;2;3;4;5;6;7;8;9})),
IF(Arrangörslista!$U$5&lt;22,SUM(LARGE(BV50:CP50,{1;2;3;4;5;6;7;8;9;10})),
IF(Arrangörslista!$U$5&lt;25,SUM(LARGE(BV50:CS50,{1;2;3;4;5;6;7;8;9;10;11;12})),
IF(Arrangörslista!$U$5&lt;28,SUM(LARGE(BV50:CV50,{1;2;3;4;5;6;7;8;9;10;11;12;13})),
IF(Arrangörslista!$U$5&lt;31,SUM(LARGE(BV50:CY50,{1;2;3;4;5;6;7;8;9;10;11;12;13;14;15})),
IF(Arrangörslista!$U$5&lt;34,SUM(LARGE(BV50:DB50,{1;2;3;4;5;6;7;8;9;10;11;12;13;14;15;16})),
IF(Arrangörslista!$U$5&lt;37,SUM(LARGE(BV50:DE50,{1;2;3;4;5;6;7;8;9;10;11;12;13;14;15;16;17;18})),
IF(Arrangörslista!$U$5&lt;40,SUM(LARGE(BV50:DH50,{1;2;3;4;5;6;7;8;9;10;11;12;13;14;15;16;17;18;19})),
IF(Arrangörslista!$U$5&lt;43,SUM(LARGE(BV50:DK50,{1;2;3;4;5;6;7;8;9;10;11;12;13;14;15;16;17;18;19;20;21})),
IF(Arrangörslista!$U$5&lt;46,SUM(LARGE(BV50:DN50,{1;2;3;4;5;6;7;8;9;10;11;12;13;14;15;16;17;18;19;20;21;22})),
IF(Arrangörslista!$U$5&lt;49,SUM(LARGE(BV50:DQ50,{1;2;3;4;5;6;7;8;9;10;11;12;13;14;15;16;17;18;19;20;21;22;23;24})),
IF(Arrangörslista!$U$5&lt;52,SUM(LARGE(BV50:DT50,{1;2;3;4;5;6;7;8;9;10;11;12;13;14;15;16;17;18;19;20;21;22;23;24;25})),
IF(Arrangörslista!$U$5&lt;55,SUM(LARGE(BV50:DW50,{1;2;3;4;5;6;7;8;9;10;11;12;13;14;15;16;17;18;19;20;21;22;23;24;25;26;27})),
IF(Arrangörslista!$U$5&lt;58,SUM(LARGE(BV50:DZ50,{1;2;3;4;5;6;7;8;9;10;11;12;13;14;15;16;17;18;19;20;21;22;23;24;25;26;27;28})),
IF(Arrangörslista!$U$5&lt;61,SUM(LARGE(BV50:EC50,{1;2;3;4;5;6;7;8;9;10;11;12;13;14;15;16;17;18;19;20;21;22;23;24;25;26;27;28;29;30})),0)))))))))))))))))))),
IF(Arrangörslista!$U$5&lt;4,0,
IF(Arrangörslista!$U$5&lt;8,SUM(LARGE(BV50:CB50,1)),
IF(Arrangörslista!$U$5&lt;12,SUM(LARGE(BV50:CF50,{1;2})),
IF(Arrangörslista!$U$5&lt;16,SUM(LARGE(BV50:CJ50,{1;2;3})),
IF(Arrangörslista!$U$5&lt;20,SUM(LARGE(BV50:CN50,{1;2;3;4})),
IF(Arrangörslista!$U$5&lt;24,SUM(LARGE(BV50:CR50,{1;2;3;4;5})),
IF(Arrangörslista!$U$5&lt;28,SUM(LARGE(BV50:CV50,{1;2;3;4;5;6})),
IF(Arrangörslista!$U$5&lt;32,SUM(LARGE(BV50:CZ50,{1;2;3;4;5;6;7})),
IF(Arrangörslista!$U$5&lt;36,SUM(LARGE(BV50:DD50,{1;2;3;4;5;6;7;8})),
IF(Arrangörslista!$U$5&lt;40,SUM(LARGE(BV50:DH50,{1;2;3;4;5;6;7;8;9})),
IF(Arrangörslista!$U$5&lt;44,SUM(LARGE(BV50:DL50,{1;2;3;4;5;6;7;8;9;10})),
IF(Arrangörslista!$U$5&lt;48,SUM(LARGE(BV50:DP50,{1;2;3;4;5;6;7;8;9;10;11})),
IF(Arrangörslista!$U$5&lt;52,SUM(LARGE(BV50:DT50,{1;2;3;4;5;6;7;8;9;10;11;12})),
IF(Arrangörslista!$U$5&lt;56,SUM(LARGE(BV50:DX50,{1;2;3;4;5;6;7;8;9;10;11;12;13})),
IF(Arrangörslista!$U$5&lt;60,SUM(LARGE(BV50:EB50,{1;2;3;4;5;6;7;8;9;10;11;12;13;14})),
IF(Arrangörslista!$U$5=60,SUM(LARGE(BV50:EC50,{1;2;3;4;5;6;7;8;9;10;11;12;13;14;15})),0))))))))))))))))))</f>
        <v>0</v>
      </c>
      <c r="EG50" s="67">
        <f>IF(F50="",,1)</f>
        <v>0</v>
      </c>
      <c r="EH50" s="61"/>
      <c r="EI50" s="61"/>
      <c r="EK50" s="62">
        <f>SMALL($J113:$BQ113,1)</f>
        <v>61</v>
      </c>
      <c r="EL50" s="62">
        <f>SMALL($J113:$BQ113,2)</f>
        <v>61</v>
      </c>
      <c r="EM50" s="62">
        <f>SMALL($J113:$BQ113,3)</f>
        <v>61</v>
      </c>
      <c r="EN50" s="62">
        <f>SMALL($J113:$BQ113,4)</f>
        <v>61</v>
      </c>
      <c r="EO50" s="62">
        <f>SMALL($J113:$BQ113,5)</f>
        <v>61</v>
      </c>
      <c r="EP50" s="62">
        <f>SMALL($J113:$BQ113,6)</f>
        <v>61</v>
      </c>
      <c r="EQ50" s="62">
        <f>SMALL($J113:$BQ113,7)</f>
        <v>61</v>
      </c>
      <c r="ER50" s="62">
        <f>SMALL($J113:$BQ113,8)</f>
        <v>61</v>
      </c>
      <c r="ES50" s="62">
        <f>SMALL($J113:$BQ113,9)</f>
        <v>61</v>
      </c>
      <c r="ET50" s="62">
        <f>SMALL($J113:$BQ113,10)</f>
        <v>61</v>
      </c>
      <c r="EU50" s="62">
        <f>SMALL($J113:$BQ113,11)</f>
        <v>61</v>
      </c>
      <c r="EV50" s="62">
        <f>SMALL($J113:$BQ113,12)</f>
        <v>61</v>
      </c>
      <c r="EW50" s="62">
        <f>SMALL($J113:$BQ113,13)</f>
        <v>61</v>
      </c>
      <c r="EX50" s="62">
        <f>SMALL($J113:$BQ113,14)</f>
        <v>61</v>
      </c>
      <c r="EY50" s="62">
        <f>SMALL($J113:$BQ113,15)</f>
        <v>61</v>
      </c>
      <c r="EZ50" s="62">
        <f>SMALL($J113:$BQ113,16)</f>
        <v>61</v>
      </c>
      <c r="FA50" s="62">
        <f>SMALL($J113:$BQ113,17)</f>
        <v>61</v>
      </c>
      <c r="FB50" s="62">
        <f>SMALL($J113:$BQ113,18)</f>
        <v>61</v>
      </c>
      <c r="FC50" s="62">
        <f>SMALL($J113:$BQ113,19)</f>
        <v>61</v>
      </c>
      <c r="FD50" s="62">
        <f>SMALL($J113:$BQ113,20)</f>
        <v>61</v>
      </c>
      <c r="FE50" s="62">
        <f>SMALL($J113:$BQ113,21)</f>
        <v>61</v>
      </c>
      <c r="FF50" s="62">
        <f>SMALL($J113:$BQ113,22)</f>
        <v>61</v>
      </c>
      <c r="FG50" s="62">
        <f>SMALL($J113:$BQ113,23)</f>
        <v>61</v>
      </c>
      <c r="FH50" s="62">
        <f>SMALL($J113:$BQ113,24)</f>
        <v>61</v>
      </c>
      <c r="FI50" s="62">
        <f>SMALL($J113:$BQ113,25)</f>
        <v>61</v>
      </c>
      <c r="FJ50" s="62">
        <f>SMALL($J113:$BQ113,26)</f>
        <v>61</v>
      </c>
      <c r="FK50" s="62">
        <f>SMALL($J113:$BQ113,27)</f>
        <v>61</v>
      </c>
      <c r="FL50" s="62">
        <f>SMALL($J113:$BQ113,28)</f>
        <v>61</v>
      </c>
      <c r="FM50" s="62">
        <f>SMALL($J113:$BQ113,29)</f>
        <v>61</v>
      </c>
      <c r="FN50" s="62">
        <f>SMALL($J113:$BQ113,30)</f>
        <v>61</v>
      </c>
      <c r="FO50" s="62">
        <f>SMALL($J113:$BQ113,31)</f>
        <v>61</v>
      </c>
      <c r="FP50" s="62">
        <f>SMALL($J113:$BQ113,32)</f>
        <v>61</v>
      </c>
      <c r="FQ50" s="62">
        <f>SMALL($J113:$BQ113,33)</f>
        <v>61</v>
      </c>
      <c r="FR50" s="62">
        <f>SMALL($J113:$BQ113,34)</f>
        <v>61</v>
      </c>
      <c r="FS50" s="62">
        <f>SMALL($J113:$BQ113,35)</f>
        <v>61</v>
      </c>
      <c r="FT50" s="62">
        <f>SMALL($J113:$BQ113,36)</f>
        <v>61</v>
      </c>
      <c r="FU50" s="62">
        <f>SMALL($J113:$BQ113,37)</f>
        <v>61</v>
      </c>
      <c r="FV50" s="62">
        <f>SMALL($J113:$BQ113,38)</f>
        <v>61</v>
      </c>
      <c r="FW50" s="62">
        <f>SMALL($J113:$BQ113,39)</f>
        <v>61</v>
      </c>
      <c r="FX50" s="62">
        <f>SMALL($J113:$BQ113,40)</f>
        <v>61</v>
      </c>
      <c r="FY50" s="62">
        <f>SMALL($J113:$BQ113,41)</f>
        <v>61</v>
      </c>
      <c r="FZ50" s="62">
        <f>SMALL($J113:$BQ113,42)</f>
        <v>61</v>
      </c>
      <c r="GA50" s="62">
        <f>SMALL($J113:$BQ113,43)</f>
        <v>61</v>
      </c>
      <c r="GB50" s="62">
        <f>SMALL($J113:$BQ113,44)</f>
        <v>61</v>
      </c>
      <c r="GC50" s="62">
        <f>SMALL($J113:$BQ113,45)</f>
        <v>61</v>
      </c>
      <c r="GD50" s="62">
        <f>SMALL($J113:$BQ113,46)</f>
        <v>61</v>
      </c>
      <c r="GE50" s="62">
        <f>SMALL($J113:$BQ113,47)</f>
        <v>61</v>
      </c>
      <c r="GF50" s="62">
        <f>SMALL($J113:$BQ113,48)</f>
        <v>61</v>
      </c>
      <c r="GG50" s="62">
        <f>SMALL($J113:$BQ113,49)</f>
        <v>61</v>
      </c>
      <c r="GH50" s="62">
        <f>SMALL($J113:$BQ113,50)</f>
        <v>61</v>
      </c>
      <c r="GI50" s="62">
        <f>SMALL($J113:$BQ113,51)</f>
        <v>61</v>
      </c>
      <c r="GJ50" s="62">
        <f>SMALL($J113:$BQ113,52)</f>
        <v>61</v>
      </c>
      <c r="GK50" s="62">
        <f>SMALL($J113:$BQ113,53)</f>
        <v>61</v>
      </c>
      <c r="GL50" s="62">
        <f>SMALL($J113:$BQ113,54)</f>
        <v>61</v>
      </c>
      <c r="GM50" s="62">
        <f>SMALL($J113:$BQ113,55)</f>
        <v>61</v>
      </c>
      <c r="GN50" s="62">
        <f>SMALL($J113:$BQ113,56)</f>
        <v>61</v>
      </c>
      <c r="GO50" s="62">
        <f>SMALL($J113:$BQ113,57)</f>
        <v>61</v>
      </c>
      <c r="GP50" s="62">
        <f>SMALL($J113:$BQ113,58)</f>
        <v>61</v>
      </c>
      <c r="GQ50" s="62">
        <f>SMALL($J113:$BQ113,59)</f>
        <v>61</v>
      </c>
      <c r="GR50" s="62">
        <f>SMALL($J113:$BQ113,60)</f>
        <v>61</v>
      </c>
      <c r="GT50" s="62">
        <f>IF(Deltagarlista!$K$3=2,
IF(GW50="1",
      IF(Arrangörslista!$U$5=1,J113,
IF(Arrangörslista!$U$5=2,K113,
IF(Arrangörslista!$U$5=3,L113,
IF(Arrangörslista!$U$5=4,M113,
IF(Arrangörslista!$U$5=5,N113,
IF(Arrangörslista!$U$5=6,O113,
IF(Arrangörslista!$U$5=7,P113,
IF(Arrangörslista!$U$5=8,Q113,
IF(Arrangörslista!$U$5=9,R113,
IF(Arrangörslista!$U$5=10,S113,
IF(Arrangörslista!$U$5=11,T113,
IF(Arrangörslista!$U$5=12,U113,
IF(Arrangörslista!$U$5=13,V113,
IF(Arrangörslista!$U$5=14,W113,
IF(Arrangörslista!$U$5=15,X113,
IF(Arrangörslista!$U$5=16,Y113,IF(Arrangörslista!$U$5=17,Z113,IF(Arrangörslista!$U$5=18,AA113,IF(Arrangörslista!$U$5=19,AB113,IF(Arrangörslista!$U$5=20,AC113,IF(Arrangörslista!$U$5=21,AD113,IF(Arrangörslista!$U$5=22,AE113,IF(Arrangörslista!$U$5=23,AF113, IF(Arrangörslista!$U$5=24,AG113, IF(Arrangörslista!$U$5=25,AH113, IF(Arrangörslista!$U$5=26,AI113, IF(Arrangörslista!$U$5=27,AJ113, IF(Arrangörslista!$U$5=28,AK113, IF(Arrangörslista!$U$5=29,AL113, IF(Arrangörslista!$U$5=30,AM113, IF(Arrangörslista!$U$5=31,AN113, IF(Arrangörslista!$U$5=32,AO113, IF(Arrangörslista!$U$5=33,AP113, IF(Arrangörslista!$U$5=34,AQ113, IF(Arrangörslista!$U$5=35,AR113, IF(Arrangörslista!$U$5=36,AS113, IF(Arrangörslista!$U$5=37,AT113, IF(Arrangörslista!$U$5=38,AU113, IF(Arrangörslista!$U$5=39,AV113, IF(Arrangörslista!$U$5=40,AW113, IF(Arrangörslista!$U$5=41,AX113, IF(Arrangörslista!$U$5=42,AY113, IF(Arrangörslista!$U$5=43,AZ113, IF(Arrangörslista!$U$5=44,BA113, IF(Arrangörslista!$U$5=45,BB113, IF(Arrangörslista!$U$5=46,BC113, IF(Arrangörslista!$U$5=47,BD113, IF(Arrangörslista!$U$5=48,BE113, IF(Arrangörslista!$U$5=49,BF113, IF(Arrangörslista!$U$5=50,BG113, IF(Arrangörslista!$U$5=51,BH113, IF(Arrangörslista!$U$5=52,BI113, IF(Arrangörslista!$U$5=53,BJ113, IF(Arrangörslista!$U$5=54,BK113, IF(Arrangörslista!$U$5=55,BL113, IF(Arrangörslista!$U$5=56,BM113, IF(Arrangörslista!$U$5=57,BN113, IF(Arrangörslista!$U$5=58,BO113, IF(Arrangörslista!$U$5=59,BP113, IF(Arrangörslista!$U$5=60,BQ113,0))))))))))))))))))))))))))))))))))))))))))))))))))))))))))))),IF(Deltagarlista!$K$3=4, IF(Arrangörslista!$U$5=1,J113,
IF(Arrangörslista!$U$5=2,J113,
IF(Arrangörslista!$U$5=3,K113,
IF(Arrangörslista!$U$5=4,K113,
IF(Arrangörslista!$U$5=5,L113,
IF(Arrangörslista!$U$5=6,L113,
IF(Arrangörslista!$U$5=7,M113,
IF(Arrangörslista!$U$5=8,M113,
IF(Arrangörslista!$U$5=9,N113,
IF(Arrangörslista!$U$5=10,N113,
IF(Arrangörslista!$U$5=11,O113,
IF(Arrangörslista!$U$5=12,O113,
IF(Arrangörslista!$U$5=13,P113,
IF(Arrangörslista!$U$5=14,P113,
IF(Arrangörslista!$U$5=15,Q113,
IF(Arrangörslista!$U$5=16,Q113,
IF(Arrangörslista!$U$5=17,R113,
IF(Arrangörslista!$U$5=18,R113,
IF(Arrangörslista!$U$5=19,S113,
IF(Arrangörslista!$U$5=20,S113,
IF(Arrangörslista!$U$5=21,T113,
IF(Arrangörslista!$U$5=22,T113,IF(Arrangörslista!$U$5=23,U113, IF(Arrangörslista!$U$5=24,U113, IF(Arrangörslista!$U$5=25,V113, IF(Arrangörslista!$U$5=26,V113, IF(Arrangörslista!$U$5=27,W113, IF(Arrangörslista!$U$5=28,W113, IF(Arrangörslista!$U$5=29,X113, IF(Arrangörslista!$U$5=30,X113, IF(Arrangörslista!$U$5=31,X113, IF(Arrangörslista!$U$5=32,Y113, IF(Arrangörslista!$U$5=33,AO113, IF(Arrangörslista!$U$5=34,Y113, IF(Arrangörslista!$U$5=35,Z113, IF(Arrangörslista!$U$5=36,AR113, IF(Arrangörslista!$U$5=37,Z113, IF(Arrangörslista!$U$5=38,AA113, IF(Arrangörslista!$U$5=39,AU113, IF(Arrangörslista!$U$5=40,AA113, IF(Arrangörslista!$U$5=41,AB113, IF(Arrangörslista!$U$5=42,AX113, IF(Arrangörslista!$U$5=43,AB113, IF(Arrangörslista!$U$5=44,AC113, IF(Arrangörslista!$U$5=45,BA113, IF(Arrangörslista!$U$5=46,AC113, IF(Arrangörslista!$U$5=47,AD113, IF(Arrangörslista!$U$5=48,BD113, IF(Arrangörslista!$U$5=49,AD113, IF(Arrangörslista!$U$5=50,AE113, IF(Arrangörslista!$U$5=51,BG113, IF(Arrangörslista!$U$5=52,AE113, IF(Arrangörslista!$U$5=53,AF113, IF(Arrangörslista!$U$5=54,BJ113, IF(Arrangörslista!$U$5=55,AF113, IF(Arrangörslista!$U$5=56,AG113, IF(Arrangörslista!$U$5=57,BM113, IF(Arrangörslista!$U$5=58,AG113, IF(Arrangörslista!$U$5=59,AH113, IF(Arrangörslista!$U$5=60,AH113,0)))))))))))))))))))))))))))))))))))))))))))))))))))))))))))),IF(Arrangörslista!$U$5=1,J113,
IF(Arrangörslista!$U$5=2,K113,
IF(Arrangörslista!$U$5=3,L113,
IF(Arrangörslista!$U$5=4,M113,
IF(Arrangörslista!$U$5=5,N113,
IF(Arrangörslista!$U$5=6,O113,
IF(Arrangörslista!$U$5=7,P113,
IF(Arrangörslista!$U$5=8,Q113,
IF(Arrangörslista!$U$5=9,R113,
IF(Arrangörslista!$U$5=10,S113,
IF(Arrangörslista!$U$5=11,T113,
IF(Arrangörslista!$U$5=12,U113,
IF(Arrangörslista!$U$5=13,V113,
IF(Arrangörslista!$U$5=14,W113,
IF(Arrangörslista!$U$5=15,X113,
IF(Arrangörslista!$U$5=16,Y113,IF(Arrangörslista!$U$5=17,Z113,IF(Arrangörslista!$U$5=18,AA113,IF(Arrangörslista!$U$5=19,AB113,IF(Arrangörslista!$U$5=20,AC113,IF(Arrangörslista!$U$5=21,AD113,IF(Arrangörslista!$U$5=22,AE113,IF(Arrangörslista!$U$5=23,AF113, IF(Arrangörslista!$U$5=24,AG113, IF(Arrangörslista!$U$5=25,AH113, IF(Arrangörslista!$U$5=26,AI113, IF(Arrangörslista!$U$5=27,AJ113, IF(Arrangörslista!$U$5=28,AK113, IF(Arrangörslista!$U$5=29,AL113, IF(Arrangörslista!$U$5=30,AM113, IF(Arrangörslista!$U$5=31,AN113, IF(Arrangörslista!$U$5=32,AO113, IF(Arrangörslista!$U$5=33,AP113, IF(Arrangörslista!$U$5=34,AQ113, IF(Arrangörslista!$U$5=35,AR113, IF(Arrangörslista!$U$5=36,AS113, IF(Arrangörslista!$U$5=37,AT113, IF(Arrangörslista!$U$5=38,AU113, IF(Arrangörslista!$U$5=39,AV113, IF(Arrangörslista!$U$5=40,AW113, IF(Arrangörslista!$U$5=41,AX113, IF(Arrangörslista!$U$5=42,AY113, IF(Arrangörslista!$U$5=43,AZ113, IF(Arrangörslista!$U$5=44,BA113, IF(Arrangörslista!$U$5=45,BB113, IF(Arrangörslista!$U$5=46,BC113, IF(Arrangörslista!$U$5=47,BD113, IF(Arrangörslista!$U$5=48,BE113, IF(Arrangörslista!$U$5=49,BF113, IF(Arrangörslista!$U$5=50,BG113, IF(Arrangörslista!$U$5=51,BH113, IF(Arrangörslista!$U$5=52,BI113, IF(Arrangörslista!$U$5=53,BJ113, IF(Arrangörslista!$U$5=54,BK113, IF(Arrangörslista!$U$5=55,BL113, IF(Arrangörslista!$U$5=56,BM113, IF(Arrangörslista!$U$5=57,BN113, IF(Arrangörslista!$U$5=58,BO113, IF(Arrangörslista!$U$5=59,BP113, IF(Arrangörslista!$U$5=60,BQ113,0))))))))))))))))))))))))))))))))))))))))))))))))))))))))))))
))</f>
        <v>0</v>
      </c>
      <c r="GV50" s="65" t="str">
        <f>IFERROR(IF(VLOOKUP(F50,Deltagarlista!$E$5:$I$64,5,FALSE)="Grön","Gr",IF(VLOOKUP(F50,Deltagarlista!$E$5:$I$64,5,FALSE)="Röd","R",IF(VLOOKUP(F50,Deltagarlista!$E$5:$I$64,5,FALSE)="Blå","B","Gu"))),"")</f>
        <v/>
      </c>
      <c r="GW50" s="62" t="str">
        <f t="shared" si="1"/>
        <v/>
      </c>
    </row>
    <row r="51" spans="1:205" ht="15.75" customHeight="1" x14ac:dyDescent="0.3">
      <c r="A51" s="23"/>
      <c r="B51" s="23" t="str">
        <f>IF($BW$3&gt;47,48,"")</f>
        <v/>
      </c>
      <c r="C51" s="92" t="str">
        <f>IF(ISBLANK(Deltagarlista!C62),"",Deltagarlista!C62)</f>
        <v/>
      </c>
      <c r="D51" s="109" t="str">
        <f>CONCATENATE(IF(AND(Deltagarlista!H62="GM",Deltagarlista!$S$14=TRUE),"GM   ",""),  IF(OR(Deltagarlista!$K$3=4,Deltagarlista!$K$3=2),Deltagarlista!I62,""))</f>
        <v/>
      </c>
      <c r="E51" s="8" t="str">
        <f>IF(ISBLANK(Deltagarlista!D62),"",Deltagarlista!D62)</f>
        <v/>
      </c>
      <c r="F51" s="8" t="str">
        <f>IF(ISBLANK(Deltagarlista!E62),"",Deltagarlista!E62)</f>
        <v/>
      </c>
      <c r="G51" s="95" t="str">
        <f>IF(ISBLANK(Deltagarlista!F62),"",Deltagarlista!F62)</f>
        <v/>
      </c>
      <c r="H51" s="72" t="str">
        <f>IF(ISBLANK(Deltagarlista!C62),"",BU51-EE51)</f>
        <v/>
      </c>
      <c r="I51" s="13" t="str">
        <f>IF(ISBLANK(Deltagarlista!C62),"",IF(AND(Deltagarlista!$K$3=2,Deltagarlista!$L$3&lt;37),SUM(SUM(BV51:EC51)-(ROUNDDOWN(Arrangörslista!$U$5/3,1))*($BW$3+1)),SUM(BV51:EC51)))</f>
        <v/>
      </c>
      <c r="J51" s="79" t="str">
        <f>IF(Deltagarlista!$K$3=4,IF(ISBLANK(Deltagarlista!$C62),"",IF(ISBLANK(Arrangörslista!C$8),"",IFERROR(VLOOKUP($F51,Arrangörslista!C$8:$AG$45,16,FALSE),IF(ISBLANK(Deltagarlista!$C62),"",IF(ISBLANK(Arrangörslista!C$8),"",IFERROR(VLOOKUP($F51,Arrangörslista!D$8:$AG$45,16,FALSE),"DNS")))))),IF(Deltagarlista!$K$3=2,
IF(ISBLANK(Deltagarlista!$C62),"",IF(ISBLANK(Arrangörslista!C$8),"",IF($GV51=J$64," DNS ",IFERROR(VLOOKUP($F51,Arrangörslista!C$8:$AG$45,16,FALSE),"DNS")))),IF(ISBLANK(Deltagarlista!$C62),"",IF(ISBLANK(Arrangörslista!C$8),"",IFERROR(VLOOKUP($F51,Arrangörslista!C$8:$AG$45,16,FALSE),"DNS")))))</f>
        <v/>
      </c>
      <c r="K51" s="5" t="str">
        <f>IF(Deltagarlista!$K$3=4,IF(ISBLANK(Deltagarlista!$C62),"",IF(ISBLANK(Arrangörslista!E$8),"",IFERROR(VLOOKUP($F51,Arrangörslista!E$8:$AG$45,16,FALSE),IF(ISBLANK(Deltagarlista!$C62),"",IF(ISBLANK(Arrangörslista!E$8),"",IFERROR(VLOOKUP($F51,Arrangörslista!F$8:$AG$45,16,FALSE),"DNS")))))),IF(Deltagarlista!$K$3=2,
IF(ISBLANK(Deltagarlista!$C62),"",IF(ISBLANK(Arrangörslista!D$8),"",IF($GV51=K$64," DNS ",IFERROR(VLOOKUP($F51,Arrangörslista!D$8:$AG$45,16,FALSE),"DNS")))),IF(ISBLANK(Deltagarlista!$C62),"",IF(ISBLANK(Arrangörslista!D$8),"",IFERROR(VLOOKUP($F51,Arrangörslista!D$8:$AG$45,16,FALSE),"DNS")))))</f>
        <v/>
      </c>
      <c r="L51" s="5" t="str">
        <f>IF(Deltagarlista!$K$3=4,IF(ISBLANK(Deltagarlista!$C62),"",IF(ISBLANK(Arrangörslista!G$8),"",IFERROR(VLOOKUP($F51,Arrangörslista!G$8:$AG$45,16,FALSE),IF(ISBLANK(Deltagarlista!$C62),"",IF(ISBLANK(Arrangörslista!G$8),"",IFERROR(VLOOKUP($F51,Arrangörslista!H$8:$AG$45,16,FALSE),"DNS")))))),IF(Deltagarlista!$K$3=2,
IF(ISBLANK(Deltagarlista!$C62),"",IF(ISBLANK(Arrangörslista!E$8),"",IF($GV51=L$64," DNS ",IFERROR(VLOOKUP($F51,Arrangörslista!E$8:$AG$45,16,FALSE),"DNS")))),IF(ISBLANK(Deltagarlista!$C62),"",IF(ISBLANK(Arrangörslista!E$8),"",IFERROR(VLOOKUP($F51,Arrangörslista!E$8:$AG$45,16,FALSE),"DNS")))))</f>
        <v/>
      </c>
      <c r="M51" s="5" t="str">
        <f>IF(Deltagarlista!$K$3=4,IF(ISBLANK(Deltagarlista!$C62),"",IF(ISBLANK(Arrangörslista!I$8),"",IFERROR(VLOOKUP($F51,Arrangörslista!I$8:$AG$45,16,FALSE),IF(ISBLANK(Deltagarlista!$C62),"",IF(ISBLANK(Arrangörslista!I$8),"",IFERROR(VLOOKUP($F51,Arrangörslista!J$8:$AG$45,16,FALSE),"DNS")))))),IF(Deltagarlista!$K$3=2,
IF(ISBLANK(Deltagarlista!$C62),"",IF(ISBLANK(Arrangörslista!F$8),"",IF($GV51=M$64," DNS ",IFERROR(VLOOKUP($F51,Arrangörslista!F$8:$AG$45,16,FALSE),"DNS")))),IF(ISBLANK(Deltagarlista!$C62),"",IF(ISBLANK(Arrangörslista!F$8),"",IFERROR(VLOOKUP($F51,Arrangörslista!F$8:$AG$45,16,FALSE),"DNS")))))</f>
        <v/>
      </c>
      <c r="N51" s="5" t="str">
        <f>IF(Deltagarlista!$K$3=4,IF(ISBLANK(Deltagarlista!$C62),"",IF(ISBLANK(Arrangörslista!K$8),"",IFERROR(VLOOKUP($F51,Arrangörslista!K$8:$AG$45,16,FALSE),IF(ISBLANK(Deltagarlista!$C62),"",IF(ISBLANK(Arrangörslista!K$8),"",IFERROR(VLOOKUP($F51,Arrangörslista!L$8:$AG$45,16,FALSE),"DNS")))))),IF(Deltagarlista!$K$3=2,
IF(ISBLANK(Deltagarlista!$C62),"",IF(ISBLANK(Arrangörslista!G$8),"",IF($GV51=N$64," DNS ",IFERROR(VLOOKUP($F51,Arrangörslista!G$8:$AG$45,16,FALSE),"DNS")))),IF(ISBLANK(Deltagarlista!$C62),"",IF(ISBLANK(Arrangörslista!G$8),"",IFERROR(VLOOKUP($F51,Arrangörslista!G$8:$AG$45,16,FALSE),"DNS")))))</f>
        <v/>
      </c>
      <c r="O51" s="5" t="str">
        <f>IF(Deltagarlista!$K$3=4,IF(ISBLANK(Deltagarlista!$C62),"",IF(ISBLANK(Arrangörslista!M$8),"",IFERROR(VLOOKUP($F51,Arrangörslista!M$8:$AG$45,16,FALSE),IF(ISBLANK(Deltagarlista!$C62),"",IF(ISBLANK(Arrangörslista!M$8),"",IFERROR(VLOOKUP($F51,Arrangörslista!N$8:$AG$45,16,FALSE),"DNS")))))),IF(Deltagarlista!$K$3=2,
IF(ISBLANK(Deltagarlista!$C62),"",IF(ISBLANK(Arrangörslista!H$8),"",IF($GV51=O$64," DNS ",IFERROR(VLOOKUP($F51,Arrangörslista!H$8:$AG$45,16,FALSE),"DNS")))),IF(ISBLANK(Deltagarlista!$C62),"",IF(ISBLANK(Arrangörslista!H$8),"",IFERROR(VLOOKUP($F51,Arrangörslista!H$8:$AG$45,16,FALSE),"DNS")))))</f>
        <v/>
      </c>
      <c r="P51" s="5" t="str">
        <f>IF(Deltagarlista!$K$3=4,IF(ISBLANK(Deltagarlista!$C62),"",IF(ISBLANK(Arrangörslista!O$8),"",IFERROR(VLOOKUP($F51,Arrangörslista!O$8:$AG$45,16,FALSE),IF(ISBLANK(Deltagarlista!$C62),"",IF(ISBLANK(Arrangörslista!O$8),"",IFERROR(VLOOKUP($F51,Arrangörslista!P$8:$AG$45,16,FALSE),"DNS")))))),IF(Deltagarlista!$K$3=2,
IF(ISBLANK(Deltagarlista!$C62),"",IF(ISBLANK(Arrangörslista!I$8),"",IF($GV51=P$64," DNS ",IFERROR(VLOOKUP($F51,Arrangörslista!I$8:$AG$45,16,FALSE),"DNS")))),IF(ISBLANK(Deltagarlista!$C62),"",IF(ISBLANK(Arrangörslista!I$8),"",IFERROR(VLOOKUP($F51,Arrangörslista!I$8:$AG$45,16,FALSE),"DNS")))))</f>
        <v/>
      </c>
      <c r="Q51" s="5" t="str">
        <f>IF(Deltagarlista!$K$3=4,IF(ISBLANK(Deltagarlista!$C62),"",IF(ISBLANK(Arrangörslista!Q$8),"",IFERROR(VLOOKUP($F51,Arrangörslista!Q$8:$AG$45,16,FALSE),IF(ISBLANK(Deltagarlista!$C62),"",IF(ISBLANK(Arrangörslista!Q$8),"",IFERROR(VLOOKUP($F51,Arrangörslista!C$53:$AG$90,16,FALSE),"DNS")))))),IF(Deltagarlista!$K$3=2,
IF(ISBLANK(Deltagarlista!$C62),"",IF(ISBLANK(Arrangörslista!J$8),"",IF($GV51=Q$64," DNS ",IFERROR(VLOOKUP($F51,Arrangörslista!J$8:$AG$45,16,FALSE),"DNS")))),IF(ISBLANK(Deltagarlista!$C62),"",IF(ISBLANK(Arrangörslista!J$8),"",IFERROR(VLOOKUP($F51,Arrangörslista!J$8:$AG$45,16,FALSE),"DNS")))))</f>
        <v/>
      </c>
      <c r="R51" s="5" t="str">
        <f>IF(Deltagarlista!$K$3=4,IF(ISBLANK(Deltagarlista!$C62),"",IF(ISBLANK(Arrangörslista!D$53),"",IFERROR(VLOOKUP($F51,Arrangörslista!D$53:$AG$90,16,FALSE),IF(ISBLANK(Deltagarlista!$C62),"",IF(ISBLANK(Arrangörslista!D$53),"",IFERROR(VLOOKUP($F51,Arrangörslista!E$53:$AG$90,16,FALSE),"DNS")))))),IF(Deltagarlista!$K$3=2,
IF(ISBLANK(Deltagarlista!$C62),"",IF(ISBLANK(Arrangörslista!K$8),"",IF($GV51=R$64," DNS ",IFERROR(VLOOKUP($F51,Arrangörslista!K$8:$AG$45,16,FALSE),"DNS")))),IF(ISBLANK(Deltagarlista!$C62),"",IF(ISBLANK(Arrangörslista!K$8),"",IFERROR(VLOOKUP($F51,Arrangörslista!K$8:$AG$45,16,FALSE),"DNS")))))</f>
        <v/>
      </c>
      <c r="S51" s="5" t="str">
        <f>IF(Deltagarlista!$K$3=4,IF(ISBLANK(Deltagarlista!$C62),"",IF(ISBLANK(Arrangörslista!F$53),"",IFERROR(VLOOKUP($F51,Arrangörslista!F$53:$AG$90,16,FALSE),IF(ISBLANK(Deltagarlista!$C62),"",IF(ISBLANK(Arrangörslista!F$53),"",IFERROR(VLOOKUP($F51,Arrangörslista!G$53:$AG$90,16,FALSE),"DNS")))))),IF(Deltagarlista!$K$3=2,
IF(ISBLANK(Deltagarlista!$C62),"",IF(ISBLANK(Arrangörslista!L$8),"",IF($GV51=S$64," DNS ",IFERROR(VLOOKUP($F51,Arrangörslista!L$8:$AG$45,16,FALSE),"DNS")))),IF(ISBLANK(Deltagarlista!$C62),"",IF(ISBLANK(Arrangörslista!L$8),"",IFERROR(VLOOKUP($F51,Arrangörslista!L$8:$AG$45,16,FALSE),"DNS")))))</f>
        <v/>
      </c>
      <c r="T51" s="5" t="str">
        <f>IF(Deltagarlista!$K$3=4,IF(ISBLANK(Deltagarlista!$C62),"",IF(ISBLANK(Arrangörslista!H$53),"",IFERROR(VLOOKUP($F51,Arrangörslista!H$53:$AG$90,16,FALSE),IF(ISBLANK(Deltagarlista!$C62),"",IF(ISBLANK(Arrangörslista!H$53),"",IFERROR(VLOOKUP($F51,Arrangörslista!I$53:$AG$90,16,FALSE),"DNS")))))),IF(Deltagarlista!$K$3=2,
IF(ISBLANK(Deltagarlista!$C62),"",IF(ISBLANK(Arrangörslista!M$8),"",IF($GV51=T$64," DNS ",IFERROR(VLOOKUP($F51,Arrangörslista!M$8:$AG$45,16,FALSE),"DNS")))),IF(ISBLANK(Deltagarlista!$C62),"",IF(ISBLANK(Arrangörslista!M$8),"",IFERROR(VLOOKUP($F51,Arrangörslista!M$8:$AG$45,16,FALSE),"DNS")))))</f>
        <v/>
      </c>
      <c r="U51" s="5" t="str">
        <f>IF(Deltagarlista!$K$3=4,IF(ISBLANK(Deltagarlista!$C62),"",IF(ISBLANK(Arrangörslista!J$53),"",IFERROR(VLOOKUP($F51,Arrangörslista!J$53:$AG$90,16,FALSE),IF(ISBLANK(Deltagarlista!$C62),"",IF(ISBLANK(Arrangörslista!J$53),"",IFERROR(VLOOKUP($F51,Arrangörslista!K$53:$AG$90,16,FALSE),"DNS")))))),IF(Deltagarlista!$K$3=2,
IF(ISBLANK(Deltagarlista!$C62),"",IF(ISBLANK(Arrangörslista!N$8),"",IF($GV51=U$64," DNS ",IFERROR(VLOOKUP($F51,Arrangörslista!N$8:$AG$45,16,FALSE),"DNS")))),IF(ISBLANK(Deltagarlista!$C62),"",IF(ISBLANK(Arrangörslista!N$8),"",IFERROR(VLOOKUP($F51,Arrangörslista!N$8:$AG$45,16,FALSE),"DNS")))))</f>
        <v/>
      </c>
      <c r="V51" s="5" t="str">
        <f>IF(Deltagarlista!$K$3=4,IF(ISBLANK(Deltagarlista!$C62),"",IF(ISBLANK(Arrangörslista!L$53),"",IFERROR(VLOOKUP($F51,Arrangörslista!L$53:$AG$90,16,FALSE),IF(ISBLANK(Deltagarlista!$C62),"",IF(ISBLANK(Arrangörslista!L$53),"",IFERROR(VLOOKUP($F51,Arrangörslista!M$53:$AG$90,16,FALSE),"DNS")))))),IF(Deltagarlista!$K$3=2,
IF(ISBLANK(Deltagarlista!$C62),"",IF(ISBLANK(Arrangörslista!O$8),"",IF($GV51=V$64," DNS ",IFERROR(VLOOKUP($F51,Arrangörslista!O$8:$AG$45,16,FALSE),"DNS")))),IF(ISBLANK(Deltagarlista!$C62),"",IF(ISBLANK(Arrangörslista!O$8),"",IFERROR(VLOOKUP($F51,Arrangörslista!O$8:$AG$45,16,FALSE),"DNS")))))</f>
        <v/>
      </c>
      <c r="W51" s="5" t="str">
        <f>IF(Deltagarlista!$K$3=4,IF(ISBLANK(Deltagarlista!$C62),"",IF(ISBLANK(Arrangörslista!N$53),"",IFERROR(VLOOKUP($F51,Arrangörslista!N$53:$AG$90,16,FALSE),IF(ISBLANK(Deltagarlista!$C62),"",IF(ISBLANK(Arrangörslista!N$53),"",IFERROR(VLOOKUP($F51,Arrangörslista!O$53:$AG$90,16,FALSE),"DNS")))))),IF(Deltagarlista!$K$3=2,
IF(ISBLANK(Deltagarlista!$C62),"",IF(ISBLANK(Arrangörslista!P$8),"",IF($GV51=W$64," DNS ",IFERROR(VLOOKUP($F51,Arrangörslista!P$8:$AG$45,16,FALSE),"DNS")))),IF(ISBLANK(Deltagarlista!$C62),"",IF(ISBLANK(Arrangörslista!P$8),"",IFERROR(VLOOKUP($F51,Arrangörslista!P$8:$AG$45,16,FALSE),"DNS")))))</f>
        <v/>
      </c>
      <c r="X51" s="5" t="str">
        <f>IF(Deltagarlista!$K$3=4,IF(ISBLANK(Deltagarlista!$C62),"",IF(ISBLANK(Arrangörslista!P$53),"",IFERROR(VLOOKUP($F51,Arrangörslista!P$53:$AG$90,16,FALSE),IF(ISBLANK(Deltagarlista!$C62),"",IF(ISBLANK(Arrangörslista!P$53),"",IFERROR(VLOOKUP($F51,Arrangörslista!Q$53:$AG$90,16,FALSE),"DNS")))))),IF(Deltagarlista!$K$3=2,
IF(ISBLANK(Deltagarlista!$C62),"",IF(ISBLANK(Arrangörslista!Q$8),"",IF($GV51=X$64," DNS ",IFERROR(VLOOKUP($F51,Arrangörslista!Q$8:$AG$45,16,FALSE),"DNS")))),IF(ISBLANK(Deltagarlista!$C62),"",IF(ISBLANK(Arrangörslista!Q$8),"",IFERROR(VLOOKUP($F51,Arrangörslista!Q$8:$AG$45,16,FALSE),"DNS")))))</f>
        <v/>
      </c>
      <c r="Y51" s="5" t="str">
        <f>IF(Deltagarlista!$K$3=4,IF(ISBLANK(Deltagarlista!$C62),"",IF(ISBLANK(Arrangörslista!C$98),"",IFERROR(VLOOKUP($F51,Arrangörslista!C$98:$AG$135,16,FALSE),IF(ISBLANK(Deltagarlista!$C62),"",IF(ISBLANK(Arrangörslista!C$98),"",IFERROR(VLOOKUP($F51,Arrangörslista!D$98:$AG$135,16,FALSE),"DNS")))))),IF(Deltagarlista!$K$3=2,
IF(ISBLANK(Deltagarlista!$C62),"",IF(ISBLANK(Arrangörslista!C$53),"",IF($GV51=Y$64," DNS ",IFERROR(VLOOKUP($F51,Arrangörslista!C$53:$AG$90,16,FALSE),"DNS")))),IF(ISBLANK(Deltagarlista!$C62),"",IF(ISBLANK(Arrangörslista!C$53),"",IFERROR(VLOOKUP($F51,Arrangörslista!C$53:$AG$90,16,FALSE),"DNS")))))</f>
        <v/>
      </c>
      <c r="Z51" s="5" t="str">
        <f>IF(Deltagarlista!$K$3=4,IF(ISBLANK(Deltagarlista!$C62),"",IF(ISBLANK(Arrangörslista!E$98),"",IFERROR(VLOOKUP($F51,Arrangörslista!E$98:$AG$135,16,FALSE),IF(ISBLANK(Deltagarlista!$C62),"",IF(ISBLANK(Arrangörslista!E$98),"",IFERROR(VLOOKUP($F51,Arrangörslista!F$98:$AG$135,16,FALSE),"DNS")))))),IF(Deltagarlista!$K$3=2,
IF(ISBLANK(Deltagarlista!$C62),"",IF(ISBLANK(Arrangörslista!D$53),"",IF($GV51=Z$64," DNS ",IFERROR(VLOOKUP($F51,Arrangörslista!D$53:$AG$90,16,FALSE),"DNS")))),IF(ISBLANK(Deltagarlista!$C62),"",IF(ISBLANK(Arrangörslista!D$53),"",IFERROR(VLOOKUP($F51,Arrangörslista!D$53:$AG$90,16,FALSE),"DNS")))))</f>
        <v/>
      </c>
      <c r="AA51" s="5" t="str">
        <f>IF(Deltagarlista!$K$3=4,IF(ISBLANK(Deltagarlista!$C62),"",IF(ISBLANK(Arrangörslista!G$98),"",IFERROR(VLOOKUP($F51,Arrangörslista!G$98:$AG$135,16,FALSE),IF(ISBLANK(Deltagarlista!$C62),"",IF(ISBLANK(Arrangörslista!G$98),"",IFERROR(VLOOKUP($F51,Arrangörslista!H$98:$AG$135,16,FALSE),"DNS")))))),IF(Deltagarlista!$K$3=2,
IF(ISBLANK(Deltagarlista!$C62),"",IF(ISBLANK(Arrangörslista!E$53),"",IF($GV51=AA$64," DNS ",IFERROR(VLOOKUP($F51,Arrangörslista!E$53:$AG$90,16,FALSE),"DNS")))),IF(ISBLANK(Deltagarlista!$C62),"",IF(ISBLANK(Arrangörslista!E$53),"",IFERROR(VLOOKUP($F51,Arrangörslista!E$53:$AG$90,16,FALSE),"DNS")))))</f>
        <v/>
      </c>
      <c r="AB51" s="5" t="str">
        <f>IF(Deltagarlista!$K$3=4,IF(ISBLANK(Deltagarlista!$C62),"",IF(ISBLANK(Arrangörslista!I$98),"",IFERROR(VLOOKUP($F51,Arrangörslista!I$98:$AG$135,16,FALSE),IF(ISBLANK(Deltagarlista!$C62),"",IF(ISBLANK(Arrangörslista!I$98),"",IFERROR(VLOOKUP($F51,Arrangörslista!J$98:$AG$135,16,FALSE),"DNS")))))),IF(Deltagarlista!$K$3=2,
IF(ISBLANK(Deltagarlista!$C62),"",IF(ISBLANK(Arrangörslista!F$53),"",IF($GV51=AB$64," DNS ",IFERROR(VLOOKUP($F51,Arrangörslista!F$53:$AG$90,16,FALSE),"DNS")))),IF(ISBLANK(Deltagarlista!$C62),"",IF(ISBLANK(Arrangörslista!F$53),"",IFERROR(VLOOKUP($F51,Arrangörslista!F$53:$AG$90,16,FALSE),"DNS")))))</f>
        <v/>
      </c>
      <c r="AC51" s="5" t="str">
        <f>IF(Deltagarlista!$K$3=4,IF(ISBLANK(Deltagarlista!$C62),"",IF(ISBLANK(Arrangörslista!K$98),"",IFERROR(VLOOKUP($F51,Arrangörslista!K$98:$AG$135,16,FALSE),IF(ISBLANK(Deltagarlista!$C62),"",IF(ISBLANK(Arrangörslista!K$98),"",IFERROR(VLOOKUP($F51,Arrangörslista!L$98:$AG$135,16,FALSE),"DNS")))))),IF(Deltagarlista!$K$3=2,
IF(ISBLANK(Deltagarlista!$C62),"",IF(ISBLANK(Arrangörslista!G$53),"",IF($GV51=AC$64," DNS ",IFERROR(VLOOKUP($F51,Arrangörslista!G$53:$AG$90,16,FALSE),"DNS")))),IF(ISBLANK(Deltagarlista!$C62),"",IF(ISBLANK(Arrangörslista!G$53),"",IFERROR(VLOOKUP($F51,Arrangörslista!G$53:$AG$90,16,FALSE),"DNS")))))</f>
        <v/>
      </c>
      <c r="AD51" s="5" t="str">
        <f>IF(Deltagarlista!$K$3=4,IF(ISBLANK(Deltagarlista!$C62),"",IF(ISBLANK(Arrangörslista!M$98),"",IFERROR(VLOOKUP($F51,Arrangörslista!M$98:$AG$135,16,FALSE),IF(ISBLANK(Deltagarlista!$C62),"",IF(ISBLANK(Arrangörslista!M$98),"",IFERROR(VLOOKUP($F51,Arrangörslista!N$98:$AG$135,16,FALSE),"DNS")))))),IF(Deltagarlista!$K$3=2,
IF(ISBLANK(Deltagarlista!$C62),"",IF(ISBLANK(Arrangörslista!H$53),"",IF($GV51=AD$64," DNS ",IFERROR(VLOOKUP($F51,Arrangörslista!H$53:$AG$90,16,FALSE),"DNS")))),IF(ISBLANK(Deltagarlista!$C62),"",IF(ISBLANK(Arrangörslista!H$53),"",IFERROR(VLOOKUP($F51,Arrangörslista!H$53:$AG$90,16,FALSE),"DNS")))))</f>
        <v/>
      </c>
      <c r="AE51" s="5" t="str">
        <f>IF(Deltagarlista!$K$3=4,IF(ISBLANK(Deltagarlista!$C62),"",IF(ISBLANK(Arrangörslista!O$98),"",IFERROR(VLOOKUP($F51,Arrangörslista!O$98:$AG$135,16,FALSE),IF(ISBLANK(Deltagarlista!$C62),"",IF(ISBLANK(Arrangörslista!O$98),"",IFERROR(VLOOKUP($F51,Arrangörslista!P$98:$AG$135,16,FALSE),"DNS")))))),IF(Deltagarlista!$K$3=2,
IF(ISBLANK(Deltagarlista!$C62),"",IF(ISBLANK(Arrangörslista!I$53),"",IF($GV51=AE$64," DNS ",IFERROR(VLOOKUP($F51,Arrangörslista!I$53:$AG$90,16,FALSE),"DNS")))),IF(ISBLANK(Deltagarlista!$C62),"",IF(ISBLANK(Arrangörslista!I$53),"",IFERROR(VLOOKUP($F51,Arrangörslista!I$53:$AG$90,16,FALSE),"DNS")))))</f>
        <v/>
      </c>
      <c r="AF51" s="5" t="str">
        <f>IF(Deltagarlista!$K$3=4,IF(ISBLANK(Deltagarlista!$C62),"",IF(ISBLANK(Arrangörslista!Q$98),"",IFERROR(VLOOKUP($F51,Arrangörslista!Q$98:$AG$135,16,FALSE),IF(ISBLANK(Deltagarlista!$C62),"",IF(ISBLANK(Arrangörslista!Q$98),"",IFERROR(VLOOKUP($F51,Arrangörslista!C$143:$AG$180,16,FALSE),"DNS")))))),IF(Deltagarlista!$K$3=2,
IF(ISBLANK(Deltagarlista!$C62),"",IF(ISBLANK(Arrangörslista!J$53),"",IF($GV51=AF$64," DNS ",IFERROR(VLOOKUP($F51,Arrangörslista!J$53:$AG$90,16,FALSE),"DNS")))),IF(ISBLANK(Deltagarlista!$C62),"",IF(ISBLANK(Arrangörslista!J$53),"",IFERROR(VLOOKUP($F51,Arrangörslista!J$53:$AG$90,16,FALSE),"DNS")))))</f>
        <v/>
      </c>
      <c r="AG51" s="5" t="str">
        <f>IF(Deltagarlista!$K$3=4,IF(ISBLANK(Deltagarlista!$C62),"",IF(ISBLANK(Arrangörslista!D$143),"",IFERROR(VLOOKUP($F51,Arrangörslista!D$143:$AG$180,16,FALSE),IF(ISBLANK(Deltagarlista!$C62),"",IF(ISBLANK(Arrangörslista!D$143),"",IFERROR(VLOOKUP($F51,Arrangörslista!E$143:$AG$180,16,FALSE),"DNS")))))),IF(Deltagarlista!$K$3=2,
IF(ISBLANK(Deltagarlista!$C62),"",IF(ISBLANK(Arrangörslista!K$53),"",IF($GV51=AG$64," DNS ",IFERROR(VLOOKUP($F51,Arrangörslista!K$53:$AG$90,16,FALSE),"DNS")))),IF(ISBLANK(Deltagarlista!$C62),"",IF(ISBLANK(Arrangörslista!K$53),"",IFERROR(VLOOKUP($F51,Arrangörslista!K$53:$AG$90,16,FALSE),"DNS")))))</f>
        <v/>
      </c>
      <c r="AH51" s="5" t="str">
        <f>IF(Deltagarlista!$K$3=4,IF(ISBLANK(Deltagarlista!$C62),"",IF(ISBLANK(Arrangörslista!F$143),"",IFERROR(VLOOKUP($F51,Arrangörslista!F$143:$AG$180,16,FALSE),IF(ISBLANK(Deltagarlista!$C62),"",IF(ISBLANK(Arrangörslista!F$143),"",IFERROR(VLOOKUP($F51,Arrangörslista!G$143:$AG$180,16,FALSE),"DNS")))))),IF(Deltagarlista!$K$3=2,
IF(ISBLANK(Deltagarlista!$C62),"",IF(ISBLANK(Arrangörslista!L$53),"",IF($GV51=AH$64," DNS ",IFERROR(VLOOKUP($F51,Arrangörslista!L$53:$AG$90,16,FALSE),"DNS")))),IF(ISBLANK(Deltagarlista!$C62),"",IF(ISBLANK(Arrangörslista!L$53),"",IFERROR(VLOOKUP($F51,Arrangörslista!L$53:$AG$90,16,FALSE),"DNS")))))</f>
        <v/>
      </c>
      <c r="AI51" s="5" t="str">
        <f>IF(Deltagarlista!$K$3=4,IF(ISBLANK(Deltagarlista!$C62),"",IF(ISBLANK(Arrangörslista!H$143),"",IFERROR(VLOOKUP($F51,Arrangörslista!H$143:$AG$180,16,FALSE),IF(ISBLANK(Deltagarlista!$C62),"",IF(ISBLANK(Arrangörslista!H$143),"",IFERROR(VLOOKUP($F51,Arrangörslista!I$143:$AG$180,16,FALSE),"DNS")))))),IF(Deltagarlista!$K$3=2,
IF(ISBLANK(Deltagarlista!$C62),"",IF(ISBLANK(Arrangörslista!M$53),"",IF($GV51=AI$64," DNS ",IFERROR(VLOOKUP($F51,Arrangörslista!M$53:$AG$90,16,FALSE),"DNS")))),IF(ISBLANK(Deltagarlista!$C62),"",IF(ISBLANK(Arrangörslista!M$53),"",IFERROR(VLOOKUP($F51,Arrangörslista!M$53:$AG$90,16,FALSE),"DNS")))))</f>
        <v/>
      </c>
      <c r="AJ51" s="5" t="str">
        <f>IF(Deltagarlista!$K$3=4,IF(ISBLANK(Deltagarlista!$C62),"",IF(ISBLANK(Arrangörslista!J$143),"",IFERROR(VLOOKUP($F51,Arrangörslista!J$143:$AG$180,16,FALSE),IF(ISBLANK(Deltagarlista!$C62),"",IF(ISBLANK(Arrangörslista!J$143),"",IFERROR(VLOOKUP($F51,Arrangörslista!K$143:$AG$180,16,FALSE),"DNS")))))),IF(Deltagarlista!$K$3=2,
IF(ISBLANK(Deltagarlista!$C62),"",IF(ISBLANK(Arrangörslista!N$53),"",IF($GV51=AJ$64," DNS ",IFERROR(VLOOKUP($F51,Arrangörslista!N$53:$AG$90,16,FALSE),"DNS")))),IF(ISBLANK(Deltagarlista!$C62),"",IF(ISBLANK(Arrangörslista!N$53),"",IFERROR(VLOOKUP($F51,Arrangörslista!N$53:$AG$90,16,FALSE),"DNS")))))</f>
        <v/>
      </c>
      <c r="AK51" s="5" t="str">
        <f>IF(Deltagarlista!$K$3=4,IF(ISBLANK(Deltagarlista!$C62),"",IF(ISBLANK(Arrangörslista!L$143),"",IFERROR(VLOOKUP($F51,Arrangörslista!L$143:$AG$180,16,FALSE),IF(ISBLANK(Deltagarlista!$C62),"",IF(ISBLANK(Arrangörslista!L$143),"",IFERROR(VLOOKUP($F51,Arrangörslista!M$143:$AG$180,16,FALSE),"DNS")))))),IF(Deltagarlista!$K$3=2,
IF(ISBLANK(Deltagarlista!$C62),"",IF(ISBLANK(Arrangörslista!O$53),"",IF($GV51=AK$64," DNS ",IFERROR(VLOOKUP($F51,Arrangörslista!O$53:$AG$90,16,FALSE),"DNS")))),IF(ISBLANK(Deltagarlista!$C62),"",IF(ISBLANK(Arrangörslista!O$53),"",IFERROR(VLOOKUP($F51,Arrangörslista!O$53:$AG$90,16,FALSE),"DNS")))))</f>
        <v/>
      </c>
      <c r="AL51" s="5" t="str">
        <f>IF(Deltagarlista!$K$3=4,IF(ISBLANK(Deltagarlista!$C62),"",IF(ISBLANK(Arrangörslista!N$143),"",IFERROR(VLOOKUP($F51,Arrangörslista!N$143:$AG$180,16,FALSE),IF(ISBLANK(Deltagarlista!$C62),"",IF(ISBLANK(Arrangörslista!N$143),"",IFERROR(VLOOKUP($F51,Arrangörslista!O$143:$AG$180,16,FALSE),"DNS")))))),IF(Deltagarlista!$K$3=2,
IF(ISBLANK(Deltagarlista!$C62),"",IF(ISBLANK(Arrangörslista!P$53),"",IF($GV51=AL$64," DNS ",IFERROR(VLOOKUP($F51,Arrangörslista!P$53:$AG$90,16,FALSE),"DNS")))),IF(ISBLANK(Deltagarlista!$C62),"",IF(ISBLANK(Arrangörslista!P$53),"",IFERROR(VLOOKUP($F51,Arrangörslista!P$53:$AG$90,16,FALSE),"DNS")))))</f>
        <v/>
      </c>
      <c r="AM51" s="5" t="str">
        <f>IF(Deltagarlista!$K$3=4,IF(ISBLANK(Deltagarlista!$C62),"",IF(ISBLANK(Arrangörslista!P$143),"",IFERROR(VLOOKUP($F51,Arrangörslista!P$143:$AG$180,16,FALSE),IF(ISBLANK(Deltagarlista!$C62),"",IF(ISBLANK(Arrangörslista!P$143),"",IFERROR(VLOOKUP($F51,Arrangörslista!Q$143:$AG$180,16,FALSE),"DNS")))))),IF(Deltagarlista!$K$3=2,
IF(ISBLANK(Deltagarlista!$C62),"",IF(ISBLANK(Arrangörslista!Q$53),"",IF($GV51=AM$64," DNS ",IFERROR(VLOOKUP($F51,Arrangörslista!Q$53:$AG$90,16,FALSE),"DNS")))),IF(ISBLANK(Deltagarlista!$C62),"",IF(ISBLANK(Arrangörslista!Q$53),"",IFERROR(VLOOKUP($F51,Arrangörslista!Q$53:$AG$90,16,FALSE),"DNS")))))</f>
        <v/>
      </c>
      <c r="AN51" s="5" t="str">
        <f>IF(Deltagarlista!$K$3=2,
IF(ISBLANK(Deltagarlista!$C62),"",IF(ISBLANK(Arrangörslista!C$98),"",IF($GV51=AN$64," DNS ",IFERROR(VLOOKUP($F51,Arrangörslista!C$98:$AG$135,16,FALSE), "DNS")))), IF(Deltagarlista!$K$3=1,IF(ISBLANK(Deltagarlista!$C62),"",IF(ISBLANK(Arrangörslista!C$98),"",IFERROR(VLOOKUP($F51,Arrangörslista!C$98:$AG$135,16,FALSE), "DNS"))),""))</f>
        <v/>
      </c>
      <c r="AO51" s="5" t="str">
        <f>IF(Deltagarlista!$K$3=2,
IF(ISBLANK(Deltagarlista!$C62),"",IF(ISBLANK(Arrangörslista!D$98),"",IF($GV51=AO$64," DNS ",IFERROR(VLOOKUP($F51,Arrangörslista!D$98:$AG$135,16,FALSE), "DNS")))), IF(Deltagarlista!$K$3=1,IF(ISBLANK(Deltagarlista!$C62),"",IF(ISBLANK(Arrangörslista!D$98),"",IFERROR(VLOOKUP($F51,Arrangörslista!D$98:$AG$135,16,FALSE), "DNS"))),""))</f>
        <v/>
      </c>
      <c r="AP51" s="5" t="str">
        <f>IF(Deltagarlista!$K$3=2,
IF(ISBLANK(Deltagarlista!$C62),"",IF(ISBLANK(Arrangörslista!E$98),"",IF($GV51=AP$64," DNS ",IFERROR(VLOOKUP($F51,Arrangörslista!E$98:$AG$135,16,FALSE), "DNS")))), IF(Deltagarlista!$K$3=1,IF(ISBLANK(Deltagarlista!$C62),"",IF(ISBLANK(Arrangörslista!E$98),"",IFERROR(VLOOKUP($F51,Arrangörslista!E$98:$AG$135,16,FALSE), "DNS"))),""))</f>
        <v/>
      </c>
      <c r="AQ51" s="5" t="str">
        <f>IF(Deltagarlista!$K$3=2,
IF(ISBLANK(Deltagarlista!$C62),"",IF(ISBLANK(Arrangörslista!F$98),"",IF($GV51=AQ$64," DNS ",IFERROR(VLOOKUP($F51,Arrangörslista!F$98:$AG$135,16,FALSE), "DNS")))), IF(Deltagarlista!$K$3=1,IF(ISBLANK(Deltagarlista!$C62),"",IF(ISBLANK(Arrangörslista!F$98),"",IFERROR(VLOOKUP($F51,Arrangörslista!F$98:$AG$135,16,FALSE), "DNS"))),""))</f>
        <v/>
      </c>
      <c r="AR51" s="5" t="str">
        <f>IF(Deltagarlista!$K$3=2,
IF(ISBLANK(Deltagarlista!$C62),"",IF(ISBLANK(Arrangörslista!G$98),"",IF($GV51=AR$64," DNS ",IFERROR(VLOOKUP($F51,Arrangörslista!G$98:$AG$135,16,FALSE), "DNS")))), IF(Deltagarlista!$K$3=1,IF(ISBLANK(Deltagarlista!$C62),"",IF(ISBLANK(Arrangörslista!G$98),"",IFERROR(VLOOKUP($F51,Arrangörslista!G$98:$AG$135,16,FALSE), "DNS"))),""))</f>
        <v/>
      </c>
      <c r="AS51" s="5" t="str">
        <f>IF(Deltagarlista!$K$3=2,
IF(ISBLANK(Deltagarlista!$C62),"",IF(ISBLANK(Arrangörslista!H$98),"",IF($GV51=AS$64," DNS ",IFERROR(VLOOKUP($F51,Arrangörslista!H$98:$AG$135,16,FALSE), "DNS")))), IF(Deltagarlista!$K$3=1,IF(ISBLANK(Deltagarlista!$C62),"",IF(ISBLANK(Arrangörslista!H$98),"",IFERROR(VLOOKUP($F51,Arrangörslista!H$98:$AG$135,16,FALSE), "DNS"))),""))</f>
        <v/>
      </c>
      <c r="AT51" s="5" t="str">
        <f>IF(Deltagarlista!$K$3=2,
IF(ISBLANK(Deltagarlista!$C62),"",IF(ISBLANK(Arrangörslista!I$98),"",IF($GV51=AT$64," DNS ",IFERROR(VLOOKUP($F51,Arrangörslista!I$98:$AG$135,16,FALSE), "DNS")))), IF(Deltagarlista!$K$3=1,IF(ISBLANK(Deltagarlista!$C62),"",IF(ISBLANK(Arrangörslista!I$98),"",IFERROR(VLOOKUP($F51,Arrangörslista!I$98:$AG$135,16,FALSE), "DNS"))),""))</f>
        <v/>
      </c>
      <c r="AU51" s="5" t="str">
        <f>IF(Deltagarlista!$K$3=2,
IF(ISBLANK(Deltagarlista!$C62),"",IF(ISBLANK(Arrangörslista!J$98),"",IF($GV51=AU$64," DNS ",IFERROR(VLOOKUP($F51,Arrangörslista!J$98:$AG$135,16,FALSE), "DNS")))), IF(Deltagarlista!$K$3=1,IF(ISBLANK(Deltagarlista!$C62),"",IF(ISBLANK(Arrangörslista!J$98),"",IFERROR(VLOOKUP($F51,Arrangörslista!J$98:$AG$135,16,FALSE), "DNS"))),""))</f>
        <v/>
      </c>
      <c r="AV51" s="5" t="str">
        <f>IF(Deltagarlista!$K$3=2,
IF(ISBLANK(Deltagarlista!$C62),"",IF(ISBLANK(Arrangörslista!K$98),"",IF($GV51=AV$64," DNS ",IFERROR(VLOOKUP($F51,Arrangörslista!K$98:$AG$135,16,FALSE), "DNS")))), IF(Deltagarlista!$K$3=1,IF(ISBLANK(Deltagarlista!$C62),"",IF(ISBLANK(Arrangörslista!K$98),"",IFERROR(VLOOKUP($F51,Arrangörslista!K$98:$AG$135,16,FALSE), "DNS"))),""))</f>
        <v/>
      </c>
      <c r="AW51" s="5" t="str">
        <f>IF(Deltagarlista!$K$3=2,
IF(ISBLANK(Deltagarlista!$C62),"",IF(ISBLANK(Arrangörslista!L$98),"",IF($GV51=AW$64," DNS ",IFERROR(VLOOKUP($F51,Arrangörslista!L$98:$AG$135,16,FALSE), "DNS")))), IF(Deltagarlista!$K$3=1,IF(ISBLANK(Deltagarlista!$C62),"",IF(ISBLANK(Arrangörslista!L$98),"",IFERROR(VLOOKUP($F51,Arrangörslista!L$98:$AG$135,16,FALSE), "DNS"))),""))</f>
        <v/>
      </c>
      <c r="AX51" s="5" t="str">
        <f>IF(Deltagarlista!$K$3=2,
IF(ISBLANK(Deltagarlista!$C62),"",IF(ISBLANK(Arrangörslista!M$98),"",IF($GV51=AX$64," DNS ",IFERROR(VLOOKUP($F51,Arrangörslista!M$98:$AG$135,16,FALSE), "DNS")))), IF(Deltagarlista!$K$3=1,IF(ISBLANK(Deltagarlista!$C62),"",IF(ISBLANK(Arrangörslista!M$98),"",IFERROR(VLOOKUP($F51,Arrangörslista!M$98:$AG$135,16,FALSE), "DNS"))),""))</f>
        <v/>
      </c>
      <c r="AY51" s="5" t="str">
        <f>IF(Deltagarlista!$K$3=2,
IF(ISBLANK(Deltagarlista!$C62),"",IF(ISBLANK(Arrangörslista!N$98),"",IF($GV51=AY$64," DNS ",IFERROR(VLOOKUP($F51,Arrangörslista!N$98:$AG$135,16,FALSE), "DNS")))), IF(Deltagarlista!$K$3=1,IF(ISBLANK(Deltagarlista!$C62),"",IF(ISBLANK(Arrangörslista!N$98),"",IFERROR(VLOOKUP($F51,Arrangörslista!N$98:$AG$135,16,FALSE), "DNS"))),""))</f>
        <v/>
      </c>
      <c r="AZ51" s="5" t="str">
        <f>IF(Deltagarlista!$K$3=2,
IF(ISBLANK(Deltagarlista!$C62),"",IF(ISBLANK(Arrangörslista!O$98),"",IF($GV51=AZ$64," DNS ",IFERROR(VLOOKUP($F51,Arrangörslista!O$98:$AG$135,16,FALSE), "DNS")))), IF(Deltagarlista!$K$3=1,IF(ISBLANK(Deltagarlista!$C62),"",IF(ISBLANK(Arrangörslista!O$98),"",IFERROR(VLOOKUP($F51,Arrangörslista!O$98:$AG$135,16,FALSE), "DNS"))),""))</f>
        <v/>
      </c>
      <c r="BA51" s="5" t="str">
        <f>IF(Deltagarlista!$K$3=2,
IF(ISBLANK(Deltagarlista!$C62),"",IF(ISBLANK(Arrangörslista!P$98),"",IF($GV51=BA$64," DNS ",IFERROR(VLOOKUP($F51,Arrangörslista!P$98:$AG$135,16,FALSE), "DNS")))), IF(Deltagarlista!$K$3=1,IF(ISBLANK(Deltagarlista!$C62),"",IF(ISBLANK(Arrangörslista!P$98),"",IFERROR(VLOOKUP($F51,Arrangörslista!P$98:$AG$135,16,FALSE), "DNS"))),""))</f>
        <v/>
      </c>
      <c r="BB51" s="5" t="str">
        <f>IF(Deltagarlista!$K$3=2,
IF(ISBLANK(Deltagarlista!$C62),"",IF(ISBLANK(Arrangörslista!Q$98),"",IF($GV51=BB$64," DNS ",IFERROR(VLOOKUP($F51,Arrangörslista!Q$98:$AG$135,16,FALSE), "DNS")))), IF(Deltagarlista!$K$3=1,IF(ISBLANK(Deltagarlista!$C62),"",IF(ISBLANK(Arrangörslista!Q$98),"",IFERROR(VLOOKUP($F51,Arrangörslista!Q$98:$AG$135,16,FALSE), "DNS"))),""))</f>
        <v/>
      </c>
      <c r="BC51" s="5" t="str">
        <f>IF(Deltagarlista!$K$3=2,
IF(ISBLANK(Deltagarlista!$C62),"",IF(ISBLANK(Arrangörslista!C$143),"",IF($GV51=BC$64," DNS ",IFERROR(VLOOKUP($F51,Arrangörslista!C$143:$AG$180,16,FALSE), "DNS")))), IF(Deltagarlista!$K$3=1,IF(ISBLANK(Deltagarlista!$C62),"",IF(ISBLANK(Arrangörslista!C$143),"",IFERROR(VLOOKUP($F51,Arrangörslista!C$143:$AG$180,16,FALSE), "DNS"))),""))</f>
        <v/>
      </c>
      <c r="BD51" s="5" t="str">
        <f>IF(Deltagarlista!$K$3=2,
IF(ISBLANK(Deltagarlista!$C62),"",IF(ISBLANK(Arrangörslista!D$143),"",IF($GV51=BD$64," DNS ",IFERROR(VLOOKUP($F51,Arrangörslista!D$143:$AG$180,16,FALSE), "DNS")))), IF(Deltagarlista!$K$3=1,IF(ISBLANK(Deltagarlista!$C62),"",IF(ISBLANK(Arrangörslista!D$143),"",IFERROR(VLOOKUP($F51,Arrangörslista!D$143:$AG$180,16,FALSE), "DNS"))),""))</f>
        <v/>
      </c>
      <c r="BE51" s="5" t="str">
        <f>IF(Deltagarlista!$K$3=2,
IF(ISBLANK(Deltagarlista!$C62),"",IF(ISBLANK(Arrangörslista!E$143),"",IF($GV51=BE$64," DNS ",IFERROR(VLOOKUP($F51,Arrangörslista!E$143:$AG$180,16,FALSE), "DNS")))), IF(Deltagarlista!$K$3=1,IF(ISBLANK(Deltagarlista!$C62),"",IF(ISBLANK(Arrangörslista!E$143),"",IFERROR(VLOOKUP($F51,Arrangörslista!E$143:$AG$180,16,FALSE), "DNS"))),""))</f>
        <v/>
      </c>
      <c r="BF51" s="5" t="str">
        <f>IF(Deltagarlista!$K$3=2,
IF(ISBLANK(Deltagarlista!$C62),"",IF(ISBLANK(Arrangörslista!F$143),"",IF($GV51=BF$64," DNS ",IFERROR(VLOOKUP($F51,Arrangörslista!F$143:$AG$180,16,FALSE), "DNS")))), IF(Deltagarlista!$K$3=1,IF(ISBLANK(Deltagarlista!$C62),"",IF(ISBLANK(Arrangörslista!F$143),"",IFERROR(VLOOKUP($F51,Arrangörslista!F$143:$AG$180,16,FALSE), "DNS"))),""))</f>
        <v/>
      </c>
      <c r="BG51" s="5" t="str">
        <f>IF(Deltagarlista!$K$3=2,
IF(ISBLANK(Deltagarlista!$C62),"",IF(ISBLANK(Arrangörslista!G$143),"",IF($GV51=BG$64," DNS ",IFERROR(VLOOKUP($F51,Arrangörslista!G$143:$AG$180,16,FALSE), "DNS")))), IF(Deltagarlista!$K$3=1,IF(ISBLANK(Deltagarlista!$C62),"",IF(ISBLANK(Arrangörslista!G$143),"",IFERROR(VLOOKUP($F51,Arrangörslista!G$143:$AG$180,16,FALSE), "DNS"))),""))</f>
        <v/>
      </c>
      <c r="BH51" s="5" t="str">
        <f>IF(Deltagarlista!$K$3=2,
IF(ISBLANK(Deltagarlista!$C62),"",IF(ISBLANK(Arrangörslista!H$143),"",IF($GV51=BH$64," DNS ",IFERROR(VLOOKUP($F51,Arrangörslista!H$143:$AG$180,16,FALSE), "DNS")))), IF(Deltagarlista!$K$3=1,IF(ISBLANK(Deltagarlista!$C62),"",IF(ISBLANK(Arrangörslista!H$143),"",IFERROR(VLOOKUP($F51,Arrangörslista!H$143:$AG$180,16,FALSE), "DNS"))),""))</f>
        <v/>
      </c>
      <c r="BI51" s="5" t="str">
        <f>IF(Deltagarlista!$K$3=2,
IF(ISBLANK(Deltagarlista!$C62),"",IF(ISBLANK(Arrangörslista!I$143),"",IF($GV51=BI$64," DNS ",IFERROR(VLOOKUP($F51,Arrangörslista!I$143:$AG$180,16,FALSE), "DNS")))), IF(Deltagarlista!$K$3=1,IF(ISBLANK(Deltagarlista!$C62),"",IF(ISBLANK(Arrangörslista!I$143),"",IFERROR(VLOOKUP($F51,Arrangörslista!I$143:$AG$180,16,FALSE), "DNS"))),""))</f>
        <v/>
      </c>
      <c r="BJ51" s="5" t="str">
        <f>IF(Deltagarlista!$K$3=2,
IF(ISBLANK(Deltagarlista!$C62),"",IF(ISBLANK(Arrangörslista!J$143),"",IF($GV51=BJ$64," DNS ",IFERROR(VLOOKUP($F51,Arrangörslista!J$143:$AG$180,16,FALSE), "DNS")))), IF(Deltagarlista!$K$3=1,IF(ISBLANK(Deltagarlista!$C62),"",IF(ISBLANK(Arrangörslista!J$143),"",IFERROR(VLOOKUP($F51,Arrangörslista!J$143:$AG$180,16,FALSE), "DNS"))),""))</f>
        <v/>
      </c>
      <c r="BK51" s="5" t="str">
        <f>IF(Deltagarlista!$K$3=2,
IF(ISBLANK(Deltagarlista!$C62),"",IF(ISBLANK(Arrangörslista!K$143),"",IF($GV51=BK$64," DNS ",IFERROR(VLOOKUP($F51,Arrangörslista!K$143:$AG$180,16,FALSE), "DNS")))), IF(Deltagarlista!$K$3=1,IF(ISBLANK(Deltagarlista!$C62),"",IF(ISBLANK(Arrangörslista!K$143),"",IFERROR(VLOOKUP($F51,Arrangörslista!K$143:$AG$180,16,FALSE), "DNS"))),""))</f>
        <v/>
      </c>
      <c r="BL51" s="5" t="str">
        <f>IF(Deltagarlista!$K$3=2,
IF(ISBLANK(Deltagarlista!$C62),"",IF(ISBLANK(Arrangörslista!L$143),"",IF($GV51=BL$64," DNS ",IFERROR(VLOOKUP($F51,Arrangörslista!L$143:$AG$180,16,FALSE), "DNS")))), IF(Deltagarlista!$K$3=1,IF(ISBLANK(Deltagarlista!$C62),"",IF(ISBLANK(Arrangörslista!L$143),"",IFERROR(VLOOKUP($F51,Arrangörslista!L$143:$AG$180,16,FALSE), "DNS"))),""))</f>
        <v/>
      </c>
      <c r="BM51" s="5" t="str">
        <f>IF(Deltagarlista!$K$3=2,
IF(ISBLANK(Deltagarlista!$C62),"",IF(ISBLANK(Arrangörslista!M$143),"",IF($GV51=BM$64," DNS ",IFERROR(VLOOKUP($F51,Arrangörslista!M$143:$AG$180,16,FALSE), "DNS")))), IF(Deltagarlista!$K$3=1,IF(ISBLANK(Deltagarlista!$C62),"",IF(ISBLANK(Arrangörslista!M$143),"",IFERROR(VLOOKUP($F51,Arrangörslista!M$143:$AG$180,16,FALSE), "DNS"))),""))</f>
        <v/>
      </c>
      <c r="BN51" s="5" t="str">
        <f>IF(Deltagarlista!$K$3=2,
IF(ISBLANK(Deltagarlista!$C62),"",IF(ISBLANK(Arrangörslista!N$143),"",IF($GV51=BN$64," DNS ",IFERROR(VLOOKUP($F51,Arrangörslista!N$143:$AG$180,16,FALSE), "DNS")))), IF(Deltagarlista!$K$3=1,IF(ISBLANK(Deltagarlista!$C62),"",IF(ISBLANK(Arrangörslista!N$143),"",IFERROR(VLOOKUP($F51,Arrangörslista!N$143:$AG$180,16,FALSE), "DNS"))),""))</f>
        <v/>
      </c>
      <c r="BO51" s="5" t="str">
        <f>IF(Deltagarlista!$K$3=2,
IF(ISBLANK(Deltagarlista!$C62),"",IF(ISBLANK(Arrangörslista!O$143),"",IF($GV51=BO$64," DNS ",IFERROR(VLOOKUP($F51,Arrangörslista!O$143:$AG$180,16,FALSE), "DNS")))), IF(Deltagarlista!$K$3=1,IF(ISBLANK(Deltagarlista!$C62),"",IF(ISBLANK(Arrangörslista!O$143),"",IFERROR(VLOOKUP($F51,Arrangörslista!O$143:$AG$180,16,FALSE), "DNS"))),""))</f>
        <v/>
      </c>
      <c r="BP51" s="5" t="str">
        <f>IF(Deltagarlista!$K$3=2,
IF(ISBLANK(Deltagarlista!$C62),"",IF(ISBLANK(Arrangörslista!P$143),"",IF($GV51=BP$64," DNS ",IFERROR(VLOOKUP($F51,Arrangörslista!P$143:$AG$180,16,FALSE), "DNS")))), IF(Deltagarlista!$K$3=1,IF(ISBLANK(Deltagarlista!$C62),"",IF(ISBLANK(Arrangörslista!P$143),"",IFERROR(VLOOKUP($F51,Arrangörslista!P$143:$AG$180,16,FALSE), "DNS"))),""))</f>
        <v/>
      </c>
      <c r="BQ51" s="80" t="str">
        <f>IF(Deltagarlista!$K$3=2,
IF(ISBLANK(Deltagarlista!$C62),"",IF(ISBLANK(Arrangörslista!Q$143),"",IF($GV51=BQ$64," DNS ",IFERROR(VLOOKUP($F51,Arrangörslista!Q$143:$AG$180,16,FALSE), "DNS")))), IF(Deltagarlista!$K$3=1,IF(ISBLANK(Deltagarlista!$C62),"",IF(ISBLANK(Arrangörslista!Q$143),"",IFERROR(VLOOKUP($F51,Arrangörslista!Q$143:$AG$180,16,FALSE), "DNS"))),""))</f>
        <v/>
      </c>
      <c r="BR51" s="48"/>
      <c r="BU51" s="71">
        <f>SUM(BV51:EC51)</f>
        <v>0</v>
      </c>
      <c r="BV51" s="61">
        <f>IF(J51="",0,IF(OR(J51="DNF",J51="OCS",J51="DSQ",J51="DNS",J51=" DNS "),$BW$3+1,J51))</f>
        <v>0</v>
      </c>
      <c r="BW51" s="61">
        <f>IF(K51="",0,IF(OR(K51="DNF",K51="OCS",K51="DSQ",K51="DNS",K51=" DNS "),$BW$3+1,K51))</f>
        <v>0</v>
      </c>
      <c r="BX51" s="61">
        <f>IF(L51="",0,IF(OR(L51="DNF",L51="OCS",L51="DSQ",L51="DNS",L51=" DNS "),$BW$3+1,L51))</f>
        <v>0</v>
      </c>
      <c r="BY51" s="61">
        <f>IF(M51="",0,IF(OR(M51="DNF",M51="OCS",M51="DSQ",M51="DNS",M51=" DNS "),$BW$3+1,M51))</f>
        <v>0</v>
      </c>
      <c r="BZ51" s="61">
        <f>IF(N51="",0,IF(OR(N51="DNF",N51="OCS",N51="DSQ",N51="DNS",N51=" DNS "),$BW$3+1,N51))</f>
        <v>0</v>
      </c>
      <c r="CA51" s="61">
        <f>IF(O51="",0,IF(OR(O51="DNF",O51="OCS",O51="DSQ",O51="DNS",O51=" DNS "),$BW$3+1,O51))</f>
        <v>0</v>
      </c>
      <c r="CB51" s="61">
        <f>IF(P51="",0,IF(OR(P51="DNF",P51="OCS",P51="DSQ",P51="DNS",P51=" DNS "),$BW$3+1,P51))</f>
        <v>0</v>
      </c>
      <c r="CC51" s="61">
        <f>IF(Q51="",0,IF(OR(Q51="DNF",Q51="OCS",Q51="DSQ",Q51="DNS",Q51=" DNS "),$BW$3+1,Q51))</f>
        <v>0</v>
      </c>
      <c r="CD51" s="61">
        <f>IF(R51="",0,IF(OR(R51="DNF",R51="OCS",R51="DSQ",R51="DNS",R51=" DNS "),$BW$3+1,R51))</f>
        <v>0</v>
      </c>
      <c r="CE51" s="61">
        <f>IF(S51="",0,IF(OR(S51="DNF",S51="OCS",S51="DSQ",S51="DNS",S51=" DNS "),$BW$3+1,S51))</f>
        <v>0</v>
      </c>
      <c r="CF51" s="61">
        <f>IF(T51="",0,IF(OR(T51="DNF",T51="OCS",T51="DSQ",T51="DNS",T51=" DNS "),$BW$3+1,T51))</f>
        <v>0</v>
      </c>
      <c r="CG51" s="61">
        <f>IF(U51="",0,IF(OR(U51="DNF",U51="OCS",U51="DSQ",U51="DNS",U51=" DNS "),$BW$3+1,U51))</f>
        <v>0</v>
      </c>
      <c r="CH51" s="61">
        <f>IF(V51="",0,IF(OR(V51="DNF",V51="OCS",V51="DSQ",V51="DNS",V51=" DNS "),$BW$3+1,V51))</f>
        <v>0</v>
      </c>
      <c r="CI51" s="61">
        <f>IF(W51="",0,IF(OR(W51="DNF",W51="OCS",W51="DSQ",W51="DNS",W51=" DNS "),$BW$3+1,W51))</f>
        <v>0</v>
      </c>
      <c r="CJ51" s="61">
        <f>IF(X51="",0,IF(OR(X51="DNF",X51="OCS",X51="DSQ",X51="DNS",X51=" DNS "),$BW$3+1,X51))</f>
        <v>0</v>
      </c>
      <c r="CK51" s="61">
        <f>IF(Y51="",0,IF(OR(Y51="DNF",Y51="OCS",Y51="DSQ",Y51="DNS",Y51=" DNS "),$BW$3+1,Y51))</f>
        <v>0</v>
      </c>
      <c r="CL51" s="61">
        <f>IF(Z51="",0,IF(OR(Z51="DNF",Z51="OCS",Z51="DSQ",Z51="DNS",Z51=" DNS "),$BW$3+1,Z51))</f>
        <v>0</v>
      </c>
      <c r="CM51" s="61">
        <f>IF(AA51="",0,IF(OR(AA51="DNF",AA51="OCS",AA51="DSQ",AA51="DNS",AA51=" DNS "),$BW$3+1,AA51))</f>
        <v>0</v>
      </c>
      <c r="CN51" s="61">
        <f>IF(AB51="",0,IF(OR(AB51="DNF",AB51="OCS",AB51="DSQ",AB51="DNS",AB51=" DNS "),$BW$3+1,AB51))</f>
        <v>0</v>
      </c>
      <c r="CO51" s="61">
        <f>IF(AC51="",0,IF(OR(AC51="DNF",AC51="OCS",AC51="DSQ",AC51="DNS",AC51=" DNS "),$BW$3+1,AC51))</f>
        <v>0</v>
      </c>
      <c r="CP51" s="61">
        <f>IF(AD51="",0,IF(OR(AD51="DNF",AD51="OCS",AD51="DSQ",AD51="DNS",AD51=" DNS "),$BW$3+1,AD51))</f>
        <v>0</v>
      </c>
      <c r="CQ51" s="61">
        <f>IF(AE51="",0,IF(OR(AE51="DNF",AE51="OCS",AE51="DSQ",AE51="DNS",AE51=" DNS "),$BW$3+1,AE51))</f>
        <v>0</v>
      </c>
      <c r="CR51" s="61">
        <f>IF(AF51="",0,IF(OR(AF51="DNF",AF51="OCS",AF51="DSQ",AF51="DNS",AF51=" DNS "),$BW$3+1,AF51))</f>
        <v>0</v>
      </c>
      <c r="CS51" s="61">
        <f>IF(AG51="",0,IF(OR(AG51="DNF",AG51="OCS",AG51="DSQ",AG51="DNS",AG51=" DNS "),$BW$3+1,AG51))</f>
        <v>0</v>
      </c>
      <c r="CT51" s="61">
        <f>IF(AH51="",0,IF(OR(AH51="DNF",AH51="OCS",AH51="DSQ",AH51="DNS",AH51=" DNS "),$BW$3+1,AH51))</f>
        <v>0</v>
      </c>
      <c r="CU51" s="61">
        <f>IF(AI51="",0,IF(OR(AI51="DNF",AI51="OCS",AI51="DSQ",AI51="DNS",AI51=" DNS "),$BW$3+1,AI51))</f>
        <v>0</v>
      </c>
      <c r="CV51" s="61">
        <f>IF(AJ51="",0,IF(OR(AJ51="DNF",AJ51="OCS",AJ51="DSQ",AJ51="DNS",AJ51=" DNS "),$BW$3+1,AJ51))</f>
        <v>0</v>
      </c>
      <c r="CW51" s="61">
        <f>IF(AK51="",0,IF(OR(AK51="DNF",AK51="OCS",AK51="DSQ",AK51="DNS",AK51=" DNS "),$BW$3+1,AK51))</f>
        <v>0</v>
      </c>
      <c r="CX51" s="61">
        <f>IF(AL51="",0,IF(OR(AL51="DNF",AL51="OCS",AL51="DSQ",AL51="DNS",AL51=" DNS "),$BW$3+1,AL51))</f>
        <v>0</v>
      </c>
      <c r="CY51" s="61">
        <f>IF(AM51="",0,IF(OR(AM51="DNF",AM51="OCS",AM51="DSQ",AM51="DNS",AM51=" DNS "),$BW$3+1,AM51))</f>
        <v>0</v>
      </c>
      <c r="CZ51" s="61">
        <f>IF(AN51="",0,IF(OR(AN51="DNF",AN51="OCS",AN51="DSQ",AN51="DNS",AN51=" DNS "),$BW$3+1,AN51))</f>
        <v>0</v>
      </c>
      <c r="DA51" s="61">
        <f>IF(AO51="",0,IF(OR(AO51="DNF",AO51="OCS",AO51="DSQ",AO51="DNS",AO51=" DNS "),$BW$3+1,AO51))</f>
        <v>0</v>
      </c>
      <c r="DB51" s="61">
        <f>IF(AP51="",0,IF(OR(AP51="DNF",AP51="OCS",AP51="DSQ",AP51="DNS",AP51=" DNS "),$BW$3+1,AP51))</f>
        <v>0</v>
      </c>
      <c r="DC51" s="61">
        <f>IF(AQ51="",0,IF(OR(AQ51="DNF",AQ51="OCS",AQ51="DSQ",AQ51="DNS",AQ51=" DNS "),$BW$3+1,AQ51))</f>
        <v>0</v>
      </c>
      <c r="DD51" s="61">
        <f>IF(AR51="",0,IF(OR(AR51="DNF",AR51="OCS",AR51="DSQ",AR51="DNS",AR51=" DNS "),$BW$3+1,AR51))</f>
        <v>0</v>
      </c>
      <c r="DE51" s="61">
        <f>IF(AS51="",0,IF(OR(AS51="DNF",AS51="OCS",AS51="DSQ",AS51="DNS",AS51=" DNS "),$BW$3+1,AS51))</f>
        <v>0</v>
      </c>
      <c r="DF51" s="61">
        <f>IF(AT51="",0,IF(OR(AT51="DNF",AT51="OCS",AT51="DSQ",AT51="DNS",AT51=" DNS "),$BW$3+1,AT51))</f>
        <v>0</v>
      </c>
      <c r="DG51" s="61">
        <f>IF(AU51="",0,IF(OR(AU51="DNF",AU51="OCS",AU51="DSQ",AU51="DNS",AU51=" DNS "),$BW$3+1,AU51))</f>
        <v>0</v>
      </c>
      <c r="DH51" s="61">
        <f>IF(AV51="",0,IF(OR(AV51="DNF",AV51="OCS",AV51="DSQ",AV51="DNS",AV51=" DNS "),$BW$3+1,AV51))</f>
        <v>0</v>
      </c>
      <c r="DI51" s="61">
        <f>IF(AW51="",0,IF(OR(AW51="DNF",AW51="OCS",AW51="DSQ",AW51="DNS",AW51=" DNS "),$BW$3+1,AW51))</f>
        <v>0</v>
      </c>
      <c r="DJ51" s="61">
        <f>IF(AX51="",0,IF(OR(AX51="DNF",AX51="OCS",AX51="DSQ",AX51="DNS",AX51=" DNS "),$BW$3+1,AX51))</f>
        <v>0</v>
      </c>
      <c r="DK51" s="61">
        <f>IF(AY51="",0,IF(OR(AY51="DNF",AY51="OCS",AY51="DSQ",AY51="DNS",AY51=" DNS "),$BW$3+1,AY51))</f>
        <v>0</v>
      </c>
      <c r="DL51" s="61">
        <f>IF(AZ51="",0,IF(OR(AZ51="DNF",AZ51="OCS",AZ51="DSQ",AZ51="DNS",AZ51=" DNS "),$BW$3+1,AZ51))</f>
        <v>0</v>
      </c>
      <c r="DM51" s="61">
        <f>IF(BA51="",0,IF(OR(BA51="DNF",BA51="OCS",BA51="DSQ",BA51="DNS",BA51=" DNS "),$BW$3+1,BA51))</f>
        <v>0</v>
      </c>
      <c r="DN51" s="61">
        <f>IF(BB51="",0,IF(OR(BB51="DNF",BB51="OCS",BB51="DSQ",BB51="DNS",BB51=" DNS "),$BW$3+1,BB51))</f>
        <v>0</v>
      </c>
      <c r="DO51" s="61">
        <f>IF(BC51="",0,IF(OR(BC51="DNF",BC51="OCS",BC51="DSQ",BC51="DNS",BC51=" DNS "),$BW$3+1,BC51))</f>
        <v>0</v>
      </c>
      <c r="DP51" s="61">
        <f>IF(BD51="",0,IF(OR(BD51="DNF",BD51="OCS",BD51="DSQ",BD51="DNS",BD51=" DNS "),$BW$3+1,BD51))</f>
        <v>0</v>
      </c>
      <c r="DQ51" s="61">
        <f>IF(BE51="",0,IF(OR(BE51="DNF",BE51="OCS",BE51="DSQ",BE51="DNS",BE51=" DNS "),$BW$3+1,BE51))</f>
        <v>0</v>
      </c>
      <c r="DR51" s="61">
        <f>IF(BF51="",0,IF(OR(BF51="DNF",BF51="OCS",BF51="DSQ",BF51="DNS",BF51=" DNS "),$BW$3+1,BF51))</f>
        <v>0</v>
      </c>
      <c r="DS51" s="61">
        <f>IF(BG51="",0,IF(OR(BG51="DNF",BG51="OCS",BG51="DSQ",BG51="DNS",BG51=" DNS "),$BW$3+1,BG51))</f>
        <v>0</v>
      </c>
      <c r="DT51" s="61">
        <f>IF(BH51="",0,IF(OR(BH51="DNF",BH51="OCS",BH51="DSQ",BH51="DNS",BH51=" DNS "),$BW$3+1,BH51))</f>
        <v>0</v>
      </c>
      <c r="DU51" s="61">
        <f>IF(BI51="",0,IF(OR(BI51="DNF",BI51="OCS",BI51="DSQ",BI51="DNS",BI51=" DNS "),$BW$3+1,BI51))</f>
        <v>0</v>
      </c>
      <c r="DV51" s="61">
        <f>IF(BJ51="",0,IF(OR(BJ51="DNF",BJ51="OCS",BJ51="DSQ",BJ51="DNS",BJ51=" DNS "),$BW$3+1,BJ51))</f>
        <v>0</v>
      </c>
      <c r="DW51" s="61">
        <f>IF(BK51="",0,IF(OR(BK51="DNF",BK51="OCS",BK51="DSQ",BK51="DNS",BK51=" DNS "),$BW$3+1,BK51))</f>
        <v>0</v>
      </c>
      <c r="DX51" s="61">
        <f>IF(BL51="",0,IF(OR(BL51="DNF",BL51="OCS",BL51="DSQ",BL51="DNS",BL51=" DNS "),$BW$3+1,BL51))</f>
        <v>0</v>
      </c>
      <c r="DY51" s="61">
        <f>IF(BM51="",0,IF(OR(BM51="DNF",BM51="OCS",BM51="DSQ",BM51="DNS",BM51=" DNS "),$BW$3+1,BM51))</f>
        <v>0</v>
      </c>
      <c r="DZ51" s="61">
        <f>IF(BN51="",0,IF(OR(BN51="DNF",BN51="OCS",BN51="DSQ",BN51="DNS",BN51=" DNS "),$BW$3+1,BN51))</f>
        <v>0</v>
      </c>
      <c r="EA51" s="61">
        <f>IF(BO51="",0,IF(OR(BO51="DNF",BO51="OCS",BO51="DSQ",BO51="DNS",BO51=" DNS "),$BW$3+1,BO51))</f>
        <v>0</v>
      </c>
      <c r="EB51" s="61">
        <f>IF(BP51="",0,IF(OR(BP51="DNF",BP51="OCS",BP51="DSQ",BP51="DNS",BP51=" DNS "),$BW$3+1,BP51))</f>
        <v>0</v>
      </c>
      <c r="EC51" s="61">
        <f>IF(BQ51="",0,IF(OR(BQ51="DNF",BQ51="OCS",BQ51="DSQ",BQ51="DNS",BQ51=" DNS "),$BW$3+1,BQ51))</f>
        <v>0</v>
      </c>
      <c r="EE51" s="61">
        <f xml:space="preserve">
IF(OR(Deltagarlista!$K$3=3,Deltagarlista!$K$3=4),
IF(Arrangörslista!$U$5&lt;8,0,
IF(Arrangörslista!$U$5&lt;16,SUM(LARGE(BV51:CJ51,1)),
IF(Arrangörslista!$U$5&lt;24,SUM(LARGE(BV51:CR51,{1;2})),
IF(Arrangörslista!$U$5&lt;32,SUM(LARGE(BV51:CZ51,{1;2;3})),
IF(Arrangörslista!$U$5&lt;40,SUM(LARGE(BV51:DH51,{1;2;3;4})),
IF(Arrangörslista!$U$5&lt;48,SUM(LARGE(BV51:DP51,{1;2;3;4;5})),
IF(Arrangörslista!$U$5&lt;56,SUM(LARGE(BV51:DX51,{1;2;3;4;5;6})),
IF(Arrangörslista!$U$5&lt;64,SUM(LARGE(BV51:EC51,{1;2;3;4;5;6;7})),0)))))))),
IF(Deltagarlista!$K$3=2,
IF(Arrangörslista!$U$5&lt;4,LARGE(BV51:BX51,1),
IF(Arrangörslista!$U$5&lt;7,SUM(LARGE(BV51:CA51,{1;2;3})),
IF(Arrangörslista!$U$5&lt;10,SUM(LARGE(BV51:CD51,{1;2;3;4})),
IF(Arrangörslista!$U$5&lt;13,SUM(LARGE(BV51:CG51,{1;2;3;4;5;6})),
IF(Arrangörslista!$U$5&lt;16,SUM(LARGE(BV51:CJ51,{1;2;3;4;5;6;7})),
IF(Arrangörslista!$U$5&lt;19,SUM(LARGE(BV51:CM51,{1;2;3;4;5;6;7;8;9})),
IF(Arrangörslista!$U$5&lt;22,SUM(LARGE(BV51:CP51,{1;2;3;4;5;6;7;8;9;10})),
IF(Arrangörslista!$U$5&lt;25,SUM(LARGE(BV51:CS51,{1;2;3;4;5;6;7;8;9;10;11;12})),
IF(Arrangörslista!$U$5&lt;28,SUM(LARGE(BV51:CV51,{1;2;3;4;5;6;7;8;9;10;11;12;13})),
IF(Arrangörslista!$U$5&lt;31,SUM(LARGE(BV51:CY51,{1;2;3;4;5;6;7;8;9;10;11;12;13;14;15})),
IF(Arrangörslista!$U$5&lt;34,SUM(LARGE(BV51:DB51,{1;2;3;4;5;6;7;8;9;10;11;12;13;14;15;16})),
IF(Arrangörslista!$U$5&lt;37,SUM(LARGE(BV51:DE51,{1;2;3;4;5;6;7;8;9;10;11;12;13;14;15;16;17;18})),
IF(Arrangörslista!$U$5&lt;40,SUM(LARGE(BV51:DH51,{1;2;3;4;5;6;7;8;9;10;11;12;13;14;15;16;17;18;19})),
IF(Arrangörslista!$U$5&lt;43,SUM(LARGE(BV51:DK51,{1;2;3;4;5;6;7;8;9;10;11;12;13;14;15;16;17;18;19;20;21})),
IF(Arrangörslista!$U$5&lt;46,SUM(LARGE(BV51:DN51,{1;2;3;4;5;6;7;8;9;10;11;12;13;14;15;16;17;18;19;20;21;22})),
IF(Arrangörslista!$U$5&lt;49,SUM(LARGE(BV51:DQ51,{1;2;3;4;5;6;7;8;9;10;11;12;13;14;15;16;17;18;19;20;21;22;23;24})),
IF(Arrangörslista!$U$5&lt;52,SUM(LARGE(BV51:DT51,{1;2;3;4;5;6;7;8;9;10;11;12;13;14;15;16;17;18;19;20;21;22;23;24;25})),
IF(Arrangörslista!$U$5&lt;55,SUM(LARGE(BV51:DW51,{1;2;3;4;5;6;7;8;9;10;11;12;13;14;15;16;17;18;19;20;21;22;23;24;25;26;27})),
IF(Arrangörslista!$U$5&lt;58,SUM(LARGE(BV51:DZ51,{1;2;3;4;5;6;7;8;9;10;11;12;13;14;15;16;17;18;19;20;21;22;23;24;25;26;27;28})),
IF(Arrangörslista!$U$5&lt;61,SUM(LARGE(BV51:EC51,{1;2;3;4;5;6;7;8;9;10;11;12;13;14;15;16;17;18;19;20;21;22;23;24;25;26;27;28;29;30})),0)))))))))))))))))))),
IF(Arrangörslista!$U$5&lt;4,0,
IF(Arrangörslista!$U$5&lt;8,SUM(LARGE(BV51:CB51,1)),
IF(Arrangörslista!$U$5&lt;12,SUM(LARGE(BV51:CF51,{1;2})),
IF(Arrangörslista!$U$5&lt;16,SUM(LARGE(BV51:CJ51,{1;2;3})),
IF(Arrangörslista!$U$5&lt;20,SUM(LARGE(BV51:CN51,{1;2;3;4})),
IF(Arrangörslista!$U$5&lt;24,SUM(LARGE(BV51:CR51,{1;2;3;4;5})),
IF(Arrangörslista!$U$5&lt;28,SUM(LARGE(BV51:CV51,{1;2;3;4;5;6})),
IF(Arrangörslista!$U$5&lt;32,SUM(LARGE(BV51:CZ51,{1;2;3;4;5;6;7})),
IF(Arrangörslista!$U$5&lt;36,SUM(LARGE(BV51:DD51,{1;2;3;4;5;6;7;8})),
IF(Arrangörslista!$U$5&lt;40,SUM(LARGE(BV51:DH51,{1;2;3;4;5;6;7;8;9})),
IF(Arrangörslista!$U$5&lt;44,SUM(LARGE(BV51:DL51,{1;2;3;4;5;6;7;8;9;10})),
IF(Arrangörslista!$U$5&lt;48,SUM(LARGE(BV51:DP51,{1;2;3;4;5;6;7;8;9;10;11})),
IF(Arrangörslista!$U$5&lt;52,SUM(LARGE(BV51:DT51,{1;2;3;4;5;6;7;8;9;10;11;12})),
IF(Arrangörslista!$U$5&lt;56,SUM(LARGE(BV51:DX51,{1;2;3;4;5;6;7;8;9;10;11;12;13})),
IF(Arrangörslista!$U$5&lt;60,SUM(LARGE(BV51:EB51,{1;2;3;4;5;6;7;8;9;10;11;12;13;14})),
IF(Arrangörslista!$U$5=60,SUM(LARGE(BV51:EC51,{1;2;3;4;5;6;7;8;9;10;11;12;13;14;15})),0))))))))))))))))))</f>
        <v>0</v>
      </c>
      <c r="EG51" s="67">
        <f>IF(F51="",,1)</f>
        <v>0</v>
      </c>
      <c r="EH51" s="61"/>
      <c r="EI51" s="61"/>
      <c r="EK51" s="62">
        <f>SMALL($J114:$BQ114,1)</f>
        <v>61</v>
      </c>
      <c r="EL51" s="62">
        <f>SMALL($J114:$BQ114,2)</f>
        <v>61</v>
      </c>
      <c r="EM51" s="62">
        <f>SMALL($J114:$BQ114,3)</f>
        <v>61</v>
      </c>
      <c r="EN51" s="62">
        <f>SMALL($J114:$BQ114,4)</f>
        <v>61</v>
      </c>
      <c r="EO51" s="62">
        <f>SMALL($J114:$BQ114,5)</f>
        <v>61</v>
      </c>
      <c r="EP51" s="62">
        <f>SMALL($J114:$BQ114,6)</f>
        <v>61</v>
      </c>
      <c r="EQ51" s="62">
        <f>SMALL($J114:$BQ114,7)</f>
        <v>61</v>
      </c>
      <c r="ER51" s="62">
        <f>SMALL($J114:$BQ114,8)</f>
        <v>61</v>
      </c>
      <c r="ES51" s="62">
        <f>SMALL($J114:$BQ114,9)</f>
        <v>61</v>
      </c>
      <c r="ET51" s="62">
        <f>SMALL($J114:$BQ114,10)</f>
        <v>61</v>
      </c>
      <c r="EU51" s="62">
        <f>SMALL($J114:$BQ114,11)</f>
        <v>61</v>
      </c>
      <c r="EV51" s="62">
        <f>SMALL($J114:$BQ114,12)</f>
        <v>61</v>
      </c>
      <c r="EW51" s="62">
        <f>SMALL($J114:$BQ114,13)</f>
        <v>61</v>
      </c>
      <c r="EX51" s="62">
        <f>SMALL($J114:$BQ114,14)</f>
        <v>61</v>
      </c>
      <c r="EY51" s="62">
        <f>SMALL($J114:$BQ114,15)</f>
        <v>61</v>
      </c>
      <c r="EZ51" s="62">
        <f>SMALL($J114:$BQ114,16)</f>
        <v>61</v>
      </c>
      <c r="FA51" s="62">
        <f>SMALL($J114:$BQ114,17)</f>
        <v>61</v>
      </c>
      <c r="FB51" s="62">
        <f>SMALL($J114:$BQ114,18)</f>
        <v>61</v>
      </c>
      <c r="FC51" s="62">
        <f>SMALL($J114:$BQ114,19)</f>
        <v>61</v>
      </c>
      <c r="FD51" s="62">
        <f>SMALL($J114:$BQ114,20)</f>
        <v>61</v>
      </c>
      <c r="FE51" s="62">
        <f>SMALL($J114:$BQ114,21)</f>
        <v>61</v>
      </c>
      <c r="FF51" s="62">
        <f>SMALL($J114:$BQ114,22)</f>
        <v>61</v>
      </c>
      <c r="FG51" s="62">
        <f>SMALL($J114:$BQ114,23)</f>
        <v>61</v>
      </c>
      <c r="FH51" s="62">
        <f>SMALL($J114:$BQ114,24)</f>
        <v>61</v>
      </c>
      <c r="FI51" s="62">
        <f>SMALL($J114:$BQ114,25)</f>
        <v>61</v>
      </c>
      <c r="FJ51" s="62">
        <f>SMALL($J114:$BQ114,26)</f>
        <v>61</v>
      </c>
      <c r="FK51" s="62">
        <f>SMALL($J114:$BQ114,27)</f>
        <v>61</v>
      </c>
      <c r="FL51" s="62">
        <f>SMALL($J114:$BQ114,28)</f>
        <v>61</v>
      </c>
      <c r="FM51" s="62">
        <f>SMALL($J114:$BQ114,29)</f>
        <v>61</v>
      </c>
      <c r="FN51" s="62">
        <f>SMALL($J114:$BQ114,30)</f>
        <v>61</v>
      </c>
      <c r="FO51" s="62">
        <f>SMALL($J114:$BQ114,31)</f>
        <v>61</v>
      </c>
      <c r="FP51" s="62">
        <f>SMALL($J114:$BQ114,32)</f>
        <v>61</v>
      </c>
      <c r="FQ51" s="62">
        <f>SMALL($J114:$BQ114,33)</f>
        <v>61</v>
      </c>
      <c r="FR51" s="62">
        <f>SMALL($J114:$BQ114,34)</f>
        <v>61</v>
      </c>
      <c r="FS51" s="62">
        <f>SMALL($J114:$BQ114,35)</f>
        <v>61</v>
      </c>
      <c r="FT51" s="62">
        <f>SMALL($J114:$BQ114,36)</f>
        <v>61</v>
      </c>
      <c r="FU51" s="62">
        <f>SMALL($J114:$BQ114,37)</f>
        <v>61</v>
      </c>
      <c r="FV51" s="62">
        <f>SMALL($J114:$BQ114,38)</f>
        <v>61</v>
      </c>
      <c r="FW51" s="62">
        <f>SMALL($J114:$BQ114,39)</f>
        <v>61</v>
      </c>
      <c r="FX51" s="62">
        <f>SMALL($J114:$BQ114,40)</f>
        <v>61</v>
      </c>
      <c r="FY51" s="62">
        <f>SMALL($J114:$BQ114,41)</f>
        <v>61</v>
      </c>
      <c r="FZ51" s="62">
        <f>SMALL($J114:$BQ114,42)</f>
        <v>61</v>
      </c>
      <c r="GA51" s="62">
        <f>SMALL($J114:$BQ114,43)</f>
        <v>61</v>
      </c>
      <c r="GB51" s="62">
        <f>SMALL($J114:$BQ114,44)</f>
        <v>61</v>
      </c>
      <c r="GC51" s="62">
        <f>SMALL($J114:$BQ114,45)</f>
        <v>61</v>
      </c>
      <c r="GD51" s="62">
        <f>SMALL($J114:$BQ114,46)</f>
        <v>61</v>
      </c>
      <c r="GE51" s="62">
        <f>SMALL($J114:$BQ114,47)</f>
        <v>61</v>
      </c>
      <c r="GF51" s="62">
        <f>SMALL($J114:$BQ114,48)</f>
        <v>61</v>
      </c>
      <c r="GG51" s="62">
        <f>SMALL($J114:$BQ114,49)</f>
        <v>61</v>
      </c>
      <c r="GH51" s="62">
        <f>SMALL($J114:$BQ114,50)</f>
        <v>61</v>
      </c>
      <c r="GI51" s="62">
        <f>SMALL($J114:$BQ114,51)</f>
        <v>61</v>
      </c>
      <c r="GJ51" s="62">
        <f>SMALL($J114:$BQ114,52)</f>
        <v>61</v>
      </c>
      <c r="GK51" s="62">
        <f>SMALL($J114:$BQ114,53)</f>
        <v>61</v>
      </c>
      <c r="GL51" s="62">
        <f>SMALL($J114:$BQ114,54)</f>
        <v>61</v>
      </c>
      <c r="GM51" s="62">
        <f>SMALL($J114:$BQ114,55)</f>
        <v>61</v>
      </c>
      <c r="GN51" s="62">
        <f>SMALL($J114:$BQ114,56)</f>
        <v>61</v>
      </c>
      <c r="GO51" s="62">
        <f>SMALL($J114:$BQ114,57)</f>
        <v>61</v>
      </c>
      <c r="GP51" s="62">
        <f>SMALL($J114:$BQ114,58)</f>
        <v>61</v>
      </c>
      <c r="GQ51" s="62">
        <f>SMALL($J114:$BQ114,59)</f>
        <v>61</v>
      </c>
      <c r="GR51" s="62">
        <f>SMALL($J114:$BQ114,60)</f>
        <v>61</v>
      </c>
      <c r="GT51" s="62">
        <f>IF(Deltagarlista!$K$3=2,
IF(GW51="1",
      IF(Arrangörslista!$U$5=1,J114,
IF(Arrangörslista!$U$5=2,K114,
IF(Arrangörslista!$U$5=3,L114,
IF(Arrangörslista!$U$5=4,M114,
IF(Arrangörslista!$U$5=5,N114,
IF(Arrangörslista!$U$5=6,O114,
IF(Arrangörslista!$U$5=7,P114,
IF(Arrangörslista!$U$5=8,Q114,
IF(Arrangörslista!$U$5=9,R114,
IF(Arrangörslista!$U$5=10,S114,
IF(Arrangörslista!$U$5=11,T114,
IF(Arrangörslista!$U$5=12,U114,
IF(Arrangörslista!$U$5=13,V114,
IF(Arrangörslista!$U$5=14,W114,
IF(Arrangörslista!$U$5=15,X114,
IF(Arrangörslista!$U$5=16,Y114,IF(Arrangörslista!$U$5=17,Z114,IF(Arrangörslista!$U$5=18,AA114,IF(Arrangörslista!$U$5=19,AB114,IF(Arrangörslista!$U$5=20,AC114,IF(Arrangörslista!$U$5=21,AD114,IF(Arrangörslista!$U$5=22,AE114,IF(Arrangörslista!$U$5=23,AF114, IF(Arrangörslista!$U$5=24,AG114, IF(Arrangörslista!$U$5=25,AH114, IF(Arrangörslista!$U$5=26,AI114, IF(Arrangörslista!$U$5=27,AJ114, IF(Arrangörslista!$U$5=28,AK114, IF(Arrangörslista!$U$5=29,AL114, IF(Arrangörslista!$U$5=30,AM114, IF(Arrangörslista!$U$5=31,AN114, IF(Arrangörslista!$U$5=32,AO114, IF(Arrangörslista!$U$5=33,AP114, IF(Arrangörslista!$U$5=34,AQ114, IF(Arrangörslista!$U$5=35,AR114, IF(Arrangörslista!$U$5=36,AS114, IF(Arrangörslista!$U$5=37,AT114, IF(Arrangörslista!$U$5=38,AU114, IF(Arrangörslista!$U$5=39,AV114, IF(Arrangörslista!$U$5=40,AW114, IF(Arrangörslista!$U$5=41,AX114, IF(Arrangörslista!$U$5=42,AY114, IF(Arrangörslista!$U$5=43,AZ114, IF(Arrangörslista!$U$5=44,BA114, IF(Arrangörslista!$U$5=45,BB114, IF(Arrangörslista!$U$5=46,BC114, IF(Arrangörslista!$U$5=47,BD114, IF(Arrangörslista!$U$5=48,BE114, IF(Arrangörslista!$U$5=49,BF114, IF(Arrangörslista!$U$5=50,BG114, IF(Arrangörslista!$U$5=51,BH114, IF(Arrangörslista!$U$5=52,BI114, IF(Arrangörslista!$U$5=53,BJ114, IF(Arrangörslista!$U$5=54,BK114, IF(Arrangörslista!$U$5=55,BL114, IF(Arrangörslista!$U$5=56,BM114, IF(Arrangörslista!$U$5=57,BN114, IF(Arrangörslista!$U$5=58,BO114, IF(Arrangörslista!$U$5=59,BP114, IF(Arrangörslista!$U$5=60,BQ114,0))))))))))))))))))))))))))))))))))))))))))))))))))))))))))))),IF(Deltagarlista!$K$3=4, IF(Arrangörslista!$U$5=1,J114,
IF(Arrangörslista!$U$5=2,J114,
IF(Arrangörslista!$U$5=3,K114,
IF(Arrangörslista!$U$5=4,K114,
IF(Arrangörslista!$U$5=5,L114,
IF(Arrangörslista!$U$5=6,L114,
IF(Arrangörslista!$U$5=7,M114,
IF(Arrangörslista!$U$5=8,M114,
IF(Arrangörslista!$U$5=9,N114,
IF(Arrangörslista!$U$5=10,N114,
IF(Arrangörslista!$U$5=11,O114,
IF(Arrangörslista!$U$5=12,O114,
IF(Arrangörslista!$U$5=13,P114,
IF(Arrangörslista!$U$5=14,P114,
IF(Arrangörslista!$U$5=15,Q114,
IF(Arrangörslista!$U$5=16,Q114,
IF(Arrangörslista!$U$5=17,R114,
IF(Arrangörslista!$U$5=18,R114,
IF(Arrangörslista!$U$5=19,S114,
IF(Arrangörslista!$U$5=20,S114,
IF(Arrangörslista!$U$5=21,T114,
IF(Arrangörslista!$U$5=22,T114,IF(Arrangörslista!$U$5=23,U114, IF(Arrangörslista!$U$5=24,U114, IF(Arrangörslista!$U$5=25,V114, IF(Arrangörslista!$U$5=26,V114, IF(Arrangörslista!$U$5=27,W114, IF(Arrangörslista!$U$5=28,W114, IF(Arrangörslista!$U$5=29,X114, IF(Arrangörslista!$U$5=30,X114, IF(Arrangörslista!$U$5=31,X114, IF(Arrangörslista!$U$5=32,Y114, IF(Arrangörslista!$U$5=33,AO114, IF(Arrangörslista!$U$5=34,Y114, IF(Arrangörslista!$U$5=35,Z114, IF(Arrangörslista!$U$5=36,AR114, IF(Arrangörslista!$U$5=37,Z114, IF(Arrangörslista!$U$5=38,AA114, IF(Arrangörslista!$U$5=39,AU114, IF(Arrangörslista!$U$5=40,AA114, IF(Arrangörslista!$U$5=41,AB114, IF(Arrangörslista!$U$5=42,AX114, IF(Arrangörslista!$U$5=43,AB114, IF(Arrangörslista!$U$5=44,AC114, IF(Arrangörslista!$U$5=45,BA114, IF(Arrangörslista!$U$5=46,AC114, IF(Arrangörslista!$U$5=47,AD114, IF(Arrangörslista!$U$5=48,BD114, IF(Arrangörslista!$U$5=49,AD114, IF(Arrangörslista!$U$5=50,AE114, IF(Arrangörslista!$U$5=51,BG114, IF(Arrangörslista!$U$5=52,AE114, IF(Arrangörslista!$U$5=53,AF114, IF(Arrangörslista!$U$5=54,BJ114, IF(Arrangörslista!$U$5=55,AF114, IF(Arrangörslista!$U$5=56,AG114, IF(Arrangörslista!$U$5=57,BM114, IF(Arrangörslista!$U$5=58,AG114, IF(Arrangörslista!$U$5=59,AH114, IF(Arrangörslista!$U$5=60,AH114,0)))))))))))))))))))))))))))))))))))))))))))))))))))))))))))),IF(Arrangörslista!$U$5=1,J114,
IF(Arrangörslista!$U$5=2,K114,
IF(Arrangörslista!$U$5=3,L114,
IF(Arrangörslista!$U$5=4,M114,
IF(Arrangörslista!$U$5=5,N114,
IF(Arrangörslista!$U$5=6,O114,
IF(Arrangörslista!$U$5=7,P114,
IF(Arrangörslista!$U$5=8,Q114,
IF(Arrangörslista!$U$5=9,R114,
IF(Arrangörslista!$U$5=10,S114,
IF(Arrangörslista!$U$5=11,T114,
IF(Arrangörslista!$U$5=12,U114,
IF(Arrangörslista!$U$5=13,V114,
IF(Arrangörslista!$U$5=14,W114,
IF(Arrangörslista!$U$5=15,X114,
IF(Arrangörslista!$U$5=16,Y114,IF(Arrangörslista!$U$5=17,Z114,IF(Arrangörslista!$U$5=18,AA114,IF(Arrangörslista!$U$5=19,AB114,IF(Arrangörslista!$U$5=20,AC114,IF(Arrangörslista!$U$5=21,AD114,IF(Arrangörslista!$U$5=22,AE114,IF(Arrangörslista!$U$5=23,AF114, IF(Arrangörslista!$U$5=24,AG114, IF(Arrangörslista!$U$5=25,AH114, IF(Arrangörslista!$U$5=26,AI114, IF(Arrangörslista!$U$5=27,AJ114, IF(Arrangörslista!$U$5=28,AK114, IF(Arrangörslista!$U$5=29,AL114, IF(Arrangörslista!$U$5=30,AM114, IF(Arrangörslista!$U$5=31,AN114, IF(Arrangörslista!$U$5=32,AO114, IF(Arrangörslista!$U$5=33,AP114, IF(Arrangörslista!$U$5=34,AQ114, IF(Arrangörslista!$U$5=35,AR114, IF(Arrangörslista!$U$5=36,AS114, IF(Arrangörslista!$U$5=37,AT114, IF(Arrangörslista!$U$5=38,AU114, IF(Arrangörslista!$U$5=39,AV114, IF(Arrangörslista!$U$5=40,AW114, IF(Arrangörslista!$U$5=41,AX114, IF(Arrangörslista!$U$5=42,AY114, IF(Arrangörslista!$U$5=43,AZ114, IF(Arrangörslista!$U$5=44,BA114, IF(Arrangörslista!$U$5=45,BB114, IF(Arrangörslista!$U$5=46,BC114, IF(Arrangörslista!$U$5=47,BD114, IF(Arrangörslista!$U$5=48,BE114, IF(Arrangörslista!$U$5=49,BF114, IF(Arrangörslista!$U$5=50,BG114, IF(Arrangörslista!$U$5=51,BH114, IF(Arrangörslista!$U$5=52,BI114, IF(Arrangörslista!$U$5=53,BJ114, IF(Arrangörslista!$U$5=54,BK114, IF(Arrangörslista!$U$5=55,BL114, IF(Arrangörslista!$U$5=56,BM114, IF(Arrangörslista!$U$5=57,BN114, IF(Arrangörslista!$U$5=58,BO114, IF(Arrangörslista!$U$5=59,BP114, IF(Arrangörslista!$U$5=60,BQ114,0))))))))))))))))))))))))))))))))))))))))))))))))))))))))))))
))</f>
        <v>0</v>
      </c>
      <c r="GV51" s="65" t="str">
        <f>IFERROR(IF(VLOOKUP(F51,Deltagarlista!$E$5:$I$64,5,FALSE)="Grön","Gr",IF(VLOOKUP(F51,Deltagarlista!$E$5:$I$64,5,FALSE)="Röd","R",IF(VLOOKUP(F51,Deltagarlista!$E$5:$I$64,5,FALSE)="Blå","B","Gu"))),"")</f>
        <v/>
      </c>
      <c r="GW51" s="62" t="str">
        <f t="shared" si="1"/>
        <v/>
      </c>
    </row>
    <row r="52" spans="1:205" ht="15.75" customHeight="1" x14ac:dyDescent="0.3">
      <c r="A52" s="23"/>
      <c r="B52" s="23" t="str">
        <f>IF($BW$3&gt;48,49,"")</f>
        <v/>
      </c>
      <c r="C52" s="92" t="str">
        <f>IF(ISBLANK(Deltagarlista!C56),"",Deltagarlista!C56)</f>
        <v/>
      </c>
      <c r="D52" s="109" t="str">
        <f>CONCATENATE(IF(AND(Deltagarlista!H56="GM",Deltagarlista!$S$14=TRUE),"GM   ",""), IF(OR(Deltagarlista!$K$3=4,Deltagarlista!$K$3=2),Deltagarlista!I56,""))</f>
        <v/>
      </c>
      <c r="E52" s="8" t="str">
        <f>IF(ISBLANK(Deltagarlista!D56),"",Deltagarlista!D56)</f>
        <v/>
      </c>
      <c r="F52" s="8" t="str">
        <f>IF(ISBLANK(Deltagarlista!E56),"",Deltagarlista!E56)</f>
        <v/>
      </c>
      <c r="G52" s="95" t="str">
        <f>IF(ISBLANK(Deltagarlista!F56),"",Deltagarlista!F56)</f>
        <v/>
      </c>
      <c r="H52" s="72" t="str">
        <f>IF(ISBLANK(Deltagarlista!C56),"",BU52-EE52)</f>
        <v/>
      </c>
      <c r="I52" s="13" t="str">
        <f>IF(ISBLANK(Deltagarlista!C56),"",IF(AND(Deltagarlista!$K$3=2,Deltagarlista!$L$3&lt;37),SUM(SUM(BV52:EC52)-(ROUNDDOWN(Arrangörslista!$U$5/3,1))*($BW$3+1)),SUM(BV52:EC52)))</f>
        <v/>
      </c>
      <c r="J52" s="79" t="str">
        <f>IF(Deltagarlista!$K$3=4,IF(ISBLANK(Deltagarlista!$C56),"",IF(ISBLANK(Arrangörslista!C$8),"",IFERROR(VLOOKUP($F52,Arrangörslista!C$8:$AG$45,16,FALSE),IF(ISBLANK(Deltagarlista!$C56),"",IF(ISBLANK(Arrangörslista!C$8),"",IFERROR(VLOOKUP($F52,Arrangörslista!D$8:$AG$45,16,FALSE),"DNS")))))),IF(Deltagarlista!$K$3=2,
IF(ISBLANK(Deltagarlista!$C56),"",IF(ISBLANK(Arrangörslista!C$8),"",IF($GV52=J$64," DNS ",IFERROR(VLOOKUP($F52,Arrangörslista!C$8:$AG$45,16,FALSE),"DNS")))),IF(ISBLANK(Deltagarlista!$C56),"",IF(ISBLANK(Arrangörslista!C$8),"",IFERROR(VLOOKUP($F52,Arrangörslista!C$8:$AG$45,16,FALSE),"DNS")))))</f>
        <v/>
      </c>
      <c r="K52" s="5" t="str">
        <f>IF(Deltagarlista!$K$3=4,IF(ISBLANK(Deltagarlista!$C56),"",IF(ISBLANK(Arrangörslista!E$8),"",IFERROR(VLOOKUP($F52,Arrangörslista!E$8:$AG$45,16,FALSE),IF(ISBLANK(Deltagarlista!$C56),"",IF(ISBLANK(Arrangörslista!E$8),"",IFERROR(VLOOKUP($F52,Arrangörslista!F$8:$AG$45,16,FALSE),"DNS")))))),IF(Deltagarlista!$K$3=2,
IF(ISBLANK(Deltagarlista!$C56),"",IF(ISBLANK(Arrangörslista!D$8),"",IF($GV52=K$64," DNS ",IFERROR(VLOOKUP($F52,Arrangörslista!D$8:$AG$45,16,FALSE),"DNS")))),IF(ISBLANK(Deltagarlista!$C56),"",IF(ISBLANK(Arrangörslista!D$8),"",IFERROR(VLOOKUP($F52,Arrangörslista!D$8:$AG$45,16,FALSE),"DNS")))))</f>
        <v/>
      </c>
      <c r="L52" s="5" t="str">
        <f>IF(Deltagarlista!$K$3=4,IF(ISBLANK(Deltagarlista!$C56),"",IF(ISBLANK(Arrangörslista!G$8),"",IFERROR(VLOOKUP($F52,Arrangörslista!G$8:$AG$45,16,FALSE),IF(ISBLANK(Deltagarlista!$C56),"",IF(ISBLANK(Arrangörslista!G$8),"",IFERROR(VLOOKUP($F52,Arrangörslista!H$8:$AG$45,16,FALSE),"DNS")))))),IF(Deltagarlista!$K$3=2,
IF(ISBLANK(Deltagarlista!$C56),"",IF(ISBLANK(Arrangörslista!E$8),"",IF($GV52=L$64," DNS ",IFERROR(VLOOKUP($F52,Arrangörslista!E$8:$AG$45,16,FALSE),"DNS")))),IF(ISBLANK(Deltagarlista!$C56),"",IF(ISBLANK(Arrangörslista!E$8),"",IFERROR(VLOOKUP($F52,Arrangörslista!E$8:$AG$45,16,FALSE),"DNS")))))</f>
        <v/>
      </c>
      <c r="M52" s="5" t="str">
        <f>IF(Deltagarlista!$K$3=4,IF(ISBLANK(Deltagarlista!$C56),"",IF(ISBLANK(Arrangörslista!I$8),"",IFERROR(VLOOKUP($F52,Arrangörslista!I$8:$AG$45,16,FALSE),IF(ISBLANK(Deltagarlista!$C56),"",IF(ISBLANK(Arrangörslista!I$8),"",IFERROR(VLOOKUP($F52,Arrangörslista!J$8:$AG$45,16,FALSE),"DNS")))))),IF(Deltagarlista!$K$3=2,
IF(ISBLANK(Deltagarlista!$C56),"",IF(ISBLANK(Arrangörslista!F$8),"",IF($GV52=M$64," DNS ",IFERROR(VLOOKUP($F52,Arrangörslista!F$8:$AG$45,16,FALSE),"DNS")))),IF(ISBLANK(Deltagarlista!$C56),"",IF(ISBLANK(Arrangörslista!F$8),"",IFERROR(VLOOKUP($F52,Arrangörslista!F$8:$AG$45,16,FALSE),"DNS")))))</f>
        <v/>
      </c>
      <c r="N52" s="5" t="str">
        <f>IF(Deltagarlista!$K$3=4,IF(ISBLANK(Deltagarlista!$C56),"",IF(ISBLANK(Arrangörslista!K$8),"",IFERROR(VLOOKUP($F52,Arrangörslista!K$8:$AG$45,16,FALSE),IF(ISBLANK(Deltagarlista!$C56),"",IF(ISBLANK(Arrangörslista!K$8),"",IFERROR(VLOOKUP($F52,Arrangörslista!L$8:$AG$45,16,FALSE),"DNS")))))),IF(Deltagarlista!$K$3=2,
IF(ISBLANK(Deltagarlista!$C56),"",IF(ISBLANK(Arrangörslista!G$8),"",IF($GV52=N$64," DNS ",IFERROR(VLOOKUP($F52,Arrangörslista!G$8:$AG$45,16,FALSE),"DNS")))),IF(ISBLANK(Deltagarlista!$C56),"",IF(ISBLANK(Arrangörslista!G$8),"",IFERROR(VLOOKUP($F52,Arrangörslista!G$8:$AG$45,16,FALSE),"DNS")))))</f>
        <v/>
      </c>
      <c r="O52" s="5" t="str">
        <f>IF(Deltagarlista!$K$3=4,IF(ISBLANK(Deltagarlista!$C56),"",IF(ISBLANK(Arrangörslista!M$8),"",IFERROR(VLOOKUP($F52,Arrangörslista!M$8:$AG$45,16,FALSE),IF(ISBLANK(Deltagarlista!$C56),"",IF(ISBLANK(Arrangörslista!M$8),"",IFERROR(VLOOKUP($F52,Arrangörslista!N$8:$AG$45,16,FALSE),"DNS")))))),IF(Deltagarlista!$K$3=2,
IF(ISBLANK(Deltagarlista!$C56),"",IF(ISBLANK(Arrangörslista!H$8),"",IF($GV52=O$64," DNS ",IFERROR(VLOOKUP($F52,Arrangörslista!H$8:$AG$45,16,FALSE),"DNS")))),IF(ISBLANK(Deltagarlista!$C56),"",IF(ISBLANK(Arrangörslista!H$8),"",IFERROR(VLOOKUP($F52,Arrangörslista!H$8:$AG$45,16,FALSE),"DNS")))))</f>
        <v/>
      </c>
      <c r="P52" s="5" t="str">
        <f>IF(Deltagarlista!$K$3=4,IF(ISBLANK(Deltagarlista!$C56),"",IF(ISBLANK(Arrangörslista!O$8),"",IFERROR(VLOOKUP($F52,Arrangörslista!O$8:$AG$45,16,FALSE),IF(ISBLANK(Deltagarlista!$C56),"",IF(ISBLANK(Arrangörslista!O$8),"",IFERROR(VLOOKUP($F52,Arrangörslista!P$8:$AG$45,16,FALSE),"DNS")))))),IF(Deltagarlista!$K$3=2,
IF(ISBLANK(Deltagarlista!$C56),"",IF(ISBLANK(Arrangörslista!I$8),"",IF($GV52=P$64," DNS ",IFERROR(VLOOKUP($F52,Arrangörslista!I$8:$AG$45,16,FALSE),"DNS")))),IF(ISBLANK(Deltagarlista!$C56),"",IF(ISBLANK(Arrangörslista!I$8),"",IFERROR(VLOOKUP($F52,Arrangörslista!I$8:$AG$45,16,FALSE),"DNS")))))</f>
        <v/>
      </c>
      <c r="Q52" s="5" t="str">
        <f>IF(Deltagarlista!$K$3=4,IF(ISBLANK(Deltagarlista!$C56),"",IF(ISBLANK(Arrangörslista!Q$8),"",IFERROR(VLOOKUP($F52,Arrangörslista!Q$8:$AG$45,16,FALSE),IF(ISBLANK(Deltagarlista!$C56),"",IF(ISBLANK(Arrangörslista!Q$8),"",IFERROR(VLOOKUP($F52,Arrangörslista!C$53:$AG$90,16,FALSE),"DNS")))))),IF(Deltagarlista!$K$3=2,
IF(ISBLANK(Deltagarlista!$C56),"",IF(ISBLANK(Arrangörslista!J$8),"",IF($GV52=Q$64," DNS ",IFERROR(VLOOKUP($F52,Arrangörslista!J$8:$AG$45,16,FALSE),"DNS")))),IF(ISBLANK(Deltagarlista!$C56),"",IF(ISBLANK(Arrangörslista!J$8),"",IFERROR(VLOOKUP($F52,Arrangörslista!J$8:$AG$45,16,FALSE),"DNS")))))</f>
        <v/>
      </c>
      <c r="R52" s="5" t="str">
        <f>IF(Deltagarlista!$K$3=4,IF(ISBLANK(Deltagarlista!$C56),"",IF(ISBLANK(Arrangörslista!D$53),"",IFERROR(VLOOKUP($F52,Arrangörslista!D$53:$AG$90,16,FALSE),IF(ISBLANK(Deltagarlista!$C56),"",IF(ISBLANK(Arrangörslista!D$53),"",IFERROR(VLOOKUP($F52,Arrangörslista!E$53:$AG$90,16,FALSE),"DNS")))))),IF(Deltagarlista!$K$3=2,
IF(ISBLANK(Deltagarlista!$C56),"",IF(ISBLANK(Arrangörslista!K$8),"",IF($GV52=R$64," DNS ",IFERROR(VLOOKUP($F52,Arrangörslista!K$8:$AG$45,16,FALSE),"DNS")))),IF(ISBLANK(Deltagarlista!$C56),"",IF(ISBLANK(Arrangörslista!K$8),"",IFERROR(VLOOKUP($F52,Arrangörslista!K$8:$AG$45,16,FALSE),"DNS")))))</f>
        <v/>
      </c>
      <c r="S52" s="5" t="str">
        <f>IF(Deltagarlista!$K$3=4,IF(ISBLANK(Deltagarlista!$C56),"",IF(ISBLANK(Arrangörslista!F$53),"",IFERROR(VLOOKUP($F52,Arrangörslista!F$53:$AG$90,16,FALSE),IF(ISBLANK(Deltagarlista!$C56),"",IF(ISBLANK(Arrangörslista!F$53),"",IFERROR(VLOOKUP($F52,Arrangörslista!G$53:$AG$90,16,FALSE),"DNS")))))),IF(Deltagarlista!$K$3=2,
IF(ISBLANK(Deltagarlista!$C56),"",IF(ISBLANK(Arrangörslista!L$8),"",IF($GV52=S$64," DNS ",IFERROR(VLOOKUP($F52,Arrangörslista!L$8:$AG$45,16,FALSE),"DNS")))),IF(ISBLANK(Deltagarlista!$C56),"",IF(ISBLANK(Arrangörslista!L$8),"",IFERROR(VLOOKUP($F52,Arrangörslista!L$8:$AG$45,16,FALSE),"DNS")))))</f>
        <v/>
      </c>
      <c r="T52" s="5" t="str">
        <f>IF(Deltagarlista!$K$3=4,IF(ISBLANK(Deltagarlista!$C56),"",IF(ISBLANK(Arrangörslista!H$53),"",IFERROR(VLOOKUP($F52,Arrangörslista!H$53:$AG$90,16,FALSE),IF(ISBLANK(Deltagarlista!$C56),"",IF(ISBLANK(Arrangörslista!H$53),"",IFERROR(VLOOKUP($F52,Arrangörslista!I$53:$AG$90,16,FALSE),"DNS")))))),IF(Deltagarlista!$K$3=2,
IF(ISBLANK(Deltagarlista!$C56),"",IF(ISBLANK(Arrangörslista!M$8),"",IF($GV52=T$64," DNS ",IFERROR(VLOOKUP($F52,Arrangörslista!M$8:$AG$45,16,FALSE),"DNS")))),IF(ISBLANK(Deltagarlista!$C56),"",IF(ISBLANK(Arrangörslista!M$8),"",IFERROR(VLOOKUP($F52,Arrangörslista!M$8:$AG$45,16,FALSE),"DNS")))))</f>
        <v/>
      </c>
      <c r="U52" s="5" t="str">
        <f>IF(Deltagarlista!$K$3=4,IF(ISBLANK(Deltagarlista!$C56),"",IF(ISBLANK(Arrangörslista!J$53),"",IFERROR(VLOOKUP($F52,Arrangörslista!J$53:$AG$90,16,FALSE),IF(ISBLANK(Deltagarlista!$C56),"",IF(ISBLANK(Arrangörslista!J$53),"",IFERROR(VLOOKUP($F52,Arrangörslista!K$53:$AG$90,16,FALSE),"DNS")))))),IF(Deltagarlista!$K$3=2,
IF(ISBLANK(Deltagarlista!$C56),"",IF(ISBLANK(Arrangörslista!N$8),"",IF($GV52=U$64," DNS ",IFERROR(VLOOKUP($F52,Arrangörslista!N$8:$AG$45,16,FALSE),"DNS")))),IF(ISBLANK(Deltagarlista!$C56),"",IF(ISBLANK(Arrangörslista!N$8),"",IFERROR(VLOOKUP($F52,Arrangörslista!N$8:$AG$45,16,FALSE),"DNS")))))</f>
        <v/>
      </c>
      <c r="V52" s="5" t="str">
        <f>IF(Deltagarlista!$K$3=4,IF(ISBLANK(Deltagarlista!$C56),"",IF(ISBLANK(Arrangörslista!L$53),"",IFERROR(VLOOKUP($F52,Arrangörslista!L$53:$AG$90,16,FALSE),IF(ISBLANK(Deltagarlista!$C56),"",IF(ISBLANK(Arrangörslista!L$53),"",IFERROR(VLOOKUP($F52,Arrangörslista!M$53:$AG$90,16,FALSE),"DNS")))))),IF(Deltagarlista!$K$3=2,
IF(ISBLANK(Deltagarlista!$C56),"",IF(ISBLANK(Arrangörslista!O$8),"",IF($GV52=V$64," DNS ",IFERROR(VLOOKUP($F52,Arrangörslista!O$8:$AG$45,16,FALSE),"DNS")))),IF(ISBLANK(Deltagarlista!$C56),"",IF(ISBLANK(Arrangörslista!O$8),"",IFERROR(VLOOKUP($F52,Arrangörslista!O$8:$AG$45,16,FALSE),"DNS")))))</f>
        <v/>
      </c>
      <c r="W52" s="5" t="str">
        <f>IF(Deltagarlista!$K$3=4,IF(ISBLANK(Deltagarlista!$C56),"",IF(ISBLANK(Arrangörslista!N$53),"",IFERROR(VLOOKUP($F52,Arrangörslista!N$53:$AG$90,16,FALSE),IF(ISBLANK(Deltagarlista!$C56),"",IF(ISBLANK(Arrangörslista!N$53),"",IFERROR(VLOOKUP($F52,Arrangörslista!O$53:$AG$90,16,FALSE),"DNS")))))),IF(Deltagarlista!$K$3=2,
IF(ISBLANK(Deltagarlista!$C56),"",IF(ISBLANK(Arrangörslista!P$8),"",IF($GV52=W$64," DNS ",IFERROR(VLOOKUP($F52,Arrangörslista!P$8:$AG$45,16,FALSE),"DNS")))),IF(ISBLANK(Deltagarlista!$C56),"",IF(ISBLANK(Arrangörslista!P$8),"",IFERROR(VLOOKUP($F52,Arrangörslista!P$8:$AG$45,16,FALSE),"DNS")))))</f>
        <v/>
      </c>
      <c r="X52" s="5" t="str">
        <f>IF(Deltagarlista!$K$3=4,IF(ISBLANK(Deltagarlista!$C56),"",IF(ISBLANK(Arrangörslista!P$53),"",IFERROR(VLOOKUP($F52,Arrangörslista!P$53:$AG$90,16,FALSE),IF(ISBLANK(Deltagarlista!$C56),"",IF(ISBLANK(Arrangörslista!P$53),"",IFERROR(VLOOKUP($F52,Arrangörslista!Q$53:$AG$90,16,FALSE),"DNS")))))),IF(Deltagarlista!$K$3=2,
IF(ISBLANK(Deltagarlista!$C56),"",IF(ISBLANK(Arrangörslista!Q$8),"",IF($GV52=X$64," DNS ",IFERROR(VLOOKUP($F52,Arrangörslista!Q$8:$AG$45,16,FALSE),"DNS")))),IF(ISBLANK(Deltagarlista!$C56),"",IF(ISBLANK(Arrangörslista!Q$8),"",IFERROR(VLOOKUP($F52,Arrangörslista!Q$8:$AG$45,16,FALSE),"DNS")))))</f>
        <v/>
      </c>
      <c r="Y52" s="5" t="str">
        <f>IF(Deltagarlista!$K$3=4,IF(ISBLANK(Deltagarlista!$C56),"",IF(ISBLANK(Arrangörslista!C$98),"",IFERROR(VLOOKUP($F52,Arrangörslista!C$98:$AG$135,16,FALSE),IF(ISBLANK(Deltagarlista!$C56),"",IF(ISBLANK(Arrangörslista!C$98),"",IFERROR(VLOOKUP($F52,Arrangörslista!D$98:$AG$135,16,FALSE),"DNS")))))),IF(Deltagarlista!$K$3=2,
IF(ISBLANK(Deltagarlista!$C56),"",IF(ISBLANK(Arrangörslista!C$53),"",IF($GV52=Y$64," DNS ",IFERROR(VLOOKUP($F52,Arrangörslista!C$53:$AG$90,16,FALSE),"DNS")))),IF(ISBLANK(Deltagarlista!$C56),"",IF(ISBLANK(Arrangörslista!C$53),"",IFERROR(VLOOKUP($F52,Arrangörslista!C$53:$AG$90,16,FALSE),"DNS")))))</f>
        <v/>
      </c>
      <c r="Z52" s="5" t="str">
        <f>IF(Deltagarlista!$K$3=4,IF(ISBLANK(Deltagarlista!$C56),"",IF(ISBLANK(Arrangörslista!E$98),"",IFERROR(VLOOKUP($F52,Arrangörslista!E$98:$AG$135,16,FALSE),IF(ISBLANK(Deltagarlista!$C56),"",IF(ISBLANK(Arrangörslista!E$98),"",IFERROR(VLOOKUP($F52,Arrangörslista!F$98:$AG$135,16,FALSE),"DNS")))))),IF(Deltagarlista!$K$3=2,
IF(ISBLANK(Deltagarlista!$C56),"",IF(ISBLANK(Arrangörslista!D$53),"",IF($GV52=Z$64," DNS ",IFERROR(VLOOKUP($F52,Arrangörslista!D$53:$AG$90,16,FALSE),"DNS")))),IF(ISBLANK(Deltagarlista!$C56),"",IF(ISBLANK(Arrangörslista!D$53),"",IFERROR(VLOOKUP($F52,Arrangörslista!D$53:$AG$90,16,FALSE),"DNS")))))</f>
        <v/>
      </c>
      <c r="AA52" s="5" t="str">
        <f>IF(Deltagarlista!$K$3=4,IF(ISBLANK(Deltagarlista!$C56),"",IF(ISBLANK(Arrangörslista!G$98),"",IFERROR(VLOOKUP($F52,Arrangörslista!G$98:$AG$135,16,FALSE),IF(ISBLANK(Deltagarlista!$C56),"",IF(ISBLANK(Arrangörslista!G$98),"",IFERROR(VLOOKUP($F52,Arrangörslista!H$98:$AG$135,16,FALSE),"DNS")))))),IF(Deltagarlista!$K$3=2,
IF(ISBLANK(Deltagarlista!$C56),"",IF(ISBLANK(Arrangörslista!E$53),"",IF($GV52=AA$64," DNS ",IFERROR(VLOOKUP($F52,Arrangörslista!E$53:$AG$90,16,FALSE),"DNS")))),IF(ISBLANK(Deltagarlista!$C56),"",IF(ISBLANK(Arrangörslista!E$53),"",IFERROR(VLOOKUP($F52,Arrangörslista!E$53:$AG$90,16,FALSE),"DNS")))))</f>
        <v/>
      </c>
      <c r="AB52" s="5" t="str">
        <f>IF(Deltagarlista!$K$3=4,IF(ISBLANK(Deltagarlista!$C56),"",IF(ISBLANK(Arrangörslista!I$98),"",IFERROR(VLOOKUP($F52,Arrangörslista!I$98:$AG$135,16,FALSE),IF(ISBLANK(Deltagarlista!$C56),"",IF(ISBLANK(Arrangörslista!I$98),"",IFERROR(VLOOKUP($F52,Arrangörslista!J$98:$AG$135,16,FALSE),"DNS")))))),IF(Deltagarlista!$K$3=2,
IF(ISBLANK(Deltagarlista!$C56),"",IF(ISBLANK(Arrangörslista!F$53),"",IF($GV52=AB$64," DNS ",IFERROR(VLOOKUP($F52,Arrangörslista!F$53:$AG$90,16,FALSE),"DNS")))),IF(ISBLANK(Deltagarlista!$C56),"",IF(ISBLANK(Arrangörslista!F$53),"",IFERROR(VLOOKUP($F52,Arrangörslista!F$53:$AG$90,16,FALSE),"DNS")))))</f>
        <v/>
      </c>
      <c r="AC52" s="5" t="str">
        <f>IF(Deltagarlista!$K$3=4,IF(ISBLANK(Deltagarlista!$C56),"",IF(ISBLANK(Arrangörslista!K$98),"",IFERROR(VLOOKUP($F52,Arrangörslista!K$98:$AG$135,16,FALSE),IF(ISBLANK(Deltagarlista!$C56),"",IF(ISBLANK(Arrangörslista!K$98),"",IFERROR(VLOOKUP($F52,Arrangörslista!L$98:$AG$135,16,FALSE),"DNS")))))),IF(Deltagarlista!$K$3=2,
IF(ISBLANK(Deltagarlista!$C56),"",IF(ISBLANK(Arrangörslista!G$53),"",IF($GV52=AC$64," DNS ",IFERROR(VLOOKUP($F52,Arrangörslista!G$53:$AG$90,16,FALSE),"DNS")))),IF(ISBLANK(Deltagarlista!$C56),"",IF(ISBLANK(Arrangörslista!G$53),"",IFERROR(VLOOKUP($F52,Arrangörslista!G$53:$AG$90,16,FALSE),"DNS")))))</f>
        <v/>
      </c>
      <c r="AD52" s="5" t="str">
        <f>IF(Deltagarlista!$K$3=4,IF(ISBLANK(Deltagarlista!$C56),"",IF(ISBLANK(Arrangörslista!M$98),"",IFERROR(VLOOKUP($F52,Arrangörslista!M$98:$AG$135,16,FALSE),IF(ISBLANK(Deltagarlista!$C56),"",IF(ISBLANK(Arrangörslista!M$98),"",IFERROR(VLOOKUP($F52,Arrangörslista!N$98:$AG$135,16,FALSE),"DNS")))))),IF(Deltagarlista!$K$3=2,
IF(ISBLANK(Deltagarlista!$C56),"",IF(ISBLANK(Arrangörslista!H$53),"",IF($GV52=AD$64," DNS ",IFERROR(VLOOKUP($F52,Arrangörslista!H$53:$AG$90,16,FALSE),"DNS")))),IF(ISBLANK(Deltagarlista!$C56),"",IF(ISBLANK(Arrangörslista!H$53),"",IFERROR(VLOOKUP($F52,Arrangörslista!H$53:$AG$90,16,FALSE),"DNS")))))</f>
        <v/>
      </c>
      <c r="AE52" s="5" t="str">
        <f>IF(Deltagarlista!$K$3=4,IF(ISBLANK(Deltagarlista!$C56),"",IF(ISBLANK(Arrangörslista!O$98),"",IFERROR(VLOOKUP($F52,Arrangörslista!O$98:$AG$135,16,FALSE),IF(ISBLANK(Deltagarlista!$C56),"",IF(ISBLANK(Arrangörslista!O$98),"",IFERROR(VLOOKUP($F52,Arrangörslista!P$98:$AG$135,16,FALSE),"DNS")))))),IF(Deltagarlista!$K$3=2,
IF(ISBLANK(Deltagarlista!$C56),"",IF(ISBLANK(Arrangörslista!I$53),"",IF($GV52=AE$64," DNS ",IFERROR(VLOOKUP($F52,Arrangörslista!I$53:$AG$90,16,FALSE),"DNS")))),IF(ISBLANK(Deltagarlista!$C56),"",IF(ISBLANK(Arrangörslista!I$53),"",IFERROR(VLOOKUP($F52,Arrangörslista!I$53:$AG$90,16,FALSE),"DNS")))))</f>
        <v/>
      </c>
      <c r="AF52" s="5" t="str">
        <f>IF(Deltagarlista!$K$3=4,IF(ISBLANK(Deltagarlista!$C56),"",IF(ISBLANK(Arrangörslista!Q$98),"",IFERROR(VLOOKUP($F52,Arrangörslista!Q$98:$AG$135,16,FALSE),IF(ISBLANK(Deltagarlista!$C56),"",IF(ISBLANK(Arrangörslista!Q$98),"",IFERROR(VLOOKUP($F52,Arrangörslista!C$143:$AG$180,16,FALSE),"DNS")))))),IF(Deltagarlista!$K$3=2,
IF(ISBLANK(Deltagarlista!$C56),"",IF(ISBLANK(Arrangörslista!J$53),"",IF($GV52=AF$64," DNS ",IFERROR(VLOOKUP($F52,Arrangörslista!J$53:$AG$90,16,FALSE),"DNS")))),IF(ISBLANK(Deltagarlista!$C56),"",IF(ISBLANK(Arrangörslista!J$53),"",IFERROR(VLOOKUP($F52,Arrangörslista!J$53:$AG$90,16,FALSE),"DNS")))))</f>
        <v/>
      </c>
      <c r="AG52" s="5" t="str">
        <f>IF(Deltagarlista!$K$3=4,IF(ISBLANK(Deltagarlista!$C56),"",IF(ISBLANK(Arrangörslista!D$143),"",IFERROR(VLOOKUP($F52,Arrangörslista!D$143:$AG$180,16,FALSE),IF(ISBLANK(Deltagarlista!$C56),"",IF(ISBLANK(Arrangörslista!D$143),"",IFERROR(VLOOKUP($F52,Arrangörslista!E$143:$AG$180,16,FALSE),"DNS")))))),IF(Deltagarlista!$K$3=2,
IF(ISBLANK(Deltagarlista!$C56),"",IF(ISBLANK(Arrangörslista!K$53),"",IF($GV52=AG$64," DNS ",IFERROR(VLOOKUP($F52,Arrangörslista!K$53:$AG$90,16,FALSE),"DNS")))),IF(ISBLANK(Deltagarlista!$C56),"",IF(ISBLANK(Arrangörslista!K$53),"",IFERROR(VLOOKUP($F52,Arrangörslista!K$53:$AG$90,16,FALSE),"DNS")))))</f>
        <v/>
      </c>
      <c r="AH52" s="5" t="str">
        <f>IF(Deltagarlista!$K$3=4,IF(ISBLANK(Deltagarlista!$C56),"",IF(ISBLANK(Arrangörslista!F$143),"",IFERROR(VLOOKUP($F52,Arrangörslista!F$143:$AG$180,16,FALSE),IF(ISBLANK(Deltagarlista!$C56),"",IF(ISBLANK(Arrangörslista!F$143),"",IFERROR(VLOOKUP($F52,Arrangörslista!G$143:$AG$180,16,FALSE),"DNS")))))),IF(Deltagarlista!$K$3=2,
IF(ISBLANK(Deltagarlista!$C56),"",IF(ISBLANK(Arrangörslista!L$53),"",IF($GV52=AH$64," DNS ",IFERROR(VLOOKUP($F52,Arrangörslista!L$53:$AG$90,16,FALSE),"DNS")))),IF(ISBLANK(Deltagarlista!$C56),"",IF(ISBLANK(Arrangörslista!L$53),"",IFERROR(VLOOKUP($F52,Arrangörslista!L$53:$AG$90,16,FALSE),"DNS")))))</f>
        <v/>
      </c>
      <c r="AI52" s="5" t="str">
        <f>IF(Deltagarlista!$K$3=4,IF(ISBLANK(Deltagarlista!$C56),"",IF(ISBLANK(Arrangörslista!H$143),"",IFERROR(VLOOKUP($F52,Arrangörslista!H$143:$AG$180,16,FALSE),IF(ISBLANK(Deltagarlista!$C56),"",IF(ISBLANK(Arrangörslista!H$143),"",IFERROR(VLOOKUP($F52,Arrangörslista!I$143:$AG$180,16,FALSE),"DNS")))))),IF(Deltagarlista!$K$3=2,
IF(ISBLANK(Deltagarlista!$C56),"",IF(ISBLANK(Arrangörslista!M$53),"",IF($GV52=AI$64," DNS ",IFERROR(VLOOKUP($F52,Arrangörslista!M$53:$AG$90,16,FALSE),"DNS")))),IF(ISBLANK(Deltagarlista!$C56),"",IF(ISBLANK(Arrangörslista!M$53),"",IFERROR(VLOOKUP($F52,Arrangörslista!M$53:$AG$90,16,FALSE),"DNS")))))</f>
        <v/>
      </c>
      <c r="AJ52" s="5" t="str">
        <f>IF(Deltagarlista!$K$3=4,IF(ISBLANK(Deltagarlista!$C56),"",IF(ISBLANK(Arrangörslista!J$143),"",IFERROR(VLOOKUP($F52,Arrangörslista!J$143:$AG$180,16,FALSE),IF(ISBLANK(Deltagarlista!$C56),"",IF(ISBLANK(Arrangörslista!J$143),"",IFERROR(VLOOKUP($F52,Arrangörslista!K$143:$AG$180,16,FALSE),"DNS")))))),IF(Deltagarlista!$K$3=2,
IF(ISBLANK(Deltagarlista!$C56),"",IF(ISBLANK(Arrangörslista!N$53),"",IF($GV52=AJ$64," DNS ",IFERROR(VLOOKUP($F52,Arrangörslista!N$53:$AG$90,16,FALSE),"DNS")))),IF(ISBLANK(Deltagarlista!$C56),"",IF(ISBLANK(Arrangörslista!N$53),"",IFERROR(VLOOKUP($F52,Arrangörslista!N$53:$AG$90,16,FALSE),"DNS")))))</f>
        <v/>
      </c>
      <c r="AK52" s="5" t="str">
        <f>IF(Deltagarlista!$K$3=4,IF(ISBLANK(Deltagarlista!$C56),"",IF(ISBLANK(Arrangörslista!L$143),"",IFERROR(VLOOKUP($F52,Arrangörslista!L$143:$AG$180,16,FALSE),IF(ISBLANK(Deltagarlista!$C56),"",IF(ISBLANK(Arrangörslista!L$143),"",IFERROR(VLOOKUP($F52,Arrangörslista!M$143:$AG$180,16,FALSE),"DNS")))))),IF(Deltagarlista!$K$3=2,
IF(ISBLANK(Deltagarlista!$C56),"",IF(ISBLANK(Arrangörslista!O$53),"",IF($GV52=AK$64," DNS ",IFERROR(VLOOKUP($F52,Arrangörslista!O$53:$AG$90,16,FALSE),"DNS")))),IF(ISBLANK(Deltagarlista!$C56),"",IF(ISBLANK(Arrangörslista!O$53),"",IFERROR(VLOOKUP($F52,Arrangörslista!O$53:$AG$90,16,FALSE),"DNS")))))</f>
        <v/>
      </c>
      <c r="AL52" s="5" t="str">
        <f>IF(Deltagarlista!$K$3=4,IF(ISBLANK(Deltagarlista!$C56),"",IF(ISBLANK(Arrangörslista!N$143),"",IFERROR(VLOOKUP($F52,Arrangörslista!N$143:$AG$180,16,FALSE),IF(ISBLANK(Deltagarlista!$C56),"",IF(ISBLANK(Arrangörslista!N$143),"",IFERROR(VLOOKUP($F52,Arrangörslista!O$143:$AG$180,16,FALSE),"DNS")))))),IF(Deltagarlista!$K$3=2,
IF(ISBLANK(Deltagarlista!$C56),"",IF(ISBLANK(Arrangörslista!P$53),"",IF($GV52=AL$64," DNS ",IFERROR(VLOOKUP($F52,Arrangörslista!P$53:$AG$90,16,FALSE),"DNS")))),IF(ISBLANK(Deltagarlista!$C56),"",IF(ISBLANK(Arrangörslista!P$53),"",IFERROR(VLOOKUP($F52,Arrangörslista!P$53:$AG$90,16,FALSE),"DNS")))))</f>
        <v/>
      </c>
      <c r="AM52" s="5" t="str">
        <f>IF(Deltagarlista!$K$3=4,IF(ISBLANK(Deltagarlista!$C56),"",IF(ISBLANK(Arrangörslista!P$143),"",IFERROR(VLOOKUP($F52,Arrangörslista!P$143:$AG$180,16,FALSE),IF(ISBLANK(Deltagarlista!$C56),"",IF(ISBLANK(Arrangörslista!P$143),"",IFERROR(VLOOKUP($F52,Arrangörslista!Q$143:$AG$180,16,FALSE),"DNS")))))),IF(Deltagarlista!$K$3=2,
IF(ISBLANK(Deltagarlista!$C56),"",IF(ISBLANK(Arrangörslista!Q$53),"",IF($GV52=AM$64," DNS ",IFERROR(VLOOKUP($F52,Arrangörslista!Q$53:$AG$90,16,FALSE),"DNS")))),IF(ISBLANK(Deltagarlista!$C56),"",IF(ISBLANK(Arrangörslista!Q$53),"",IFERROR(VLOOKUP($F52,Arrangörslista!Q$53:$AG$90,16,FALSE),"DNS")))))</f>
        <v/>
      </c>
      <c r="AN52" s="5" t="str">
        <f>IF(Deltagarlista!$K$3=2,
IF(ISBLANK(Deltagarlista!$C56),"",IF(ISBLANK(Arrangörslista!C$98),"",IF($GV52=AN$64," DNS ",IFERROR(VLOOKUP($F52,Arrangörslista!C$98:$AG$135,16,FALSE), "DNS")))), IF(Deltagarlista!$K$3=1,IF(ISBLANK(Deltagarlista!$C56),"",IF(ISBLANK(Arrangörslista!C$98),"",IFERROR(VLOOKUP($F52,Arrangörslista!C$98:$AG$135,16,FALSE), "DNS"))),""))</f>
        <v/>
      </c>
      <c r="AO52" s="5" t="str">
        <f>IF(Deltagarlista!$K$3=2,
IF(ISBLANK(Deltagarlista!$C56),"",IF(ISBLANK(Arrangörslista!D$98),"",IF($GV52=AO$64," DNS ",IFERROR(VLOOKUP($F52,Arrangörslista!D$98:$AG$135,16,FALSE), "DNS")))), IF(Deltagarlista!$K$3=1,IF(ISBLANK(Deltagarlista!$C56),"",IF(ISBLANK(Arrangörslista!D$98),"",IFERROR(VLOOKUP($F52,Arrangörslista!D$98:$AG$135,16,FALSE), "DNS"))),""))</f>
        <v/>
      </c>
      <c r="AP52" s="5" t="str">
        <f>IF(Deltagarlista!$K$3=2,
IF(ISBLANK(Deltagarlista!$C56),"",IF(ISBLANK(Arrangörslista!E$98),"",IF($GV52=AP$64," DNS ",IFERROR(VLOOKUP($F52,Arrangörslista!E$98:$AG$135,16,FALSE), "DNS")))), IF(Deltagarlista!$K$3=1,IF(ISBLANK(Deltagarlista!$C56),"",IF(ISBLANK(Arrangörslista!E$98),"",IFERROR(VLOOKUP($F52,Arrangörslista!E$98:$AG$135,16,FALSE), "DNS"))),""))</f>
        <v/>
      </c>
      <c r="AQ52" s="5" t="str">
        <f>IF(Deltagarlista!$K$3=2,
IF(ISBLANK(Deltagarlista!$C56),"",IF(ISBLANK(Arrangörslista!F$98),"",IF($GV52=AQ$64," DNS ",IFERROR(VLOOKUP($F52,Arrangörslista!F$98:$AG$135,16,FALSE), "DNS")))), IF(Deltagarlista!$K$3=1,IF(ISBLANK(Deltagarlista!$C56),"",IF(ISBLANK(Arrangörslista!F$98),"",IFERROR(VLOOKUP($F52,Arrangörslista!F$98:$AG$135,16,FALSE), "DNS"))),""))</f>
        <v/>
      </c>
      <c r="AR52" s="5" t="str">
        <f>IF(Deltagarlista!$K$3=2,
IF(ISBLANK(Deltagarlista!$C56),"",IF(ISBLANK(Arrangörslista!G$98),"",IF($GV52=AR$64," DNS ",IFERROR(VLOOKUP($F52,Arrangörslista!G$98:$AG$135,16,FALSE), "DNS")))), IF(Deltagarlista!$K$3=1,IF(ISBLANK(Deltagarlista!$C56),"",IF(ISBLANK(Arrangörslista!G$98),"",IFERROR(VLOOKUP($F52,Arrangörslista!G$98:$AG$135,16,FALSE), "DNS"))),""))</f>
        <v/>
      </c>
      <c r="AS52" s="5" t="str">
        <f>IF(Deltagarlista!$K$3=2,
IF(ISBLANK(Deltagarlista!$C56),"",IF(ISBLANK(Arrangörslista!H$98),"",IF($GV52=AS$64," DNS ",IFERROR(VLOOKUP($F52,Arrangörslista!H$98:$AG$135,16,FALSE), "DNS")))), IF(Deltagarlista!$K$3=1,IF(ISBLANK(Deltagarlista!$C56),"",IF(ISBLANK(Arrangörslista!H$98),"",IFERROR(VLOOKUP($F52,Arrangörslista!H$98:$AG$135,16,FALSE), "DNS"))),""))</f>
        <v/>
      </c>
      <c r="AT52" s="5" t="str">
        <f>IF(Deltagarlista!$K$3=2,
IF(ISBLANK(Deltagarlista!$C56),"",IF(ISBLANK(Arrangörslista!I$98),"",IF($GV52=AT$64," DNS ",IFERROR(VLOOKUP($F52,Arrangörslista!I$98:$AG$135,16,FALSE), "DNS")))), IF(Deltagarlista!$K$3=1,IF(ISBLANK(Deltagarlista!$C56),"",IF(ISBLANK(Arrangörslista!I$98),"",IFERROR(VLOOKUP($F52,Arrangörslista!I$98:$AG$135,16,FALSE), "DNS"))),""))</f>
        <v/>
      </c>
      <c r="AU52" s="5" t="str">
        <f>IF(Deltagarlista!$K$3=2,
IF(ISBLANK(Deltagarlista!$C56),"",IF(ISBLANK(Arrangörslista!J$98),"",IF($GV52=AU$64," DNS ",IFERROR(VLOOKUP($F52,Arrangörslista!J$98:$AG$135,16,FALSE), "DNS")))), IF(Deltagarlista!$K$3=1,IF(ISBLANK(Deltagarlista!$C56),"",IF(ISBLANK(Arrangörslista!J$98),"",IFERROR(VLOOKUP($F52,Arrangörslista!J$98:$AG$135,16,FALSE), "DNS"))),""))</f>
        <v/>
      </c>
      <c r="AV52" s="5" t="str">
        <f>IF(Deltagarlista!$K$3=2,
IF(ISBLANK(Deltagarlista!$C56),"",IF(ISBLANK(Arrangörslista!K$98),"",IF($GV52=AV$64," DNS ",IFERROR(VLOOKUP($F52,Arrangörslista!K$98:$AG$135,16,FALSE), "DNS")))), IF(Deltagarlista!$K$3=1,IF(ISBLANK(Deltagarlista!$C56),"",IF(ISBLANK(Arrangörslista!K$98),"",IFERROR(VLOOKUP($F52,Arrangörslista!K$98:$AG$135,16,FALSE), "DNS"))),""))</f>
        <v/>
      </c>
      <c r="AW52" s="5" t="str">
        <f>IF(Deltagarlista!$K$3=2,
IF(ISBLANK(Deltagarlista!$C56),"",IF(ISBLANK(Arrangörslista!L$98),"",IF($GV52=AW$64," DNS ",IFERROR(VLOOKUP($F52,Arrangörslista!L$98:$AG$135,16,FALSE), "DNS")))), IF(Deltagarlista!$K$3=1,IF(ISBLANK(Deltagarlista!$C56),"",IF(ISBLANK(Arrangörslista!L$98),"",IFERROR(VLOOKUP($F52,Arrangörslista!L$98:$AG$135,16,FALSE), "DNS"))),""))</f>
        <v/>
      </c>
      <c r="AX52" s="5" t="str">
        <f>IF(Deltagarlista!$K$3=2,
IF(ISBLANK(Deltagarlista!$C56),"",IF(ISBLANK(Arrangörslista!M$98),"",IF($GV52=AX$64," DNS ",IFERROR(VLOOKUP($F52,Arrangörslista!M$98:$AG$135,16,FALSE), "DNS")))), IF(Deltagarlista!$K$3=1,IF(ISBLANK(Deltagarlista!$C56),"",IF(ISBLANK(Arrangörslista!M$98),"",IFERROR(VLOOKUP($F52,Arrangörslista!M$98:$AG$135,16,FALSE), "DNS"))),""))</f>
        <v/>
      </c>
      <c r="AY52" s="5" t="str">
        <f>IF(Deltagarlista!$K$3=2,
IF(ISBLANK(Deltagarlista!$C56),"",IF(ISBLANK(Arrangörslista!N$98),"",IF($GV52=AY$64," DNS ",IFERROR(VLOOKUP($F52,Arrangörslista!N$98:$AG$135,16,FALSE), "DNS")))), IF(Deltagarlista!$K$3=1,IF(ISBLANK(Deltagarlista!$C56),"",IF(ISBLANK(Arrangörslista!N$98),"",IFERROR(VLOOKUP($F52,Arrangörslista!N$98:$AG$135,16,FALSE), "DNS"))),""))</f>
        <v/>
      </c>
      <c r="AZ52" s="5" t="str">
        <f>IF(Deltagarlista!$K$3=2,
IF(ISBLANK(Deltagarlista!$C56),"",IF(ISBLANK(Arrangörslista!O$98),"",IF($GV52=AZ$64," DNS ",IFERROR(VLOOKUP($F52,Arrangörslista!O$98:$AG$135,16,FALSE), "DNS")))), IF(Deltagarlista!$K$3=1,IF(ISBLANK(Deltagarlista!$C56),"",IF(ISBLANK(Arrangörslista!O$98),"",IFERROR(VLOOKUP($F52,Arrangörslista!O$98:$AG$135,16,FALSE), "DNS"))),""))</f>
        <v/>
      </c>
      <c r="BA52" s="5" t="str">
        <f>IF(Deltagarlista!$K$3=2,
IF(ISBLANK(Deltagarlista!$C56),"",IF(ISBLANK(Arrangörslista!P$98),"",IF($GV52=BA$64," DNS ",IFERROR(VLOOKUP($F52,Arrangörslista!P$98:$AG$135,16,FALSE), "DNS")))), IF(Deltagarlista!$K$3=1,IF(ISBLANK(Deltagarlista!$C56),"",IF(ISBLANK(Arrangörslista!P$98),"",IFERROR(VLOOKUP($F52,Arrangörslista!P$98:$AG$135,16,FALSE), "DNS"))),""))</f>
        <v/>
      </c>
      <c r="BB52" s="5" t="str">
        <f>IF(Deltagarlista!$K$3=2,
IF(ISBLANK(Deltagarlista!$C56),"",IF(ISBLANK(Arrangörslista!Q$98),"",IF($GV52=BB$64," DNS ",IFERROR(VLOOKUP($F52,Arrangörslista!Q$98:$AG$135,16,FALSE), "DNS")))), IF(Deltagarlista!$K$3=1,IF(ISBLANK(Deltagarlista!$C56),"",IF(ISBLANK(Arrangörslista!Q$98),"",IFERROR(VLOOKUP($F52,Arrangörslista!Q$98:$AG$135,16,FALSE), "DNS"))),""))</f>
        <v/>
      </c>
      <c r="BC52" s="5" t="str">
        <f>IF(Deltagarlista!$K$3=2,
IF(ISBLANK(Deltagarlista!$C56),"",IF(ISBLANK(Arrangörslista!C$143),"",IF($GV52=BC$64," DNS ",IFERROR(VLOOKUP($F52,Arrangörslista!C$143:$AG$180,16,FALSE), "DNS")))), IF(Deltagarlista!$K$3=1,IF(ISBLANK(Deltagarlista!$C56),"",IF(ISBLANK(Arrangörslista!C$143),"",IFERROR(VLOOKUP($F52,Arrangörslista!C$143:$AG$180,16,FALSE), "DNS"))),""))</f>
        <v/>
      </c>
      <c r="BD52" s="5" t="str">
        <f>IF(Deltagarlista!$K$3=2,
IF(ISBLANK(Deltagarlista!$C56),"",IF(ISBLANK(Arrangörslista!D$143),"",IF($GV52=BD$64," DNS ",IFERROR(VLOOKUP($F52,Arrangörslista!D$143:$AG$180,16,FALSE), "DNS")))), IF(Deltagarlista!$K$3=1,IF(ISBLANK(Deltagarlista!$C56),"",IF(ISBLANK(Arrangörslista!D$143),"",IFERROR(VLOOKUP($F52,Arrangörslista!D$143:$AG$180,16,FALSE), "DNS"))),""))</f>
        <v/>
      </c>
      <c r="BE52" s="5" t="str">
        <f>IF(Deltagarlista!$K$3=2,
IF(ISBLANK(Deltagarlista!$C56),"",IF(ISBLANK(Arrangörslista!E$143),"",IF($GV52=BE$64," DNS ",IFERROR(VLOOKUP($F52,Arrangörslista!E$143:$AG$180,16,FALSE), "DNS")))), IF(Deltagarlista!$K$3=1,IF(ISBLANK(Deltagarlista!$C56),"",IF(ISBLANK(Arrangörslista!E$143),"",IFERROR(VLOOKUP($F52,Arrangörslista!E$143:$AG$180,16,FALSE), "DNS"))),""))</f>
        <v/>
      </c>
      <c r="BF52" s="5" t="str">
        <f>IF(Deltagarlista!$K$3=2,
IF(ISBLANK(Deltagarlista!$C56),"",IF(ISBLANK(Arrangörslista!F$143),"",IF($GV52=BF$64," DNS ",IFERROR(VLOOKUP($F52,Arrangörslista!F$143:$AG$180,16,FALSE), "DNS")))), IF(Deltagarlista!$K$3=1,IF(ISBLANK(Deltagarlista!$C56),"",IF(ISBLANK(Arrangörslista!F$143),"",IFERROR(VLOOKUP($F52,Arrangörslista!F$143:$AG$180,16,FALSE), "DNS"))),""))</f>
        <v/>
      </c>
      <c r="BG52" s="5" t="str">
        <f>IF(Deltagarlista!$K$3=2,
IF(ISBLANK(Deltagarlista!$C56),"",IF(ISBLANK(Arrangörslista!G$143),"",IF($GV52=BG$64," DNS ",IFERROR(VLOOKUP($F52,Arrangörslista!G$143:$AG$180,16,FALSE), "DNS")))), IF(Deltagarlista!$K$3=1,IF(ISBLANK(Deltagarlista!$C56),"",IF(ISBLANK(Arrangörslista!G$143),"",IFERROR(VLOOKUP($F52,Arrangörslista!G$143:$AG$180,16,FALSE), "DNS"))),""))</f>
        <v/>
      </c>
      <c r="BH52" s="5" t="str">
        <f>IF(Deltagarlista!$K$3=2,
IF(ISBLANK(Deltagarlista!$C56),"",IF(ISBLANK(Arrangörslista!H$143),"",IF($GV52=BH$64," DNS ",IFERROR(VLOOKUP($F52,Arrangörslista!H$143:$AG$180,16,FALSE), "DNS")))), IF(Deltagarlista!$K$3=1,IF(ISBLANK(Deltagarlista!$C56),"",IF(ISBLANK(Arrangörslista!H$143),"",IFERROR(VLOOKUP($F52,Arrangörslista!H$143:$AG$180,16,FALSE), "DNS"))),""))</f>
        <v/>
      </c>
      <c r="BI52" s="5" t="str">
        <f>IF(Deltagarlista!$K$3=2,
IF(ISBLANK(Deltagarlista!$C56),"",IF(ISBLANK(Arrangörslista!I$143),"",IF($GV52=BI$64," DNS ",IFERROR(VLOOKUP($F52,Arrangörslista!I$143:$AG$180,16,FALSE), "DNS")))), IF(Deltagarlista!$K$3=1,IF(ISBLANK(Deltagarlista!$C56),"",IF(ISBLANK(Arrangörslista!I$143),"",IFERROR(VLOOKUP($F52,Arrangörslista!I$143:$AG$180,16,FALSE), "DNS"))),""))</f>
        <v/>
      </c>
      <c r="BJ52" s="5" t="str">
        <f>IF(Deltagarlista!$K$3=2,
IF(ISBLANK(Deltagarlista!$C56),"",IF(ISBLANK(Arrangörslista!J$143),"",IF($GV52=BJ$64," DNS ",IFERROR(VLOOKUP($F52,Arrangörslista!J$143:$AG$180,16,FALSE), "DNS")))), IF(Deltagarlista!$K$3=1,IF(ISBLANK(Deltagarlista!$C56),"",IF(ISBLANK(Arrangörslista!J$143),"",IFERROR(VLOOKUP($F52,Arrangörslista!J$143:$AG$180,16,FALSE), "DNS"))),""))</f>
        <v/>
      </c>
      <c r="BK52" s="5" t="str">
        <f>IF(Deltagarlista!$K$3=2,
IF(ISBLANK(Deltagarlista!$C56),"",IF(ISBLANK(Arrangörslista!K$143),"",IF($GV52=BK$64," DNS ",IFERROR(VLOOKUP($F52,Arrangörslista!K$143:$AG$180,16,FALSE), "DNS")))), IF(Deltagarlista!$K$3=1,IF(ISBLANK(Deltagarlista!$C56),"",IF(ISBLANK(Arrangörslista!K$143),"",IFERROR(VLOOKUP($F52,Arrangörslista!K$143:$AG$180,16,FALSE), "DNS"))),""))</f>
        <v/>
      </c>
      <c r="BL52" s="5" t="str">
        <f>IF(Deltagarlista!$K$3=2,
IF(ISBLANK(Deltagarlista!$C56),"",IF(ISBLANK(Arrangörslista!L$143),"",IF($GV52=BL$64," DNS ",IFERROR(VLOOKUP($F52,Arrangörslista!L$143:$AG$180,16,FALSE), "DNS")))), IF(Deltagarlista!$K$3=1,IF(ISBLANK(Deltagarlista!$C56),"",IF(ISBLANK(Arrangörslista!L$143),"",IFERROR(VLOOKUP($F52,Arrangörslista!L$143:$AG$180,16,FALSE), "DNS"))),""))</f>
        <v/>
      </c>
      <c r="BM52" s="5" t="str">
        <f>IF(Deltagarlista!$K$3=2,
IF(ISBLANK(Deltagarlista!$C56),"",IF(ISBLANK(Arrangörslista!M$143),"",IF($GV52=BM$64," DNS ",IFERROR(VLOOKUP($F52,Arrangörslista!M$143:$AG$180,16,FALSE), "DNS")))), IF(Deltagarlista!$K$3=1,IF(ISBLANK(Deltagarlista!$C56),"",IF(ISBLANK(Arrangörslista!M$143),"",IFERROR(VLOOKUP($F52,Arrangörslista!M$143:$AG$180,16,FALSE), "DNS"))),""))</f>
        <v/>
      </c>
      <c r="BN52" s="5" t="str">
        <f>IF(Deltagarlista!$K$3=2,
IF(ISBLANK(Deltagarlista!$C56),"",IF(ISBLANK(Arrangörslista!N$143),"",IF($GV52=BN$64," DNS ",IFERROR(VLOOKUP($F52,Arrangörslista!N$143:$AG$180,16,FALSE), "DNS")))), IF(Deltagarlista!$K$3=1,IF(ISBLANK(Deltagarlista!$C56),"",IF(ISBLANK(Arrangörslista!N$143),"",IFERROR(VLOOKUP($F52,Arrangörslista!N$143:$AG$180,16,FALSE), "DNS"))),""))</f>
        <v/>
      </c>
      <c r="BO52" s="5" t="str">
        <f>IF(Deltagarlista!$K$3=2,
IF(ISBLANK(Deltagarlista!$C56),"",IF(ISBLANK(Arrangörslista!O$143),"",IF($GV52=BO$64," DNS ",IFERROR(VLOOKUP($F52,Arrangörslista!O$143:$AG$180,16,FALSE), "DNS")))), IF(Deltagarlista!$K$3=1,IF(ISBLANK(Deltagarlista!$C56),"",IF(ISBLANK(Arrangörslista!O$143),"",IFERROR(VLOOKUP($F52,Arrangörslista!O$143:$AG$180,16,FALSE), "DNS"))),""))</f>
        <v/>
      </c>
      <c r="BP52" s="5" t="str">
        <f>IF(Deltagarlista!$K$3=2,
IF(ISBLANK(Deltagarlista!$C56),"",IF(ISBLANK(Arrangörslista!P$143),"",IF($GV52=BP$64," DNS ",IFERROR(VLOOKUP($F52,Arrangörslista!P$143:$AG$180,16,FALSE), "DNS")))), IF(Deltagarlista!$K$3=1,IF(ISBLANK(Deltagarlista!$C56),"",IF(ISBLANK(Arrangörslista!P$143),"",IFERROR(VLOOKUP($F52,Arrangörslista!P$143:$AG$180,16,FALSE), "DNS"))),""))</f>
        <v/>
      </c>
      <c r="BQ52" s="80" t="str">
        <f>IF(Deltagarlista!$K$3=2,
IF(ISBLANK(Deltagarlista!$C56),"",IF(ISBLANK(Arrangörslista!Q$143),"",IF($GV52=BQ$64," DNS ",IFERROR(VLOOKUP($F52,Arrangörslista!Q$143:$AG$180,16,FALSE), "DNS")))), IF(Deltagarlista!$K$3=1,IF(ISBLANK(Deltagarlista!$C56),"",IF(ISBLANK(Arrangörslista!Q$143),"",IFERROR(VLOOKUP($F52,Arrangörslista!Q$143:$AG$180,16,FALSE), "DNS"))),""))</f>
        <v/>
      </c>
      <c r="BR52" s="48"/>
      <c r="BU52" s="71">
        <f>SUM(BV52:EC52)</f>
        <v>0</v>
      </c>
      <c r="BV52" s="61">
        <f>IF(J52="",0,IF(OR(J52="DNF",J52="OCS",J52="DSQ",J52="DNS",J52=" DNS "),$BW$3+1,J52))</f>
        <v>0</v>
      </c>
      <c r="BW52" s="61">
        <f>IF(K52="",0,IF(OR(K52="DNF",K52="OCS",K52="DSQ",K52="DNS",K52=" DNS "),$BW$3+1,K52))</f>
        <v>0</v>
      </c>
      <c r="BX52" s="61">
        <f>IF(L52="",0,IF(OR(L52="DNF",L52="OCS",L52="DSQ",L52="DNS",L52=" DNS "),$BW$3+1,L52))</f>
        <v>0</v>
      </c>
      <c r="BY52" s="61">
        <f>IF(M52="",0,IF(OR(M52="DNF",M52="OCS",M52="DSQ",M52="DNS",M52=" DNS "),$BW$3+1,M52))</f>
        <v>0</v>
      </c>
      <c r="BZ52" s="61">
        <f>IF(N52="",0,IF(OR(N52="DNF",N52="OCS",N52="DSQ",N52="DNS",N52=" DNS "),$BW$3+1,N52))</f>
        <v>0</v>
      </c>
      <c r="CA52" s="61">
        <f>IF(O52="",0,IF(OR(O52="DNF",O52="OCS",O52="DSQ",O52="DNS",O52=" DNS "),$BW$3+1,O52))</f>
        <v>0</v>
      </c>
      <c r="CB52" s="61">
        <f>IF(P52="",0,IF(OR(P52="DNF",P52="OCS",P52="DSQ",P52="DNS",P52=" DNS "),$BW$3+1,P52))</f>
        <v>0</v>
      </c>
      <c r="CC52" s="61">
        <f>IF(Q52="",0,IF(OR(Q52="DNF",Q52="OCS",Q52="DSQ",Q52="DNS",Q52=" DNS "),$BW$3+1,Q52))</f>
        <v>0</v>
      </c>
      <c r="CD52" s="61">
        <f>IF(R52="",0,IF(OR(R52="DNF",R52="OCS",R52="DSQ",R52="DNS",R52=" DNS "),$BW$3+1,R52))</f>
        <v>0</v>
      </c>
      <c r="CE52" s="61">
        <f>IF(S52="",0,IF(OR(S52="DNF",S52="OCS",S52="DSQ",S52="DNS",S52=" DNS "),$BW$3+1,S52))</f>
        <v>0</v>
      </c>
      <c r="CF52" s="61">
        <f>IF(T52="",0,IF(OR(T52="DNF",T52="OCS",T52="DSQ",T52="DNS",T52=" DNS "),$BW$3+1,T52))</f>
        <v>0</v>
      </c>
      <c r="CG52" s="61">
        <f>IF(U52="",0,IF(OR(U52="DNF",U52="OCS",U52="DSQ",U52="DNS",U52=" DNS "),$BW$3+1,U52))</f>
        <v>0</v>
      </c>
      <c r="CH52" s="61">
        <f>IF(V52="",0,IF(OR(V52="DNF",V52="OCS",V52="DSQ",V52="DNS",V52=" DNS "),$BW$3+1,V52))</f>
        <v>0</v>
      </c>
      <c r="CI52" s="61">
        <f>IF(W52="",0,IF(OR(W52="DNF",W52="OCS",W52="DSQ",W52="DNS",W52=" DNS "),$BW$3+1,W52))</f>
        <v>0</v>
      </c>
      <c r="CJ52" s="61">
        <f>IF(X52="",0,IF(OR(X52="DNF",X52="OCS",X52="DSQ",X52="DNS",X52=" DNS "),$BW$3+1,X52))</f>
        <v>0</v>
      </c>
      <c r="CK52" s="61">
        <f>IF(Y52="",0,IF(OR(Y52="DNF",Y52="OCS",Y52="DSQ",Y52="DNS",Y52=" DNS "),$BW$3+1,Y52))</f>
        <v>0</v>
      </c>
      <c r="CL52" s="61">
        <f>IF(Z52="",0,IF(OR(Z52="DNF",Z52="OCS",Z52="DSQ",Z52="DNS",Z52=" DNS "),$BW$3+1,Z52))</f>
        <v>0</v>
      </c>
      <c r="CM52" s="61">
        <f>IF(AA52="",0,IF(OR(AA52="DNF",AA52="OCS",AA52="DSQ",AA52="DNS",AA52=" DNS "),$BW$3+1,AA52))</f>
        <v>0</v>
      </c>
      <c r="CN52" s="61">
        <f>IF(AB52="",0,IF(OR(AB52="DNF",AB52="OCS",AB52="DSQ",AB52="DNS",AB52=" DNS "),$BW$3+1,AB52))</f>
        <v>0</v>
      </c>
      <c r="CO52" s="61">
        <f>IF(AC52="",0,IF(OR(AC52="DNF",AC52="OCS",AC52="DSQ",AC52="DNS",AC52=" DNS "),$BW$3+1,AC52))</f>
        <v>0</v>
      </c>
      <c r="CP52" s="61">
        <f>IF(AD52="",0,IF(OR(AD52="DNF",AD52="OCS",AD52="DSQ",AD52="DNS",AD52=" DNS "),$BW$3+1,AD52))</f>
        <v>0</v>
      </c>
      <c r="CQ52" s="61">
        <f>IF(AE52="",0,IF(OR(AE52="DNF",AE52="OCS",AE52="DSQ",AE52="DNS",AE52=" DNS "),$BW$3+1,AE52))</f>
        <v>0</v>
      </c>
      <c r="CR52" s="61">
        <f>IF(AF52="",0,IF(OR(AF52="DNF",AF52="OCS",AF52="DSQ",AF52="DNS",AF52=" DNS "),$BW$3+1,AF52))</f>
        <v>0</v>
      </c>
      <c r="CS52" s="61">
        <f>IF(AG52="",0,IF(OR(AG52="DNF",AG52="OCS",AG52="DSQ",AG52="DNS",AG52=" DNS "),$BW$3+1,AG52))</f>
        <v>0</v>
      </c>
      <c r="CT52" s="61">
        <f>IF(AH52="",0,IF(OR(AH52="DNF",AH52="OCS",AH52="DSQ",AH52="DNS",AH52=" DNS "),$BW$3+1,AH52))</f>
        <v>0</v>
      </c>
      <c r="CU52" s="61">
        <f>IF(AI52="",0,IF(OR(AI52="DNF",AI52="OCS",AI52="DSQ",AI52="DNS",AI52=" DNS "),$BW$3+1,AI52))</f>
        <v>0</v>
      </c>
      <c r="CV52" s="61">
        <f>IF(AJ52="",0,IF(OR(AJ52="DNF",AJ52="OCS",AJ52="DSQ",AJ52="DNS",AJ52=" DNS "),$BW$3+1,AJ52))</f>
        <v>0</v>
      </c>
      <c r="CW52" s="61">
        <f>IF(AK52="",0,IF(OR(AK52="DNF",AK52="OCS",AK52="DSQ",AK52="DNS",AK52=" DNS "),$BW$3+1,AK52))</f>
        <v>0</v>
      </c>
      <c r="CX52" s="61">
        <f>IF(AL52="",0,IF(OR(AL52="DNF",AL52="OCS",AL52="DSQ",AL52="DNS",AL52=" DNS "),$BW$3+1,AL52))</f>
        <v>0</v>
      </c>
      <c r="CY52" s="61">
        <f>IF(AM52="",0,IF(OR(AM52="DNF",AM52="OCS",AM52="DSQ",AM52="DNS",AM52=" DNS "),$BW$3+1,AM52))</f>
        <v>0</v>
      </c>
      <c r="CZ52" s="61">
        <f>IF(AN52="",0,IF(OR(AN52="DNF",AN52="OCS",AN52="DSQ",AN52="DNS",AN52=" DNS "),$BW$3+1,AN52))</f>
        <v>0</v>
      </c>
      <c r="DA52" s="61">
        <f>IF(AO52="",0,IF(OR(AO52="DNF",AO52="OCS",AO52="DSQ",AO52="DNS",AO52=" DNS "),$BW$3+1,AO52))</f>
        <v>0</v>
      </c>
      <c r="DB52" s="61">
        <f>IF(AP52="",0,IF(OR(AP52="DNF",AP52="OCS",AP52="DSQ",AP52="DNS",AP52=" DNS "),$BW$3+1,AP52))</f>
        <v>0</v>
      </c>
      <c r="DC52" s="61">
        <f>IF(AQ52="",0,IF(OR(AQ52="DNF",AQ52="OCS",AQ52="DSQ",AQ52="DNS",AQ52=" DNS "),$BW$3+1,AQ52))</f>
        <v>0</v>
      </c>
      <c r="DD52" s="61">
        <f>IF(AR52="",0,IF(OR(AR52="DNF",AR52="OCS",AR52="DSQ",AR52="DNS",AR52=" DNS "),$BW$3+1,AR52))</f>
        <v>0</v>
      </c>
      <c r="DE52" s="61">
        <f>IF(AS52="",0,IF(OR(AS52="DNF",AS52="OCS",AS52="DSQ",AS52="DNS",AS52=" DNS "),$BW$3+1,AS52))</f>
        <v>0</v>
      </c>
      <c r="DF52" s="61">
        <f>IF(AT52="",0,IF(OR(AT52="DNF",AT52="OCS",AT52="DSQ",AT52="DNS",AT52=" DNS "),$BW$3+1,AT52))</f>
        <v>0</v>
      </c>
      <c r="DG52" s="61">
        <f>IF(AU52="",0,IF(OR(AU52="DNF",AU52="OCS",AU52="DSQ",AU52="DNS",AU52=" DNS "),$BW$3+1,AU52))</f>
        <v>0</v>
      </c>
      <c r="DH52" s="61">
        <f>IF(AV52="",0,IF(OR(AV52="DNF",AV52="OCS",AV52="DSQ",AV52="DNS",AV52=" DNS "),$BW$3+1,AV52))</f>
        <v>0</v>
      </c>
      <c r="DI52" s="61">
        <f>IF(AW52="",0,IF(OR(AW52="DNF",AW52="OCS",AW52="DSQ",AW52="DNS",AW52=" DNS "),$BW$3+1,AW52))</f>
        <v>0</v>
      </c>
      <c r="DJ52" s="61">
        <f>IF(AX52="",0,IF(OR(AX52="DNF",AX52="OCS",AX52="DSQ",AX52="DNS",AX52=" DNS "),$BW$3+1,AX52))</f>
        <v>0</v>
      </c>
      <c r="DK52" s="61">
        <f>IF(AY52="",0,IF(OR(AY52="DNF",AY52="OCS",AY52="DSQ",AY52="DNS",AY52=" DNS "),$BW$3+1,AY52))</f>
        <v>0</v>
      </c>
      <c r="DL52" s="61">
        <f>IF(AZ52="",0,IF(OR(AZ52="DNF",AZ52="OCS",AZ52="DSQ",AZ52="DNS",AZ52=" DNS "),$BW$3+1,AZ52))</f>
        <v>0</v>
      </c>
      <c r="DM52" s="61">
        <f>IF(BA52="",0,IF(OR(BA52="DNF",BA52="OCS",BA52="DSQ",BA52="DNS",BA52=" DNS "),$BW$3+1,BA52))</f>
        <v>0</v>
      </c>
      <c r="DN52" s="61">
        <f>IF(BB52="",0,IF(OR(BB52="DNF",BB52="OCS",BB52="DSQ",BB52="DNS",BB52=" DNS "),$BW$3+1,BB52))</f>
        <v>0</v>
      </c>
      <c r="DO52" s="61">
        <f>IF(BC52="",0,IF(OR(BC52="DNF",BC52="OCS",BC52="DSQ",BC52="DNS",BC52=" DNS "),$BW$3+1,BC52))</f>
        <v>0</v>
      </c>
      <c r="DP52" s="61">
        <f>IF(BD52="",0,IF(OR(BD52="DNF",BD52="OCS",BD52="DSQ",BD52="DNS",BD52=" DNS "),$BW$3+1,BD52))</f>
        <v>0</v>
      </c>
      <c r="DQ52" s="61">
        <f>IF(BE52="",0,IF(OR(BE52="DNF",BE52="OCS",BE52="DSQ",BE52="DNS",BE52=" DNS "),$BW$3+1,BE52))</f>
        <v>0</v>
      </c>
      <c r="DR52" s="61">
        <f>IF(BF52="",0,IF(OR(BF52="DNF",BF52="OCS",BF52="DSQ",BF52="DNS",BF52=" DNS "),$BW$3+1,BF52))</f>
        <v>0</v>
      </c>
      <c r="DS52" s="61">
        <f>IF(BG52="",0,IF(OR(BG52="DNF",BG52="OCS",BG52="DSQ",BG52="DNS",BG52=" DNS "),$BW$3+1,BG52))</f>
        <v>0</v>
      </c>
      <c r="DT52" s="61">
        <f>IF(BH52="",0,IF(OR(BH52="DNF",BH52="OCS",BH52="DSQ",BH52="DNS",BH52=" DNS "),$BW$3+1,BH52))</f>
        <v>0</v>
      </c>
      <c r="DU52" s="61">
        <f>IF(BI52="",0,IF(OR(BI52="DNF",BI52="OCS",BI52="DSQ",BI52="DNS",BI52=" DNS "),$BW$3+1,BI52))</f>
        <v>0</v>
      </c>
      <c r="DV52" s="61">
        <f>IF(BJ52="",0,IF(OR(BJ52="DNF",BJ52="OCS",BJ52="DSQ",BJ52="DNS",BJ52=" DNS "),$BW$3+1,BJ52))</f>
        <v>0</v>
      </c>
      <c r="DW52" s="61">
        <f>IF(BK52="",0,IF(OR(BK52="DNF",BK52="OCS",BK52="DSQ",BK52="DNS",BK52=" DNS "),$BW$3+1,BK52))</f>
        <v>0</v>
      </c>
      <c r="DX52" s="61">
        <f>IF(BL52="",0,IF(OR(BL52="DNF",BL52="OCS",BL52="DSQ",BL52="DNS",BL52=" DNS "),$BW$3+1,BL52))</f>
        <v>0</v>
      </c>
      <c r="DY52" s="61">
        <f>IF(BM52="",0,IF(OR(BM52="DNF",BM52="OCS",BM52="DSQ",BM52="DNS",BM52=" DNS "),$BW$3+1,BM52))</f>
        <v>0</v>
      </c>
      <c r="DZ52" s="61">
        <f>IF(BN52="",0,IF(OR(BN52="DNF",BN52="OCS",BN52="DSQ",BN52="DNS",BN52=" DNS "),$BW$3+1,BN52))</f>
        <v>0</v>
      </c>
      <c r="EA52" s="61">
        <f>IF(BO52="",0,IF(OR(BO52="DNF",BO52="OCS",BO52="DSQ",BO52="DNS",BO52=" DNS "),$BW$3+1,BO52))</f>
        <v>0</v>
      </c>
      <c r="EB52" s="61">
        <f>IF(BP52="",0,IF(OR(BP52="DNF",BP52="OCS",BP52="DSQ",BP52="DNS",BP52=" DNS "),$BW$3+1,BP52))</f>
        <v>0</v>
      </c>
      <c r="EC52" s="61">
        <f>IF(BQ52="",0,IF(OR(BQ52="DNF",BQ52="OCS",BQ52="DSQ",BQ52="DNS",BQ52=" DNS "),$BW$3+1,BQ52))</f>
        <v>0</v>
      </c>
      <c r="EE52" s="61">
        <f xml:space="preserve">
IF(OR(Deltagarlista!$K$3=3,Deltagarlista!$K$3=4),
IF(Arrangörslista!$U$5&lt;8,0,
IF(Arrangörslista!$U$5&lt;16,SUM(LARGE(BV52:CJ52,1)),
IF(Arrangörslista!$U$5&lt;24,SUM(LARGE(BV52:CR52,{1;2})),
IF(Arrangörslista!$U$5&lt;32,SUM(LARGE(BV52:CZ52,{1;2;3})),
IF(Arrangörslista!$U$5&lt;40,SUM(LARGE(BV52:DH52,{1;2;3;4})),
IF(Arrangörslista!$U$5&lt;48,SUM(LARGE(BV52:DP52,{1;2;3;4;5})),
IF(Arrangörslista!$U$5&lt;56,SUM(LARGE(BV52:DX52,{1;2;3;4;5;6})),
IF(Arrangörslista!$U$5&lt;64,SUM(LARGE(BV52:EC52,{1;2;3;4;5;6;7})),0)))))))),
IF(Deltagarlista!$K$3=2,
IF(Arrangörslista!$U$5&lt;4,LARGE(BV52:BX52,1),
IF(Arrangörslista!$U$5&lt;7,SUM(LARGE(BV52:CA52,{1;2;3})),
IF(Arrangörslista!$U$5&lt;10,SUM(LARGE(BV52:CD52,{1;2;3;4})),
IF(Arrangörslista!$U$5&lt;13,SUM(LARGE(BV52:CG52,{1;2;3;4;5;6})),
IF(Arrangörslista!$U$5&lt;16,SUM(LARGE(BV52:CJ52,{1;2;3;4;5;6;7})),
IF(Arrangörslista!$U$5&lt;19,SUM(LARGE(BV52:CM52,{1;2;3;4;5;6;7;8;9})),
IF(Arrangörslista!$U$5&lt;22,SUM(LARGE(BV52:CP52,{1;2;3;4;5;6;7;8;9;10})),
IF(Arrangörslista!$U$5&lt;25,SUM(LARGE(BV52:CS52,{1;2;3;4;5;6;7;8;9;10;11;12})),
IF(Arrangörslista!$U$5&lt;28,SUM(LARGE(BV52:CV52,{1;2;3;4;5;6;7;8;9;10;11;12;13})),
IF(Arrangörslista!$U$5&lt;31,SUM(LARGE(BV52:CY52,{1;2;3;4;5;6;7;8;9;10;11;12;13;14;15})),
IF(Arrangörslista!$U$5&lt;34,SUM(LARGE(BV52:DB52,{1;2;3;4;5;6;7;8;9;10;11;12;13;14;15;16})),
IF(Arrangörslista!$U$5&lt;37,SUM(LARGE(BV52:DE52,{1;2;3;4;5;6;7;8;9;10;11;12;13;14;15;16;17;18})),
IF(Arrangörslista!$U$5&lt;40,SUM(LARGE(BV52:DH52,{1;2;3;4;5;6;7;8;9;10;11;12;13;14;15;16;17;18;19})),
IF(Arrangörslista!$U$5&lt;43,SUM(LARGE(BV52:DK52,{1;2;3;4;5;6;7;8;9;10;11;12;13;14;15;16;17;18;19;20;21})),
IF(Arrangörslista!$U$5&lt;46,SUM(LARGE(BV52:DN52,{1;2;3;4;5;6;7;8;9;10;11;12;13;14;15;16;17;18;19;20;21;22})),
IF(Arrangörslista!$U$5&lt;49,SUM(LARGE(BV52:DQ52,{1;2;3;4;5;6;7;8;9;10;11;12;13;14;15;16;17;18;19;20;21;22;23;24})),
IF(Arrangörslista!$U$5&lt;52,SUM(LARGE(BV52:DT52,{1;2;3;4;5;6;7;8;9;10;11;12;13;14;15;16;17;18;19;20;21;22;23;24;25})),
IF(Arrangörslista!$U$5&lt;55,SUM(LARGE(BV52:DW52,{1;2;3;4;5;6;7;8;9;10;11;12;13;14;15;16;17;18;19;20;21;22;23;24;25;26;27})),
IF(Arrangörslista!$U$5&lt;58,SUM(LARGE(BV52:DZ52,{1;2;3;4;5;6;7;8;9;10;11;12;13;14;15;16;17;18;19;20;21;22;23;24;25;26;27;28})),
IF(Arrangörslista!$U$5&lt;61,SUM(LARGE(BV52:EC52,{1;2;3;4;5;6;7;8;9;10;11;12;13;14;15;16;17;18;19;20;21;22;23;24;25;26;27;28;29;30})),0)))))))))))))))))))),
IF(Arrangörslista!$U$5&lt;4,0,
IF(Arrangörslista!$U$5&lt;8,SUM(LARGE(BV52:CB52,1)),
IF(Arrangörslista!$U$5&lt;12,SUM(LARGE(BV52:CF52,{1;2})),
IF(Arrangörslista!$U$5&lt;16,SUM(LARGE(BV52:CJ52,{1;2;3})),
IF(Arrangörslista!$U$5&lt;20,SUM(LARGE(BV52:CN52,{1;2;3;4})),
IF(Arrangörslista!$U$5&lt;24,SUM(LARGE(BV52:CR52,{1;2;3;4;5})),
IF(Arrangörslista!$U$5&lt;28,SUM(LARGE(BV52:CV52,{1;2;3;4;5;6})),
IF(Arrangörslista!$U$5&lt;32,SUM(LARGE(BV52:CZ52,{1;2;3;4;5;6;7})),
IF(Arrangörslista!$U$5&lt;36,SUM(LARGE(BV52:DD52,{1;2;3;4;5;6;7;8})),
IF(Arrangörslista!$U$5&lt;40,SUM(LARGE(BV52:DH52,{1;2;3;4;5;6;7;8;9})),
IF(Arrangörslista!$U$5&lt;44,SUM(LARGE(BV52:DL52,{1;2;3;4;5;6;7;8;9;10})),
IF(Arrangörslista!$U$5&lt;48,SUM(LARGE(BV52:DP52,{1;2;3;4;5;6;7;8;9;10;11})),
IF(Arrangörslista!$U$5&lt;52,SUM(LARGE(BV52:DT52,{1;2;3;4;5;6;7;8;9;10;11;12})),
IF(Arrangörslista!$U$5&lt;56,SUM(LARGE(BV52:DX52,{1;2;3;4;5;6;7;8;9;10;11;12;13})),
IF(Arrangörslista!$U$5&lt;60,SUM(LARGE(BV52:EB52,{1;2;3;4;5;6;7;8;9;10;11;12;13;14})),
IF(Arrangörslista!$U$5=60,SUM(LARGE(BV52:EC52,{1;2;3;4;5;6;7;8;9;10;11;12;13;14;15})),0))))))))))))))))))</f>
        <v>0</v>
      </c>
      <c r="EG52" s="67">
        <f>IF(F52="",,1)</f>
        <v>0</v>
      </c>
      <c r="EH52" s="61"/>
      <c r="EI52" s="61"/>
      <c r="EK52" s="62">
        <f>SMALL($J115:$BQ115,1)</f>
        <v>61</v>
      </c>
      <c r="EL52" s="62">
        <f>SMALL($J115:$BQ115,2)</f>
        <v>61</v>
      </c>
      <c r="EM52" s="62">
        <f>SMALL($J115:$BQ115,3)</f>
        <v>61</v>
      </c>
      <c r="EN52" s="62">
        <f>SMALL($J115:$BQ115,4)</f>
        <v>61</v>
      </c>
      <c r="EO52" s="62">
        <f>SMALL($J115:$BQ115,5)</f>
        <v>61</v>
      </c>
      <c r="EP52" s="62">
        <f>SMALL($J115:$BQ115,6)</f>
        <v>61</v>
      </c>
      <c r="EQ52" s="62">
        <f>SMALL($J115:$BQ115,7)</f>
        <v>61</v>
      </c>
      <c r="ER52" s="62">
        <f>SMALL($J115:$BQ115,8)</f>
        <v>61</v>
      </c>
      <c r="ES52" s="62">
        <f>SMALL($J115:$BQ115,9)</f>
        <v>61</v>
      </c>
      <c r="ET52" s="62">
        <f>SMALL($J115:$BQ115,10)</f>
        <v>61</v>
      </c>
      <c r="EU52" s="62">
        <f>SMALL($J115:$BQ115,11)</f>
        <v>61</v>
      </c>
      <c r="EV52" s="62">
        <f>SMALL($J115:$BQ115,12)</f>
        <v>61</v>
      </c>
      <c r="EW52" s="62">
        <f>SMALL($J115:$BQ115,13)</f>
        <v>61</v>
      </c>
      <c r="EX52" s="62">
        <f>SMALL($J115:$BQ115,14)</f>
        <v>61</v>
      </c>
      <c r="EY52" s="62">
        <f>SMALL($J115:$BQ115,15)</f>
        <v>61</v>
      </c>
      <c r="EZ52" s="62">
        <f>SMALL($J115:$BQ115,16)</f>
        <v>61</v>
      </c>
      <c r="FA52" s="62">
        <f>SMALL($J115:$BQ115,17)</f>
        <v>61</v>
      </c>
      <c r="FB52" s="62">
        <f>SMALL($J115:$BQ115,18)</f>
        <v>61</v>
      </c>
      <c r="FC52" s="62">
        <f>SMALL($J115:$BQ115,19)</f>
        <v>61</v>
      </c>
      <c r="FD52" s="62">
        <f>SMALL($J115:$BQ115,20)</f>
        <v>61</v>
      </c>
      <c r="FE52" s="62">
        <f>SMALL($J115:$BQ115,21)</f>
        <v>61</v>
      </c>
      <c r="FF52" s="62">
        <f>SMALL($J115:$BQ115,22)</f>
        <v>61</v>
      </c>
      <c r="FG52" s="62">
        <f>SMALL($J115:$BQ115,23)</f>
        <v>61</v>
      </c>
      <c r="FH52" s="62">
        <f>SMALL($J115:$BQ115,24)</f>
        <v>61</v>
      </c>
      <c r="FI52" s="62">
        <f>SMALL($J115:$BQ115,25)</f>
        <v>61</v>
      </c>
      <c r="FJ52" s="62">
        <f>SMALL($J115:$BQ115,26)</f>
        <v>61</v>
      </c>
      <c r="FK52" s="62">
        <f>SMALL($J115:$BQ115,27)</f>
        <v>61</v>
      </c>
      <c r="FL52" s="62">
        <f>SMALL($J115:$BQ115,28)</f>
        <v>61</v>
      </c>
      <c r="FM52" s="62">
        <f>SMALL($J115:$BQ115,29)</f>
        <v>61</v>
      </c>
      <c r="FN52" s="62">
        <f>SMALL($J115:$BQ115,30)</f>
        <v>61</v>
      </c>
      <c r="FO52" s="62">
        <f>SMALL($J115:$BQ115,31)</f>
        <v>61</v>
      </c>
      <c r="FP52" s="62">
        <f>SMALL($J115:$BQ115,32)</f>
        <v>61</v>
      </c>
      <c r="FQ52" s="62">
        <f>SMALL($J115:$BQ115,33)</f>
        <v>61</v>
      </c>
      <c r="FR52" s="62">
        <f>SMALL($J115:$BQ115,34)</f>
        <v>61</v>
      </c>
      <c r="FS52" s="62">
        <f>SMALL($J115:$BQ115,35)</f>
        <v>61</v>
      </c>
      <c r="FT52" s="62">
        <f>SMALL($J115:$BQ115,36)</f>
        <v>61</v>
      </c>
      <c r="FU52" s="62">
        <f>SMALL($J115:$BQ115,37)</f>
        <v>61</v>
      </c>
      <c r="FV52" s="62">
        <f>SMALL($J115:$BQ115,38)</f>
        <v>61</v>
      </c>
      <c r="FW52" s="62">
        <f>SMALL($J115:$BQ115,39)</f>
        <v>61</v>
      </c>
      <c r="FX52" s="62">
        <f>SMALL($J115:$BQ115,40)</f>
        <v>61</v>
      </c>
      <c r="FY52" s="62">
        <f>SMALL($J115:$BQ115,41)</f>
        <v>61</v>
      </c>
      <c r="FZ52" s="62">
        <f>SMALL($J115:$BQ115,42)</f>
        <v>61</v>
      </c>
      <c r="GA52" s="62">
        <f>SMALL($J115:$BQ115,43)</f>
        <v>61</v>
      </c>
      <c r="GB52" s="62">
        <f>SMALL($J115:$BQ115,44)</f>
        <v>61</v>
      </c>
      <c r="GC52" s="62">
        <f>SMALL($J115:$BQ115,45)</f>
        <v>61</v>
      </c>
      <c r="GD52" s="62">
        <f>SMALL($J115:$BQ115,46)</f>
        <v>61</v>
      </c>
      <c r="GE52" s="62">
        <f>SMALL($J115:$BQ115,47)</f>
        <v>61</v>
      </c>
      <c r="GF52" s="62">
        <f>SMALL($J115:$BQ115,48)</f>
        <v>61</v>
      </c>
      <c r="GG52" s="62">
        <f>SMALL($J115:$BQ115,49)</f>
        <v>61</v>
      </c>
      <c r="GH52" s="62">
        <f>SMALL($J115:$BQ115,50)</f>
        <v>61</v>
      </c>
      <c r="GI52" s="62">
        <f>SMALL($J115:$BQ115,51)</f>
        <v>61</v>
      </c>
      <c r="GJ52" s="62">
        <f>SMALL($J115:$BQ115,52)</f>
        <v>61</v>
      </c>
      <c r="GK52" s="62">
        <f>SMALL($J115:$BQ115,53)</f>
        <v>61</v>
      </c>
      <c r="GL52" s="62">
        <f>SMALL($J115:$BQ115,54)</f>
        <v>61</v>
      </c>
      <c r="GM52" s="62">
        <f>SMALL($J115:$BQ115,55)</f>
        <v>61</v>
      </c>
      <c r="GN52" s="62">
        <f>SMALL($J115:$BQ115,56)</f>
        <v>61</v>
      </c>
      <c r="GO52" s="62">
        <f>SMALL($J115:$BQ115,57)</f>
        <v>61</v>
      </c>
      <c r="GP52" s="62">
        <f>SMALL($J115:$BQ115,58)</f>
        <v>61</v>
      </c>
      <c r="GQ52" s="62">
        <f>SMALL($J115:$BQ115,59)</f>
        <v>61</v>
      </c>
      <c r="GR52" s="62">
        <f>SMALL($J115:$BQ115,60)</f>
        <v>61</v>
      </c>
      <c r="GT52" s="62">
        <f>IF(Deltagarlista!$K$3=2,
IF(GW52="1",
      IF(Arrangörslista!$U$5=1,J115,
IF(Arrangörslista!$U$5=2,K115,
IF(Arrangörslista!$U$5=3,L115,
IF(Arrangörslista!$U$5=4,M115,
IF(Arrangörslista!$U$5=5,N115,
IF(Arrangörslista!$U$5=6,O115,
IF(Arrangörslista!$U$5=7,P115,
IF(Arrangörslista!$U$5=8,Q115,
IF(Arrangörslista!$U$5=9,R115,
IF(Arrangörslista!$U$5=10,S115,
IF(Arrangörslista!$U$5=11,T115,
IF(Arrangörslista!$U$5=12,U115,
IF(Arrangörslista!$U$5=13,V115,
IF(Arrangörslista!$U$5=14,W115,
IF(Arrangörslista!$U$5=15,X115,
IF(Arrangörslista!$U$5=16,Y115,IF(Arrangörslista!$U$5=17,Z115,IF(Arrangörslista!$U$5=18,AA115,IF(Arrangörslista!$U$5=19,AB115,IF(Arrangörslista!$U$5=20,AC115,IF(Arrangörslista!$U$5=21,AD115,IF(Arrangörslista!$U$5=22,AE115,IF(Arrangörslista!$U$5=23,AF115, IF(Arrangörslista!$U$5=24,AG115, IF(Arrangörslista!$U$5=25,AH115, IF(Arrangörslista!$U$5=26,AI115, IF(Arrangörslista!$U$5=27,AJ115, IF(Arrangörslista!$U$5=28,AK115, IF(Arrangörslista!$U$5=29,AL115, IF(Arrangörslista!$U$5=30,AM115, IF(Arrangörslista!$U$5=31,AN115, IF(Arrangörslista!$U$5=32,AO115, IF(Arrangörslista!$U$5=33,AP115, IF(Arrangörslista!$U$5=34,AQ115, IF(Arrangörslista!$U$5=35,AR115, IF(Arrangörslista!$U$5=36,AS115, IF(Arrangörslista!$U$5=37,AT115, IF(Arrangörslista!$U$5=38,AU115, IF(Arrangörslista!$U$5=39,AV115, IF(Arrangörslista!$U$5=40,AW115, IF(Arrangörslista!$U$5=41,AX115, IF(Arrangörslista!$U$5=42,AY115, IF(Arrangörslista!$U$5=43,AZ115, IF(Arrangörslista!$U$5=44,BA115, IF(Arrangörslista!$U$5=45,BB115, IF(Arrangörslista!$U$5=46,BC115, IF(Arrangörslista!$U$5=47,BD115, IF(Arrangörslista!$U$5=48,BE115, IF(Arrangörslista!$U$5=49,BF115, IF(Arrangörslista!$U$5=50,BG115, IF(Arrangörslista!$U$5=51,BH115, IF(Arrangörslista!$U$5=52,BI115, IF(Arrangörslista!$U$5=53,BJ115, IF(Arrangörslista!$U$5=54,BK115, IF(Arrangörslista!$U$5=55,BL115, IF(Arrangörslista!$U$5=56,BM115, IF(Arrangörslista!$U$5=57,BN115, IF(Arrangörslista!$U$5=58,BO115, IF(Arrangörslista!$U$5=59,BP115, IF(Arrangörslista!$U$5=60,BQ115,0))))))))))))))))))))))))))))))))))))))))))))))))))))))))))))),IF(Deltagarlista!$K$3=4, IF(Arrangörslista!$U$5=1,J115,
IF(Arrangörslista!$U$5=2,J115,
IF(Arrangörslista!$U$5=3,K115,
IF(Arrangörslista!$U$5=4,K115,
IF(Arrangörslista!$U$5=5,L115,
IF(Arrangörslista!$U$5=6,L115,
IF(Arrangörslista!$U$5=7,M115,
IF(Arrangörslista!$U$5=8,M115,
IF(Arrangörslista!$U$5=9,N115,
IF(Arrangörslista!$U$5=10,N115,
IF(Arrangörslista!$U$5=11,O115,
IF(Arrangörslista!$U$5=12,O115,
IF(Arrangörslista!$U$5=13,P115,
IF(Arrangörslista!$U$5=14,P115,
IF(Arrangörslista!$U$5=15,Q115,
IF(Arrangörslista!$U$5=16,Q115,
IF(Arrangörslista!$U$5=17,R115,
IF(Arrangörslista!$U$5=18,R115,
IF(Arrangörslista!$U$5=19,S115,
IF(Arrangörslista!$U$5=20,S115,
IF(Arrangörslista!$U$5=21,T115,
IF(Arrangörslista!$U$5=22,T115,IF(Arrangörslista!$U$5=23,U115, IF(Arrangörslista!$U$5=24,U115, IF(Arrangörslista!$U$5=25,V115, IF(Arrangörslista!$U$5=26,V115, IF(Arrangörslista!$U$5=27,W115, IF(Arrangörslista!$U$5=28,W115, IF(Arrangörslista!$U$5=29,X115, IF(Arrangörslista!$U$5=30,X115, IF(Arrangörslista!$U$5=31,X115, IF(Arrangörslista!$U$5=32,Y115, IF(Arrangörslista!$U$5=33,AO115, IF(Arrangörslista!$U$5=34,Y115, IF(Arrangörslista!$U$5=35,Z115, IF(Arrangörslista!$U$5=36,AR115, IF(Arrangörslista!$U$5=37,Z115, IF(Arrangörslista!$U$5=38,AA115, IF(Arrangörslista!$U$5=39,AU115, IF(Arrangörslista!$U$5=40,AA115, IF(Arrangörslista!$U$5=41,AB115, IF(Arrangörslista!$U$5=42,AX115, IF(Arrangörslista!$U$5=43,AB115, IF(Arrangörslista!$U$5=44,AC115, IF(Arrangörslista!$U$5=45,BA115, IF(Arrangörslista!$U$5=46,AC115, IF(Arrangörslista!$U$5=47,AD115, IF(Arrangörslista!$U$5=48,BD115, IF(Arrangörslista!$U$5=49,AD115, IF(Arrangörslista!$U$5=50,AE115, IF(Arrangörslista!$U$5=51,BG115, IF(Arrangörslista!$U$5=52,AE115, IF(Arrangörslista!$U$5=53,AF115, IF(Arrangörslista!$U$5=54,BJ115, IF(Arrangörslista!$U$5=55,AF115, IF(Arrangörslista!$U$5=56,AG115, IF(Arrangörslista!$U$5=57,BM115, IF(Arrangörslista!$U$5=58,AG115, IF(Arrangörslista!$U$5=59,AH115, IF(Arrangörslista!$U$5=60,AH115,0)))))))))))))))))))))))))))))))))))))))))))))))))))))))))))),IF(Arrangörslista!$U$5=1,J115,
IF(Arrangörslista!$U$5=2,K115,
IF(Arrangörslista!$U$5=3,L115,
IF(Arrangörslista!$U$5=4,M115,
IF(Arrangörslista!$U$5=5,N115,
IF(Arrangörslista!$U$5=6,O115,
IF(Arrangörslista!$U$5=7,P115,
IF(Arrangörslista!$U$5=8,Q115,
IF(Arrangörslista!$U$5=9,R115,
IF(Arrangörslista!$U$5=10,S115,
IF(Arrangörslista!$U$5=11,T115,
IF(Arrangörslista!$U$5=12,U115,
IF(Arrangörslista!$U$5=13,V115,
IF(Arrangörslista!$U$5=14,W115,
IF(Arrangörslista!$U$5=15,X115,
IF(Arrangörslista!$U$5=16,Y115,IF(Arrangörslista!$U$5=17,Z115,IF(Arrangörslista!$U$5=18,AA115,IF(Arrangörslista!$U$5=19,AB115,IF(Arrangörslista!$U$5=20,AC115,IF(Arrangörslista!$U$5=21,AD115,IF(Arrangörslista!$U$5=22,AE115,IF(Arrangörslista!$U$5=23,AF115, IF(Arrangörslista!$U$5=24,AG115, IF(Arrangörslista!$U$5=25,AH115, IF(Arrangörslista!$U$5=26,AI115, IF(Arrangörslista!$U$5=27,AJ115, IF(Arrangörslista!$U$5=28,AK115, IF(Arrangörslista!$U$5=29,AL115, IF(Arrangörslista!$U$5=30,AM115, IF(Arrangörslista!$U$5=31,AN115, IF(Arrangörslista!$U$5=32,AO115, IF(Arrangörslista!$U$5=33,AP115, IF(Arrangörslista!$U$5=34,AQ115, IF(Arrangörslista!$U$5=35,AR115, IF(Arrangörslista!$U$5=36,AS115, IF(Arrangörslista!$U$5=37,AT115, IF(Arrangörslista!$U$5=38,AU115, IF(Arrangörslista!$U$5=39,AV115, IF(Arrangörslista!$U$5=40,AW115, IF(Arrangörslista!$U$5=41,AX115, IF(Arrangörslista!$U$5=42,AY115, IF(Arrangörslista!$U$5=43,AZ115, IF(Arrangörslista!$U$5=44,BA115, IF(Arrangörslista!$U$5=45,BB115, IF(Arrangörslista!$U$5=46,BC115, IF(Arrangörslista!$U$5=47,BD115, IF(Arrangörslista!$U$5=48,BE115, IF(Arrangörslista!$U$5=49,BF115, IF(Arrangörslista!$U$5=50,BG115, IF(Arrangörslista!$U$5=51,BH115, IF(Arrangörslista!$U$5=52,BI115, IF(Arrangörslista!$U$5=53,BJ115, IF(Arrangörslista!$U$5=54,BK115, IF(Arrangörslista!$U$5=55,BL115, IF(Arrangörslista!$U$5=56,BM115, IF(Arrangörslista!$U$5=57,BN115, IF(Arrangörslista!$U$5=58,BO115, IF(Arrangörslista!$U$5=59,BP115, IF(Arrangörslista!$U$5=60,BQ115,0))))))))))))))))))))))))))))))))))))))))))))))))))))))))))))
))</f>
        <v>0</v>
      </c>
      <c r="GV52" s="65" t="str">
        <f>IFERROR(IF(VLOOKUP(F52,Deltagarlista!$E$5:$I$64,5,FALSE)="Grön","Gr",IF(VLOOKUP(F52,Deltagarlista!$E$5:$I$64,5,FALSE)="Röd","R",IF(VLOOKUP(F52,Deltagarlista!$E$5:$I$64,5,FALSE)="Blå","B","Gu"))),"")</f>
        <v/>
      </c>
      <c r="GW52" s="62" t="str">
        <f t="shared" si="1"/>
        <v/>
      </c>
    </row>
    <row r="53" spans="1:205" ht="15.75" customHeight="1" x14ac:dyDescent="0.3">
      <c r="A53" s="23"/>
      <c r="B53" s="23" t="str">
        <f>IF($BW$3&gt;49,50,"")</f>
        <v/>
      </c>
      <c r="C53" s="92" t="str">
        <f>IF(ISBLANK(Deltagarlista!C45),"",Deltagarlista!C45)</f>
        <v/>
      </c>
      <c r="D53" s="109" t="str">
        <f>CONCATENATE(IF(AND(Deltagarlista!H45="GM",Deltagarlista!$S$14=TRUE),"GM   ",""),  IF(OR(Deltagarlista!$K$3=4,Deltagarlista!$K$3=2),Deltagarlista!I45,""))</f>
        <v/>
      </c>
      <c r="E53" s="8" t="str">
        <f>IF(ISBLANK(Deltagarlista!D45),"",Deltagarlista!D45)</f>
        <v/>
      </c>
      <c r="F53" s="8" t="str">
        <f>IF(ISBLANK(Deltagarlista!E45),"",Deltagarlista!E45)</f>
        <v/>
      </c>
      <c r="G53" s="95" t="str">
        <f>IF(ISBLANK(Deltagarlista!F45),"",Deltagarlista!F45)</f>
        <v/>
      </c>
      <c r="H53" s="72" t="str">
        <f>IF(ISBLANK(Deltagarlista!C45),"",BU53-EE53)</f>
        <v/>
      </c>
      <c r="I53" s="13" t="str">
        <f>IF(ISBLANK(Deltagarlista!C45),"",IF(AND(Deltagarlista!$K$3=2,Deltagarlista!$L$3&lt;37),SUM(SUM(BV53:EC53)-(ROUNDDOWN(Arrangörslista!$U$5/3,1))*($BW$3+1)),SUM(BV53:EC53)))</f>
        <v/>
      </c>
      <c r="J53" s="79" t="str">
        <f>IF(Deltagarlista!$K$3=4,IF(ISBLANK(Deltagarlista!$C45),"",IF(ISBLANK(Arrangörslista!C$8),"",IFERROR(VLOOKUP($F53,Arrangörslista!C$8:$AG$45,16,FALSE),IF(ISBLANK(Deltagarlista!$C45),"",IF(ISBLANK(Arrangörslista!C$8),"",IFERROR(VLOOKUP($F53,Arrangörslista!D$8:$AG$45,16,FALSE),"DNS")))))),IF(Deltagarlista!$K$3=2,
IF(ISBLANK(Deltagarlista!$C45),"",IF(ISBLANK(Arrangörslista!C$8),"",IF($GV53=J$64," DNS ",IFERROR(VLOOKUP($F53,Arrangörslista!C$8:$AG$45,16,FALSE),"DNS")))),IF(ISBLANK(Deltagarlista!$C45),"",IF(ISBLANK(Arrangörslista!C$8),"",IFERROR(VLOOKUP($F53,Arrangörslista!C$8:$AG$45,16,FALSE),"DNS")))))</f>
        <v/>
      </c>
      <c r="K53" s="5" t="str">
        <f>IF(Deltagarlista!$K$3=4,IF(ISBLANK(Deltagarlista!$C45),"",IF(ISBLANK(Arrangörslista!E$8),"",IFERROR(VLOOKUP($F53,Arrangörslista!E$8:$AG$45,16,FALSE),IF(ISBLANK(Deltagarlista!$C45),"",IF(ISBLANK(Arrangörslista!E$8),"",IFERROR(VLOOKUP($F53,Arrangörslista!F$8:$AG$45,16,FALSE),"DNS")))))),IF(Deltagarlista!$K$3=2,
IF(ISBLANK(Deltagarlista!$C45),"",IF(ISBLANK(Arrangörslista!D$8),"",IF($GV53=K$64," DNS ",IFERROR(VLOOKUP($F53,Arrangörslista!D$8:$AG$45,16,FALSE),"DNS")))),IF(ISBLANK(Deltagarlista!$C45),"",IF(ISBLANK(Arrangörslista!D$8),"",IFERROR(VLOOKUP($F53,Arrangörslista!D$8:$AG$45,16,FALSE),"DNS")))))</f>
        <v/>
      </c>
      <c r="L53" s="5" t="str">
        <f>IF(Deltagarlista!$K$3=4,IF(ISBLANK(Deltagarlista!$C45),"",IF(ISBLANK(Arrangörslista!G$8),"",IFERROR(VLOOKUP($F53,Arrangörslista!G$8:$AG$45,16,FALSE),IF(ISBLANK(Deltagarlista!$C45),"",IF(ISBLANK(Arrangörslista!G$8),"",IFERROR(VLOOKUP($F53,Arrangörslista!H$8:$AG$45,16,FALSE),"DNS")))))),IF(Deltagarlista!$K$3=2,
IF(ISBLANK(Deltagarlista!$C45),"",IF(ISBLANK(Arrangörslista!E$8),"",IF($GV53=L$64," DNS ",IFERROR(VLOOKUP($F53,Arrangörslista!E$8:$AG$45,16,FALSE),"DNS")))),IF(ISBLANK(Deltagarlista!$C45),"",IF(ISBLANK(Arrangörslista!E$8),"",IFERROR(VLOOKUP($F53,Arrangörslista!E$8:$AG$45,16,FALSE),"DNS")))))</f>
        <v/>
      </c>
      <c r="M53" s="5" t="str">
        <f>IF(Deltagarlista!$K$3=4,IF(ISBLANK(Deltagarlista!$C45),"",IF(ISBLANK(Arrangörslista!I$8),"",IFERROR(VLOOKUP($F53,Arrangörslista!I$8:$AG$45,16,FALSE),IF(ISBLANK(Deltagarlista!$C45),"",IF(ISBLANK(Arrangörslista!I$8),"",IFERROR(VLOOKUP($F53,Arrangörslista!J$8:$AG$45,16,FALSE),"DNS")))))),IF(Deltagarlista!$K$3=2,
IF(ISBLANK(Deltagarlista!$C45),"",IF(ISBLANK(Arrangörslista!F$8),"",IF($GV53=M$64," DNS ",IFERROR(VLOOKUP($F53,Arrangörslista!F$8:$AG$45,16,FALSE),"DNS")))),IF(ISBLANK(Deltagarlista!$C45),"",IF(ISBLANK(Arrangörslista!F$8),"",IFERROR(VLOOKUP($F53,Arrangörslista!F$8:$AG$45,16,FALSE),"DNS")))))</f>
        <v/>
      </c>
      <c r="N53" s="5" t="str">
        <f>IF(Deltagarlista!$K$3=4,IF(ISBLANK(Deltagarlista!$C45),"",IF(ISBLANK(Arrangörslista!K$8),"",IFERROR(VLOOKUP($F53,Arrangörslista!K$8:$AG$45,16,FALSE),IF(ISBLANK(Deltagarlista!$C45),"",IF(ISBLANK(Arrangörslista!K$8),"",IFERROR(VLOOKUP($F53,Arrangörslista!L$8:$AG$45,16,FALSE),"DNS")))))),IF(Deltagarlista!$K$3=2,
IF(ISBLANK(Deltagarlista!$C45),"",IF(ISBLANK(Arrangörslista!G$8),"",IF($GV53=N$64," DNS ",IFERROR(VLOOKUP($F53,Arrangörslista!G$8:$AG$45,16,FALSE),"DNS")))),IF(ISBLANK(Deltagarlista!$C45),"",IF(ISBLANK(Arrangörslista!G$8),"",IFERROR(VLOOKUP($F53,Arrangörslista!G$8:$AG$45,16,FALSE),"DNS")))))</f>
        <v/>
      </c>
      <c r="O53" s="5" t="str">
        <f>IF(Deltagarlista!$K$3=4,IF(ISBLANK(Deltagarlista!$C45),"",IF(ISBLANK(Arrangörslista!M$8),"",IFERROR(VLOOKUP($F53,Arrangörslista!M$8:$AG$45,16,FALSE),IF(ISBLANK(Deltagarlista!$C45),"",IF(ISBLANK(Arrangörslista!M$8),"",IFERROR(VLOOKUP($F53,Arrangörslista!N$8:$AG$45,16,FALSE),"DNS")))))),IF(Deltagarlista!$K$3=2,
IF(ISBLANK(Deltagarlista!$C45),"",IF(ISBLANK(Arrangörslista!H$8),"",IF($GV53=O$64," DNS ",IFERROR(VLOOKUP($F53,Arrangörslista!H$8:$AG$45,16,FALSE),"DNS")))),IF(ISBLANK(Deltagarlista!$C45),"",IF(ISBLANK(Arrangörslista!H$8),"",IFERROR(VLOOKUP($F53,Arrangörslista!H$8:$AG$45,16,FALSE),"DNS")))))</f>
        <v/>
      </c>
      <c r="P53" s="5" t="str">
        <f>IF(Deltagarlista!$K$3=4,IF(ISBLANK(Deltagarlista!$C45),"",IF(ISBLANK(Arrangörslista!O$8),"",IFERROR(VLOOKUP($F53,Arrangörslista!O$8:$AG$45,16,FALSE),IF(ISBLANK(Deltagarlista!$C45),"",IF(ISBLANK(Arrangörslista!O$8),"",IFERROR(VLOOKUP($F53,Arrangörslista!P$8:$AG$45,16,FALSE),"DNS")))))),IF(Deltagarlista!$K$3=2,
IF(ISBLANK(Deltagarlista!$C45),"",IF(ISBLANK(Arrangörslista!I$8),"",IF($GV53=P$64," DNS ",IFERROR(VLOOKUP($F53,Arrangörslista!I$8:$AG$45,16,FALSE),"DNS")))),IF(ISBLANK(Deltagarlista!$C45),"",IF(ISBLANK(Arrangörslista!I$8),"",IFERROR(VLOOKUP($F53,Arrangörslista!I$8:$AG$45,16,FALSE),"DNS")))))</f>
        <v/>
      </c>
      <c r="Q53" s="5" t="str">
        <f>IF(Deltagarlista!$K$3=4,IF(ISBLANK(Deltagarlista!$C45),"",IF(ISBLANK(Arrangörslista!Q$8),"",IFERROR(VLOOKUP($F53,Arrangörslista!Q$8:$AG$45,16,FALSE),IF(ISBLANK(Deltagarlista!$C45),"",IF(ISBLANK(Arrangörslista!Q$8),"",IFERROR(VLOOKUP($F53,Arrangörslista!C$53:$AG$90,16,FALSE),"DNS")))))),IF(Deltagarlista!$K$3=2,
IF(ISBLANK(Deltagarlista!$C45),"",IF(ISBLANK(Arrangörslista!J$8),"",IF($GV53=Q$64," DNS ",IFERROR(VLOOKUP($F53,Arrangörslista!J$8:$AG$45,16,FALSE),"DNS")))),IF(ISBLANK(Deltagarlista!$C45),"",IF(ISBLANK(Arrangörslista!J$8),"",IFERROR(VLOOKUP($F53,Arrangörslista!J$8:$AG$45,16,FALSE),"DNS")))))</f>
        <v/>
      </c>
      <c r="R53" s="5" t="str">
        <f>IF(Deltagarlista!$K$3=4,IF(ISBLANK(Deltagarlista!$C45),"",IF(ISBLANK(Arrangörslista!D$53),"",IFERROR(VLOOKUP($F53,Arrangörslista!D$53:$AG$90,16,FALSE),IF(ISBLANK(Deltagarlista!$C45),"",IF(ISBLANK(Arrangörslista!D$53),"",IFERROR(VLOOKUP($F53,Arrangörslista!E$53:$AG$90,16,FALSE),"DNS")))))),IF(Deltagarlista!$K$3=2,
IF(ISBLANK(Deltagarlista!$C45),"",IF(ISBLANK(Arrangörslista!K$8),"",IF($GV53=R$64," DNS ",IFERROR(VLOOKUP($F53,Arrangörslista!K$8:$AG$45,16,FALSE),"DNS")))),IF(ISBLANK(Deltagarlista!$C45),"",IF(ISBLANK(Arrangörslista!K$8),"",IFERROR(VLOOKUP($F53,Arrangörslista!K$8:$AG$45,16,FALSE),"DNS")))))</f>
        <v/>
      </c>
      <c r="S53" s="5" t="str">
        <f>IF(Deltagarlista!$K$3=4,IF(ISBLANK(Deltagarlista!$C45),"",IF(ISBLANK(Arrangörslista!F$53),"",IFERROR(VLOOKUP($F53,Arrangörslista!F$53:$AG$90,16,FALSE),IF(ISBLANK(Deltagarlista!$C45),"",IF(ISBLANK(Arrangörslista!F$53),"",IFERROR(VLOOKUP($F53,Arrangörslista!G$53:$AG$90,16,FALSE),"DNS")))))),IF(Deltagarlista!$K$3=2,
IF(ISBLANK(Deltagarlista!$C45),"",IF(ISBLANK(Arrangörslista!L$8),"",IF($GV53=S$64," DNS ",IFERROR(VLOOKUP($F53,Arrangörslista!L$8:$AG$45,16,FALSE),"DNS")))),IF(ISBLANK(Deltagarlista!$C45),"",IF(ISBLANK(Arrangörslista!L$8),"",IFERROR(VLOOKUP($F53,Arrangörslista!L$8:$AG$45,16,FALSE),"DNS")))))</f>
        <v/>
      </c>
      <c r="T53" s="5" t="str">
        <f>IF(Deltagarlista!$K$3=4,IF(ISBLANK(Deltagarlista!$C45),"",IF(ISBLANK(Arrangörslista!H$53),"",IFERROR(VLOOKUP($F53,Arrangörslista!H$53:$AG$90,16,FALSE),IF(ISBLANK(Deltagarlista!$C45),"",IF(ISBLANK(Arrangörslista!H$53),"",IFERROR(VLOOKUP($F53,Arrangörslista!I$53:$AG$90,16,FALSE),"DNS")))))),IF(Deltagarlista!$K$3=2,
IF(ISBLANK(Deltagarlista!$C45),"",IF(ISBLANK(Arrangörslista!M$8),"",IF($GV53=T$64," DNS ",IFERROR(VLOOKUP($F53,Arrangörslista!M$8:$AG$45,16,FALSE),"DNS")))),IF(ISBLANK(Deltagarlista!$C45),"",IF(ISBLANK(Arrangörslista!M$8),"",IFERROR(VLOOKUP($F53,Arrangörslista!M$8:$AG$45,16,FALSE),"DNS")))))</f>
        <v/>
      </c>
      <c r="U53" s="5" t="str">
        <f>IF(Deltagarlista!$K$3=4,IF(ISBLANK(Deltagarlista!$C45),"",IF(ISBLANK(Arrangörslista!J$53),"",IFERROR(VLOOKUP($F53,Arrangörslista!J$53:$AG$90,16,FALSE),IF(ISBLANK(Deltagarlista!$C45),"",IF(ISBLANK(Arrangörslista!J$53),"",IFERROR(VLOOKUP($F53,Arrangörslista!K$53:$AG$90,16,FALSE),"DNS")))))),IF(Deltagarlista!$K$3=2,
IF(ISBLANK(Deltagarlista!$C45),"",IF(ISBLANK(Arrangörslista!N$8),"",IF($GV53=U$64," DNS ",IFERROR(VLOOKUP($F53,Arrangörslista!N$8:$AG$45,16,FALSE),"DNS")))),IF(ISBLANK(Deltagarlista!$C45),"",IF(ISBLANK(Arrangörslista!N$8),"",IFERROR(VLOOKUP($F53,Arrangörslista!N$8:$AG$45,16,FALSE),"DNS")))))</f>
        <v/>
      </c>
      <c r="V53" s="5" t="str">
        <f>IF(Deltagarlista!$K$3=4,IF(ISBLANK(Deltagarlista!$C45),"",IF(ISBLANK(Arrangörslista!L$53),"",IFERROR(VLOOKUP($F53,Arrangörslista!L$53:$AG$90,16,FALSE),IF(ISBLANK(Deltagarlista!$C45),"",IF(ISBLANK(Arrangörslista!L$53),"",IFERROR(VLOOKUP($F53,Arrangörslista!M$53:$AG$90,16,FALSE),"DNS")))))),IF(Deltagarlista!$K$3=2,
IF(ISBLANK(Deltagarlista!$C45),"",IF(ISBLANK(Arrangörslista!O$8),"",IF($GV53=V$64," DNS ",IFERROR(VLOOKUP($F53,Arrangörslista!O$8:$AG$45,16,FALSE),"DNS")))),IF(ISBLANK(Deltagarlista!$C45),"",IF(ISBLANK(Arrangörslista!O$8),"",IFERROR(VLOOKUP($F53,Arrangörslista!O$8:$AG$45,16,FALSE),"DNS")))))</f>
        <v/>
      </c>
      <c r="W53" s="5" t="str">
        <f>IF(Deltagarlista!$K$3=4,IF(ISBLANK(Deltagarlista!$C45),"",IF(ISBLANK(Arrangörslista!N$53),"",IFERROR(VLOOKUP($F53,Arrangörslista!N$53:$AG$90,16,FALSE),IF(ISBLANK(Deltagarlista!$C45),"",IF(ISBLANK(Arrangörslista!N$53),"",IFERROR(VLOOKUP($F53,Arrangörslista!O$53:$AG$90,16,FALSE),"DNS")))))),IF(Deltagarlista!$K$3=2,
IF(ISBLANK(Deltagarlista!$C45),"",IF(ISBLANK(Arrangörslista!P$8),"",IF($GV53=W$64," DNS ",IFERROR(VLOOKUP($F53,Arrangörslista!P$8:$AG$45,16,FALSE),"DNS")))),IF(ISBLANK(Deltagarlista!$C45),"",IF(ISBLANK(Arrangörslista!P$8),"",IFERROR(VLOOKUP($F53,Arrangörslista!P$8:$AG$45,16,FALSE),"DNS")))))</f>
        <v/>
      </c>
      <c r="X53" s="5" t="str">
        <f>IF(Deltagarlista!$K$3=4,IF(ISBLANK(Deltagarlista!$C45),"",IF(ISBLANK(Arrangörslista!P$53),"",IFERROR(VLOOKUP($F53,Arrangörslista!P$53:$AG$90,16,FALSE),IF(ISBLANK(Deltagarlista!$C45),"",IF(ISBLANK(Arrangörslista!P$53),"",IFERROR(VLOOKUP($F53,Arrangörslista!Q$53:$AG$90,16,FALSE),"DNS")))))),IF(Deltagarlista!$K$3=2,
IF(ISBLANK(Deltagarlista!$C45),"",IF(ISBLANK(Arrangörslista!Q$8),"",IF($GV53=X$64," DNS ",IFERROR(VLOOKUP($F53,Arrangörslista!Q$8:$AG$45,16,FALSE),"DNS")))),IF(ISBLANK(Deltagarlista!$C45),"",IF(ISBLANK(Arrangörslista!Q$8),"",IFERROR(VLOOKUP($F53,Arrangörslista!Q$8:$AG$45,16,FALSE),"DNS")))))</f>
        <v/>
      </c>
      <c r="Y53" s="5" t="str">
        <f>IF(Deltagarlista!$K$3=4,IF(ISBLANK(Deltagarlista!$C45),"",IF(ISBLANK(Arrangörslista!C$98),"",IFERROR(VLOOKUP($F53,Arrangörslista!C$98:$AG$135,16,FALSE),IF(ISBLANK(Deltagarlista!$C45),"",IF(ISBLANK(Arrangörslista!C$98),"",IFERROR(VLOOKUP($F53,Arrangörslista!D$98:$AG$135,16,FALSE),"DNS")))))),IF(Deltagarlista!$K$3=2,
IF(ISBLANK(Deltagarlista!$C45),"",IF(ISBLANK(Arrangörslista!C$53),"",IF($GV53=Y$64," DNS ",IFERROR(VLOOKUP($F53,Arrangörslista!C$53:$AG$90,16,FALSE),"DNS")))),IF(ISBLANK(Deltagarlista!$C45),"",IF(ISBLANK(Arrangörslista!C$53),"",IFERROR(VLOOKUP($F53,Arrangörslista!C$53:$AG$90,16,FALSE),"DNS")))))</f>
        <v/>
      </c>
      <c r="Z53" s="5" t="str">
        <f>IF(Deltagarlista!$K$3=4,IF(ISBLANK(Deltagarlista!$C45),"",IF(ISBLANK(Arrangörslista!E$98),"",IFERROR(VLOOKUP($F53,Arrangörslista!E$98:$AG$135,16,FALSE),IF(ISBLANK(Deltagarlista!$C45),"",IF(ISBLANK(Arrangörslista!E$98),"",IFERROR(VLOOKUP($F53,Arrangörslista!F$98:$AG$135,16,FALSE),"DNS")))))),IF(Deltagarlista!$K$3=2,
IF(ISBLANK(Deltagarlista!$C45),"",IF(ISBLANK(Arrangörslista!D$53),"",IF($GV53=Z$64," DNS ",IFERROR(VLOOKUP($F53,Arrangörslista!D$53:$AG$90,16,FALSE),"DNS")))),IF(ISBLANK(Deltagarlista!$C45),"",IF(ISBLANK(Arrangörslista!D$53),"",IFERROR(VLOOKUP($F53,Arrangörslista!D$53:$AG$90,16,FALSE),"DNS")))))</f>
        <v/>
      </c>
      <c r="AA53" s="5" t="str">
        <f>IF(Deltagarlista!$K$3=4,IF(ISBLANK(Deltagarlista!$C45),"",IF(ISBLANK(Arrangörslista!G$98),"",IFERROR(VLOOKUP($F53,Arrangörslista!G$98:$AG$135,16,FALSE),IF(ISBLANK(Deltagarlista!$C45),"",IF(ISBLANK(Arrangörslista!G$98),"",IFERROR(VLOOKUP($F53,Arrangörslista!H$98:$AG$135,16,FALSE),"DNS")))))),IF(Deltagarlista!$K$3=2,
IF(ISBLANK(Deltagarlista!$C45),"",IF(ISBLANK(Arrangörslista!E$53),"",IF($GV53=AA$64," DNS ",IFERROR(VLOOKUP($F53,Arrangörslista!E$53:$AG$90,16,FALSE),"DNS")))),IF(ISBLANK(Deltagarlista!$C45),"",IF(ISBLANK(Arrangörslista!E$53),"",IFERROR(VLOOKUP($F53,Arrangörslista!E$53:$AG$90,16,FALSE),"DNS")))))</f>
        <v/>
      </c>
      <c r="AB53" s="5" t="str">
        <f>IF(Deltagarlista!$K$3=4,IF(ISBLANK(Deltagarlista!$C45),"",IF(ISBLANK(Arrangörslista!I$98),"",IFERROR(VLOOKUP($F53,Arrangörslista!I$98:$AG$135,16,FALSE),IF(ISBLANK(Deltagarlista!$C45),"",IF(ISBLANK(Arrangörslista!I$98),"",IFERROR(VLOOKUP($F53,Arrangörslista!J$98:$AG$135,16,FALSE),"DNS")))))),IF(Deltagarlista!$K$3=2,
IF(ISBLANK(Deltagarlista!$C45),"",IF(ISBLANK(Arrangörslista!F$53),"",IF($GV53=AB$64," DNS ",IFERROR(VLOOKUP($F53,Arrangörslista!F$53:$AG$90,16,FALSE),"DNS")))),IF(ISBLANK(Deltagarlista!$C45),"",IF(ISBLANK(Arrangörslista!F$53),"",IFERROR(VLOOKUP($F53,Arrangörslista!F$53:$AG$90,16,FALSE),"DNS")))))</f>
        <v/>
      </c>
      <c r="AC53" s="5" t="str">
        <f>IF(Deltagarlista!$K$3=4,IF(ISBLANK(Deltagarlista!$C45),"",IF(ISBLANK(Arrangörslista!K$98),"",IFERROR(VLOOKUP($F53,Arrangörslista!K$98:$AG$135,16,FALSE),IF(ISBLANK(Deltagarlista!$C45),"",IF(ISBLANK(Arrangörslista!K$98),"",IFERROR(VLOOKUP($F53,Arrangörslista!L$98:$AG$135,16,FALSE),"DNS")))))),IF(Deltagarlista!$K$3=2,
IF(ISBLANK(Deltagarlista!$C45),"",IF(ISBLANK(Arrangörslista!G$53),"",IF($GV53=AC$64," DNS ",IFERROR(VLOOKUP($F53,Arrangörslista!G$53:$AG$90,16,FALSE),"DNS")))),IF(ISBLANK(Deltagarlista!$C45),"",IF(ISBLANK(Arrangörslista!G$53),"",IFERROR(VLOOKUP($F53,Arrangörslista!G$53:$AG$90,16,FALSE),"DNS")))))</f>
        <v/>
      </c>
      <c r="AD53" s="5" t="str">
        <f>IF(Deltagarlista!$K$3=4,IF(ISBLANK(Deltagarlista!$C45),"",IF(ISBLANK(Arrangörslista!M$98),"",IFERROR(VLOOKUP($F53,Arrangörslista!M$98:$AG$135,16,FALSE),IF(ISBLANK(Deltagarlista!$C45),"",IF(ISBLANK(Arrangörslista!M$98),"",IFERROR(VLOOKUP($F53,Arrangörslista!N$98:$AG$135,16,FALSE),"DNS")))))),IF(Deltagarlista!$K$3=2,
IF(ISBLANK(Deltagarlista!$C45),"",IF(ISBLANK(Arrangörslista!H$53),"",IF($GV53=AD$64," DNS ",IFERROR(VLOOKUP($F53,Arrangörslista!H$53:$AG$90,16,FALSE),"DNS")))),IF(ISBLANK(Deltagarlista!$C45),"",IF(ISBLANK(Arrangörslista!H$53),"",IFERROR(VLOOKUP($F53,Arrangörslista!H$53:$AG$90,16,FALSE),"DNS")))))</f>
        <v/>
      </c>
      <c r="AE53" s="5" t="str">
        <f>IF(Deltagarlista!$K$3=4,IF(ISBLANK(Deltagarlista!$C45),"",IF(ISBLANK(Arrangörslista!O$98),"",IFERROR(VLOOKUP($F53,Arrangörslista!O$98:$AG$135,16,FALSE),IF(ISBLANK(Deltagarlista!$C45),"",IF(ISBLANK(Arrangörslista!O$98),"",IFERROR(VLOOKUP($F53,Arrangörslista!P$98:$AG$135,16,FALSE),"DNS")))))),IF(Deltagarlista!$K$3=2,
IF(ISBLANK(Deltagarlista!$C45),"",IF(ISBLANK(Arrangörslista!I$53),"",IF($GV53=AE$64," DNS ",IFERROR(VLOOKUP($F53,Arrangörslista!I$53:$AG$90,16,FALSE),"DNS")))),IF(ISBLANK(Deltagarlista!$C45),"",IF(ISBLANK(Arrangörslista!I$53),"",IFERROR(VLOOKUP($F53,Arrangörslista!I$53:$AG$90,16,FALSE),"DNS")))))</f>
        <v/>
      </c>
      <c r="AF53" s="5" t="str">
        <f>IF(Deltagarlista!$K$3=4,IF(ISBLANK(Deltagarlista!$C45),"",IF(ISBLANK(Arrangörslista!Q$98),"",IFERROR(VLOOKUP($F53,Arrangörslista!Q$98:$AG$135,16,FALSE),IF(ISBLANK(Deltagarlista!$C45),"",IF(ISBLANK(Arrangörslista!Q$98),"",IFERROR(VLOOKUP($F53,Arrangörslista!C$143:$AG$180,16,FALSE),"DNS")))))),IF(Deltagarlista!$K$3=2,
IF(ISBLANK(Deltagarlista!$C45),"",IF(ISBLANK(Arrangörslista!J$53),"",IF($GV53=AF$64," DNS ",IFERROR(VLOOKUP($F53,Arrangörslista!J$53:$AG$90,16,FALSE),"DNS")))),IF(ISBLANK(Deltagarlista!$C45),"",IF(ISBLANK(Arrangörslista!J$53),"",IFERROR(VLOOKUP($F53,Arrangörslista!J$53:$AG$90,16,FALSE),"DNS")))))</f>
        <v/>
      </c>
      <c r="AG53" s="5" t="str">
        <f>IF(Deltagarlista!$K$3=4,IF(ISBLANK(Deltagarlista!$C45),"",IF(ISBLANK(Arrangörslista!D$143),"",IFERROR(VLOOKUP($F53,Arrangörslista!D$143:$AG$180,16,FALSE),IF(ISBLANK(Deltagarlista!$C45),"",IF(ISBLANK(Arrangörslista!D$143),"",IFERROR(VLOOKUP($F53,Arrangörslista!E$143:$AG$180,16,FALSE),"DNS")))))),IF(Deltagarlista!$K$3=2,
IF(ISBLANK(Deltagarlista!$C45),"",IF(ISBLANK(Arrangörslista!K$53),"",IF($GV53=AG$64," DNS ",IFERROR(VLOOKUP($F53,Arrangörslista!K$53:$AG$90,16,FALSE),"DNS")))),IF(ISBLANK(Deltagarlista!$C45),"",IF(ISBLANK(Arrangörslista!K$53),"",IFERROR(VLOOKUP($F53,Arrangörslista!K$53:$AG$90,16,FALSE),"DNS")))))</f>
        <v/>
      </c>
      <c r="AH53" s="5" t="str">
        <f>IF(Deltagarlista!$K$3=4,IF(ISBLANK(Deltagarlista!$C45),"",IF(ISBLANK(Arrangörslista!F$143),"",IFERROR(VLOOKUP($F53,Arrangörslista!F$143:$AG$180,16,FALSE),IF(ISBLANK(Deltagarlista!$C45),"",IF(ISBLANK(Arrangörslista!F$143),"",IFERROR(VLOOKUP($F53,Arrangörslista!G$143:$AG$180,16,FALSE),"DNS")))))),IF(Deltagarlista!$K$3=2,
IF(ISBLANK(Deltagarlista!$C45),"",IF(ISBLANK(Arrangörslista!L$53),"",IF($GV53=AH$64," DNS ",IFERROR(VLOOKUP($F53,Arrangörslista!L$53:$AG$90,16,FALSE),"DNS")))),IF(ISBLANK(Deltagarlista!$C45),"",IF(ISBLANK(Arrangörslista!L$53),"",IFERROR(VLOOKUP($F53,Arrangörslista!L$53:$AG$90,16,FALSE),"DNS")))))</f>
        <v/>
      </c>
      <c r="AI53" s="5" t="str">
        <f>IF(Deltagarlista!$K$3=4,IF(ISBLANK(Deltagarlista!$C45),"",IF(ISBLANK(Arrangörslista!H$143),"",IFERROR(VLOOKUP($F53,Arrangörslista!H$143:$AG$180,16,FALSE),IF(ISBLANK(Deltagarlista!$C45),"",IF(ISBLANK(Arrangörslista!H$143),"",IFERROR(VLOOKUP($F53,Arrangörslista!I$143:$AG$180,16,FALSE),"DNS")))))),IF(Deltagarlista!$K$3=2,
IF(ISBLANK(Deltagarlista!$C45),"",IF(ISBLANK(Arrangörslista!M$53),"",IF($GV53=AI$64," DNS ",IFERROR(VLOOKUP($F53,Arrangörslista!M$53:$AG$90,16,FALSE),"DNS")))),IF(ISBLANK(Deltagarlista!$C45),"",IF(ISBLANK(Arrangörslista!M$53),"",IFERROR(VLOOKUP($F53,Arrangörslista!M$53:$AG$90,16,FALSE),"DNS")))))</f>
        <v/>
      </c>
      <c r="AJ53" s="5" t="str">
        <f>IF(Deltagarlista!$K$3=4,IF(ISBLANK(Deltagarlista!$C45),"",IF(ISBLANK(Arrangörslista!J$143),"",IFERROR(VLOOKUP($F53,Arrangörslista!J$143:$AG$180,16,FALSE),IF(ISBLANK(Deltagarlista!$C45),"",IF(ISBLANK(Arrangörslista!J$143),"",IFERROR(VLOOKUP($F53,Arrangörslista!K$143:$AG$180,16,FALSE),"DNS")))))),IF(Deltagarlista!$K$3=2,
IF(ISBLANK(Deltagarlista!$C45),"",IF(ISBLANK(Arrangörslista!N$53),"",IF($GV53=AJ$64," DNS ",IFERROR(VLOOKUP($F53,Arrangörslista!N$53:$AG$90,16,FALSE),"DNS")))),IF(ISBLANK(Deltagarlista!$C45),"",IF(ISBLANK(Arrangörslista!N$53),"",IFERROR(VLOOKUP($F53,Arrangörslista!N$53:$AG$90,16,FALSE),"DNS")))))</f>
        <v/>
      </c>
      <c r="AK53" s="5" t="str">
        <f>IF(Deltagarlista!$K$3=4,IF(ISBLANK(Deltagarlista!$C45),"",IF(ISBLANK(Arrangörslista!L$143),"",IFERROR(VLOOKUP($F53,Arrangörslista!L$143:$AG$180,16,FALSE),IF(ISBLANK(Deltagarlista!$C45),"",IF(ISBLANK(Arrangörslista!L$143),"",IFERROR(VLOOKUP($F53,Arrangörslista!M$143:$AG$180,16,FALSE),"DNS")))))),IF(Deltagarlista!$K$3=2,
IF(ISBLANK(Deltagarlista!$C45),"",IF(ISBLANK(Arrangörslista!O$53),"",IF($GV53=AK$64," DNS ",IFERROR(VLOOKUP($F53,Arrangörslista!O$53:$AG$90,16,FALSE),"DNS")))),IF(ISBLANK(Deltagarlista!$C45),"",IF(ISBLANK(Arrangörslista!O$53),"",IFERROR(VLOOKUP($F53,Arrangörslista!O$53:$AG$90,16,FALSE),"DNS")))))</f>
        <v/>
      </c>
      <c r="AL53" s="5" t="str">
        <f>IF(Deltagarlista!$K$3=4,IF(ISBLANK(Deltagarlista!$C45),"",IF(ISBLANK(Arrangörslista!N$143),"",IFERROR(VLOOKUP($F53,Arrangörslista!N$143:$AG$180,16,FALSE),IF(ISBLANK(Deltagarlista!$C45),"",IF(ISBLANK(Arrangörslista!N$143),"",IFERROR(VLOOKUP($F53,Arrangörslista!O$143:$AG$180,16,FALSE),"DNS")))))),IF(Deltagarlista!$K$3=2,
IF(ISBLANK(Deltagarlista!$C45),"",IF(ISBLANK(Arrangörslista!P$53),"",IF($GV53=AL$64," DNS ",IFERROR(VLOOKUP($F53,Arrangörslista!P$53:$AG$90,16,FALSE),"DNS")))),IF(ISBLANK(Deltagarlista!$C45),"",IF(ISBLANK(Arrangörslista!P$53),"",IFERROR(VLOOKUP($F53,Arrangörslista!P$53:$AG$90,16,FALSE),"DNS")))))</f>
        <v/>
      </c>
      <c r="AM53" s="5" t="str">
        <f>IF(Deltagarlista!$K$3=4,IF(ISBLANK(Deltagarlista!$C45),"",IF(ISBLANK(Arrangörslista!P$143),"",IFERROR(VLOOKUP($F53,Arrangörslista!P$143:$AG$180,16,FALSE),IF(ISBLANK(Deltagarlista!$C45),"",IF(ISBLANK(Arrangörslista!P$143),"",IFERROR(VLOOKUP($F53,Arrangörslista!Q$143:$AG$180,16,FALSE),"DNS")))))),IF(Deltagarlista!$K$3=2,
IF(ISBLANK(Deltagarlista!$C45),"",IF(ISBLANK(Arrangörslista!Q$53),"",IF($GV53=AM$64," DNS ",IFERROR(VLOOKUP($F53,Arrangörslista!Q$53:$AG$90,16,FALSE),"DNS")))),IF(ISBLANK(Deltagarlista!$C45),"",IF(ISBLANK(Arrangörslista!Q$53),"",IFERROR(VLOOKUP($F53,Arrangörslista!Q$53:$AG$90,16,FALSE),"DNS")))))</f>
        <v/>
      </c>
      <c r="AN53" s="5" t="str">
        <f>IF(Deltagarlista!$K$3=2,
IF(ISBLANK(Deltagarlista!$C45),"",IF(ISBLANK(Arrangörslista!C$98),"",IF($GV53=AN$64," DNS ",IFERROR(VLOOKUP($F53,Arrangörslista!C$98:$AG$135,16,FALSE), "DNS")))), IF(Deltagarlista!$K$3=1,IF(ISBLANK(Deltagarlista!$C45),"",IF(ISBLANK(Arrangörslista!C$98),"",IFERROR(VLOOKUP($F53,Arrangörslista!C$98:$AG$135,16,FALSE), "DNS"))),""))</f>
        <v/>
      </c>
      <c r="AO53" s="5" t="str">
        <f>IF(Deltagarlista!$K$3=2,
IF(ISBLANK(Deltagarlista!$C45),"",IF(ISBLANK(Arrangörslista!D$98),"",IF($GV53=AO$64," DNS ",IFERROR(VLOOKUP($F53,Arrangörslista!D$98:$AG$135,16,FALSE), "DNS")))), IF(Deltagarlista!$K$3=1,IF(ISBLANK(Deltagarlista!$C45),"",IF(ISBLANK(Arrangörslista!D$98),"",IFERROR(VLOOKUP($F53,Arrangörslista!D$98:$AG$135,16,FALSE), "DNS"))),""))</f>
        <v/>
      </c>
      <c r="AP53" s="5" t="str">
        <f>IF(Deltagarlista!$K$3=2,
IF(ISBLANK(Deltagarlista!$C45),"",IF(ISBLANK(Arrangörslista!E$98),"",IF($GV53=AP$64," DNS ",IFERROR(VLOOKUP($F53,Arrangörslista!E$98:$AG$135,16,FALSE), "DNS")))), IF(Deltagarlista!$K$3=1,IF(ISBLANK(Deltagarlista!$C45),"",IF(ISBLANK(Arrangörslista!E$98),"",IFERROR(VLOOKUP($F53,Arrangörslista!E$98:$AG$135,16,FALSE), "DNS"))),""))</f>
        <v/>
      </c>
      <c r="AQ53" s="5" t="str">
        <f>IF(Deltagarlista!$K$3=2,
IF(ISBLANK(Deltagarlista!$C45),"",IF(ISBLANK(Arrangörslista!F$98),"",IF($GV53=AQ$64," DNS ",IFERROR(VLOOKUP($F53,Arrangörslista!F$98:$AG$135,16,FALSE), "DNS")))), IF(Deltagarlista!$K$3=1,IF(ISBLANK(Deltagarlista!$C45),"",IF(ISBLANK(Arrangörslista!F$98),"",IFERROR(VLOOKUP($F53,Arrangörslista!F$98:$AG$135,16,FALSE), "DNS"))),""))</f>
        <v/>
      </c>
      <c r="AR53" s="5" t="str">
        <f>IF(Deltagarlista!$K$3=2,
IF(ISBLANK(Deltagarlista!$C45),"",IF(ISBLANK(Arrangörslista!G$98),"",IF($GV53=AR$64," DNS ",IFERROR(VLOOKUP($F53,Arrangörslista!G$98:$AG$135,16,FALSE), "DNS")))), IF(Deltagarlista!$K$3=1,IF(ISBLANK(Deltagarlista!$C45),"",IF(ISBLANK(Arrangörslista!G$98),"",IFERROR(VLOOKUP($F53,Arrangörslista!G$98:$AG$135,16,FALSE), "DNS"))),""))</f>
        <v/>
      </c>
      <c r="AS53" s="5" t="str">
        <f>IF(Deltagarlista!$K$3=2,
IF(ISBLANK(Deltagarlista!$C45),"",IF(ISBLANK(Arrangörslista!H$98),"",IF($GV53=AS$64," DNS ",IFERROR(VLOOKUP($F53,Arrangörslista!H$98:$AG$135,16,FALSE), "DNS")))), IF(Deltagarlista!$K$3=1,IF(ISBLANK(Deltagarlista!$C45),"",IF(ISBLANK(Arrangörslista!H$98),"",IFERROR(VLOOKUP($F53,Arrangörslista!H$98:$AG$135,16,FALSE), "DNS"))),""))</f>
        <v/>
      </c>
      <c r="AT53" s="5" t="str">
        <f>IF(Deltagarlista!$K$3=2,
IF(ISBLANK(Deltagarlista!$C45),"",IF(ISBLANK(Arrangörslista!I$98),"",IF($GV53=AT$64," DNS ",IFERROR(VLOOKUP($F53,Arrangörslista!I$98:$AG$135,16,FALSE), "DNS")))), IF(Deltagarlista!$K$3=1,IF(ISBLANK(Deltagarlista!$C45),"",IF(ISBLANK(Arrangörslista!I$98),"",IFERROR(VLOOKUP($F53,Arrangörslista!I$98:$AG$135,16,FALSE), "DNS"))),""))</f>
        <v/>
      </c>
      <c r="AU53" s="5" t="str">
        <f>IF(Deltagarlista!$K$3=2,
IF(ISBLANK(Deltagarlista!$C45),"",IF(ISBLANK(Arrangörslista!J$98),"",IF($GV53=AU$64," DNS ",IFERROR(VLOOKUP($F53,Arrangörslista!J$98:$AG$135,16,FALSE), "DNS")))), IF(Deltagarlista!$K$3=1,IF(ISBLANK(Deltagarlista!$C45),"",IF(ISBLANK(Arrangörslista!J$98),"",IFERROR(VLOOKUP($F53,Arrangörslista!J$98:$AG$135,16,FALSE), "DNS"))),""))</f>
        <v/>
      </c>
      <c r="AV53" s="5" t="str">
        <f>IF(Deltagarlista!$K$3=2,
IF(ISBLANK(Deltagarlista!$C45),"",IF(ISBLANK(Arrangörslista!K$98),"",IF($GV53=AV$64," DNS ",IFERROR(VLOOKUP($F53,Arrangörslista!K$98:$AG$135,16,FALSE), "DNS")))), IF(Deltagarlista!$K$3=1,IF(ISBLANK(Deltagarlista!$C45),"",IF(ISBLANK(Arrangörslista!K$98),"",IFERROR(VLOOKUP($F53,Arrangörslista!K$98:$AG$135,16,FALSE), "DNS"))),""))</f>
        <v/>
      </c>
      <c r="AW53" s="5" t="str">
        <f>IF(Deltagarlista!$K$3=2,
IF(ISBLANK(Deltagarlista!$C45),"",IF(ISBLANK(Arrangörslista!L$98),"",IF($GV53=AW$64," DNS ",IFERROR(VLOOKUP($F53,Arrangörslista!L$98:$AG$135,16,FALSE), "DNS")))), IF(Deltagarlista!$K$3=1,IF(ISBLANK(Deltagarlista!$C45),"",IF(ISBLANK(Arrangörslista!L$98),"",IFERROR(VLOOKUP($F53,Arrangörslista!L$98:$AG$135,16,FALSE), "DNS"))),""))</f>
        <v/>
      </c>
      <c r="AX53" s="5" t="str">
        <f>IF(Deltagarlista!$K$3=2,
IF(ISBLANK(Deltagarlista!$C45),"",IF(ISBLANK(Arrangörslista!M$98),"",IF($GV53=AX$64," DNS ",IFERROR(VLOOKUP($F53,Arrangörslista!M$98:$AG$135,16,FALSE), "DNS")))), IF(Deltagarlista!$K$3=1,IF(ISBLANK(Deltagarlista!$C45),"",IF(ISBLANK(Arrangörslista!M$98),"",IFERROR(VLOOKUP($F53,Arrangörslista!M$98:$AG$135,16,FALSE), "DNS"))),""))</f>
        <v/>
      </c>
      <c r="AY53" s="5" t="str">
        <f>IF(Deltagarlista!$K$3=2,
IF(ISBLANK(Deltagarlista!$C45),"",IF(ISBLANK(Arrangörslista!N$98),"",IF($GV53=AY$64," DNS ",IFERROR(VLOOKUP($F53,Arrangörslista!N$98:$AG$135,16,FALSE), "DNS")))), IF(Deltagarlista!$K$3=1,IF(ISBLANK(Deltagarlista!$C45),"",IF(ISBLANK(Arrangörslista!N$98),"",IFERROR(VLOOKUP($F53,Arrangörslista!N$98:$AG$135,16,FALSE), "DNS"))),""))</f>
        <v/>
      </c>
      <c r="AZ53" s="5" t="str">
        <f>IF(Deltagarlista!$K$3=2,
IF(ISBLANK(Deltagarlista!$C45),"",IF(ISBLANK(Arrangörslista!O$98),"",IF($GV53=AZ$64," DNS ",IFERROR(VLOOKUP($F53,Arrangörslista!O$98:$AG$135,16,FALSE), "DNS")))), IF(Deltagarlista!$K$3=1,IF(ISBLANK(Deltagarlista!$C45),"",IF(ISBLANK(Arrangörslista!O$98),"",IFERROR(VLOOKUP($F53,Arrangörslista!O$98:$AG$135,16,FALSE), "DNS"))),""))</f>
        <v/>
      </c>
      <c r="BA53" s="5" t="str">
        <f>IF(Deltagarlista!$K$3=2,
IF(ISBLANK(Deltagarlista!$C45),"",IF(ISBLANK(Arrangörslista!P$98),"",IF($GV53=BA$64," DNS ",IFERROR(VLOOKUP($F53,Arrangörslista!P$98:$AG$135,16,FALSE), "DNS")))), IF(Deltagarlista!$K$3=1,IF(ISBLANK(Deltagarlista!$C45),"",IF(ISBLANK(Arrangörslista!P$98),"",IFERROR(VLOOKUP($F53,Arrangörslista!P$98:$AG$135,16,FALSE), "DNS"))),""))</f>
        <v/>
      </c>
      <c r="BB53" s="5" t="str">
        <f>IF(Deltagarlista!$K$3=2,
IF(ISBLANK(Deltagarlista!$C45),"",IF(ISBLANK(Arrangörslista!Q$98),"",IF($GV53=BB$64," DNS ",IFERROR(VLOOKUP($F53,Arrangörslista!Q$98:$AG$135,16,FALSE), "DNS")))), IF(Deltagarlista!$K$3=1,IF(ISBLANK(Deltagarlista!$C45),"",IF(ISBLANK(Arrangörslista!Q$98),"",IFERROR(VLOOKUP($F53,Arrangörslista!Q$98:$AG$135,16,FALSE), "DNS"))),""))</f>
        <v/>
      </c>
      <c r="BC53" s="5" t="str">
        <f>IF(Deltagarlista!$K$3=2,
IF(ISBLANK(Deltagarlista!$C45),"",IF(ISBLANK(Arrangörslista!C$143),"",IF($GV53=BC$64," DNS ",IFERROR(VLOOKUP($F53,Arrangörslista!C$143:$AG$180,16,FALSE), "DNS")))), IF(Deltagarlista!$K$3=1,IF(ISBLANK(Deltagarlista!$C45),"",IF(ISBLANK(Arrangörslista!C$143),"",IFERROR(VLOOKUP($F53,Arrangörslista!C$143:$AG$180,16,FALSE), "DNS"))),""))</f>
        <v/>
      </c>
      <c r="BD53" s="5" t="str">
        <f>IF(Deltagarlista!$K$3=2,
IF(ISBLANK(Deltagarlista!$C45),"",IF(ISBLANK(Arrangörslista!D$143),"",IF($GV53=BD$64," DNS ",IFERROR(VLOOKUP($F53,Arrangörslista!D$143:$AG$180,16,FALSE), "DNS")))), IF(Deltagarlista!$K$3=1,IF(ISBLANK(Deltagarlista!$C45),"",IF(ISBLANK(Arrangörslista!D$143),"",IFERROR(VLOOKUP($F53,Arrangörslista!D$143:$AG$180,16,FALSE), "DNS"))),""))</f>
        <v/>
      </c>
      <c r="BE53" s="5" t="str">
        <f>IF(Deltagarlista!$K$3=2,
IF(ISBLANK(Deltagarlista!$C45),"",IF(ISBLANK(Arrangörslista!E$143),"",IF($GV53=BE$64," DNS ",IFERROR(VLOOKUP($F53,Arrangörslista!E$143:$AG$180,16,FALSE), "DNS")))), IF(Deltagarlista!$K$3=1,IF(ISBLANK(Deltagarlista!$C45),"",IF(ISBLANK(Arrangörslista!E$143),"",IFERROR(VLOOKUP($F53,Arrangörslista!E$143:$AG$180,16,FALSE), "DNS"))),""))</f>
        <v/>
      </c>
      <c r="BF53" s="5" t="str">
        <f>IF(Deltagarlista!$K$3=2,
IF(ISBLANK(Deltagarlista!$C45),"",IF(ISBLANK(Arrangörslista!F$143),"",IF($GV53=BF$64," DNS ",IFERROR(VLOOKUP($F53,Arrangörslista!F$143:$AG$180,16,FALSE), "DNS")))), IF(Deltagarlista!$K$3=1,IF(ISBLANK(Deltagarlista!$C45),"",IF(ISBLANK(Arrangörslista!F$143),"",IFERROR(VLOOKUP($F53,Arrangörslista!F$143:$AG$180,16,FALSE), "DNS"))),""))</f>
        <v/>
      </c>
      <c r="BG53" s="5" t="str">
        <f>IF(Deltagarlista!$K$3=2,
IF(ISBLANK(Deltagarlista!$C45),"",IF(ISBLANK(Arrangörslista!G$143),"",IF($GV53=BG$64," DNS ",IFERROR(VLOOKUP($F53,Arrangörslista!G$143:$AG$180,16,FALSE), "DNS")))), IF(Deltagarlista!$K$3=1,IF(ISBLANK(Deltagarlista!$C45),"",IF(ISBLANK(Arrangörslista!G$143),"",IFERROR(VLOOKUP($F53,Arrangörslista!G$143:$AG$180,16,FALSE), "DNS"))),""))</f>
        <v/>
      </c>
      <c r="BH53" s="5" t="str">
        <f>IF(Deltagarlista!$K$3=2,
IF(ISBLANK(Deltagarlista!$C45),"",IF(ISBLANK(Arrangörslista!H$143),"",IF($GV53=BH$64," DNS ",IFERROR(VLOOKUP($F53,Arrangörslista!H$143:$AG$180,16,FALSE), "DNS")))), IF(Deltagarlista!$K$3=1,IF(ISBLANK(Deltagarlista!$C45),"",IF(ISBLANK(Arrangörslista!H$143),"",IFERROR(VLOOKUP($F53,Arrangörslista!H$143:$AG$180,16,FALSE), "DNS"))),""))</f>
        <v/>
      </c>
      <c r="BI53" s="5" t="str">
        <f>IF(Deltagarlista!$K$3=2,
IF(ISBLANK(Deltagarlista!$C45),"",IF(ISBLANK(Arrangörslista!I$143),"",IF($GV53=BI$64," DNS ",IFERROR(VLOOKUP($F53,Arrangörslista!I$143:$AG$180,16,FALSE), "DNS")))), IF(Deltagarlista!$K$3=1,IF(ISBLANK(Deltagarlista!$C45),"",IF(ISBLANK(Arrangörslista!I$143),"",IFERROR(VLOOKUP($F53,Arrangörslista!I$143:$AG$180,16,FALSE), "DNS"))),""))</f>
        <v/>
      </c>
      <c r="BJ53" s="5" t="str">
        <f>IF(Deltagarlista!$K$3=2,
IF(ISBLANK(Deltagarlista!$C45),"",IF(ISBLANK(Arrangörslista!J$143),"",IF($GV53=BJ$64," DNS ",IFERROR(VLOOKUP($F53,Arrangörslista!J$143:$AG$180,16,FALSE), "DNS")))), IF(Deltagarlista!$K$3=1,IF(ISBLANK(Deltagarlista!$C45),"",IF(ISBLANK(Arrangörslista!J$143),"",IFERROR(VLOOKUP($F53,Arrangörslista!J$143:$AG$180,16,FALSE), "DNS"))),""))</f>
        <v/>
      </c>
      <c r="BK53" s="5" t="str">
        <f>IF(Deltagarlista!$K$3=2,
IF(ISBLANK(Deltagarlista!$C45),"",IF(ISBLANK(Arrangörslista!K$143),"",IF($GV53=BK$64," DNS ",IFERROR(VLOOKUP($F53,Arrangörslista!K$143:$AG$180,16,FALSE), "DNS")))), IF(Deltagarlista!$K$3=1,IF(ISBLANK(Deltagarlista!$C45),"",IF(ISBLANK(Arrangörslista!K$143),"",IFERROR(VLOOKUP($F53,Arrangörslista!K$143:$AG$180,16,FALSE), "DNS"))),""))</f>
        <v/>
      </c>
      <c r="BL53" s="5" t="str">
        <f>IF(Deltagarlista!$K$3=2,
IF(ISBLANK(Deltagarlista!$C45),"",IF(ISBLANK(Arrangörslista!L$143),"",IF($GV53=BL$64," DNS ",IFERROR(VLOOKUP($F53,Arrangörslista!L$143:$AG$180,16,FALSE), "DNS")))), IF(Deltagarlista!$K$3=1,IF(ISBLANK(Deltagarlista!$C45),"",IF(ISBLANK(Arrangörslista!L$143),"",IFERROR(VLOOKUP($F53,Arrangörslista!L$143:$AG$180,16,FALSE), "DNS"))),""))</f>
        <v/>
      </c>
      <c r="BM53" s="5" t="str">
        <f>IF(Deltagarlista!$K$3=2,
IF(ISBLANK(Deltagarlista!$C45),"",IF(ISBLANK(Arrangörslista!M$143),"",IF($GV53=BM$64," DNS ",IFERROR(VLOOKUP($F53,Arrangörslista!M$143:$AG$180,16,FALSE), "DNS")))), IF(Deltagarlista!$K$3=1,IF(ISBLANK(Deltagarlista!$C45),"",IF(ISBLANK(Arrangörslista!M$143),"",IFERROR(VLOOKUP($F53,Arrangörslista!M$143:$AG$180,16,FALSE), "DNS"))),""))</f>
        <v/>
      </c>
      <c r="BN53" s="5" t="str">
        <f>IF(Deltagarlista!$K$3=2,
IF(ISBLANK(Deltagarlista!$C45),"",IF(ISBLANK(Arrangörslista!N$143),"",IF($GV53=BN$64," DNS ",IFERROR(VLOOKUP($F53,Arrangörslista!N$143:$AG$180,16,FALSE), "DNS")))), IF(Deltagarlista!$K$3=1,IF(ISBLANK(Deltagarlista!$C45),"",IF(ISBLANK(Arrangörslista!N$143),"",IFERROR(VLOOKUP($F53,Arrangörslista!N$143:$AG$180,16,FALSE), "DNS"))),""))</f>
        <v/>
      </c>
      <c r="BO53" s="5" t="str">
        <f>IF(Deltagarlista!$K$3=2,
IF(ISBLANK(Deltagarlista!$C45),"",IF(ISBLANK(Arrangörslista!O$143),"",IF($GV53=BO$64," DNS ",IFERROR(VLOOKUP($F53,Arrangörslista!O$143:$AG$180,16,FALSE), "DNS")))), IF(Deltagarlista!$K$3=1,IF(ISBLANK(Deltagarlista!$C45),"",IF(ISBLANK(Arrangörslista!O$143),"",IFERROR(VLOOKUP($F53,Arrangörslista!O$143:$AG$180,16,FALSE), "DNS"))),""))</f>
        <v/>
      </c>
      <c r="BP53" s="5" t="str">
        <f>IF(Deltagarlista!$K$3=2,
IF(ISBLANK(Deltagarlista!$C45),"",IF(ISBLANK(Arrangörslista!P$143),"",IF($GV53=BP$64," DNS ",IFERROR(VLOOKUP($F53,Arrangörslista!P$143:$AG$180,16,FALSE), "DNS")))), IF(Deltagarlista!$K$3=1,IF(ISBLANK(Deltagarlista!$C45),"",IF(ISBLANK(Arrangörslista!P$143),"",IFERROR(VLOOKUP($F53,Arrangörslista!P$143:$AG$180,16,FALSE), "DNS"))),""))</f>
        <v/>
      </c>
      <c r="BQ53" s="80" t="str">
        <f>IF(Deltagarlista!$K$3=2,
IF(ISBLANK(Deltagarlista!$C45),"",IF(ISBLANK(Arrangörslista!Q$143),"",IF($GV53=BQ$64," DNS ",IFERROR(VLOOKUP($F53,Arrangörslista!Q$143:$AG$180,16,FALSE), "DNS")))), IF(Deltagarlista!$K$3=1,IF(ISBLANK(Deltagarlista!$C45),"",IF(ISBLANK(Arrangörslista!Q$143),"",IFERROR(VLOOKUP($F53,Arrangörslista!Q$143:$AG$180,16,FALSE), "DNS"))),""))</f>
        <v/>
      </c>
      <c r="BR53" s="48"/>
      <c r="BU53" s="71">
        <f>SUM(BV53:EC53)</f>
        <v>0</v>
      </c>
      <c r="BV53" s="61">
        <f>IF(J53="",0,IF(OR(J53="DNF",J53="OCS",J53="DSQ",J53="DNS",J53=" DNS "),$BW$3+1,J53))</f>
        <v>0</v>
      </c>
      <c r="BW53" s="61">
        <f>IF(K53="",0,IF(OR(K53="DNF",K53="OCS",K53="DSQ",K53="DNS",K53=" DNS "),$BW$3+1,K53))</f>
        <v>0</v>
      </c>
      <c r="BX53" s="61">
        <f>IF(L53="",0,IF(OR(L53="DNF",L53="OCS",L53="DSQ",L53="DNS",L53=" DNS "),$BW$3+1,L53))</f>
        <v>0</v>
      </c>
      <c r="BY53" s="61">
        <f>IF(M53="",0,IF(OR(M53="DNF",M53="OCS",M53="DSQ",M53="DNS",M53=" DNS "),$BW$3+1,M53))</f>
        <v>0</v>
      </c>
      <c r="BZ53" s="61">
        <f>IF(N53="",0,IF(OR(N53="DNF",N53="OCS",N53="DSQ",N53="DNS",N53=" DNS "),$BW$3+1,N53))</f>
        <v>0</v>
      </c>
      <c r="CA53" s="61">
        <f>IF(O53="",0,IF(OR(O53="DNF",O53="OCS",O53="DSQ",O53="DNS",O53=" DNS "),$BW$3+1,O53))</f>
        <v>0</v>
      </c>
      <c r="CB53" s="61">
        <f>IF(P53="",0,IF(OR(P53="DNF",P53="OCS",P53="DSQ",P53="DNS",P53=" DNS "),$BW$3+1,P53))</f>
        <v>0</v>
      </c>
      <c r="CC53" s="61">
        <f>IF(Q53="",0,IF(OR(Q53="DNF",Q53="OCS",Q53="DSQ",Q53="DNS",Q53=" DNS "),$BW$3+1,Q53))</f>
        <v>0</v>
      </c>
      <c r="CD53" s="61">
        <f>IF(R53="",0,IF(OR(R53="DNF",R53="OCS",R53="DSQ",R53="DNS",R53=" DNS "),$BW$3+1,R53))</f>
        <v>0</v>
      </c>
      <c r="CE53" s="61">
        <f>IF(S53="",0,IF(OR(S53="DNF",S53="OCS",S53="DSQ",S53="DNS",S53=" DNS "),$BW$3+1,S53))</f>
        <v>0</v>
      </c>
      <c r="CF53" s="61">
        <f>IF(T53="",0,IF(OR(T53="DNF",T53="OCS",T53="DSQ",T53="DNS",T53=" DNS "),$BW$3+1,T53))</f>
        <v>0</v>
      </c>
      <c r="CG53" s="61">
        <f>IF(U53="",0,IF(OR(U53="DNF",U53="OCS",U53="DSQ",U53="DNS",U53=" DNS "),$BW$3+1,U53))</f>
        <v>0</v>
      </c>
      <c r="CH53" s="61">
        <f>IF(V53="",0,IF(OR(V53="DNF",V53="OCS",V53="DSQ",V53="DNS",V53=" DNS "),$BW$3+1,V53))</f>
        <v>0</v>
      </c>
      <c r="CI53" s="61">
        <f>IF(W53="",0,IF(OR(W53="DNF",W53="OCS",W53="DSQ",W53="DNS",W53=" DNS "),$BW$3+1,W53))</f>
        <v>0</v>
      </c>
      <c r="CJ53" s="61">
        <f>IF(X53="",0,IF(OR(X53="DNF",X53="OCS",X53="DSQ",X53="DNS",X53=" DNS "),$BW$3+1,X53))</f>
        <v>0</v>
      </c>
      <c r="CK53" s="61">
        <f>IF(Y53="",0,IF(OR(Y53="DNF",Y53="OCS",Y53="DSQ",Y53="DNS",Y53=" DNS "),$BW$3+1,Y53))</f>
        <v>0</v>
      </c>
      <c r="CL53" s="61">
        <f>IF(Z53="",0,IF(OR(Z53="DNF",Z53="OCS",Z53="DSQ",Z53="DNS",Z53=" DNS "),$BW$3+1,Z53))</f>
        <v>0</v>
      </c>
      <c r="CM53" s="61">
        <f>IF(AA53="",0,IF(OR(AA53="DNF",AA53="OCS",AA53="DSQ",AA53="DNS",AA53=" DNS "),$BW$3+1,AA53))</f>
        <v>0</v>
      </c>
      <c r="CN53" s="61">
        <f>IF(AB53="",0,IF(OR(AB53="DNF",AB53="OCS",AB53="DSQ",AB53="DNS",AB53=" DNS "),$BW$3+1,AB53))</f>
        <v>0</v>
      </c>
      <c r="CO53" s="61">
        <f>IF(AC53="",0,IF(OR(AC53="DNF",AC53="OCS",AC53="DSQ",AC53="DNS",AC53=" DNS "),$BW$3+1,AC53))</f>
        <v>0</v>
      </c>
      <c r="CP53" s="61">
        <f>IF(AD53="",0,IF(OR(AD53="DNF",AD53="OCS",AD53="DSQ",AD53="DNS",AD53=" DNS "),$BW$3+1,AD53))</f>
        <v>0</v>
      </c>
      <c r="CQ53" s="61">
        <f>IF(AE53="",0,IF(OR(AE53="DNF",AE53="OCS",AE53="DSQ",AE53="DNS",AE53=" DNS "),$BW$3+1,AE53))</f>
        <v>0</v>
      </c>
      <c r="CR53" s="61">
        <f>IF(AF53="",0,IF(OR(AF53="DNF",AF53="OCS",AF53="DSQ",AF53="DNS",AF53=" DNS "),$BW$3+1,AF53))</f>
        <v>0</v>
      </c>
      <c r="CS53" s="61">
        <f>IF(AG53="",0,IF(OR(AG53="DNF",AG53="OCS",AG53="DSQ",AG53="DNS",AG53=" DNS "),$BW$3+1,AG53))</f>
        <v>0</v>
      </c>
      <c r="CT53" s="61">
        <f>IF(AH53="",0,IF(OR(AH53="DNF",AH53="OCS",AH53="DSQ",AH53="DNS",AH53=" DNS "),$BW$3+1,AH53))</f>
        <v>0</v>
      </c>
      <c r="CU53" s="61">
        <f>IF(AI53="",0,IF(OR(AI53="DNF",AI53="OCS",AI53="DSQ",AI53="DNS",AI53=" DNS "),$BW$3+1,AI53))</f>
        <v>0</v>
      </c>
      <c r="CV53" s="61">
        <f>IF(AJ53="",0,IF(OR(AJ53="DNF",AJ53="OCS",AJ53="DSQ",AJ53="DNS",AJ53=" DNS "),$BW$3+1,AJ53))</f>
        <v>0</v>
      </c>
      <c r="CW53" s="61">
        <f>IF(AK53="",0,IF(OR(AK53="DNF",AK53="OCS",AK53="DSQ",AK53="DNS",AK53=" DNS "),$BW$3+1,AK53))</f>
        <v>0</v>
      </c>
      <c r="CX53" s="61">
        <f>IF(AL53="",0,IF(OR(AL53="DNF",AL53="OCS",AL53="DSQ",AL53="DNS",AL53=" DNS "),$BW$3+1,AL53))</f>
        <v>0</v>
      </c>
      <c r="CY53" s="61">
        <f>IF(AM53="",0,IF(OR(AM53="DNF",AM53="OCS",AM53="DSQ",AM53="DNS",AM53=" DNS "),$BW$3+1,AM53))</f>
        <v>0</v>
      </c>
      <c r="CZ53" s="61">
        <f>IF(AN53="",0,IF(OR(AN53="DNF",AN53="OCS",AN53="DSQ",AN53="DNS",AN53=" DNS "),$BW$3+1,AN53))</f>
        <v>0</v>
      </c>
      <c r="DA53" s="61">
        <f>IF(AO53="",0,IF(OR(AO53="DNF",AO53="OCS",AO53="DSQ",AO53="DNS",AO53=" DNS "),$BW$3+1,AO53))</f>
        <v>0</v>
      </c>
      <c r="DB53" s="61">
        <f>IF(AP53="",0,IF(OR(AP53="DNF",AP53="OCS",AP53="DSQ",AP53="DNS",AP53=" DNS "),$BW$3+1,AP53))</f>
        <v>0</v>
      </c>
      <c r="DC53" s="61">
        <f>IF(AQ53="",0,IF(OR(AQ53="DNF",AQ53="OCS",AQ53="DSQ",AQ53="DNS",AQ53=" DNS "),$BW$3+1,AQ53))</f>
        <v>0</v>
      </c>
      <c r="DD53" s="61">
        <f>IF(AR53="",0,IF(OR(AR53="DNF",AR53="OCS",AR53="DSQ",AR53="DNS",AR53=" DNS "),$BW$3+1,AR53))</f>
        <v>0</v>
      </c>
      <c r="DE53" s="61">
        <f>IF(AS53="",0,IF(OR(AS53="DNF",AS53="OCS",AS53="DSQ",AS53="DNS",AS53=" DNS "),$BW$3+1,AS53))</f>
        <v>0</v>
      </c>
      <c r="DF53" s="61">
        <f>IF(AT53="",0,IF(OR(AT53="DNF",AT53="OCS",AT53="DSQ",AT53="DNS",AT53=" DNS "),$BW$3+1,AT53))</f>
        <v>0</v>
      </c>
      <c r="DG53" s="61">
        <f>IF(AU53="",0,IF(OR(AU53="DNF",AU53="OCS",AU53="DSQ",AU53="DNS",AU53=" DNS "),$BW$3+1,AU53))</f>
        <v>0</v>
      </c>
      <c r="DH53" s="61">
        <f>IF(AV53="",0,IF(OR(AV53="DNF",AV53="OCS",AV53="DSQ",AV53="DNS",AV53=" DNS "),$BW$3+1,AV53))</f>
        <v>0</v>
      </c>
      <c r="DI53" s="61">
        <f>IF(AW53="",0,IF(OR(AW53="DNF",AW53="OCS",AW53="DSQ",AW53="DNS",AW53=" DNS "),$BW$3+1,AW53))</f>
        <v>0</v>
      </c>
      <c r="DJ53" s="61">
        <f>IF(AX53="",0,IF(OR(AX53="DNF",AX53="OCS",AX53="DSQ",AX53="DNS",AX53=" DNS "),$BW$3+1,AX53))</f>
        <v>0</v>
      </c>
      <c r="DK53" s="61">
        <f>IF(AY53="",0,IF(OR(AY53="DNF",AY53="OCS",AY53="DSQ",AY53="DNS",AY53=" DNS "),$BW$3+1,AY53))</f>
        <v>0</v>
      </c>
      <c r="DL53" s="61">
        <f>IF(AZ53="",0,IF(OR(AZ53="DNF",AZ53="OCS",AZ53="DSQ",AZ53="DNS",AZ53=" DNS "),$BW$3+1,AZ53))</f>
        <v>0</v>
      </c>
      <c r="DM53" s="61">
        <f>IF(BA53="",0,IF(OR(BA53="DNF",BA53="OCS",BA53="DSQ",BA53="DNS",BA53=" DNS "),$BW$3+1,BA53))</f>
        <v>0</v>
      </c>
      <c r="DN53" s="61">
        <f>IF(BB53="",0,IF(OR(BB53="DNF",BB53="OCS",BB53="DSQ",BB53="DNS",BB53=" DNS "),$BW$3+1,BB53))</f>
        <v>0</v>
      </c>
      <c r="DO53" s="61">
        <f>IF(BC53="",0,IF(OR(BC53="DNF",BC53="OCS",BC53="DSQ",BC53="DNS",BC53=" DNS "),$BW$3+1,BC53))</f>
        <v>0</v>
      </c>
      <c r="DP53" s="61">
        <f>IF(BD53="",0,IF(OR(BD53="DNF",BD53="OCS",BD53="DSQ",BD53="DNS",BD53=" DNS "),$BW$3+1,BD53))</f>
        <v>0</v>
      </c>
      <c r="DQ53" s="61">
        <f>IF(BE53="",0,IF(OR(BE53="DNF",BE53="OCS",BE53="DSQ",BE53="DNS",BE53=" DNS "),$BW$3+1,BE53))</f>
        <v>0</v>
      </c>
      <c r="DR53" s="61">
        <f>IF(BF53="",0,IF(OR(BF53="DNF",BF53="OCS",BF53="DSQ",BF53="DNS",BF53=" DNS "),$BW$3+1,BF53))</f>
        <v>0</v>
      </c>
      <c r="DS53" s="61">
        <f>IF(BG53="",0,IF(OR(BG53="DNF",BG53="OCS",BG53="DSQ",BG53="DNS",BG53=" DNS "),$BW$3+1,BG53))</f>
        <v>0</v>
      </c>
      <c r="DT53" s="61">
        <f>IF(BH53="",0,IF(OR(BH53="DNF",BH53="OCS",BH53="DSQ",BH53="DNS",BH53=" DNS "),$BW$3+1,BH53))</f>
        <v>0</v>
      </c>
      <c r="DU53" s="61">
        <f>IF(BI53="",0,IF(OR(BI53="DNF",BI53="OCS",BI53="DSQ",BI53="DNS",BI53=" DNS "),$BW$3+1,BI53))</f>
        <v>0</v>
      </c>
      <c r="DV53" s="61">
        <f>IF(BJ53="",0,IF(OR(BJ53="DNF",BJ53="OCS",BJ53="DSQ",BJ53="DNS",BJ53=" DNS "),$BW$3+1,BJ53))</f>
        <v>0</v>
      </c>
      <c r="DW53" s="61">
        <f>IF(BK53="",0,IF(OR(BK53="DNF",BK53="OCS",BK53="DSQ",BK53="DNS",BK53=" DNS "),$BW$3+1,BK53))</f>
        <v>0</v>
      </c>
      <c r="DX53" s="61">
        <f>IF(BL53="",0,IF(OR(BL53="DNF",BL53="OCS",BL53="DSQ",BL53="DNS",BL53=" DNS "),$BW$3+1,BL53))</f>
        <v>0</v>
      </c>
      <c r="DY53" s="61">
        <f>IF(BM53="",0,IF(OR(BM53="DNF",BM53="OCS",BM53="DSQ",BM53="DNS",BM53=" DNS "),$BW$3+1,BM53))</f>
        <v>0</v>
      </c>
      <c r="DZ53" s="61">
        <f>IF(BN53="",0,IF(OR(BN53="DNF",BN53="OCS",BN53="DSQ",BN53="DNS",BN53=" DNS "),$BW$3+1,BN53))</f>
        <v>0</v>
      </c>
      <c r="EA53" s="61">
        <f>IF(BO53="",0,IF(OR(BO53="DNF",BO53="OCS",BO53="DSQ",BO53="DNS",BO53=" DNS "),$BW$3+1,BO53))</f>
        <v>0</v>
      </c>
      <c r="EB53" s="61">
        <f>IF(BP53="",0,IF(OR(BP53="DNF",BP53="OCS",BP53="DSQ",BP53="DNS",BP53=" DNS "),$BW$3+1,BP53))</f>
        <v>0</v>
      </c>
      <c r="EC53" s="61">
        <f>IF(BQ53="",0,IF(OR(BQ53="DNF",BQ53="OCS",BQ53="DSQ",BQ53="DNS",BQ53=" DNS "),$BW$3+1,BQ53))</f>
        <v>0</v>
      </c>
      <c r="EE53" s="61">
        <f xml:space="preserve">
IF(OR(Deltagarlista!$K$3=3,Deltagarlista!$K$3=4),
IF(Arrangörslista!$U$5&lt;8,0,
IF(Arrangörslista!$U$5&lt;16,SUM(LARGE(BV53:CJ53,1)),
IF(Arrangörslista!$U$5&lt;24,SUM(LARGE(BV53:CR53,{1;2})),
IF(Arrangörslista!$U$5&lt;32,SUM(LARGE(BV53:CZ53,{1;2;3})),
IF(Arrangörslista!$U$5&lt;40,SUM(LARGE(BV53:DH53,{1;2;3;4})),
IF(Arrangörslista!$U$5&lt;48,SUM(LARGE(BV53:DP53,{1;2;3;4;5})),
IF(Arrangörslista!$U$5&lt;56,SUM(LARGE(BV53:DX53,{1;2;3;4;5;6})),
IF(Arrangörslista!$U$5&lt;64,SUM(LARGE(BV53:EC53,{1;2;3;4;5;6;7})),0)))))))),
IF(Deltagarlista!$K$3=2,
IF(Arrangörslista!$U$5&lt;4,LARGE(BV53:BX53,1),
IF(Arrangörslista!$U$5&lt;7,SUM(LARGE(BV53:CA53,{1;2;3})),
IF(Arrangörslista!$U$5&lt;10,SUM(LARGE(BV53:CD53,{1;2;3;4})),
IF(Arrangörslista!$U$5&lt;13,SUM(LARGE(BV53:CG53,{1;2;3;4;5;6})),
IF(Arrangörslista!$U$5&lt;16,SUM(LARGE(BV53:CJ53,{1;2;3;4;5;6;7})),
IF(Arrangörslista!$U$5&lt;19,SUM(LARGE(BV53:CM53,{1;2;3;4;5;6;7;8;9})),
IF(Arrangörslista!$U$5&lt;22,SUM(LARGE(BV53:CP53,{1;2;3;4;5;6;7;8;9;10})),
IF(Arrangörslista!$U$5&lt;25,SUM(LARGE(BV53:CS53,{1;2;3;4;5;6;7;8;9;10;11;12})),
IF(Arrangörslista!$U$5&lt;28,SUM(LARGE(BV53:CV53,{1;2;3;4;5;6;7;8;9;10;11;12;13})),
IF(Arrangörslista!$U$5&lt;31,SUM(LARGE(BV53:CY53,{1;2;3;4;5;6;7;8;9;10;11;12;13;14;15})),
IF(Arrangörslista!$U$5&lt;34,SUM(LARGE(BV53:DB53,{1;2;3;4;5;6;7;8;9;10;11;12;13;14;15;16})),
IF(Arrangörslista!$U$5&lt;37,SUM(LARGE(BV53:DE53,{1;2;3;4;5;6;7;8;9;10;11;12;13;14;15;16;17;18})),
IF(Arrangörslista!$U$5&lt;40,SUM(LARGE(BV53:DH53,{1;2;3;4;5;6;7;8;9;10;11;12;13;14;15;16;17;18;19})),
IF(Arrangörslista!$U$5&lt;43,SUM(LARGE(BV53:DK53,{1;2;3;4;5;6;7;8;9;10;11;12;13;14;15;16;17;18;19;20;21})),
IF(Arrangörslista!$U$5&lt;46,SUM(LARGE(BV53:DN53,{1;2;3;4;5;6;7;8;9;10;11;12;13;14;15;16;17;18;19;20;21;22})),
IF(Arrangörslista!$U$5&lt;49,SUM(LARGE(BV53:DQ53,{1;2;3;4;5;6;7;8;9;10;11;12;13;14;15;16;17;18;19;20;21;22;23;24})),
IF(Arrangörslista!$U$5&lt;52,SUM(LARGE(BV53:DT53,{1;2;3;4;5;6;7;8;9;10;11;12;13;14;15;16;17;18;19;20;21;22;23;24;25})),
IF(Arrangörslista!$U$5&lt;55,SUM(LARGE(BV53:DW53,{1;2;3;4;5;6;7;8;9;10;11;12;13;14;15;16;17;18;19;20;21;22;23;24;25;26;27})),
IF(Arrangörslista!$U$5&lt;58,SUM(LARGE(BV53:DZ53,{1;2;3;4;5;6;7;8;9;10;11;12;13;14;15;16;17;18;19;20;21;22;23;24;25;26;27;28})),
IF(Arrangörslista!$U$5&lt;61,SUM(LARGE(BV53:EC53,{1;2;3;4;5;6;7;8;9;10;11;12;13;14;15;16;17;18;19;20;21;22;23;24;25;26;27;28;29;30})),0)))))))))))))))))))),
IF(Arrangörslista!$U$5&lt;4,0,
IF(Arrangörslista!$U$5&lt;8,SUM(LARGE(BV53:CB53,1)),
IF(Arrangörslista!$U$5&lt;12,SUM(LARGE(BV53:CF53,{1;2})),
IF(Arrangörslista!$U$5&lt;16,SUM(LARGE(BV53:CJ53,{1;2;3})),
IF(Arrangörslista!$U$5&lt;20,SUM(LARGE(BV53:CN53,{1;2;3;4})),
IF(Arrangörslista!$U$5&lt;24,SUM(LARGE(BV53:CR53,{1;2;3;4;5})),
IF(Arrangörslista!$U$5&lt;28,SUM(LARGE(BV53:CV53,{1;2;3;4;5;6})),
IF(Arrangörslista!$U$5&lt;32,SUM(LARGE(BV53:CZ53,{1;2;3;4;5;6;7})),
IF(Arrangörslista!$U$5&lt;36,SUM(LARGE(BV53:DD53,{1;2;3;4;5;6;7;8})),
IF(Arrangörslista!$U$5&lt;40,SUM(LARGE(BV53:DH53,{1;2;3;4;5;6;7;8;9})),
IF(Arrangörslista!$U$5&lt;44,SUM(LARGE(BV53:DL53,{1;2;3;4;5;6;7;8;9;10})),
IF(Arrangörslista!$U$5&lt;48,SUM(LARGE(BV53:DP53,{1;2;3;4;5;6;7;8;9;10;11})),
IF(Arrangörslista!$U$5&lt;52,SUM(LARGE(BV53:DT53,{1;2;3;4;5;6;7;8;9;10;11;12})),
IF(Arrangörslista!$U$5&lt;56,SUM(LARGE(BV53:DX53,{1;2;3;4;5;6;7;8;9;10;11;12;13})),
IF(Arrangörslista!$U$5&lt;60,SUM(LARGE(BV53:EB53,{1;2;3;4;5;6;7;8;9;10;11;12;13;14})),
IF(Arrangörslista!$U$5=60,SUM(LARGE(BV53:EC53,{1;2;3;4;5;6;7;8;9;10;11;12;13;14;15})),0))))))))))))))))))</f>
        <v>0</v>
      </c>
      <c r="EG53" s="67">
        <f>IF(F53="",,1)</f>
        <v>0</v>
      </c>
      <c r="EH53" s="61"/>
      <c r="EI53" s="61"/>
      <c r="EK53" s="62">
        <f>SMALL($J116:$BQ116,1)</f>
        <v>61</v>
      </c>
      <c r="EL53" s="62">
        <f>SMALL($J116:$BQ116,2)</f>
        <v>61</v>
      </c>
      <c r="EM53" s="62">
        <f>SMALL($J116:$BQ116,3)</f>
        <v>61</v>
      </c>
      <c r="EN53" s="62">
        <f>SMALL($J116:$BQ116,4)</f>
        <v>61</v>
      </c>
      <c r="EO53" s="62">
        <f>SMALL($J116:$BQ116,5)</f>
        <v>61</v>
      </c>
      <c r="EP53" s="62">
        <f>SMALL($J116:$BQ116,6)</f>
        <v>61</v>
      </c>
      <c r="EQ53" s="62">
        <f>SMALL($J116:$BQ116,7)</f>
        <v>61</v>
      </c>
      <c r="ER53" s="62">
        <f>SMALL($J116:$BQ116,8)</f>
        <v>61</v>
      </c>
      <c r="ES53" s="62">
        <f>SMALL($J116:$BQ116,9)</f>
        <v>61</v>
      </c>
      <c r="ET53" s="62">
        <f>SMALL($J116:$BQ116,10)</f>
        <v>61</v>
      </c>
      <c r="EU53" s="62">
        <f>SMALL($J116:$BQ116,11)</f>
        <v>61</v>
      </c>
      <c r="EV53" s="62">
        <f>SMALL($J116:$BQ116,12)</f>
        <v>61</v>
      </c>
      <c r="EW53" s="62">
        <f>SMALL($J116:$BQ116,13)</f>
        <v>61</v>
      </c>
      <c r="EX53" s="62">
        <f>SMALL($J116:$BQ116,14)</f>
        <v>61</v>
      </c>
      <c r="EY53" s="62">
        <f>SMALL($J116:$BQ116,15)</f>
        <v>61</v>
      </c>
      <c r="EZ53" s="62">
        <f>SMALL($J116:$BQ116,16)</f>
        <v>61</v>
      </c>
      <c r="FA53" s="62">
        <f>SMALL($J116:$BQ116,17)</f>
        <v>61</v>
      </c>
      <c r="FB53" s="62">
        <f>SMALL($J116:$BQ116,18)</f>
        <v>61</v>
      </c>
      <c r="FC53" s="62">
        <f>SMALL($J116:$BQ116,19)</f>
        <v>61</v>
      </c>
      <c r="FD53" s="62">
        <f>SMALL($J116:$BQ116,20)</f>
        <v>61</v>
      </c>
      <c r="FE53" s="62">
        <f>SMALL($J116:$BQ116,21)</f>
        <v>61</v>
      </c>
      <c r="FF53" s="62">
        <f>SMALL($J116:$BQ116,22)</f>
        <v>61</v>
      </c>
      <c r="FG53" s="62">
        <f>SMALL($J116:$BQ116,23)</f>
        <v>61</v>
      </c>
      <c r="FH53" s="62">
        <f>SMALL($J116:$BQ116,24)</f>
        <v>61</v>
      </c>
      <c r="FI53" s="62">
        <f>SMALL($J116:$BQ116,25)</f>
        <v>61</v>
      </c>
      <c r="FJ53" s="62">
        <f>SMALL($J116:$BQ116,26)</f>
        <v>61</v>
      </c>
      <c r="FK53" s="62">
        <f>SMALL($J116:$BQ116,27)</f>
        <v>61</v>
      </c>
      <c r="FL53" s="62">
        <f>SMALL($J116:$BQ116,28)</f>
        <v>61</v>
      </c>
      <c r="FM53" s="62">
        <f>SMALL($J116:$BQ116,29)</f>
        <v>61</v>
      </c>
      <c r="FN53" s="62">
        <f>SMALL($J116:$BQ116,30)</f>
        <v>61</v>
      </c>
      <c r="FO53" s="62">
        <f>SMALL($J116:$BQ116,31)</f>
        <v>61</v>
      </c>
      <c r="FP53" s="62">
        <f>SMALL($J116:$BQ116,32)</f>
        <v>61</v>
      </c>
      <c r="FQ53" s="62">
        <f>SMALL($J116:$BQ116,33)</f>
        <v>61</v>
      </c>
      <c r="FR53" s="62">
        <f>SMALL($J116:$BQ116,34)</f>
        <v>61</v>
      </c>
      <c r="FS53" s="62">
        <f>SMALL($J116:$BQ116,35)</f>
        <v>61</v>
      </c>
      <c r="FT53" s="62">
        <f>SMALL($J116:$BQ116,36)</f>
        <v>61</v>
      </c>
      <c r="FU53" s="62">
        <f>SMALL($J116:$BQ116,37)</f>
        <v>61</v>
      </c>
      <c r="FV53" s="62">
        <f>SMALL($J116:$BQ116,38)</f>
        <v>61</v>
      </c>
      <c r="FW53" s="62">
        <f>SMALL($J116:$BQ116,39)</f>
        <v>61</v>
      </c>
      <c r="FX53" s="62">
        <f>SMALL($J116:$BQ116,40)</f>
        <v>61</v>
      </c>
      <c r="FY53" s="62">
        <f>SMALL($J116:$BQ116,41)</f>
        <v>61</v>
      </c>
      <c r="FZ53" s="62">
        <f>SMALL($J116:$BQ116,42)</f>
        <v>61</v>
      </c>
      <c r="GA53" s="62">
        <f>SMALL($J116:$BQ116,43)</f>
        <v>61</v>
      </c>
      <c r="GB53" s="62">
        <f>SMALL($J116:$BQ116,44)</f>
        <v>61</v>
      </c>
      <c r="GC53" s="62">
        <f>SMALL($J116:$BQ116,45)</f>
        <v>61</v>
      </c>
      <c r="GD53" s="62">
        <f>SMALL($J116:$BQ116,46)</f>
        <v>61</v>
      </c>
      <c r="GE53" s="62">
        <f>SMALL($J116:$BQ116,47)</f>
        <v>61</v>
      </c>
      <c r="GF53" s="62">
        <f>SMALL($J116:$BQ116,48)</f>
        <v>61</v>
      </c>
      <c r="GG53" s="62">
        <f>SMALL($J116:$BQ116,49)</f>
        <v>61</v>
      </c>
      <c r="GH53" s="62">
        <f>SMALL($J116:$BQ116,50)</f>
        <v>61</v>
      </c>
      <c r="GI53" s="62">
        <f>SMALL($J116:$BQ116,51)</f>
        <v>61</v>
      </c>
      <c r="GJ53" s="62">
        <f>SMALL($J116:$BQ116,52)</f>
        <v>61</v>
      </c>
      <c r="GK53" s="62">
        <f>SMALL($J116:$BQ116,53)</f>
        <v>61</v>
      </c>
      <c r="GL53" s="62">
        <f>SMALL($J116:$BQ116,54)</f>
        <v>61</v>
      </c>
      <c r="GM53" s="62">
        <f>SMALL($J116:$BQ116,55)</f>
        <v>61</v>
      </c>
      <c r="GN53" s="62">
        <f>SMALL($J116:$BQ116,56)</f>
        <v>61</v>
      </c>
      <c r="GO53" s="62">
        <f>SMALL($J116:$BQ116,57)</f>
        <v>61</v>
      </c>
      <c r="GP53" s="62">
        <f>SMALL($J116:$BQ116,58)</f>
        <v>61</v>
      </c>
      <c r="GQ53" s="62">
        <f>SMALL($J116:$BQ116,59)</f>
        <v>61</v>
      </c>
      <c r="GR53" s="62">
        <f>SMALL($J116:$BQ116,60)</f>
        <v>61</v>
      </c>
      <c r="GT53" s="62">
        <f>IF(Deltagarlista!$K$3=2,
IF(GW53="1",
      IF(Arrangörslista!$U$5=1,J116,
IF(Arrangörslista!$U$5=2,K116,
IF(Arrangörslista!$U$5=3,L116,
IF(Arrangörslista!$U$5=4,M116,
IF(Arrangörslista!$U$5=5,N116,
IF(Arrangörslista!$U$5=6,O116,
IF(Arrangörslista!$U$5=7,P116,
IF(Arrangörslista!$U$5=8,Q116,
IF(Arrangörslista!$U$5=9,R116,
IF(Arrangörslista!$U$5=10,S116,
IF(Arrangörslista!$U$5=11,T116,
IF(Arrangörslista!$U$5=12,U116,
IF(Arrangörslista!$U$5=13,V116,
IF(Arrangörslista!$U$5=14,W116,
IF(Arrangörslista!$U$5=15,X116,
IF(Arrangörslista!$U$5=16,Y116,IF(Arrangörslista!$U$5=17,Z116,IF(Arrangörslista!$U$5=18,AA116,IF(Arrangörslista!$U$5=19,AB116,IF(Arrangörslista!$U$5=20,AC116,IF(Arrangörslista!$U$5=21,AD116,IF(Arrangörslista!$U$5=22,AE116,IF(Arrangörslista!$U$5=23,AF116, IF(Arrangörslista!$U$5=24,AG116, IF(Arrangörslista!$U$5=25,AH116, IF(Arrangörslista!$U$5=26,AI116, IF(Arrangörslista!$U$5=27,AJ116, IF(Arrangörslista!$U$5=28,AK116, IF(Arrangörslista!$U$5=29,AL116, IF(Arrangörslista!$U$5=30,AM116, IF(Arrangörslista!$U$5=31,AN116, IF(Arrangörslista!$U$5=32,AO116, IF(Arrangörslista!$U$5=33,AP116, IF(Arrangörslista!$U$5=34,AQ116, IF(Arrangörslista!$U$5=35,AR116, IF(Arrangörslista!$U$5=36,AS116, IF(Arrangörslista!$U$5=37,AT116, IF(Arrangörslista!$U$5=38,AU116, IF(Arrangörslista!$U$5=39,AV116, IF(Arrangörslista!$U$5=40,AW116, IF(Arrangörslista!$U$5=41,AX116, IF(Arrangörslista!$U$5=42,AY116, IF(Arrangörslista!$U$5=43,AZ116, IF(Arrangörslista!$U$5=44,BA116, IF(Arrangörslista!$U$5=45,BB116, IF(Arrangörslista!$U$5=46,BC116, IF(Arrangörslista!$U$5=47,BD116, IF(Arrangörslista!$U$5=48,BE116, IF(Arrangörslista!$U$5=49,BF116, IF(Arrangörslista!$U$5=50,BG116, IF(Arrangörslista!$U$5=51,BH116, IF(Arrangörslista!$U$5=52,BI116, IF(Arrangörslista!$U$5=53,BJ116, IF(Arrangörslista!$U$5=54,BK116, IF(Arrangörslista!$U$5=55,BL116, IF(Arrangörslista!$U$5=56,BM116, IF(Arrangörslista!$U$5=57,BN116, IF(Arrangörslista!$U$5=58,BO116, IF(Arrangörslista!$U$5=59,BP116, IF(Arrangörslista!$U$5=60,BQ116,0))))))))))))))))))))))))))))))))))))))))))))))))))))))))))))),IF(Deltagarlista!$K$3=4, IF(Arrangörslista!$U$5=1,J116,
IF(Arrangörslista!$U$5=2,J116,
IF(Arrangörslista!$U$5=3,K116,
IF(Arrangörslista!$U$5=4,K116,
IF(Arrangörslista!$U$5=5,L116,
IF(Arrangörslista!$U$5=6,L116,
IF(Arrangörslista!$U$5=7,M116,
IF(Arrangörslista!$U$5=8,M116,
IF(Arrangörslista!$U$5=9,N116,
IF(Arrangörslista!$U$5=10,N116,
IF(Arrangörslista!$U$5=11,O116,
IF(Arrangörslista!$U$5=12,O116,
IF(Arrangörslista!$U$5=13,P116,
IF(Arrangörslista!$U$5=14,P116,
IF(Arrangörslista!$U$5=15,Q116,
IF(Arrangörslista!$U$5=16,Q116,
IF(Arrangörslista!$U$5=17,R116,
IF(Arrangörslista!$U$5=18,R116,
IF(Arrangörslista!$U$5=19,S116,
IF(Arrangörslista!$U$5=20,S116,
IF(Arrangörslista!$U$5=21,T116,
IF(Arrangörslista!$U$5=22,T116,IF(Arrangörslista!$U$5=23,U116, IF(Arrangörslista!$U$5=24,U116, IF(Arrangörslista!$U$5=25,V116, IF(Arrangörslista!$U$5=26,V116, IF(Arrangörslista!$U$5=27,W116, IF(Arrangörslista!$U$5=28,W116, IF(Arrangörslista!$U$5=29,X116, IF(Arrangörslista!$U$5=30,X116, IF(Arrangörslista!$U$5=31,X116, IF(Arrangörslista!$U$5=32,Y116, IF(Arrangörslista!$U$5=33,AO116, IF(Arrangörslista!$U$5=34,Y116, IF(Arrangörslista!$U$5=35,Z116, IF(Arrangörslista!$U$5=36,AR116, IF(Arrangörslista!$U$5=37,Z116, IF(Arrangörslista!$U$5=38,AA116, IF(Arrangörslista!$U$5=39,AU116, IF(Arrangörslista!$U$5=40,AA116, IF(Arrangörslista!$U$5=41,AB116, IF(Arrangörslista!$U$5=42,AX116, IF(Arrangörslista!$U$5=43,AB116, IF(Arrangörslista!$U$5=44,AC116, IF(Arrangörslista!$U$5=45,BA116, IF(Arrangörslista!$U$5=46,AC116, IF(Arrangörslista!$U$5=47,AD116, IF(Arrangörslista!$U$5=48,BD116, IF(Arrangörslista!$U$5=49,AD116, IF(Arrangörslista!$U$5=50,AE116, IF(Arrangörslista!$U$5=51,BG116, IF(Arrangörslista!$U$5=52,AE116, IF(Arrangörslista!$U$5=53,AF116, IF(Arrangörslista!$U$5=54,BJ116, IF(Arrangörslista!$U$5=55,AF116, IF(Arrangörslista!$U$5=56,AG116, IF(Arrangörslista!$U$5=57,BM116, IF(Arrangörslista!$U$5=58,AG116, IF(Arrangörslista!$U$5=59,AH116, IF(Arrangörslista!$U$5=60,AH116,0)))))))))))))))))))))))))))))))))))))))))))))))))))))))))))),IF(Arrangörslista!$U$5=1,J116,
IF(Arrangörslista!$U$5=2,K116,
IF(Arrangörslista!$U$5=3,L116,
IF(Arrangörslista!$U$5=4,M116,
IF(Arrangörslista!$U$5=5,N116,
IF(Arrangörslista!$U$5=6,O116,
IF(Arrangörslista!$U$5=7,P116,
IF(Arrangörslista!$U$5=8,Q116,
IF(Arrangörslista!$U$5=9,R116,
IF(Arrangörslista!$U$5=10,S116,
IF(Arrangörslista!$U$5=11,T116,
IF(Arrangörslista!$U$5=12,U116,
IF(Arrangörslista!$U$5=13,V116,
IF(Arrangörslista!$U$5=14,W116,
IF(Arrangörslista!$U$5=15,X116,
IF(Arrangörslista!$U$5=16,Y116,IF(Arrangörslista!$U$5=17,Z116,IF(Arrangörslista!$U$5=18,AA116,IF(Arrangörslista!$U$5=19,AB116,IF(Arrangörslista!$U$5=20,AC116,IF(Arrangörslista!$U$5=21,AD116,IF(Arrangörslista!$U$5=22,AE116,IF(Arrangörslista!$U$5=23,AF116, IF(Arrangörslista!$U$5=24,AG116, IF(Arrangörslista!$U$5=25,AH116, IF(Arrangörslista!$U$5=26,AI116, IF(Arrangörslista!$U$5=27,AJ116, IF(Arrangörslista!$U$5=28,AK116, IF(Arrangörslista!$U$5=29,AL116, IF(Arrangörslista!$U$5=30,AM116, IF(Arrangörslista!$U$5=31,AN116, IF(Arrangörslista!$U$5=32,AO116, IF(Arrangörslista!$U$5=33,AP116, IF(Arrangörslista!$U$5=34,AQ116, IF(Arrangörslista!$U$5=35,AR116, IF(Arrangörslista!$U$5=36,AS116, IF(Arrangörslista!$U$5=37,AT116, IF(Arrangörslista!$U$5=38,AU116, IF(Arrangörslista!$U$5=39,AV116, IF(Arrangörslista!$U$5=40,AW116, IF(Arrangörslista!$U$5=41,AX116, IF(Arrangörslista!$U$5=42,AY116, IF(Arrangörslista!$U$5=43,AZ116, IF(Arrangörslista!$U$5=44,BA116, IF(Arrangörslista!$U$5=45,BB116, IF(Arrangörslista!$U$5=46,BC116, IF(Arrangörslista!$U$5=47,BD116, IF(Arrangörslista!$U$5=48,BE116, IF(Arrangörslista!$U$5=49,BF116, IF(Arrangörslista!$U$5=50,BG116, IF(Arrangörslista!$U$5=51,BH116, IF(Arrangörslista!$U$5=52,BI116, IF(Arrangörslista!$U$5=53,BJ116, IF(Arrangörslista!$U$5=54,BK116, IF(Arrangörslista!$U$5=55,BL116, IF(Arrangörslista!$U$5=56,BM116, IF(Arrangörslista!$U$5=57,BN116, IF(Arrangörslista!$U$5=58,BO116, IF(Arrangörslista!$U$5=59,BP116, IF(Arrangörslista!$U$5=60,BQ116,0))))))))))))))))))))))))))))))))))))))))))))))))))))))))))))
))</f>
        <v>0</v>
      </c>
      <c r="GV53" s="65" t="str">
        <f>IFERROR(IF(VLOOKUP(F53,Deltagarlista!$E$5:$I$64,5,FALSE)="Grön","Gr",IF(VLOOKUP(F53,Deltagarlista!$E$5:$I$64,5,FALSE)="Röd","R",IF(VLOOKUP(F53,Deltagarlista!$E$5:$I$64,5,FALSE)="Blå","B","Gu"))),"")</f>
        <v/>
      </c>
      <c r="GW53" s="62" t="str">
        <f t="shared" si="1"/>
        <v/>
      </c>
    </row>
    <row r="54" spans="1:205" ht="15.75" customHeight="1" x14ac:dyDescent="0.3">
      <c r="B54" s="23" t="str">
        <f>IF($BW$3&gt;50,51,"")</f>
        <v/>
      </c>
      <c r="C54" s="92" t="str">
        <f>IF(ISBLANK(Deltagarlista!C46),"",Deltagarlista!C46)</f>
        <v/>
      </c>
      <c r="D54" s="109" t="str">
        <f>CONCATENATE(IF(AND(Deltagarlista!H46="GM",Deltagarlista!$S$14=TRUE),"GM   ",""),  IF(OR(Deltagarlista!$K$3=4,Deltagarlista!$K$3=2),Deltagarlista!I46,""))</f>
        <v/>
      </c>
      <c r="E54" s="8" t="str">
        <f>IF(ISBLANK(Deltagarlista!D46),"",Deltagarlista!D46)</f>
        <v/>
      </c>
      <c r="F54" s="8" t="str">
        <f>IF(ISBLANK(Deltagarlista!E46),"",Deltagarlista!E46)</f>
        <v/>
      </c>
      <c r="G54" s="95" t="str">
        <f>IF(ISBLANK(Deltagarlista!F46),"",Deltagarlista!F46)</f>
        <v/>
      </c>
      <c r="H54" s="72" t="str">
        <f>IF(ISBLANK(Deltagarlista!C46),"",BU54-EE54)</f>
        <v/>
      </c>
      <c r="I54" s="13" t="str">
        <f>IF(ISBLANK(Deltagarlista!C46),"",IF(AND(Deltagarlista!$K$3=2,Deltagarlista!$L$3&lt;37),SUM(SUM(BV54:EC54)-(ROUNDDOWN(Arrangörslista!$U$5/3,1))*($BW$3+1)),SUM(BV54:EC54)))</f>
        <v/>
      </c>
      <c r="J54" s="79" t="str">
        <f>IF(Deltagarlista!$K$3=4,IF(ISBLANK(Deltagarlista!$C46),"",IF(ISBLANK(Arrangörslista!C$8),"",IFERROR(VLOOKUP($F54,Arrangörslista!C$8:$AG$45,16,FALSE),IF(ISBLANK(Deltagarlista!$C46),"",IF(ISBLANK(Arrangörslista!C$8),"",IFERROR(VLOOKUP($F54,Arrangörslista!D$8:$AG$45,16,FALSE),"DNS")))))),IF(Deltagarlista!$K$3=2,
IF(ISBLANK(Deltagarlista!$C46),"",IF(ISBLANK(Arrangörslista!C$8),"",IF($GV54=J$64," DNS ",IFERROR(VLOOKUP($F54,Arrangörslista!C$8:$AG$45,16,FALSE),"DNS")))),IF(ISBLANK(Deltagarlista!$C46),"",IF(ISBLANK(Arrangörslista!C$8),"",IFERROR(VLOOKUP($F54,Arrangörslista!C$8:$AG$45,16,FALSE),"DNS")))))</f>
        <v/>
      </c>
      <c r="K54" s="5" t="str">
        <f>IF(Deltagarlista!$K$3=4,IF(ISBLANK(Deltagarlista!$C46),"",IF(ISBLANK(Arrangörslista!E$8),"",IFERROR(VLOOKUP($F54,Arrangörslista!E$8:$AG$45,16,FALSE),IF(ISBLANK(Deltagarlista!$C46),"",IF(ISBLANK(Arrangörslista!E$8),"",IFERROR(VLOOKUP($F54,Arrangörslista!F$8:$AG$45,16,FALSE),"DNS")))))),IF(Deltagarlista!$K$3=2,
IF(ISBLANK(Deltagarlista!$C46),"",IF(ISBLANK(Arrangörslista!D$8),"",IF($GV54=K$64," DNS ",IFERROR(VLOOKUP($F54,Arrangörslista!D$8:$AG$45,16,FALSE),"DNS")))),IF(ISBLANK(Deltagarlista!$C46),"",IF(ISBLANK(Arrangörslista!D$8),"",IFERROR(VLOOKUP($F54,Arrangörslista!D$8:$AG$45,16,FALSE),"DNS")))))</f>
        <v/>
      </c>
      <c r="L54" s="5" t="str">
        <f>IF(Deltagarlista!$K$3=4,IF(ISBLANK(Deltagarlista!$C46),"",IF(ISBLANK(Arrangörslista!G$8),"",IFERROR(VLOOKUP($F54,Arrangörslista!G$8:$AG$45,16,FALSE),IF(ISBLANK(Deltagarlista!$C46),"",IF(ISBLANK(Arrangörslista!G$8),"",IFERROR(VLOOKUP($F54,Arrangörslista!H$8:$AG$45,16,FALSE),"DNS")))))),IF(Deltagarlista!$K$3=2,
IF(ISBLANK(Deltagarlista!$C46),"",IF(ISBLANK(Arrangörslista!E$8),"",IF($GV54=L$64," DNS ",IFERROR(VLOOKUP($F54,Arrangörslista!E$8:$AG$45,16,FALSE),"DNS")))),IF(ISBLANK(Deltagarlista!$C46),"",IF(ISBLANK(Arrangörslista!E$8),"",IFERROR(VLOOKUP($F54,Arrangörslista!E$8:$AG$45,16,FALSE),"DNS")))))</f>
        <v/>
      </c>
      <c r="M54" s="5" t="str">
        <f>IF(Deltagarlista!$K$3=4,IF(ISBLANK(Deltagarlista!$C46),"",IF(ISBLANK(Arrangörslista!I$8),"",IFERROR(VLOOKUP($F54,Arrangörslista!I$8:$AG$45,16,FALSE),IF(ISBLANK(Deltagarlista!$C46),"",IF(ISBLANK(Arrangörslista!I$8),"",IFERROR(VLOOKUP($F54,Arrangörslista!J$8:$AG$45,16,FALSE),"DNS")))))),IF(Deltagarlista!$K$3=2,
IF(ISBLANK(Deltagarlista!$C46),"",IF(ISBLANK(Arrangörslista!F$8),"",IF($GV54=M$64," DNS ",IFERROR(VLOOKUP($F54,Arrangörslista!F$8:$AG$45,16,FALSE),"DNS")))),IF(ISBLANK(Deltagarlista!$C46),"",IF(ISBLANK(Arrangörslista!F$8),"",IFERROR(VLOOKUP($F54,Arrangörslista!F$8:$AG$45,16,FALSE),"DNS")))))</f>
        <v/>
      </c>
      <c r="N54" s="5" t="str">
        <f>IF(Deltagarlista!$K$3=4,IF(ISBLANK(Deltagarlista!$C46),"",IF(ISBLANK(Arrangörslista!K$8),"",IFERROR(VLOOKUP($F54,Arrangörslista!K$8:$AG$45,16,FALSE),IF(ISBLANK(Deltagarlista!$C46),"",IF(ISBLANK(Arrangörslista!K$8),"",IFERROR(VLOOKUP($F54,Arrangörslista!L$8:$AG$45,16,FALSE),"DNS")))))),IF(Deltagarlista!$K$3=2,
IF(ISBLANK(Deltagarlista!$C46),"",IF(ISBLANK(Arrangörslista!G$8),"",IF($GV54=N$64," DNS ",IFERROR(VLOOKUP($F54,Arrangörslista!G$8:$AG$45,16,FALSE),"DNS")))),IF(ISBLANK(Deltagarlista!$C46),"",IF(ISBLANK(Arrangörslista!G$8),"",IFERROR(VLOOKUP($F54,Arrangörslista!G$8:$AG$45,16,FALSE),"DNS")))))</f>
        <v/>
      </c>
      <c r="O54" s="5" t="str">
        <f>IF(Deltagarlista!$K$3=4,IF(ISBLANK(Deltagarlista!$C46),"",IF(ISBLANK(Arrangörslista!M$8),"",IFERROR(VLOOKUP($F54,Arrangörslista!M$8:$AG$45,16,FALSE),IF(ISBLANK(Deltagarlista!$C46),"",IF(ISBLANK(Arrangörslista!M$8),"",IFERROR(VLOOKUP($F54,Arrangörslista!N$8:$AG$45,16,FALSE),"DNS")))))),IF(Deltagarlista!$K$3=2,
IF(ISBLANK(Deltagarlista!$C46),"",IF(ISBLANK(Arrangörslista!H$8),"",IF($GV54=O$64," DNS ",IFERROR(VLOOKUP($F54,Arrangörslista!H$8:$AG$45,16,FALSE),"DNS")))),IF(ISBLANK(Deltagarlista!$C46),"",IF(ISBLANK(Arrangörslista!H$8),"",IFERROR(VLOOKUP($F54,Arrangörslista!H$8:$AG$45,16,FALSE),"DNS")))))</f>
        <v/>
      </c>
      <c r="P54" s="5" t="str">
        <f>IF(Deltagarlista!$K$3=4,IF(ISBLANK(Deltagarlista!$C46),"",IF(ISBLANK(Arrangörslista!O$8),"",IFERROR(VLOOKUP($F54,Arrangörslista!O$8:$AG$45,16,FALSE),IF(ISBLANK(Deltagarlista!$C46),"",IF(ISBLANK(Arrangörslista!O$8),"",IFERROR(VLOOKUP($F54,Arrangörslista!P$8:$AG$45,16,FALSE),"DNS")))))),IF(Deltagarlista!$K$3=2,
IF(ISBLANK(Deltagarlista!$C46),"",IF(ISBLANK(Arrangörslista!I$8),"",IF($GV54=P$64," DNS ",IFERROR(VLOOKUP($F54,Arrangörslista!I$8:$AG$45,16,FALSE),"DNS")))),IF(ISBLANK(Deltagarlista!$C46),"",IF(ISBLANK(Arrangörslista!I$8),"",IFERROR(VLOOKUP($F54,Arrangörslista!I$8:$AG$45,16,FALSE),"DNS")))))</f>
        <v/>
      </c>
      <c r="Q54" s="5" t="str">
        <f>IF(Deltagarlista!$K$3=4,IF(ISBLANK(Deltagarlista!$C46),"",IF(ISBLANK(Arrangörslista!Q$8),"",IFERROR(VLOOKUP($F54,Arrangörslista!Q$8:$AG$45,16,FALSE),IF(ISBLANK(Deltagarlista!$C46),"",IF(ISBLANK(Arrangörslista!Q$8),"",IFERROR(VLOOKUP($F54,Arrangörslista!C$53:$AG$90,16,FALSE),"DNS")))))),IF(Deltagarlista!$K$3=2,
IF(ISBLANK(Deltagarlista!$C46),"",IF(ISBLANK(Arrangörslista!J$8),"",IF($GV54=Q$64," DNS ",IFERROR(VLOOKUP($F54,Arrangörslista!J$8:$AG$45,16,FALSE),"DNS")))),IF(ISBLANK(Deltagarlista!$C46),"",IF(ISBLANK(Arrangörslista!J$8),"",IFERROR(VLOOKUP($F54,Arrangörslista!J$8:$AG$45,16,FALSE),"DNS")))))</f>
        <v/>
      </c>
      <c r="R54" s="5" t="str">
        <f>IF(Deltagarlista!$K$3=4,IF(ISBLANK(Deltagarlista!$C46),"",IF(ISBLANK(Arrangörslista!D$53),"",IFERROR(VLOOKUP($F54,Arrangörslista!D$53:$AG$90,16,FALSE),IF(ISBLANK(Deltagarlista!$C46),"",IF(ISBLANK(Arrangörslista!D$53),"",IFERROR(VLOOKUP($F54,Arrangörslista!E$53:$AG$90,16,FALSE),"DNS")))))),IF(Deltagarlista!$K$3=2,
IF(ISBLANK(Deltagarlista!$C46),"",IF(ISBLANK(Arrangörslista!K$8),"",IF($GV54=R$64," DNS ",IFERROR(VLOOKUP($F54,Arrangörslista!K$8:$AG$45,16,FALSE),"DNS")))),IF(ISBLANK(Deltagarlista!$C46),"",IF(ISBLANK(Arrangörslista!K$8),"",IFERROR(VLOOKUP($F54,Arrangörslista!K$8:$AG$45,16,FALSE),"DNS")))))</f>
        <v/>
      </c>
      <c r="S54" s="5" t="str">
        <f>IF(Deltagarlista!$K$3=4,IF(ISBLANK(Deltagarlista!$C46),"",IF(ISBLANK(Arrangörslista!F$53),"",IFERROR(VLOOKUP($F54,Arrangörslista!F$53:$AG$90,16,FALSE),IF(ISBLANK(Deltagarlista!$C46),"",IF(ISBLANK(Arrangörslista!F$53),"",IFERROR(VLOOKUP($F54,Arrangörslista!G$53:$AG$90,16,FALSE),"DNS")))))),IF(Deltagarlista!$K$3=2,
IF(ISBLANK(Deltagarlista!$C46),"",IF(ISBLANK(Arrangörslista!L$8),"",IF($GV54=S$64," DNS ",IFERROR(VLOOKUP($F54,Arrangörslista!L$8:$AG$45,16,FALSE),"DNS")))),IF(ISBLANK(Deltagarlista!$C46),"",IF(ISBLANK(Arrangörslista!L$8),"",IFERROR(VLOOKUP($F54,Arrangörslista!L$8:$AG$45,16,FALSE),"DNS")))))</f>
        <v/>
      </c>
      <c r="T54" s="5" t="str">
        <f>IF(Deltagarlista!$K$3=4,IF(ISBLANK(Deltagarlista!$C46),"",IF(ISBLANK(Arrangörslista!H$53),"",IFERROR(VLOOKUP($F54,Arrangörslista!H$53:$AG$90,16,FALSE),IF(ISBLANK(Deltagarlista!$C46),"",IF(ISBLANK(Arrangörslista!H$53),"",IFERROR(VLOOKUP($F54,Arrangörslista!I$53:$AG$90,16,FALSE),"DNS")))))),IF(Deltagarlista!$K$3=2,
IF(ISBLANK(Deltagarlista!$C46),"",IF(ISBLANK(Arrangörslista!M$8),"",IF($GV54=T$64," DNS ",IFERROR(VLOOKUP($F54,Arrangörslista!M$8:$AG$45,16,FALSE),"DNS")))),IF(ISBLANK(Deltagarlista!$C46),"",IF(ISBLANK(Arrangörslista!M$8),"",IFERROR(VLOOKUP($F54,Arrangörslista!M$8:$AG$45,16,FALSE),"DNS")))))</f>
        <v/>
      </c>
      <c r="U54" s="5" t="str">
        <f>IF(Deltagarlista!$K$3=4,IF(ISBLANK(Deltagarlista!$C46),"",IF(ISBLANK(Arrangörslista!J$53),"",IFERROR(VLOOKUP($F54,Arrangörslista!J$53:$AG$90,16,FALSE),IF(ISBLANK(Deltagarlista!$C46),"",IF(ISBLANK(Arrangörslista!J$53),"",IFERROR(VLOOKUP($F54,Arrangörslista!K$53:$AG$90,16,FALSE),"DNS")))))),IF(Deltagarlista!$K$3=2,
IF(ISBLANK(Deltagarlista!$C46),"",IF(ISBLANK(Arrangörslista!N$8),"",IF($GV54=U$64," DNS ",IFERROR(VLOOKUP($F54,Arrangörslista!N$8:$AG$45,16,FALSE),"DNS")))),IF(ISBLANK(Deltagarlista!$C46),"",IF(ISBLANK(Arrangörslista!N$8),"",IFERROR(VLOOKUP($F54,Arrangörslista!N$8:$AG$45,16,FALSE),"DNS")))))</f>
        <v/>
      </c>
      <c r="V54" s="5" t="str">
        <f>IF(Deltagarlista!$K$3=4,IF(ISBLANK(Deltagarlista!$C46),"",IF(ISBLANK(Arrangörslista!L$53),"",IFERROR(VLOOKUP($F54,Arrangörslista!L$53:$AG$90,16,FALSE),IF(ISBLANK(Deltagarlista!$C46),"",IF(ISBLANK(Arrangörslista!L$53),"",IFERROR(VLOOKUP($F54,Arrangörslista!M$53:$AG$90,16,FALSE),"DNS")))))),IF(Deltagarlista!$K$3=2,
IF(ISBLANK(Deltagarlista!$C46),"",IF(ISBLANK(Arrangörslista!O$8),"",IF($GV54=V$64," DNS ",IFERROR(VLOOKUP($F54,Arrangörslista!O$8:$AG$45,16,FALSE),"DNS")))),IF(ISBLANK(Deltagarlista!$C46),"",IF(ISBLANK(Arrangörslista!O$8),"",IFERROR(VLOOKUP($F54,Arrangörslista!O$8:$AG$45,16,FALSE),"DNS")))))</f>
        <v/>
      </c>
      <c r="W54" s="5" t="str">
        <f>IF(Deltagarlista!$K$3=4,IF(ISBLANK(Deltagarlista!$C46),"",IF(ISBLANK(Arrangörslista!N$53),"",IFERROR(VLOOKUP($F54,Arrangörslista!N$53:$AG$90,16,FALSE),IF(ISBLANK(Deltagarlista!$C46),"",IF(ISBLANK(Arrangörslista!N$53),"",IFERROR(VLOOKUP($F54,Arrangörslista!O$53:$AG$90,16,FALSE),"DNS")))))),IF(Deltagarlista!$K$3=2,
IF(ISBLANK(Deltagarlista!$C46),"",IF(ISBLANK(Arrangörslista!P$8),"",IF($GV54=W$64," DNS ",IFERROR(VLOOKUP($F54,Arrangörslista!P$8:$AG$45,16,FALSE),"DNS")))),IF(ISBLANK(Deltagarlista!$C46),"",IF(ISBLANK(Arrangörslista!P$8),"",IFERROR(VLOOKUP($F54,Arrangörslista!P$8:$AG$45,16,FALSE),"DNS")))))</f>
        <v/>
      </c>
      <c r="X54" s="5" t="str">
        <f>IF(Deltagarlista!$K$3=4,IF(ISBLANK(Deltagarlista!$C46),"",IF(ISBLANK(Arrangörslista!P$53),"",IFERROR(VLOOKUP($F54,Arrangörslista!P$53:$AG$90,16,FALSE),IF(ISBLANK(Deltagarlista!$C46),"",IF(ISBLANK(Arrangörslista!P$53),"",IFERROR(VLOOKUP($F54,Arrangörslista!Q$53:$AG$90,16,FALSE),"DNS")))))),IF(Deltagarlista!$K$3=2,
IF(ISBLANK(Deltagarlista!$C46),"",IF(ISBLANK(Arrangörslista!Q$8),"",IF($GV54=X$64," DNS ",IFERROR(VLOOKUP($F54,Arrangörslista!Q$8:$AG$45,16,FALSE),"DNS")))),IF(ISBLANK(Deltagarlista!$C46),"",IF(ISBLANK(Arrangörslista!Q$8),"",IFERROR(VLOOKUP($F54,Arrangörslista!Q$8:$AG$45,16,FALSE),"DNS")))))</f>
        <v/>
      </c>
      <c r="Y54" s="5" t="str">
        <f>IF(Deltagarlista!$K$3=4,IF(ISBLANK(Deltagarlista!$C46),"",IF(ISBLANK(Arrangörslista!C$98),"",IFERROR(VLOOKUP($F54,Arrangörslista!C$98:$AG$135,16,FALSE),IF(ISBLANK(Deltagarlista!$C46),"",IF(ISBLANK(Arrangörslista!C$98),"",IFERROR(VLOOKUP($F54,Arrangörslista!D$98:$AG$135,16,FALSE),"DNS")))))),IF(Deltagarlista!$K$3=2,
IF(ISBLANK(Deltagarlista!$C46),"",IF(ISBLANK(Arrangörslista!C$53),"",IF($GV54=Y$64," DNS ",IFERROR(VLOOKUP($F54,Arrangörslista!C$53:$AG$90,16,FALSE),"DNS")))),IF(ISBLANK(Deltagarlista!$C46),"",IF(ISBLANK(Arrangörslista!C$53),"",IFERROR(VLOOKUP($F54,Arrangörslista!C$53:$AG$90,16,FALSE),"DNS")))))</f>
        <v/>
      </c>
      <c r="Z54" s="5" t="str">
        <f>IF(Deltagarlista!$K$3=4,IF(ISBLANK(Deltagarlista!$C46),"",IF(ISBLANK(Arrangörslista!E$98),"",IFERROR(VLOOKUP($F54,Arrangörslista!E$98:$AG$135,16,FALSE),IF(ISBLANK(Deltagarlista!$C46),"",IF(ISBLANK(Arrangörslista!E$98),"",IFERROR(VLOOKUP($F54,Arrangörslista!F$98:$AG$135,16,FALSE),"DNS")))))),IF(Deltagarlista!$K$3=2,
IF(ISBLANK(Deltagarlista!$C46),"",IF(ISBLANK(Arrangörslista!D$53),"",IF($GV54=Z$64," DNS ",IFERROR(VLOOKUP($F54,Arrangörslista!D$53:$AG$90,16,FALSE),"DNS")))),IF(ISBLANK(Deltagarlista!$C46),"",IF(ISBLANK(Arrangörslista!D$53),"",IFERROR(VLOOKUP($F54,Arrangörslista!D$53:$AG$90,16,FALSE),"DNS")))))</f>
        <v/>
      </c>
      <c r="AA54" s="5" t="str">
        <f>IF(Deltagarlista!$K$3=4,IF(ISBLANK(Deltagarlista!$C46),"",IF(ISBLANK(Arrangörslista!G$98),"",IFERROR(VLOOKUP($F54,Arrangörslista!G$98:$AG$135,16,FALSE),IF(ISBLANK(Deltagarlista!$C46),"",IF(ISBLANK(Arrangörslista!G$98),"",IFERROR(VLOOKUP($F54,Arrangörslista!H$98:$AG$135,16,FALSE),"DNS")))))),IF(Deltagarlista!$K$3=2,
IF(ISBLANK(Deltagarlista!$C46),"",IF(ISBLANK(Arrangörslista!E$53),"",IF($GV54=AA$64," DNS ",IFERROR(VLOOKUP($F54,Arrangörslista!E$53:$AG$90,16,FALSE),"DNS")))),IF(ISBLANK(Deltagarlista!$C46),"",IF(ISBLANK(Arrangörslista!E$53),"",IFERROR(VLOOKUP($F54,Arrangörslista!E$53:$AG$90,16,FALSE),"DNS")))))</f>
        <v/>
      </c>
      <c r="AB54" s="5" t="str">
        <f>IF(Deltagarlista!$K$3=4,IF(ISBLANK(Deltagarlista!$C46),"",IF(ISBLANK(Arrangörslista!I$98),"",IFERROR(VLOOKUP($F54,Arrangörslista!I$98:$AG$135,16,FALSE),IF(ISBLANK(Deltagarlista!$C46),"",IF(ISBLANK(Arrangörslista!I$98),"",IFERROR(VLOOKUP($F54,Arrangörslista!J$98:$AG$135,16,FALSE),"DNS")))))),IF(Deltagarlista!$K$3=2,
IF(ISBLANK(Deltagarlista!$C46),"",IF(ISBLANK(Arrangörslista!F$53),"",IF($GV54=AB$64," DNS ",IFERROR(VLOOKUP($F54,Arrangörslista!F$53:$AG$90,16,FALSE),"DNS")))),IF(ISBLANK(Deltagarlista!$C46),"",IF(ISBLANK(Arrangörslista!F$53),"",IFERROR(VLOOKUP($F54,Arrangörslista!F$53:$AG$90,16,FALSE),"DNS")))))</f>
        <v/>
      </c>
      <c r="AC54" s="5" t="str">
        <f>IF(Deltagarlista!$K$3=4,IF(ISBLANK(Deltagarlista!$C46),"",IF(ISBLANK(Arrangörslista!K$98),"",IFERROR(VLOOKUP($F54,Arrangörslista!K$98:$AG$135,16,FALSE),IF(ISBLANK(Deltagarlista!$C46),"",IF(ISBLANK(Arrangörslista!K$98),"",IFERROR(VLOOKUP($F54,Arrangörslista!L$98:$AG$135,16,FALSE),"DNS")))))),IF(Deltagarlista!$K$3=2,
IF(ISBLANK(Deltagarlista!$C46),"",IF(ISBLANK(Arrangörslista!G$53),"",IF($GV54=AC$64," DNS ",IFERROR(VLOOKUP($F54,Arrangörslista!G$53:$AG$90,16,FALSE),"DNS")))),IF(ISBLANK(Deltagarlista!$C46),"",IF(ISBLANK(Arrangörslista!G$53),"",IFERROR(VLOOKUP($F54,Arrangörslista!G$53:$AG$90,16,FALSE),"DNS")))))</f>
        <v/>
      </c>
      <c r="AD54" s="5" t="str">
        <f>IF(Deltagarlista!$K$3=4,IF(ISBLANK(Deltagarlista!$C46),"",IF(ISBLANK(Arrangörslista!M$98),"",IFERROR(VLOOKUP($F54,Arrangörslista!M$98:$AG$135,16,FALSE),IF(ISBLANK(Deltagarlista!$C46),"",IF(ISBLANK(Arrangörslista!M$98),"",IFERROR(VLOOKUP($F54,Arrangörslista!N$98:$AG$135,16,FALSE),"DNS")))))),IF(Deltagarlista!$K$3=2,
IF(ISBLANK(Deltagarlista!$C46),"",IF(ISBLANK(Arrangörslista!H$53),"",IF($GV54=AD$64," DNS ",IFERROR(VLOOKUP($F54,Arrangörslista!H$53:$AG$90,16,FALSE),"DNS")))),IF(ISBLANK(Deltagarlista!$C46),"",IF(ISBLANK(Arrangörslista!H$53),"",IFERROR(VLOOKUP($F54,Arrangörslista!H$53:$AG$90,16,FALSE),"DNS")))))</f>
        <v/>
      </c>
      <c r="AE54" s="5" t="str">
        <f>IF(Deltagarlista!$K$3=4,IF(ISBLANK(Deltagarlista!$C46),"",IF(ISBLANK(Arrangörslista!O$98),"",IFERROR(VLOOKUP($F54,Arrangörslista!O$98:$AG$135,16,FALSE),IF(ISBLANK(Deltagarlista!$C46),"",IF(ISBLANK(Arrangörslista!O$98),"",IFERROR(VLOOKUP($F54,Arrangörslista!P$98:$AG$135,16,FALSE),"DNS")))))),IF(Deltagarlista!$K$3=2,
IF(ISBLANK(Deltagarlista!$C46),"",IF(ISBLANK(Arrangörslista!I$53),"",IF($GV54=AE$64," DNS ",IFERROR(VLOOKUP($F54,Arrangörslista!I$53:$AG$90,16,FALSE),"DNS")))),IF(ISBLANK(Deltagarlista!$C46),"",IF(ISBLANK(Arrangörslista!I$53),"",IFERROR(VLOOKUP($F54,Arrangörslista!I$53:$AG$90,16,FALSE),"DNS")))))</f>
        <v/>
      </c>
      <c r="AF54" s="5" t="str">
        <f>IF(Deltagarlista!$K$3=4,IF(ISBLANK(Deltagarlista!$C46),"",IF(ISBLANK(Arrangörslista!Q$98),"",IFERROR(VLOOKUP($F54,Arrangörslista!Q$98:$AG$135,16,FALSE),IF(ISBLANK(Deltagarlista!$C46),"",IF(ISBLANK(Arrangörslista!Q$98),"",IFERROR(VLOOKUP($F54,Arrangörslista!C$143:$AG$180,16,FALSE),"DNS")))))),IF(Deltagarlista!$K$3=2,
IF(ISBLANK(Deltagarlista!$C46),"",IF(ISBLANK(Arrangörslista!J$53),"",IF($GV54=AF$64," DNS ",IFERROR(VLOOKUP($F54,Arrangörslista!J$53:$AG$90,16,FALSE),"DNS")))),IF(ISBLANK(Deltagarlista!$C46),"",IF(ISBLANK(Arrangörslista!J$53),"",IFERROR(VLOOKUP($F54,Arrangörslista!J$53:$AG$90,16,FALSE),"DNS")))))</f>
        <v/>
      </c>
      <c r="AG54" s="5" t="str">
        <f>IF(Deltagarlista!$K$3=4,IF(ISBLANK(Deltagarlista!$C46),"",IF(ISBLANK(Arrangörslista!D$143),"",IFERROR(VLOOKUP($F54,Arrangörslista!D$143:$AG$180,16,FALSE),IF(ISBLANK(Deltagarlista!$C46),"",IF(ISBLANK(Arrangörslista!D$143),"",IFERROR(VLOOKUP($F54,Arrangörslista!E$143:$AG$180,16,FALSE),"DNS")))))),IF(Deltagarlista!$K$3=2,
IF(ISBLANK(Deltagarlista!$C46),"",IF(ISBLANK(Arrangörslista!K$53),"",IF($GV54=AG$64," DNS ",IFERROR(VLOOKUP($F54,Arrangörslista!K$53:$AG$90,16,FALSE),"DNS")))),IF(ISBLANK(Deltagarlista!$C46),"",IF(ISBLANK(Arrangörslista!K$53),"",IFERROR(VLOOKUP($F54,Arrangörslista!K$53:$AG$90,16,FALSE),"DNS")))))</f>
        <v/>
      </c>
      <c r="AH54" s="5" t="str">
        <f>IF(Deltagarlista!$K$3=4,IF(ISBLANK(Deltagarlista!$C46),"",IF(ISBLANK(Arrangörslista!F$143),"",IFERROR(VLOOKUP($F54,Arrangörslista!F$143:$AG$180,16,FALSE),IF(ISBLANK(Deltagarlista!$C46),"",IF(ISBLANK(Arrangörslista!F$143),"",IFERROR(VLOOKUP($F54,Arrangörslista!G$143:$AG$180,16,FALSE),"DNS")))))),IF(Deltagarlista!$K$3=2,
IF(ISBLANK(Deltagarlista!$C46),"",IF(ISBLANK(Arrangörslista!L$53),"",IF($GV54=AH$64," DNS ",IFERROR(VLOOKUP($F54,Arrangörslista!L$53:$AG$90,16,FALSE),"DNS")))),IF(ISBLANK(Deltagarlista!$C46),"",IF(ISBLANK(Arrangörslista!L$53),"",IFERROR(VLOOKUP($F54,Arrangörslista!L$53:$AG$90,16,FALSE),"DNS")))))</f>
        <v/>
      </c>
      <c r="AI54" s="5" t="str">
        <f>IF(Deltagarlista!$K$3=4,IF(ISBLANK(Deltagarlista!$C46),"",IF(ISBLANK(Arrangörslista!H$143),"",IFERROR(VLOOKUP($F54,Arrangörslista!H$143:$AG$180,16,FALSE),IF(ISBLANK(Deltagarlista!$C46),"",IF(ISBLANK(Arrangörslista!H$143),"",IFERROR(VLOOKUP($F54,Arrangörslista!I$143:$AG$180,16,FALSE),"DNS")))))),IF(Deltagarlista!$K$3=2,
IF(ISBLANK(Deltagarlista!$C46),"",IF(ISBLANK(Arrangörslista!M$53),"",IF($GV54=AI$64," DNS ",IFERROR(VLOOKUP($F54,Arrangörslista!M$53:$AG$90,16,FALSE),"DNS")))),IF(ISBLANK(Deltagarlista!$C46),"",IF(ISBLANK(Arrangörslista!M$53),"",IFERROR(VLOOKUP($F54,Arrangörslista!M$53:$AG$90,16,FALSE),"DNS")))))</f>
        <v/>
      </c>
      <c r="AJ54" s="5" t="str">
        <f>IF(Deltagarlista!$K$3=4,IF(ISBLANK(Deltagarlista!$C46),"",IF(ISBLANK(Arrangörslista!J$143),"",IFERROR(VLOOKUP($F54,Arrangörslista!J$143:$AG$180,16,FALSE),IF(ISBLANK(Deltagarlista!$C46),"",IF(ISBLANK(Arrangörslista!J$143),"",IFERROR(VLOOKUP($F54,Arrangörslista!K$143:$AG$180,16,FALSE),"DNS")))))),IF(Deltagarlista!$K$3=2,
IF(ISBLANK(Deltagarlista!$C46),"",IF(ISBLANK(Arrangörslista!N$53),"",IF($GV54=AJ$64," DNS ",IFERROR(VLOOKUP($F54,Arrangörslista!N$53:$AG$90,16,FALSE),"DNS")))),IF(ISBLANK(Deltagarlista!$C46),"",IF(ISBLANK(Arrangörslista!N$53),"",IFERROR(VLOOKUP($F54,Arrangörslista!N$53:$AG$90,16,FALSE),"DNS")))))</f>
        <v/>
      </c>
      <c r="AK54" s="5" t="str">
        <f>IF(Deltagarlista!$K$3=4,IF(ISBLANK(Deltagarlista!$C46),"",IF(ISBLANK(Arrangörslista!L$143),"",IFERROR(VLOOKUP($F54,Arrangörslista!L$143:$AG$180,16,FALSE),IF(ISBLANK(Deltagarlista!$C46),"",IF(ISBLANK(Arrangörslista!L$143),"",IFERROR(VLOOKUP($F54,Arrangörslista!M$143:$AG$180,16,FALSE),"DNS")))))),IF(Deltagarlista!$K$3=2,
IF(ISBLANK(Deltagarlista!$C46),"",IF(ISBLANK(Arrangörslista!O$53),"",IF($GV54=AK$64," DNS ",IFERROR(VLOOKUP($F54,Arrangörslista!O$53:$AG$90,16,FALSE),"DNS")))),IF(ISBLANK(Deltagarlista!$C46),"",IF(ISBLANK(Arrangörslista!O$53),"",IFERROR(VLOOKUP($F54,Arrangörslista!O$53:$AG$90,16,FALSE),"DNS")))))</f>
        <v/>
      </c>
      <c r="AL54" s="5" t="str">
        <f>IF(Deltagarlista!$K$3=4,IF(ISBLANK(Deltagarlista!$C46),"",IF(ISBLANK(Arrangörslista!N$143),"",IFERROR(VLOOKUP($F54,Arrangörslista!N$143:$AG$180,16,FALSE),IF(ISBLANK(Deltagarlista!$C46),"",IF(ISBLANK(Arrangörslista!N$143),"",IFERROR(VLOOKUP($F54,Arrangörslista!O$143:$AG$180,16,FALSE),"DNS")))))),IF(Deltagarlista!$K$3=2,
IF(ISBLANK(Deltagarlista!$C46),"",IF(ISBLANK(Arrangörslista!P$53),"",IF($GV54=AL$64," DNS ",IFERROR(VLOOKUP($F54,Arrangörslista!P$53:$AG$90,16,FALSE),"DNS")))),IF(ISBLANK(Deltagarlista!$C46),"",IF(ISBLANK(Arrangörslista!P$53),"",IFERROR(VLOOKUP($F54,Arrangörslista!P$53:$AG$90,16,FALSE),"DNS")))))</f>
        <v/>
      </c>
      <c r="AM54" s="5" t="str">
        <f>IF(Deltagarlista!$K$3=4,IF(ISBLANK(Deltagarlista!$C46),"",IF(ISBLANK(Arrangörslista!P$143),"",IFERROR(VLOOKUP($F54,Arrangörslista!P$143:$AG$180,16,FALSE),IF(ISBLANK(Deltagarlista!$C46),"",IF(ISBLANK(Arrangörslista!P$143),"",IFERROR(VLOOKUP($F54,Arrangörslista!Q$143:$AG$180,16,FALSE),"DNS")))))),IF(Deltagarlista!$K$3=2,
IF(ISBLANK(Deltagarlista!$C46),"",IF(ISBLANK(Arrangörslista!Q$53),"",IF($GV54=AM$64," DNS ",IFERROR(VLOOKUP($F54,Arrangörslista!Q$53:$AG$90,16,FALSE),"DNS")))),IF(ISBLANK(Deltagarlista!$C46),"",IF(ISBLANK(Arrangörslista!Q$53),"",IFERROR(VLOOKUP($F54,Arrangörslista!Q$53:$AG$90,16,FALSE),"DNS")))))</f>
        <v/>
      </c>
      <c r="AN54" s="5" t="str">
        <f>IF(Deltagarlista!$K$3=2,
IF(ISBLANK(Deltagarlista!$C46),"",IF(ISBLANK(Arrangörslista!C$98),"",IF($GV54=AN$64," DNS ",IFERROR(VLOOKUP($F54,Arrangörslista!C$98:$AG$135,16,FALSE), "DNS")))), IF(Deltagarlista!$K$3=1,IF(ISBLANK(Deltagarlista!$C46),"",IF(ISBLANK(Arrangörslista!C$98),"",IFERROR(VLOOKUP($F54,Arrangörslista!C$98:$AG$135,16,FALSE), "DNS"))),""))</f>
        <v/>
      </c>
      <c r="AO54" s="5" t="str">
        <f>IF(Deltagarlista!$K$3=2,
IF(ISBLANK(Deltagarlista!$C46),"",IF(ISBLANK(Arrangörslista!D$98),"",IF($GV54=AO$64," DNS ",IFERROR(VLOOKUP($F54,Arrangörslista!D$98:$AG$135,16,FALSE), "DNS")))), IF(Deltagarlista!$K$3=1,IF(ISBLANK(Deltagarlista!$C46),"",IF(ISBLANK(Arrangörslista!D$98),"",IFERROR(VLOOKUP($F54,Arrangörslista!D$98:$AG$135,16,FALSE), "DNS"))),""))</f>
        <v/>
      </c>
      <c r="AP54" s="5" t="str">
        <f>IF(Deltagarlista!$K$3=2,
IF(ISBLANK(Deltagarlista!$C46),"",IF(ISBLANK(Arrangörslista!E$98),"",IF($GV54=AP$64," DNS ",IFERROR(VLOOKUP($F54,Arrangörslista!E$98:$AG$135,16,FALSE), "DNS")))), IF(Deltagarlista!$K$3=1,IF(ISBLANK(Deltagarlista!$C46),"",IF(ISBLANK(Arrangörslista!E$98),"",IFERROR(VLOOKUP($F54,Arrangörslista!E$98:$AG$135,16,FALSE), "DNS"))),""))</f>
        <v/>
      </c>
      <c r="AQ54" s="5" t="str">
        <f>IF(Deltagarlista!$K$3=2,
IF(ISBLANK(Deltagarlista!$C46),"",IF(ISBLANK(Arrangörslista!F$98),"",IF($GV54=AQ$64," DNS ",IFERROR(VLOOKUP($F54,Arrangörslista!F$98:$AG$135,16,FALSE), "DNS")))), IF(Deltagarlista!$K$3=1,IF(ISBLANK(Deltagarlista!$C46),"",IF(ISBLANK(Arrangörslista!F$98),"",IFERROR(VLOOKUP($F54,Arrangörslista!F$98:$AG$135,16,FALSE), "DNS"))),""))</f>
        <v/>
      </c>
      <c r="AR54" s="5" t="str">
        <f>IF(Deltagarlista!$K$3=2,
IF(ISBLANK(Deltagarlista!$C46),"",IF(ISBLANK(Arrangörslista!G$98),"",IF($GV54=AR$64," DNS ",IFERROR(VLOOKUP($F54,Arrangörslista!G$98:$AG$135,16,FALSE), "DNS")))), IF(Deltagarlista!$K$3=1,IF(ISBLANK(Deltagarlista!$C46),"",IF(ISBLANK(Arrangörslista!G$98),"",IFERROR(VLOOKUP($F54,Arrangörslista!G$98:$AG$135,16,FALSE), "DNS"))),""))</f>
        <v/>
      </c>
      <c r="AS54" s="5" t="str">
        <f>IF(Deltagarlista!$K$3=2,
IF(ISBLANK(Deltagarlista!$C46),"",IF(ISBLANK(Arrangörslista!H$98),"",IF($GV54=AS$64," DNS ",IFERROR(VLOOKUP($F54,Arrangörslista!H$98:$AG$135,16,FALSE), "DNS")))), IF(Deltagarlista!$K$3=1,IF(ISBLANK(Deltagarlista!$C46),"",IF(ISBLANK(Arrangörslista!H$98),"",IFERROR(VLOOKUP($F54,Arrangörslista!H$98:$AG$135,16,FALSE), "DNS"))),""))</f>
        <v/>
      </c>
      <c r="AT54" s="5" t="str">
        <f>IF(Deltagarlista!$K$3=2,
IF(ISBLANK(Deltagarlista!$C46),"",IF(ISBLANK(Arrangörslista!I$98),"",IF($GV54=AT$64," DNS ",IFERROR(VLOOKUP($F54,Arrangörslista!I$98:$AG$135,16,FALSE), "DNS")))), IF(Deltagarlista!$K$3=1,IF(ISBLANK(Deltagarlista!$C46),"",IF(ISBLANK(Arrangörslista!I$98),"",IFERROR(VLOOKUP($F54,Arrangörslista!I$98:$AG$135,16,FALSE), "DNS"))),""))</f>
        <v/>
      </c>
      <c r="AU54" s="5" t="str">
        <f>IF(Deltagarlista!$K$3=2,
IF(ISBLANK(Deltagarlista!$C46),"",IF(ISBLANK(Arrangörslista!J$98),"",IF($GV54=AU$64," DNS ",IFERROR(VLOOKUP($F54,Arrangörslista!J$98:$AG$135,16,FALSE), "DNS")))), IF(Deltagarlista!$K$3=1,IF(ISBLANK(Deltagarlista!$C46),"",IF(ISBLANK(Arrangörslista!J$98),"",IFERROR(VLOOKUP($F54,Arrangörslista!J$98:$AG$135,16,FALSE), "DNS"))),""))</f>
        <v/>
      </c>
      <c r="AV54" s="5" t="str">
        <f>IF(Deltagarlista!$K$3=2,
IF(ISBLANK(Deltagarlista!$C46),"",IF(ISBLANK(Arrangörslista!K$98),"",IF($GV54=AV$64," DNS ",IFERROR(VLOOKUP($F54,Arrangörslista!K$98:$AG$135,16,FALSE), "DNS")))), IF(Deltagarlista!$K$3=1,IF(ISBLANK(Deltagarlista!$C46),"",IF(ISBLANK(Arrangörslista!K$98),"",IFERROR(VLOOKUP($F54,Arrangörslista!K$98:$AG$135,16,FALSE), "DNS"))),""))</f>
        <v/>
      </c>
      <c r="AW54" s="5" t="str">
        <f>IF(Deltagarlista!$K$3=2,
IF(ISBLANK(Deltagarlista!$C46),"",IF(ISBLANK(Arrangörslista!L$98),"",IF($GV54=AW$64," DNS ",IFERROR(VLOOKUP($F54,Arrangörslista!L$98:$AG$135,16,FALSE), "DNS")))), IF(Deltagarlista!$K$3=1,IF(ISBLANK(Deltagarlista!$C46),"",IF(ISBLANK(Arrangörslista!L$98),"",IFERROR(VLOOKUP($F54,Arrangörslista!L$98:$AG$135,16,FALSE), "DNS"))),""))</f>
        <v/>
      </c>
      <c r="AX54" s="5" t="str">
        <f>IF(Deltagarlista!$K$3=2,
IF(ISBLANK(Deltagarlista!$C46),"",IF(ISBLANK(Arrangörslista!M$98),"",IF($GV54=AX$64," DNS ",IFERROR(VLOOKUP($F54,Arrangörslista!M$98:$AG$135,16,FALSE), "DNS")))), IF(Deltagarlista!$K$3=1,IF(ISBLANK(Deltagarlista!$C46),"",IF(ISBLANK(Arrangörslista!M$98),"",IFERROR(VLOOKUP($F54,Arrangörslista!M$98:$AG$135,16,FALSE), "DNS"))),""))</f>
        <v/>
      </c>
      <c r="AY54" s="5" t="str">
        <f>IF(Deltagarlista!$K$3=2,
IF(ISBLANK(Deltagarlista!$C46),"",IF(ISBLANK(Arrangörslista!N$98),"",IF($GV54=AY$64," DNS ",IFERROR(VLOOKUP($F54,Arrangörslista!N$98:$AG$135,16,FALSE), "DNS")))), IF(Deltagarlista!$K$3=1,IF(ISBLANK(Deltagarlista!$C46),"",IF(ISBLANK(Arrangörslista!N$98),"",IFERROR(VLOOKUP($F54,Arrangörslista!N$98:$AG$135,16,FALSE), "DNS"))),""))</f>
        <v/>
      </c>
      <c r="AZ54" s="5" t="str">
        <f>IF(Deltagarlista!$K$3=2,
IF(ISBLANK(Deltagarlista!$C46),"",IF(ISBLANK(Arrangörslista!O$98),"",IF($GV54=AZ$64," DNS ",IFERROR(VLOOKUP($F54,Arrangörslista!O$98:$AG$135,16,FALSE), "DNS")))), IF(Deltagarlista!$K$3=1,IF(ISBLANK(Deltagarlista!$C46),"",IF(ISBLANK(Arrangörslista!O$98),"",IFERROR(VLOOKUP($F54,Arrangörslista!O$98:$AG$135,16,FALSE), "DNS"))),""))</f>
        <v/>
      </c>
      <c r="BA54" s="5" t="str">
        <f>IF(Deltagarlista!$K$3=2,
IF(ISBLANK(Deltagarlista!$C46),"",IF(ISBLANK(Arrangörslista!P$98),"",IF($GV54=BA$64," DNS ",IFERROR(VLOOKUP($F54,Arrangörslista!P$98:$AG$135,16,FALSE), "DNS")))), IF(Deltagarlista!$K$3=1,IF(ISBLANK(Deltagarlista!$C46),"",IF(ISBLANK(Arrangörslista!P$98),"",IFERROR(VLOOKUP($F54,Arrangörslista!P$98:$AG$135,16,FALSE), "DNS"))),""))</f>
        <v/>
      </c>
      <c r="BB54" s="5" t="str">
        <f>IF(Deltagarlista!$K$3=2,
IF(ISBLANK(Deltagarlista!$C46),"",IF(ISBLANK(Arrangörslista!Q$98),"",IF($GV54=BB$64," DNS ",IFERROR(VLOOKUP($F54,Arrangörslista!Q$98:$AG$135,16,FALSE), "DNS")))), IF(Deltagarlista!$K$3=1,IF(ISBLANK(Deltagarlista!$C46),"",IF(ISBLANK(Arrangörslista!Q$98),"",IFERROR(VLOOKUP($F54,Arrangörslista!Q$98:$AG$135,16,FALSE), "DNS"))),""))</f>
        <v/>
      </c>
      <c r="BC54" s="5" t="str">
        <f>IF(Deltagarlista!$K$3=2,
IF(ISBLANK(Deltagarlista!$C46),"",IF(ISBLANK(Arrangörslista!C$143),"",IF($GV54=BC$64," DNS ",IFERROR(VLOOKUP($F54,Arrangörslista!C$143:$AG$180,16,FALSE), "DNS")))), IF(Deltagarlista!$K$3=1,IF(ISBLANK(Deltagarlista!$C46),"",IF(ISBLANK(Arrangörslista!C$143),"",IFERROR(VLOOKUP($F54,Arrangörslista!C$143:$AG$180,16,FALSE), "DNS"))),""))</f>
        <v/>
      </c>
      <c r="BD54" s="5" t="str">
        <f>IF(Deltagarlista!$K$3=2,
IF(ISBLANK(Deltagarlista!$C46),"",IF(ISBLANK(Arrangörslista!D$143),"",IF($GV54=BD$64," DNS ",IFERROR(VLOOKUP($F54,Arrangörslista!D$143:$AG$180,16,FALSE), "DNS")))), IF(Deltagarlista!$K$3=1,IF(ISBLANK(Deltagarlista!$C46),"",IF(ISBLANK(Arrangörslista!D$143),"",IFERROR(VLOOKUP($F54,Arrangörslista!D$143:$AG$180,16,FALSE), "DNS"))),""))</f>
        <v/>
      </c>
      <c r="BE54" s="5" t="str">
        <f>IF(Deltagarlista!$K$3=2,
IF(ISBLANK(Deltagarlista!$C46),"",IF(ISBLANK(Arrangörslista!E$143),"",IF($GV54=BE$64," DNS ",IFERROR(VLOOKUP($F54,Arrangörslista!E$143:$AG$180,16,FALSE), "DNS")))), IF(Deltagarlista!$K$3=1,IF(ISBLANK(Deltagarlista!$C46),"",IF(ISBLANK(Arrangörslista!E$143),"",IFERROR(VLOOKUP($F54,Arrangörslista!E$143:$AG$180,16,FALSE), "DNS"))),""))</f>
        <v/>
      </c>
      <c r="BF54" s="5" t="str">
        <f>IF(Deltagarlista!$K$3=2,
IF(ISBLANK(Deltagarlista!$C46),"",IF(ISBLANK(Arrangörslista!F$143),"",IF($GV54=BF$64," DNS ",IFERROR(VLOOKUP($F54,Arrangörslista!F$143:$AG$180,16,FALSE), "DNS")))), IF(Deltagarlista!$K$3=1,IF(ISBLANK(Deltagarlista!$C46),"",IF(ISBLANK(Arrangörslista!F$143),"",IFERROR(VLOOKUP($F54,Arrangörslista!F$143:$AG$180,16,FALSE), "DNS"))),""))</f>
        <v/>
      </c>
      <c r="BG54" s="5" t="str">
        <f>IF(Deltagarlista!$K$3=2,
IF(ISBLANK(Deltagarlista!$C46),"",IF(ISBLANK(Arrangörslista!G$143),"",IF($GV54=BG$64," DNS ",IFERROR(VLOOKUP($F54,Arrangörslista!G$143:$AG$180,16,FALSE), "DNS")))), IF(Deltagarlista!$K$3=1,IF(ISBLANK(Deltagarlista!$C46),"",IF(ISBLANK(Arrangörslista!G$143),"",IFERROR(VLOOKUP($F54,Arrangörslista!G$143:$AG$180,16,FALSE), "DNS"))),""))</f>
        <v/>
      </c>
      <c r="BH54" s="5" t="str">
        <f>IF(Deltagarlista!$K$3=2,
IF(ISBLANK(Deltagarlista!$C46),"",IF(ISBLANK(Arrangörslista!H$143),"",IF($GV54=BH$64," DNS ",IFERROR(VLOOKUP($F54,Arrangörslista!H$143:$AG$180,16,FALSE), "DNS")))), IF(Deltagarlista!$K$3=1,IF(ISBLANK(Deltagarlista!$C46),"",IF(ISBLANK(Arrangörslista!H$143),"",IFERROR(VLOOKUP($F54,Arrangörslista!H$143:$AG$180,16,FALSE), "DNS"))),""))</f>
        <v/>
      </c>
      <c r="BI54" s="5" t="str">
        <f>IF(Deltagarlista!$K$3=2,
IF(ISBLANK(Deltagarlista!$C46),"",IF(ISBLANK(Arrangörslista!I$143),"",IF($GV54=BI$64," DNS ",IFERROR(VLOOKUP($F54,Arrangörslista!I$143:$AG$180,16,FALSE), "DNS")))), IF(Deltagarlista!$K$3=1,IF(ISBLANK(Deltagarlista!$C46),"",IF(ISBLANK(Arrangörslista!I$143),"",IFERROR(VLOOKUP($F54,Arrangörslista!I$143:$AG$180,16,FALSE), "DNS"))),""))</f>
        <v/>
      </c>
      <c r="BJ54" s="5" t="str">
        <f>IF(Deltagarlista!$K$3=2,
IF(ISBLANK(Deltagarlista!$C46),"",IF(ISBLANK(Arrangörslista!J$143),"",IF($GV54=BJ$64," DNS ",IFERROR(VLOOKUP($F54,Arrangörslista!J$143:$AG$180,16,FALSE), "DNS")))), IF(Deltagarlista!$K$3=1,IF(ISBLANK(Deltagarlista!$C46),"",IF(ISBLANK(Arrangörslista!J$143),"",IFERROR(VLOOKUP($F54,Arrangörslista!J$143:$AG$180,16,FALSE), "DNS"))),""))</f>
        <v/>
      </c>
      <c r="BK54" s="5" t="str">
        <f>IF(Deltagarlista!$K$3=2,
IF(ISBLANK(Deltagarlista!$C46),"",IF(ISBLANK(Arrangörslista!K$143),"",IF($GV54=BK$64," DNS ",IFERROR(VLOOKUP($F54,Arrangörslista!K$143:$AG$180,16,FALSE), "DNS")))), IF(Deltagarlista!$K$3=1,IF(ISBLANK(Deltagarlista!$C46),"",IF(ISBLANK(Arrangörslista!K$143),"",IFERROR(VLOOKUP($F54,Arrangörslista!K$143:$AG$180,16,FALSE), "DNS"))),""))</f>
        <v/>
      </c>
      <c r="BL54" s="5" t="str">
        <f>IF(Deltagarlista!$K$3=2,
IF(ISBLANK(Deltagarlista!$C46),"",IF(ISBLANK(Arrangörslista!L$143),"",IF($GV54=BL$64," DNS ",IFERROR(VLOOKUP($F54,Arrangörslista!L$143:$AG$180,16,FALSE), "DNS")))), IF(Deltagarlista!$K$3=1,IF(ISBLANK(Deltagarlista!$C46),"",IF(ISBLANK(Arrangörslista!L$143),"",IFERROR(VLOOKUP($F54,Arrangörslista!L$143:$AG$180,16,FALSE), "DNS"))),""))</f>
        <v/>
      </c>
      <c r="BM54" s="5" t="str">
        <f>IF(Deltagarlista!$K$3=2,
IF(ISBLANK(Deltagarlista!$C46),"",IF(ISBLANK(Arrangörslista!M$143),"",IF($GV54=BM$64," DNS ",IFERROR(VLOOKUP($F54,Arrangörslista!M$143:$AG$180,16,FALSE), "DNS")))), IF(Deltagarlista!$K$3=1,IF(ISBLANK(Deltagarlista!$C46),"",IF(ISBLANK(Arrangörslista!M$143),"",IFERROR(VLOOKUP($F54,Arrangörslista!M$143:$AG$180,16,FALSE), "DNS"))),""))</f>
        <v/>
      </c>
      <c r="BN54" s="5" t="str">
        <f>IF(Deltagarlista!$K$3=2,
IF(ISBLANK(Deltagarlista!$C46),"",IF(ISBLANK(Arrangörslista!N$143),"",IF($GV54=BN$64," DNS ",IFERROR(VLOOKUP($F54,Arrangörslista!N$143:$AG$180,16,FALSE), "DNS")))), IF(Deltagarlista!$K$3=1,IF(ISBLANK(Deltagarlista!$C46),"",IF(ISBLANK(Arrangörslista!N$143),"",IFERROR(VLOOKUP($F54,Arrangörslista!N$143:$AG$180,16,FALSE), "DNS"))),""))</f>
        <v/>
      </c>
      <c r="BO54" s="5" t="str">
        <f>IF(Deltagarlista!$K$3=2,
IF(ISBLANK(Deltagarlista!$C46),"",IF(ISBLANK(Arrangörslista!O$143),"",IF($GV54=BO$64," DNS ",IFERROR(VLOOKUP($F54,Arrangörslista!O$143:$AG$180,16,FALSE), "DNS")))), IF(Deltagarlista!$K$3=1,IF(ISBLANK(Deltagarlista!$C46),"",IF(ISBLANK(Arrangörslista!O$143),"",IFERROR(VLOOKUP($F54,Arrangörslista!O$143:$AG$180,16,FALSE), "DNS"))),""))</f>
        <v/>
      </c>
      <c r="BP54" s="5" t="str">
        <f>IF(Deltagarlista!$K$3=2,
IF(ISBLANK(Deltagarlista!$C46),"",IF(ISBLANK(Arrangörslista!P$143),"",IF($GV54=BP$64," DNS ",IFERROR(VLOOKUP($F54,Arrangörslista!P$143:$AG$180,16,FALSE), "DNS")))), IF(Deltagarlista!$K$3=1,IF(ISBLANK(Deltagarlista!$C46),"",IF(ISBLANK(Arrangörslista!P$143),"",IFERROR(VLOOKUP($F54,Arrangörslista!P$143:$AG$180,16,FALSE), "DNS"))),""))</f>
        <v/>
      </c>
      <c r="BQ54" s="80" t="str">
        <f>IF(Deltagarlista!$K$3=2,
IF(ISBLANK(Deltagarlista!$C46),"",IF(ISBLANK(Arrangörslista!Q$143),"",IF($GV54=BQ$64," DNS ",IFERROR(VLOOKUP($F54,Arrangörslista!Q$143:$AG$180,16,FALSE), "DNS")))), IF(Deltagarlista!$K$3=1,IF(ISBLANK(Deltagarlista!$C46),"",IF(ISBLANK(Arrangörslista!Q$143),"",IFERROR(VLOOKUP($F54,Arrangörslista!Q$143:$AG$180,16,FALSE), "DNS"))),""))</f>
        <v/>
      </c>
      <c r="BR54" s="48"/>
      <c r="BU54" s="71">
        <f>SUM(BV54:EC54)</f>
        <v>0</v>
      </c>
      <c r="BV54" s="61">
        <f>IF(J54="",0,IF(OR(J54="DNF",J54="OCS",J54="DSQ",J54="DNS",J54=" DNS "),$BW$3+1,J54))</f>
        <v>0</v>
      </c>
      <c r="BW54" s="61">
        <f>IF(K54="",0,IF(OR(K54="DNF",K54="OCS",K54="DSQ",K54="DNS",K54=" DNS "),$BW$3+1,K54))</f>
        <v>0</v>
      </c>
      <c r="BX54" s="61">
        <f>IF(L54="",0,IF(OR(L54="DNF",L54="OCS",L54="DSQ",L54="DNS",L54=" DNS "),$BW$3+1,L54))</f>
        <v>0</v>
      </c>
      <c r="BY54" s="61">
        <f>IF(M54="",0,IF(OR(M54="DNF",M54="OCS",M54="DSQ",M54="DNS",M54=" DNS "),$BW$3+1,M54))</f>
        <v>0</v>
      </c>
      <c r="BZ54" s="61">
        <f>IF(N54="",0,IF(OR(N54="DNF",N54="OCS",N54="DSQ",N54="DNS",N54=" DNS "),$BW$3+1,N54))</f>
        <v>0</v>
      </c>
      <c r="CA54" s="61">
        <f>IF(O54="",0,IF(OR(O54="DNF",O54="OCS",O54="DSQ",O54="DNS",O54=" DNS "),$BW$3+1,O54))</f>
        <v>0</v>
      </c>
      <c r="CB54" s="61">
        <f>IF(P54="",0,IF(OR(P54="DNF",P54="OCS",P54="DSQ",P54="DNS",P54=" DNS "),$BW$3+1,P54))</f>
        <v>0</v>
      </c>
      <c r="CC54" s="61">
        <f>IF(Q54="",0,IF(OR(Q54="DNF",Q54="OCS",Q54="DSQ",Q54="DNS",Q54=" DNS "),$BW$3+1,Q54))</f>
        <v>0</v>
      </c>
      <c r="CD54" s="61">
        <f>IF(R54="",0,IF(OR(R54="DNF",R54="OCS",R54="DSQ",R54="DNS",R54=" DNS "),$BW$3+1,R54))</f>
        <v>0</v>
      </c>
      <c r="CE54" s="61">
        <f>IF(S54="",0,IF(OR(S54="DNF",S54="OCS",S54="DSQ",S54="DNS",S54=" DNS "),$BW$3+1,S54))</f>
        <v>0</v>
      </c>
      <c r="CF54" s="61">
        <f>IF(T54="",0,IF(OR(T54="DNF",T54="OCS",T54="DSQ",T54="DNS",T54=" DNS "),$BW$3+1,T54))</f>
        <v>0</v>
      </c>
      <c r="CG54" s="61">
        <f>IF(U54="",0,IF(OR(U54="DNF",U54="OCS",U54="DSQ",U54="DNS",U54=" DNS "),$BW$3+1,U54))</f>
        <v>0</v>
      </c>
      <c r="CH54" s="61">
        <f>IF(V54="",0,IF(OR(V54="DNF",V54="OCS",V54="DSQ",V54="DNS",V54=" DNS "),$BW$3+1,V54))</f>
        <v>0</v>
      </c>
      <c r="CI54" s="61">
        <f>IF(W54="",0,IF(OR(W54="DNF",W54="OCS",W54="DSQ",W54="DNS",W54=" DNS "),$BW$3+1,W54))</f>
        <v>0</v>
      </c>
      <c r="CJ54" s="61">
        <f>IF(X54="",0,IF(OR(X54="DNF",X54="OCS",X54="DSQ",X54="DNS",X54=" DNS "),$BW$3+1,X54))</f>
        <v>0</v>
      </c>
      <c r="CK54" s="61">
        <f>IF(Y54="",0,IF(OR(Y54="DNF",Y54="OCS",Y54="DSQ",Y54="DNS",Y54=" DNS "),$BW$3+1,Y54))</f>
        <v>0</v>
      </c>
      <c r="CL54" s="61">
        <f>IF(Z54="",0,IF(OR(Z54="DNF",Z54="OCS",Z54="DSQ",Z54="DNS",Z54=" DNS "),$BW$3+1,Z54))</f>
        <v>0</v>
      </c>
      <c r="CM54" s="61">
        <f>IF(AA54="",0,IF(OR(AA54="DNF",AA54="OCS",AA54="DSQ",AA54="DNS",AA54=" DNS "),$BW$3+1,AA54))</f>
        <v>0</v>
      </c>
      <c r="CN54" s="61">
        <f>IF(AB54="",0,IF(OR(AB54="DNF",AB54="OCS",AB54="DSQ",AB54="DNS",AB54=" DNS "),$BW$3+1,AB54))</f>
        <v>0</v>
      </c>
      <c r="CO54" s="61">
        <f>IF(AC54="",0,IF(OR(AC54="DNF",AC54="OCS",AC54="DSQ",AC54="DNS",AC54=" DNS "),$BW$3+1,AC54))</f>
        <v>0</v>
      </c>
      <c r="CP54" s="61">
        <f>IF(AD54="",0,IF(OR(AD54="DNF",AD54="OCS",AD54="DSQ",AD54="DNS",AD54=" DNS "),$BW$3+1,AD54))</f>
        <v>0</v>
      </c>
      <c r="CQ54" s="61">
        <f>IF(AE54="",0,IF(OR(AE54="DNF",AE54="OCS",AE54="DSQ",AE54="DNS",AE54=" DNS "),$BW$3+1,AE54))</f>
        <v>0</v>
      </c>
      <c r="CR54" s="61">
        <f>IF(AF54="",0,IF(OR(AF54="DNF",AF54="OCS",AF54="DSQ",AF54="DNS",AF54=" DNS "),$BW$3+1,AF54))</f>
        <v>0</v>
      </c>
      <c r="CS54" s="61">
        <f>IF(AG54="",0,IF(OR(AG54="DNF",AG54="OCS",AG54="DSQ",AG54="DNS",AG54=" DNS "),$BW$3+1,AG54))</f>
        <v>0</v>
      </c>
      <c r="CT54" s="61">
        <f>IF(AH54="",0,IF(OR(AH54="DNF",AH54="OCS",AH54="DSQ",AH54="DNS",AH54=" DNS "),$BW$3+1,AH54))</f>
        <v>0</v>
      </c>
      <c r="CU54" s="61">
        <f>IF(AI54="",0,IF(OR(AI54="DNF",AI54="OCS",AI54="DSQ",AI54="DNS",AI54=" DNS "),$BW$3+1,AI54))</f>
        <v>0</v>
      </c>
      <c r="CV54" s="61">
        <f>IF(AJ54="",0,IF(OR(AJ54="DNF",AJ54="OCS",AJ54="DSQ",AJ54="DNS",AJ54=" DNS "),$BW$3+1,AJ54))</f>
        <v>0</v>
      </c>
      <c r="CW54" s="61">
        <f>IF(AK54="",0,IF(OR(AK54="DNF",AK54="OCS",AK54="DSQ",AK54="DNS",AK54=" DNS "),$BW$3+1,AK54))</f>
        <v>0</v>
      </c>
      <c r="CX54" s="61">
        <f>IF(AL54="",0,IF(OR(AL54="DNF",AL54="OCS",AL54="DSQ",AL54="DNS",AL54=" DNS "),$BW$3+1,AL54))</f>
        <v>0</v>
      </c>
      <c r="CY54" s="61">
        <f>IF(AM54="",0,IF(OR(AM54="DNF",AM54="OCS",AM54="DSQ",AM54="DNS",AM54=" DNS "),$BW$3+1,AM54))</f>
        <v>0</v>
      </c>
      <c r="CZ54" s="61">
        <f>IF(AN54="",0,IF(OR(AN54="DNF",AN54="OCS",AN54="DSQ",AN54="DNS",AN54=" DNS "),$BW$3+1,AN54))</f>
        <v>0</v>
      </c>
      <c r="DA54" s="61">
        <f>IF(AO54="",0,IF(OR(AO54="DNF",AO54="OCS",AO54="DSQ",AO54="DNS",AO54=" DNS "),$BW$3+1,AO54))</f>
        <v>0</v>
      </c>
      <c r="DB54" s="61">
        <f>IF(AP54="",0,IF(OR(AP54="DNF",AP54="OCS",AP54="DSQ",AP54="DNS",AP54=" DNS "),$BW$3+1,AP54))</f>
        <v>0</v>
      </c>
      <c r="DC54" s="61">
        <f>IF(AQ54="",0,IF(OR(AQ54="DNF",AQ54="OCS",AQ54="DSQ",AQ54="DNS",AQ54=" DNS "),$BW$3+1,AQ54))</f>
        <v>0</v>
      </c>
      <c r="DD54" s="61">
        <f>IF(AR54="",0,IF(OR(AR54="DNF",AR54="OCS",AR54="DSQ",AR54="DNS",AR54=" DNS "),$BW$3+1,AR54))</f>
        <v>0</v>
      </c>
      <c r="DE54" s="61">
        <f>IF(AS54="",0,IF(OR(AS54="DNF",AS54="OCS",AS54="DSQ",AS54="DNS",AS54=" DNS "),$BW$3+1,AS54))</f>
        <v>0</v>
      </c>
      <c r="DF54" s="61">
        <f>IF(AT54="",0,IF(OR(AT54="DNF",AT54="OCS",AT54="DSQ",AT54="DNS",AT54=" DNS "),$BW$3+1,AT54))</f>
        <v>0</v>
      </c>
      <c r="DG54" s="61">
        <f>IF(AU54="",0,IF(OR(AU54="DNF",AU54="OCS",AU54="DSQ",AU54="DNS",AU54=" DNS "),$BW$3+1,AU54))</f>
        <v>0</v>
      </c>
      <c r="DH54" s="61">
        <f>IF(AV54="",0,IF(OR(AV54="DNF",AV54="OCS",AV54="DSQ",AV54="DNS",AV54=" DNS "),$BW$3+1,AV54))</f>
        <v>0</v>
      </c>
      <c r="DI54" s="61">
        <f>IF(AW54="",0,IF(OR(AW54="DNF",AW54="OCS",AW54="DSQ",AW54="DNS",AW54=" DNS "),$BW$3+1,AW54))</f>
        <v>0</v>
      </c>
      <c r="DJ54" s="61">
        <f>IF(AX54="",0,IF(OR(AX54="DNF",AX54="OCS",AX54="DSQ",AX54="DNS",AX54=" DNS "),$BW$3+1,AX54))</f>
        <v>0</v>
      </c>
      <c r="DK54" s="61">
        <f>IF(AY54="",0,IF(OR(AY54="DNF",AY54="OCS",AY54="DSQ",AY54="DNS",AY54=" DNS "),$BW$3+1,AY54))</f>
        <v>0</v>
      </c>
      <c r="DL54" s="61">
        <f>IF(AZ54="",0,IF(OR(AZ54="DNF",AZ54="OCS",AZ54="DSQ",AZ54="DNS",AZ54=" DNS "),$BW$3+1,AZ54))</f>
        <v>0</v>
      </c>
      <c r="DM54" s="61">
        <f>IF(BA54="",0,IF(OR(BA54="DNF",BA54="OCS",BA54="DSQ",BA54="DNS",BA54=" DNS "),$BW$3+1,BA54))</f>
        <v>0</v>
      </c>
      <c r="DN54" s="61">
        <f>IF(BB54="",0,IF(OR(BB54="DNF",BB54="OCS",BB54="DSQ",BB54="DNS",BB54=" DNS "),$BW$3+1,BB54))</f>
        <v>0</v>
      </c>
      <c r="DO54" s="61">
        <f>IF(BC54="",0,IF(OR(BC54="DNF",BC54="OCS",BC54="DSQ",BC54="DNS",BC54=" DNS "),$BW$3+1,BC54))</f>
        <v>0</v>
      </c>
      <c r="DP54" s="61">
        <f>IF(BD54="",0,IF(OR(BD54="DNF",BD54="OCS",BD54="DSQ",BD54="DNS",BD54=" DNS "),$BW$3+1,BD54))</f>
        <v>0</v>
      </c>
      <c r="DQ54" s="61">
        <f>IF(BE54="",0,IF(OR(BE54="DNF",BE54="OCS",BE54="DSQ",BE54="DNS",BE54=" DNS "),$BW$3+1,BE54))</f>
        <v>0</v>
      </c>
      <c r="DR54" s="61">
        <f>IF(BF54="",0,IF(OR(BF54="DNF",BF54="OCS",BF54="DSQ",BF54="DNS",BF54=" DNS "),$BW$3+1,BF54))</f>
        <v>0</v>
      </c>
      <c r="DS54" s="61">
        <f>IF(BG54="",0,IF(OR(BG54="DNF",BG54="OCS",BG54="DSQ",BG54="DNS",BG54=" DNS "),$BW$3+1,BG54))</f>
        <v>0</v>
      </c>
      <c r="DT54" s="61">
        <f>IF(BH54="",0,IF(OR(BH54="DNF",BH54="OCS",BH54="DSQ",BH54="DNS",BH54=" DNS "),$BW$3+1,BH54))</f>
        <v>0</v>
      </c>
      <c r="DU54" s="61">
        <f>IF(BI54="",0,IF(OR(BI54="DNF",BI54="OCS",BI54="DSQ",BI54="DNS",BI54=" DNS "),$BW$3+1,BI54))</f>
        <v>0</v>
      </c>
      <c r="DV54" s="61">
        <f>IF(BJ54="",0,IF(OR(BJ54="DNF",BJ54="OCS",BJ54="DSQ",BJ54="DNS",BJ54=" DNS "),$BW$3+1,BJ54))</f>
        <v>0</v>
      </c>
      <c r="DW54" s="61">
        <f>IF(BK54="",0,IF(OR(BK54="DNF",BK54="OCS",BK54="DSQ",BK54="DNS",BK54=" DNS "),$BW$3+1,BK54))</f>
        <v>0</v>
      </c>
      <c r="DX54" s="61">
        <f>IF(BL54="",0,IF(OR(BL54="DNF",BL54="OCS",BL54="DSQ",BL54="DNS",BL54=" DNS "),$BW$3+1,BL54))</f>
        <v>0</v>
      </c>
      <c r="DY54" s="61">
        <f>IF(BM54="",0,IF(OR(BM54="DNF",BM54="OCS",BM54="DSQ",BM54="DNS",BM54=" DNS "),$BW$3+1,BM54))</f>
        <v>0</v>
      </c>
      <c r="DZ54" s="61">
        <f>IF(BN54="",0,IF(OR(BN54="DNF",BN54="OCS",BN54="DSQ",BN54="DNS",BN54=" DNS "),$BW$3+1,BN54))</f>
        <v>0</v>
      </c>
      <c r="EA54" s="61">
        <f>IF(BO54="",0,IF(OR(BO54="DNF",BO54="OCS",BO54="DSQ",BO54="DNS",BO54=" DNS "),$BW$3+1,BO54))</f>
        <v>0</v>
      </c>
      <c r="EB54" s="61">
        <f>IF(BP54="",0,IF(OR(BP54="DNF",BP54="OCS",BP54="DSQ",BP54="DNS",BP54=" DNS "),$BW$3+1,BP54))</f>
        <v>0</v>
      </c>
      <c r="EC54" s="61">
        <f>IF(BQ54="",0,IF(OR(BQ54="DNF",BQ54="OCS",BQ54="DSQ",BQ54="DNS",BQ54=" DNS "),$BW$3+1,BQ54))</f>
        <v>0</v>
      </c>
      <c r="EE54" s="61">
        <f xml:space="preserve">
IF(OR(Deltagarlista!$K$3=3,Deltagarlista!$K$3=4),
IF(Arrangörslista!$U$5&lt;8,0,
IF(Arrangörslista!$U$5&lt;16,SUM(LARGE(BV54:CJ54,1)),
IF(Arrangörslista!$U$5&lt;24,SUM(LARGE(BV54:CR54,{1;2})),
IF(Arrangörslista!$U$5&lt;32,SUM(LARGE(BV54:CZ54,{1;2;3})),
IF(Arrangörslista!$U$5&lt;40,SUM(LARGE(BV54:DH54,{1;2;3;4})),
IF(Arrangörslista!$U$5&lt;48,SUM(LARGE(BV54:DP54,{1;2;3;4;5})),
IF(Arrangörslista!$U$5&lt;56,SUM(LARGE(BV54:DX54,{1;2;3;4;5;6})),
IF(Arrangörslista!$U$5&lt;64,SUM(LARGE(BV54:EC54,{1;2;3;4;5;6;7})),0)))))))),
IF(Deltagarlista!$K$3=2,
IF(Arrangörslista!$U$5&lt;4,LARGE(BV54:BX54,1),
IF(Arrangörslista!$U$5&lt;7,SUM(LARGE(BV54:CA54,{1;2;3})),
IF(Arrangörslista!$U$5&lt;10,SUM(LARGE(BV54:CD54,{1;2;3;4})),
IF(Arrangörslista!$U$5&lt;13,SUM(LARGE(BV54:CG54,{1;2;3;4;5;6})),
IF(Arrangörslista!$U$5&lt;16,SUM(LARGE(BV54:CJ54,{1;2;3;4;5;6;7})),
IF(Arrangörslista!$U$5&lt;19,SUM(LARGE(BV54:CM54,{1;2;3;4;5;6;7;8;9})),
IF(Arrangörslista!$U$5&lt;22,SUM(LARGE(BV54:CP54,{1;2;3;4;5;6;7;8;9;10})),
IF(Arrangörslista!$U$5&lt;25,SUM(LARGE(BV54:CS54,{1;2;3;4;5;6;7;8;9;10;11;12})),
IF(Arrangörslista!$U$5&lt;28,SUM(LARGE(BV54:CV54,{1;2;3;4;5;6;7;8;9;10;11;12;13})),
IF(Arrangörslista!$U$5&lt;31,SUM(LARGE(BV54:CY54,{1;2;3;4;5;6;7;8;9;10;11;12;13;14;15})),
IF(Arrangörslista!$U$5&lt;34,SUM(LARGE(BV54:DB54,{1;2;3;4;5;6;7;8;9;10;11;12;13;14;15;16})),
IF(Arrangörslista!$U$5&lt;37,SUM(LARGE(BV54:DE54,{1;2;3;4;5;6;7;8;9;10;11;12;13;14;15;16;17;18})),
IF(Arrangörslista!$U$5&lt;40,SUM(LARGE(BV54:DH54,{1;2;3;4;5;6;7;8;9;10;11;12;13;14;15;16;17;18;19})),
IF(Arrangörslista!$U$5&lt;43,SUM(LARGE(BV54:DK54,{1;2;3;4;5;6;7;8;9;10;11;12;13;14;15;16;17;18;19;20;21})),
IF(Arrangörslista!$U$5&lt;46,SUM(LARGE(BV54:DN54,{1;2;3;4;5;6;7;8;9;10;11;12;13;14;15;16;17;18;19;20;21;22})),
IF(Arrangörslista!$U$5&lt;49,SUM(LARGE(BV54:DQ54,{1;2;3;4;5;6;7;8;9;10;11;12;13;14;15;16;17;18;19;20;21;22;23;24})),
IF(Arrangörslista!$U$5&lt;52,SUM(LARGE(BV54:DT54,{1;2;3;4;5;6;7;8;9;10;11;12;13;14;15;16;17;18;19;20;21;22;23;24;25})),
IF(Arrangörslista!$U$5&lt;55,SUM(LARGE(BV54:DW54,{1;2;3;4;5;6;7;8;9;10;11;12;13;14;15;16;17;18;19;20;21;22;23;24;25;26;27})),
IF(Arrangörslista!$U$5&lt;58,SUM(LARGE(BV54:DZ54,{1;2;3;4;5;6;7;8;9;10;11;12;13;14;15;16;17;18;19;20;21;22;23;24;25;26;27;28})),
IF(Arrangörslista!$U$5&lt;61,SUM(LARGE(BV54:EC54,{1;2;3;4;5;6;7;8;9;10;11;12;13;14;15;16;17;18;19;20;21;22;23;24;25;26;27;28;29;30})),0)))))))))))))))))))),
IF(Arrangörslista!$U$5&lt;4,0,
IF(Arrangörslista!$U$5&lt;8,SUM(LARGE(BV54:CB54,1)),
IF(Arrangörslista!$U$5&lt;12,SUM(LARGE(BV54:CF54,{1;2})),
IF(Arrangörslista!$U$5&lt;16,SUM(LARGE(BV54:CJ54,{1;2;3})),
IF(Arrangörslista!$U$5&lt;20,SUM(LARGE(BV54:CN54,{1;2;3;4})),
IF(Arrangörslista!$U$5&lt;24,SUM(LARGE(BV54:CR54,{1;2;3;4;5})),
IF(Arrangörslista!$U$5&lt;28,SUM(LARGE(BV54:CV54,{1;2;3;4;5;6})),
IF(Arrangörslista!$U$5&lt;32,SUM(LARGE(BV54:CZ54,{1;2;3;4;5;6;7})),
IF(Arrangörslista!$U$5&lt;36,SUM(LARGE(BV54:DD54,{1;2;3;4;5;6;7;8})),
IF(Arrangörslista!$U$5&lt;40,SUM(LARGE(BV54:DH54,{1;2;3;4;5;6;7;8;9})),
IF(Arrangörslista!$U$5&lt;44,SUM(LARGE(BV54:DL54,{1;2;3;4;5;6;7;8;9;10})),
IF(Arrangörslista!$U$5&lt;48,SUM(LARGE(BV54:DP54,{1;2;3;4;5;6;7;8;9;10;11})),
IF(Arrangörslista!$U$5&lt;52,SUM(LARGE(BV54:DT54,{1;2;3;4;5;6;7;8;9;10;11;12})),
IF(Arrangörslista!$U$5&lt;56,SUM(LARGE(BV54:DX54,{1;2;3;4;5;6;7;8;9;10;11;12;13})),
IF(Arrangörslista!$U$5&lt;60,SUM(LARGE(BV54:EB54,{1;2;3;4;5;6;7;8;9;10;11;12;13;14})),
IF(Arrangörslista!$U$5=60,SUM(LARGE(BV54:EC54,{1;2;3;4;5;6;7;8;9;10;11;12;13;14;15})),0))))))))))))))))))</f>
        <v>0</v>
      </c>
      <c r="EG54" s="67">
        <f>IF(F54="",,1)</f>
        <v>0</v>
      </c>
      <c r="EH54" s="61"/>
      <c r="EI54" s="61"/>
      <c r="EK54" s="62">
        <f>SMALL($J117:$BQ117,1)</f>
        <v>61</v>
      </c>
      <c r="EL54" s="62">
        <f>SMALL($J117:$BQ117,2)</f>
        <v>61</v>
      </c>
      <c r="EM54" s="62">
        <f>SMALL($J117:$BQ117,3)</f>
        <v>61</v>
      </c>
      <c r="EN54" s="62">
        <f>SMALL($J117:$BQ117,4)</f>
        <v>61</v>
      </c>
      <c r="EO54" s="62">
        <f>SMALL($J117:$BQ117,5)</f>
        <v>61</v>
      </c>
      <c r="EP54" s="62">
        <f>SMALL($J117:$BQ117,6)</f>
        <v>61</v>
      </c>
      <c r="EQ54" s="62">
        <f>SMALL($J117:$BQ117,7)</f>
        <v>61</v>
      </c>
      <c r="ER54" s="62">
        <f>SMALL($J117:$BQ117,8)</f>
        <v>61</v>
      </c>
      <c r="ES54" s="62">
        <f>SMALL($J117:$BQ117,9)</f>
        <v>61</v>
      </c>
      <c r="ET54" s="62">
        <f>SMALL($J117:$BQ117,10)</f>
        <v>61</v>
      </c>
      <c r="EU54" s="62">
        <f>SMALL($J117:$BQ117,11)</f>
        <v>61</v>
      </c>
      <c r="EV54" s="62">
        <f>SMALL($J117:$BQ117,12)</f>
        <v>61</v>
      </c>
      <c r="EW54" s="62">
        <f>SMALL($J117:$BQ117,13)</f>
        <v>61</v>
      </c>
      <c r="EX54" s="62">
        <f>SMALL($J117:$BQ117,14)</f>
        <v>61</v>
      </c>
      <c r="EY54" s="62">
        <f>SMALL($J117:$BQ117,15)</f>
        <v>61</v>
      </c>
      <c r="EZ54" s="62">
        <f>SMALL($J117:$BQ117,16)</f>
        <v>61</v>
      </c>
      <c r="FA54" s="62">
        <f>SMALL($J117:$BQ117,17)</f>
        <v>61</v>
      </c>
      <c r="FB54" s="62">
        <f>SMALL($J117:$BQ117,18)</f>
        <v>61</v>
      </c>
      <c r="FC54" s="62">
        <f>SMALL($J117:$BQ117,19)</f>
        <v>61</v>
      </c>
      <c r="FD54" s="62">
        <f>SMALL($J117:$BQ117,20)</f>
        <v>61</v>
      </c>
      <c r="FE54" s="62">
        <f>SMALL($J117:$BQ117,21)</f>
        <v>61</v>
      </c>
      <c r="FF54" s="62">
        <f>SMALL($J117:$BQ117,22)</f>
        <v>61</v>
      </c>
      <c r="FG54" s="62">
        <f>SMALL($J117:$BQ117,23)</f>
        <v>61</v>
      </c>
      <c r="FH54" s="62">
        <f>SMALL($J117:$BQ117,24)</f>
        <v>61</v>
      </c>
      <c r="FI54" s="62">
        <f>SMALL($J117:$BQ117,25)</f>
        <v>61</v>
      </c>
      <c r="FJ54" s="62">
        <f>SMALL($J117:$BQ117,26)</f>
        <v>61</v>
      </c>
      <c r="FK54" s="62">
        <f>SMALL($J117:$BQ117,27)</f>
        <v>61</v>
      </c>
      <c r="FL54" s="62">
        <f>SMALL($J117:$BQ117,28)</f>
        <v>61</v>
      </c>
      <c r="FM54" s="62">
        <f>SMALL($J117:$BQ117,29)</f>
        <v>61</v>
      </c>
      <c r="FN54" s="62">
        <f>SMALL($J117:$BQ117,30)</f>
        <v>61</v>
      </c>
      <c r="FO54" s="62">
        <f>SMALL($J117:$BQ117,31)</f>
        <v>61</v>
      </c>
      <c r="FP54" s="62">
        <f>SMALL($J117:$BQ117,32)</f>
        <v>61</v>
      </c>
      <c r="FQ54" s="62">
        <f>SMALL($J117:$BQ117,33)</f>
        <v>61</v>
      </c>
      <c r="FR54" s="62">
        <f>SMALL($J117:$BQ117,34)</f>
        <v>61</v>
      </c>
      <c r="FS54" s="62">
        <f>SMALL($J117:$BQ117,35)</f>
        <v>61</v>
      </c>
      <c r="FT54" s="62">
        <f>SMALL($J117:$BQ117,36)</f>
        <v>61</v>
      </c>
      <c r="FU54" s="62">
        <f>SMALL($J117:$BQ117,37)</f>
        <v>61</v>
      </c>
      <c r="FV54" s="62">
        <f>SMALL($J117:$BQ117,38)</f>
        <v>61</v>
      </c>
      <c r="FW54" s="62">
        <f>SMALL($J117:$BQ117,39)</f>
        <v>61</v>
      </c>
      <c r="FX54" s="62">
        <f>SMALL($J117:$BQ117,40)</f>
        <v>61</v>
      </c>
      <c r="FY54" s="62">
        <f>SMALL($J117:$BQ117,41)</f>
        <v>61</v>
      </c>
      <c r="FZ54" s="62">
        <f>SMALL($J117:$BQ117,42)</f>
        <v>61</v>
      </c>
      <c r="GA54" s="62">
        <f>SMALL($J117:$BQ117,43)</f>
        <v>61</v>
      </c>
      <c r="GB54" s="62">
        <f>SMALL($J117:$BQ117,44)</f>
        <v>61</v>
      </c>
      <c r="GC54" s="62">
        <f>SMALL($J117:$BQ117,45)</f>
        <v>61</v>
      </c>
      <c r="GD54" s="62">
        <f>SMALL($J117:$BQ117,46)</f>
        <v>61</v>
      </c>
      <c r="GE54" s="62">
        <f>SMALL($J117:$BQ117,47)</f>
        <v>61</v>
      </c>
      <c r="GF54" s="62">
        <f>SMALL($J117:$BQ117,48)</f>
        <v>61</v>
      </c>
      <c r="GG54" s="62">
        <f>SMALL($J117:$BQ117,49)</f>
        <v>61</v>
      </c>
      <c r="GH54" s="62">
        <f>SMALL($J117:$BQ117,50)</f>
        <v>61</v>
      </c>
      <c r="GI54" s="62">
        <f>SMALL($J117:$BQ117,51)</f>
        <v>61</v>
      </c>
      <c r="GJ54" s="62">
        <f>SMALL($J117:$BQ117,52)</f>
        <v>61</v>
      </c>
      <c r="GK54" s="62">
        <f>SMALL($J117:$BQ117,53)</f>
        <v>61</v>
      </c>
      <c r="GL54" s="62">
        <f>SMALL($J117:$BQ117,54)</f>
        <v>61</v>
      </c>
      <c r="GM54" s="62">
        <f>SMALL($J117:$BQ117,55)</f>
        <v>61</v>
      </c>
      <c r="GN54" s="62">
        <f>SMALL($J117:$BQ117,56)</f>
        <v>61</v>
      </c>
      <c r="GO54" s="62">
        <f>SMALL($J117:$BQ117,57)</f>
        <v>61</v>
      </c>
      <c r="GP54" s="62">
        <f>SMALL($J117:$BQ117,58)</f>
        <v>61</v>
      </c>
      <c r="GQ54" s="62">
        <f>SMALL($J117:$BQ117,59)</f>
        <v>61</v>
      </c>
      <c r="GR54" s="62">
        <f>SMALL($J117:$BQ117,60)</f>
        <v>61</v>
      </c>
      <c r="GT54" s="62">
        <f>IF(Deltagarlista!$K$3=2,
IF(GW54="1",
      IF(Arrangörslista!$U$5=1,J117,
IF(Arrangörslista!$U$5=2,K117,
IF(Arrangörslista!$U$5=3,L117,
IF(Arrangörslista!$U$5=4,M117,
IF(Arrangörslista!$U$5=5,N117,
IF(Arrangörslista!$U$5=6,O117,
IF(Arrangörslista!$U$5=7,P117,
IF(Arrangörslista!$U$5=8,Q117,
IF(Arrangörslista!$U$5=9,R117,
IF(Arrangörslista!$U$5=10,S117,
IF(Arrangörslista!$U$5=11,T117,
IF(Arrangörslista!$U$5=12,U117,
IF(Arrangörslista!$U$5=13,V117,
IF(Arrangörslista!$U$5=14,W117,
IF(Arrangörslista!$U$5=15,X117,
IF(Arrangörslista!$U$5=16,Y117,IF(Arrangörslista!$U$5=17,Z117,IF(Arrangörslista!$U$5=18,AA117,IF(Arrangörslista!$U$5=19,AB117,IF(Arrangörslista!$U$5=20,AC117,IF(Arrangörslista!$U$5=21,AD117,IF(Arrangörslista!$U$5=22,AE117,IF(Arrangörslista!$U$5=23,AF117, IF(Arrangörslista!$U$5=24,AG117, IF(Arrangörslista!$U$5=25,AH117, IF(Arrangörslista!$U$5=26,AI117, IF(Arrangörslista!$U$5=27,AJ117, IF(Arrangörslista!$U$5=28,AK117, IF(Arrangörslista!$U$5=29,AL117, IF(Arrangörslista!$U$5=30,AM117, IF(Arrangörslista!$U$5=31,AN117, IF(Arrangörslista!$U$5=32,AO117, IF(Arrangörslista!$U$5=33,AP117, IF(Arrangörslista!$U$5=34,AQ117, IF(Arrangörslista!$U$5=35,AR117, IF(Arrangörslista!$U$5=36,AS117, IF(Arrangörslista!$U$5=37,AT117, IF(Arrangörslista!$U$5=38,AU117, IF(Arrangörslista!$U$5=39,AV117, IF(Arrangörslista!$U$5=40,AW117, IF(Arrangörslista!$U$5=41,AX117, IF(Arrangörslista!$U$5=42,AY117, IF(Arrangörslista!$U$5=43,AZ117, IF(Arrangörslista!$U$5=44,BA117, IF(Arrangörslista!$U$5=45,BB117, IF(Arrangörslista!$U$5=46,BC117, IF(Arrangörslista!$U$5=47,BD117, IF(Arrangörslista!$U$5=48,BE117, IF(Arrangörslista!$U$5=49,BF117, IF(Arrangörslista!$U$5=50,BG117, IF(Arrangörslista!$U$5=51,BH117, IF(Arrangörslista!$U$5=52,BI117, IF(Arrangörslista!$U$5=53,BJ117, IF(Arrangörslista!$U$5=54,BK117, IF(Arrangörslista!$U$5=55,BL117, IF(Arrangörslista!$U$5=56,BM117, IF(Arrangörslista!$U$5=57,BN117, IF(Arrangörslista!$U$5=58,BO117, IF(Arrangörslista!$U$5=59,BP117, IF(Arrangörslista!$U$5=60,BQ117,0))))))))))))))))))))))))))))))))))))))))))))))))))))))))))))),IF(Deltagarlista!$K$3=4, IF(Arrangörslista!$U$5=1,J117,
IF(Arrangörslista!$U$5=2,J117,
IF(Arrangörslista!$U$5=3,K117,
IF(Arrangörslista!$U$5=4,K117,
IF(Arrangörslista!$U$5=5,L117,
IF(Arrangörslista!$U$5=6,L117,
IF(Arrangörslista!$U$5=7,M117,
IF(Arrangörslista!$U$5=8,M117,
IF(Arrangörslista!$U$5=9,N117,
IF(Arrangörslista!$U$5=10,N117,
IF(Arrangörslista!$U$5=11,O117,
IF(Arrangörslista!$U$5=12,O117,
IF(Arrangörslista!$U$5=13,P117,
IF(Arrangörslista!$U$5=14,P117,
IF(Arrangörslista!$U$5=15,Q117,
IF(Arrangörslista!$U$5=16,Q117,
IF(Arrangörslista!$U$5=17,R117,
IF(Arrangörslista!$U$5=18,R117,
IF(Arrangörslista!$U$5=19,S117,
IF(Arrangörslista!$U$5=20,S117,
IF(Arrangörslista!$U$5=21,T117,
IF(Arrangörslista!$U$5=22,T117,IF(Arrangörslista!$U$5=23,U117, IF(Arrangörslista!$U$5=24,U117, IF(Arrangörslista!$U$5=25,V117, IF(Arrangörslista!$U$5=26,V117, IF(Arrangörslista!$U$5=27,W117, IF(Arrangörslista!$U$5=28,W117, IF(Arrangörslista!$U$5=29,X117, IF(Arrangörslista!$U$5=30,X117, IF(Arrangörslista!$U$5=31,X117, IF(Arrangörslista!$U$5=32,Y117, IF(Arrangörslista!$U$5=33,AO117, IF(Arrangörslista!$U$5=34,Y117, IF(Arrangörslista!$U$5=35,Z117, IF(Arrangörslista!$U$5=36,AR117, IF(Arrangörslista!$U$5=37,Z117, IF(Arrangörslista!$U$5=38,AA117, IF(Arrangörslista!$U$5=39,AU117, IF(Arrangörslista!$U$5=40,AA117, IF(Arrangörslista!$U$5=41,AB117, IF(Arrangörslista!$U$5=42,AX117, IF(Arrangörslista!$U$5=43,AB117, IF(Arrangörslista!$U$5=44,AC117, IF(Arrangörslista!$U$5=45,BA117, IF(Arrangörslista!$U$5=46,AC117, IF(Arrangörslista!$U$5=47,AD117, IF(Arrangörslista!$U$5=48,BD117, IF(Arrangörslista!$U$5=49,AD117, IF(Arrangörslista!$U$5=50,AE117, IF(Arrangörslista!$U$5=51,BG117, IF(Arrangörslista!$U$5=52,AE117, IF(Arrangörslista!$U$5=53,AF117, IF(Arrangörslista!$U$5=54,BJ117, IF(Arrangörslista!$U$5=55,AF117, IF(Arrangörslista!$U$5=56,AG117, IF(Arrangörslista!$U$5=57,BM117, IF(Arrangörslista!$U$5=58,AG117, IF(Arrangörslista!$U$5=59,AH117, IF(Arrangörslista!$U$5=60,AH117,0)))))))))))))))))))))))))))))))))))))))))))))))))))))))))))),IF(Arrangörslista!$U$5=1,J117,
IF(Arrangörslista!$U$5=2,K117,
IF(Arrangörslista!$U$5=3,L117,
IF(Arrangörslista!$U$5=4,M117,
IF(Arrangörslista!$U$5=5,N117,
IF(Arrangörslista!$U$5=6,O117,
IF(Arrangörslista!$U$5=7,P117,
IF(Arrangörslista!$U$5=8,Q117,
IF(Arrangörslista!$U$5=9,R117,
IF(Arrangörslista!$U$5=10,S117,
IF(Arrangörslista!$U$5=11,T117,
IF(Arrangörslista!$U$5=12,U117,
IF(Arrangörslista!$U$5=13,V117,
IF(Arrangörslista!$U$5=14,W117,
IF(Arrangörslista!$U$5=15,X117,
IF(Arrangörslista!$U$5=16,Y117,IF(Arrangörslista!$U$5=17,Z117,IF(Arrangörslista!$U$5=18,AA117,IF(Arrangörslista!$U$5=19,AB117,IF(Arrangörslista!$U$5=20,AC117,IF(Arrangörslista!$U$5=21,AD117,IF(Arrangörslista!$U$5=22,AE117,IF(Arrangörslista!$U$5=23,AF117, IF(Arrangörslista!$U$5=24,AG117, IF(Arrangörslista!$U$5=25,AH117, IF(Arrangörslista!$U$5=26,AI117, IF(Arrangörslista!$U$5=27,AJ117, IF(Arrangörslista!$U$5=28,AK117, IF(Arrangörslista!$U$5=29,AL117, IF(Arrangörslista!$U$5=30,AM117, IF(Arrangörslista!$U$5=31,AN117, IF(Arrangörslista!$U$5=32,AO117, IF(Arrangörslista!$U$5=33,AP117, IF(Arrangörslista!$U$5=34,AQ117, IF(Arrangörslista!$U$5=35,AR117, IF(Arrangörslista!$U$5=36,AS117, IF(Arrangörslista!$U$5=37,AT117, IF(Arrangörslista!$U$5=38,AU117, IF(Arrangörslista!$U$5=39,AV117, IF(Arrangörslista!$U$5=40,AW117, IF(Arrangörslista!$U$5=41,AX117, IF(Arrangörslista!$U$5=42,AY117, IF(Arrangörslista!$U$5=43,AZ117, IF(Arrangörslista!$U$5=44,BA117, IF(Arrangörslista!$U$5=45,BB117, IF(Arrangörslista!$U$5=46,BC117, IF(Arrangörslista!$U$5=47,BD117, IF(Arrangörslista!$U$5=48,BE117, IF(Arrangörslista!$U$5=49,BF117, IF(Arrangörslista!$U$5=50,BG117, IF(Arrangörslista!$U$5=51,BH117, IF(Arrangörslista!$U$5=52,BI117, IF(Arrangörslista!$U$5=53,BJ117, IF(Arrangörslista!$U$5=54,BK117, IF(Arrangörslista!$U$5=55,BL117, IF(Arrangörslista!$U$5=56,BM117, IF(Arrangörslista!$U$5=57,BN117, IF(Arrangörslista!$U$5=58,BO117, IF(Arrangörslista!$U$5=59,BP117, IF(Arrangörslista!$U$5=60,BQ117,0))))))))))))))))))))))))))))))))))))))))))))))))))))))))))))
))</f>
        <v>0</v>
      </c>
      <c r="GV54" s="65" t="str">
        <f>IFERROR(IF(VLOOKUP(F54,Deltagarlista!$E$5:$I$64,5,FALSE)="Grön","Gr",IF(VLOOKUP(F54,Deltagarlista!$E$5:$I$64,5,FALSE)="Röd","R",IF(VLOOKUP(F54,Deltagarlista!$E$5:$I$64,5,FALSE)="Blå","B","Gu"))),"")</f>
        <v/>
      </c>
      <c r="GW54" s="62" t="str">
        <f t="shared" si="1"/>
        <v/>
      </c>
    </row>
    <row r="55" spans="1:205" ht="15.75" customHeight="1" x14ac:dyDescent="0.3">
      <c r="B55" s="23" t="str">
        <f>IF($BW$3&gt;51,52,"")</f>
        <v/>
      </c>
      <c r="C55" s="92" t="str">
        <f>IF(ISBLANK(Deltagarlista!C47),"",Deltagarlista!C47)</f>
        <v/>
      </c>
      <c r="D55" s="109" t="str">
        <f>CONCATENATE(IF(AND(Deltagarlista!H47="GM",Deltagarlista!$S$14=TRUE),"GM   ",""),  IF(OR(Deltagarlista!$K$3=4,Deltagarlista!$K$3=2),Deltagarlista!I47,""))</f>
        <v/>
      </c>
      <c r="E55" s="8" t="str">
        <f>IF(ISBLANK(Deltagarlista!D47),"",Deltagarlista!D47)</f>
        <v/>
      </c>
      <c r="F55" s="8" t="str">
        <f>IF(ISBLANK(Deltagarlista!E47),"",Deltagarlista!E47)</f>
        <v/>
      </c>
      <c r="G55" s="95" t="str">
        <f>IF(ISBLANK(Deltagarlista!F47),"",Deltagarlista!F47)</f>
        <v/>
      </c>
      <c r="H55" s="72" t="str">
        <f>IF(ISBLANK(Deltagarlista!C47),"",BU55-EE55)</f>
        <v/>
      </c>
      <c r="I55" s="13" t="str">
        <f>IF(ISBLANK(Deltagarlista!C47),"",IF(AND(Deltagarlista!$K$3=2,Deltagarlista!$L$3&lt;37),SUM(SUM(BV55:EC55)-(ROUNDDOWN(Arrangörslista!$U$5/3,1))*($BW$3+1)),SUM(BV55:EC55)))</f>
        <v/>
      </c>
      <c r="J55" s="79" t="str">
        <f>IF(Deltagarlista!$K$3=4,IF(ISBLANK(Deltagarlista!$C47),"",IF(ISBLANK(Arrangörslista!C$8),"",IFERROR(VLOOKUP($F55,Arrangörslista!C$8:$AG$45,16,FALSE),IF(ISBLANK(Deltagarlista!$C47),"",IF(ISBLANK(Arrangörslista!C$8),"",IFERROR(VLOOKUP($F55,Arrangörslista!D$8:$AG$45,16,FALSE),"DNS")))))),IF(Deltagarlista!$K$3=2,
IF(ISBLANK(Deltagarlista!$C47),"",IF(ISBLANK(Arrangörslista!C$8),"",IF($GV55=J$64," DNS ",IFERROR(VLOOKUP($F55,Arrangörslista!C$8:$AG$45,16,FALSE),"DNS")))),IF(ISBLANK(Deltagarlista!$C47),"",IF(ISBLANK(Arrangörslista!C$8),"",IFERROR(VLOOKUP($F55,Arrangörslista!C$8:$AG$45,16,FALSE),"DNS")))))</f>
        <v/>
      </c>
      <c r="K55" s="5" t="str">
        <f>IF(Deltagarlista!$K$3=4,IF(ISBLANK(Deltagarlista!$C47),"",IF(ISBLANK(Arrangörslista!E$8),"",IFERROR(VLOOKUP($F55,Arrangörslista!E$8:$AG$45,16,FALSE),IF(ISBLANK(Deltagarlista!$C47),"",IF(ISBLANK(Arrangörslista!E$8),"",IFERROR(VLOOKUP($F55,Arrangörslista!F$8:$AG$45,16,FALSE),"DNS")))))),IF(Deltagarlista!$K$3=2,
IF(ISBLANK(Deltagarlista!$C47),"",IF(ISBLANK(Arrangörslista!D$8),"",IF($GV55=K$64," DNS ",IFERROR(VLOOKUP($F55,Arrangörslista!D$8:$AG$45,16,FALSE),"DNS")))),IF(ISBLANK(Deltagarlista!$C47),"",IF(ISBLANK(Arrangörslista!D$8),"",IFERROR(VLOOKUP($F55,Arrangörslista!D$8:$AG$45,16,FALSE),"DNS")))))</f>
        <v/>
      </c>
      <c r="L55" s="5" t="str">
        <f>IF(Deltagarlista!$K$3=4,IF(ISBLANK(Deltagarlista!$C47),"",IF(ISBLANK(Arrangörslista!G$8),"",IFERROR(VLOOKUP($F55,Arrangörslista!G$8:$AG$45,16,FALSE),IF(ISBLANK(Deltagarlista!$C47),"",IF(ISBLANK(Arrangörslista!G$8),"",IFERROR(VLOOKUP($F55,Arrangörslista!H$8:$AG$45,16,FALSE),"DNS")))))),IF(Deltagarlista!$K$3=2,
IF(ISBLANK(Deltagarlista!$C47),"",IF(ISBLANK(Arrangörslista!E$8),"",IF($GV55=L$64," DNS ",IFERROR(VLOOKUP($F55,Arrangörslista!E$8:$AG$45,16,FALSE),"DNS")))),IF(ISBLANK(Deltagarlista!$C47),"",IF(ISBLANK(Arrangörslista!E$8),"",IFERROR(VLOOKUP($F55,Arrangörslista!E$8:$AG$45,16,FALSE),"DNS")))))</f>
        <v/>
      </c>
      <c r="M55" s="5" t="str">
        <f>IF(Deltagarlista!$K$3=4,IF(ISBLANK(Deltagarlista!$C47),"",IF(ISBLANK(Arrangörslista!I$8),"",IFERROR(VLOOKUP($F55,Arrangörslista!I$8:$AG$45,16,FALSE),IF(ISBLANK(Deltagarlista!$C47),"",IF(ISBLANK(Arrangörslista!I$8),"",IFERROR(VLOOKUP($F55,Arrangörslista!J$8:$AG$45,16,FALSE),"DNS")))))),IF(Deltagarlista!$K$3=2,
IF(ISBLANK(Deltagarlista!$C47),"",IF(ISBLANK(Arrangörslista!F$8),"",IF($GV55=M$64," DNS ",IFERROR(VLOOKUP($F55,Arrangörslista!F$8:$AG$45,16,FALSE),"DNS")))),IF(ISBLANK(Deltagarlista!$C47),"",IF(ISBLANK(Arrangörslista!F$8),"",IFERROR(VLOOKUP($F55,Arrangörslista!F$8:$AG$45,16,FALSE),"DNS")))))</f>
        <v/>
      </c>
      <c r="N55" s="5" t="str">
        <f>IF(Deltagarlista!$K$3=4,IF(ISBLANK(Deltagarlista!$C47),"",IF(ISBLANK(Arrangörslista!K$8),"",IFERROR(VLOOKUP($F55,Arrangörslista!K$8:$AG$45,16,FALSE),IF(ISBLANK(Deltagarlista!$C47),"",IF(ISBLANK(Arrangörslista!K$8),"",IFERROR(VLOOKUP($F55,Arrangörslista!L$8:$AG$45,16,FALSE),"DNS")))))),IF(Deltagarlista!$K$3=2,
IF(ISBLANK(Deltagarlista!$C47),"",IF(ISBLANK(Arrangörslista!G$8),"",IF($GV55=N$64," DNS ",IFERROR(VLOOKUP($F55,Arrangörslista!G$8:$AG$45,16,FALSE),"DNS")))),IF(ISBLANK(Deltagarlista!$C47),"",IF(ISBLANK(Arrangörslista!G$8),"",IFERROR(VLOOKUP($F55,Arrangörslista!G$8:$AG$45,16,FALSE),"DNS")))))</f>
        <v/>
      </c>
      <c r="O55" s="5" t="str">
        <f>IF(Deltagarlista!$K$3=4,IF(ISBLANK(Deltagarlista!$C47),"",IF(ISBLANK(Arrangörslista!M$8),"",IFERROR(VLOOKUP($F55,Arrangörslista!M$8:$AG$45,16,FALSE),IF(ISBLANK(Deltagarlista!$C47),"",IF(ISBLANK(Arrangörslista!M$8),"",IFERROR(VLOOKUP($F55,Arrangörslista!N$8:$AG$45,16,FALSE),"DNS")))))),IF(Deltagarlista!$K$3=2,
IF(ISBLANK(Deltagarlista!$C47),"",IF(ISBLANK(Arrangörslista!H$8),"",IF($GV55=O$64," DNS ",IFERROR(VLOOKUP($F55,Arrangörslista!H$8:$AG$45,16,FALSE),"DNS")))),IF(ISBLANK(Deltagarlista!$C47),"",IF(ISBLANK(Arrangörslista!H$8),"",IFERROR(VLOOKUP($F55,Arrangörslista!H$8:$AG$45,16,FALSE),"DNS")))))</f>
        <v/>
      </c>
      <c r="P55" s="5" t="str">
        <f>IF(Deltagarlista!$K$3=4,IF(ISBLANK(Deltagarlista!$C47),"",IF(ISBLANK(Arrangörslista!O$8),"",IFERROR(VLOOKUP($F55,Arrangörslista!O$8:$AG$45,16,FALSE),IF(ISBLANK(Deltagarlista!$C47),"",IF(ISBLANK(Arrangörslista!O$8),"",IFERROR(VLOOKUP($F55,Arrangörslista!P$8:$AG$45,16,FALSE),"DNS")))))),IF(Deltagarlista!$K$3=2,
IF(ISBLANK(Deltagarlista!$C47),"",IF(ISBLANK(Arrangörslista!I$8),"",IF($GV55=P$64," DNS ",IFERROR(VLOOKUP($F55,Arrangörslista!I$8:$AG$45,16,FALSE),"DNS")))),IF(ISBLANK(Deltagarlista!$C47),"",IF(ISBLANK(Arrangörslista!I$8),"",IFERROR(VLOOKUP($F55,Arrangörslista!I$8:$AG$45,16,FALSE),"DNS")))))</f>
        <v/>
      </c>
      <c r="Q55" s="5" t="str">
        <f>IF(Deltagarlista!$K$3=4,IF(ISBLANK(Deltagarlista!$C47),"",IF(ISBLANK(Arrangörslista!Q$8),"",IFERROR(VLOOKUP($F55,Arrangörslista!Q$8:$AG$45,16,FALSE),IF(ISBLANK(Deltagarlista!$C47),"",IF(ISBLANK(Arrangörslista!Q$8),"",IFERROR(VLOOKUP($F55,Arrangörslista!C$53:$AG$90,16,FALSE),"DNS")))))),IF(Deltagarlista!$K$3=2,
IF(ISBLANK(Deltagarlista!$C47),"",IF(ISBLANK(Arrangörslista!J$8),"",IF($GV55=Q$64," DNS ",IFERROR(VLOOKUP($F55,Arrangörslista!J$8:$AG$45,16,FALSE),"DNS")))),IF(ISBLANK(Deltagarlista!$C47),"",IF(ISBLANK(Arrangörslista!J$8),"",IFERROR(VLOOKUP($F55,Arrangörslista!J$8:$AG$45,16,FALSE),"DNS")))))</f>
        <v/>
      </c>
      <c r="R55" s="5" t="str">
        <f>IF(Deltagarlista!$K$3=4,IF(ISBLANK(Deltagarlista!$C47),"",IF(ISBLANK(Arrangörslista!D$53),"",IFERROR(VLOOKUP($F55,Arrangörslista!D$53:$AG$90,16,FALSE),IF(ISBLANK(Deltagarlista!$C47),"",IF(ISBLANK(Arrangörslista!D$53),"",IFERROR(VLOOKUP($F55,Arrangörslista!E$53:$AG$90,16,FALSE),"DNS")))))),IF(Deltagarlista!$K$3=2,
IF(ISBLANK(Deltagarlista!$C47),"",IF(ISBLANK(Arrangörslista!K$8),"",IF($GV55=R$64," DNS ",IFERROR(VLOOKUP($F55,Arrangörslista!K$8:$AG$45,16,FALSE),"DNS")))),IF(ISBLANK(Deltagarlista!$C47),"",IF(ISBLANK(Arrangörslista!K$8),"",IFERROR(VLOOKUP($F55,Arrangörslista!K$8:$AG$45,16,FALSE),"DNS")))))</f>
        <v/>
      </c>
      <c r="S55" s="5" t="str">
        <f>IF(Deltagarlista!$K$3=4,IF(ISBLANK(Deltagarlista!$C47),"",IF(ISBLANK(Arrangörslista!F$53),"",IFERROR(VLOOKUP($F55,Arrangörslista!F$53:$AG$90,16,FALSE),IF(ISBLANK(Deltagarlista!$C47),"",IF(ISBLANK(Arrangörslista!F$53),"",IFERROR(VLOOKUP($F55,Arrangörslista!G$53:$AG$90,16,FALSE),"DNS")))))),IF(Deltagarlista!$K$3=2,
IF(ISBLANK(Deltagarlista!$C47),"",IF(ISBLANK(Arrangörslista!L$8),"",IF($GV55=S$64," DNS ",IFERROR(VLOOKUP($F55,Arrangörslista!L$8:$AG$45,16,FALSE),"DNS")))),IF(ISBLANK(Deltagarlista!$C47),"",IF(ISBLANK(Arrangörslista!L$8),"",IFERROR(VLOOKUP($F55,Arrangörslista!L$8:$AG$45,16,FALSE),"DNS")))))</f>
        <v/>
      </c>
      <c r="T55" s="5" t="str">
        <f>IF(Deltagarlista!$K$3=4,IF(ISBLANK(Deltagarlista!$C47),"",IF(ISBLANK(Arrangörslista!H$53),"",IFERROR(VLOOKUP($F55,Arrangörslista!H$53:$AG$90,16,FALSE),IF(ISBLANK(Deltagarlista!$C47),"",IF(ISBLANK(Arrangörslista!H$53),"",IFERROR(VLOOKUP($F55,Arrangörslista!I$53:$AG$90,16,FALSE),"DNS")))))),IF(Deltagarlista!$K$3=2,
IF(ISBLANK(Deltagarlista!$C47),"",IF(ISBLANK(Arrangörslista!M$8),"",IF($GV55=T$64," DNS ",IFERROR(VLOOKUP($F55,Arrangörslista!M$8:$AG$45,16,FALSE),"DNS")))),IF(ISBLANK(Deltagarlista!$C47),"",IF(ISBLANK(Arrangörslista!M$8),"",IFERROR(VLOOKUP($F55,Arrangörslista!M$8:$AG$45,16,FALSE),"DNS")))))</f>
        <v/>
      </c>
      <c r="U55" s="5" t="str">
        <f>IF(Deltagarlista!$K$3=4,IF(ISBLANK(Deltagarlista!$C47),"",IF(ISBLANK(Arrangörslista!J$53),"",IFERROR(VLOOKUP($F55,Arrangörslista!J$53:$AG$90,16,FALSE),IF(ISBLANK(Deltagarlista!$C47),"",IF(ISBLANK(Arrangörslista!J$53),"",IFERROR(VLOOKUP($F55,Arrangörslista!K$53:$AG$90,16,FALSE),"DNS")))))),IF(Deltagarlista!$K$3=2,
IF(ISBLANK(Deltagarlista!$C47),"",IF(ISBLANK(Arrangörslista!N$8),"",IF($GV55=U$64," DNS ",IFERROR(VLOOKUP($F55,Arrangörslista!N$8:$AG$45,16,FALSE),"DNS")))),IF(ISBLANK(Deltagarlista!$C47),"",IF(ISBLANK(Arrangörslista!N$8),"",IFERROR(VLOOKUP($F55,Arrangörslista!N$8:$AG$45,16,FALSE),"DNS")))))</f>
        <v/>
      </c>
      <c r="V55" s="5" t="str">
        <f>IF(Deltagarlista!$K$3=4,IF(ISBLANK(Deltagarlista!$C47),"",IF(ISBLANK(Arrangörslista!L$53),"",IFERROR(VLOOKUP($F55,Arrangörslista!L$53:$AG$90,16,FALSE),IF(ISBLANK(Deltagarlista!$C47),"",IF(ISBLANK(Arrangörslista!L$53),"",IFERROR(VLOOKUP($F55,Arrangörslista!M$53:$AG$90,16,FALSE),"DNS")))))),IF(Deltagarlista!$K$3=2,
IF(ISBLANK(Deltagarlista!$C47),"",IF(ISBLANK(Arrangörslista!O$8),"",IF($GV55=V$64," DNS ",IFERROR(VLOOKUP($F55,Arrangörslista!O$8:$AG$45,16,FALSE),"DNS")))),IF(ISBLANK(Deltagarlista!$C47),"",IF(ISBLANK(Arrangörslista!O$8),"",IFERROR(VLOOKUP($F55,Arrangörslista!O$8:$AG$45,16,FALSE),"DNS")))))</f>
        <v/>
      </c>
      <c r="W55" s="5" t="str">
        <f>IF(Deltagarlista!$K$3=4,IF(ISBLANK(Deltagarlista!$C47),"",IF(ISBLANK(Arrangörslista!N$53),"",IFERROR(VLOOKUP($F55,Arrangörslista!N$53:$AG$90,16,FALSE),IF(ISBLANK(Deltagarlista!$C47),"",IF(ISBLANK(Arrangörslista!N$53),"",IFERROR(VLOOKUP($F55,Arrangörslista!O$53:$AG$90,16,FALSE),"DNS")))))),IF(Deltagarlista!$K$3=2,
IF(ISBLANK(Deltagarlista!$C47),"",IF(ISBLANK(Arrangörslista!P$8),"",IF($GV55=W$64," DNS ",IFERROR(VLOOKUP($F55,Arrangörslista!P$8:$AG$45,16,FALSE),"DNS")))),IF(ISBLANK(Deltagarlista!$C47),"",IF(ISBLANK(Arrangörslista!P$8),"",IFERROR(VLOOKUP($F55,Arrangörslista!P$8:$AG$45,16,FALSE),"DNS")))))</f>
        <v/>
      </c>
      <c r="X55" s="5" t="str">
        <f>IF(Deltagarlista!$K$3=4,IF(ISBLANK(Deltagarlista!$C47),"",IF(ISBLANK(Arrangörslista!P$53),"",IFERROR(VLOOKUP($F55,Arrangörslista!P$53:$AG$90,16,FALSE),IF(ISBLANK(Deltagarlista!$C47),"",IF(ISBLANK(Arrangörslista!P$53),"",IFERROR(VLOOKUP($F55,Arrangörslista!Q$53:$AG$90,16,FALSE),"DNS")))))),IF(Deltagarlista!$K$3=2,
IF(ISBLANK(Deltagarlista!$C47),"",IF(ISBLANK(Arrangörslista!Q$8),"",IF($GV55=X$64," DNS ",IFERROR(VLOOKUP($F55,Arrangörslista!Q$8:$AG$45,16,FALSE),"DNS")))),IF(ISBLANK(Deltagarlista!$C47),"",IF(ISBLANK(Arrangörslista!Q$8),"",IFERROR(VLOOKUP($F55,Arrangörslista!Q$8:$AG$45,16,FALSE),"DNS")))))</f>
        <v/>
      </c>
      <c r="Y55" s="5" t="str">
        <f>IF(Deltagarlista!$K$3=4,IF(ISBLANK(Deltagarlista!$C47),"",IF(ISBLANK(Arrangörslista!C$98),"",IFERROR(VLOOKUP($F55,Arrangörslista!C$98:$AG$135,16,FALSE),IF(ISBLANK(Deltagarlista!$C47),"",IF(ISBLANK(Arrangörslista!C$98),"",IFERROR(VLOOKUP($F55,Arrangörslista!D$98:$AG$135,16,FALSE),"DNS")))))),IF(Deltagarlista!$K$3=2,
IF(ISBLANK(Deltagarlista!$C47),"",IF(ISBLANK(Arrangörslista!C$53),"",IF($GV55=Y$64," DNS ",IFERROR(VLOOKUP($F55,Arrangörslista!C$53:$AG$90,16,FALSE),"DNS")))),IF(ISBLANK(Deltagarlista!$C47),"",IF(ISBLANK(Arrangörslista!C$53),"",IFERROR(VLOOKUP($F55,Arrangörslista!C$53:$AG$90,16,FALSE),"DNS")))))</f>
        <v/>
      </c>
      <c r="Z55" s="5" t="str">
        <f>IF(Deltagarlista!$K$3=4,IF(ISBLANK(Deltagarlista!$C47),"",IF(ISBLANK(Arrangörslista!E$98),"",IFERROR(VLOOKUP($F55,Arrangörslista!E$98:$AG$135,16,FALSE),IF(ISBLANK(Deltagarlista!$C47),"",IF(ISBLANK(Arrangörslista!E$98),"",IFERROR(VLOOKUP($F55,Arrangörslista!F$98:$AG$135,16,FALSE),"DNS")))))),IF(Deltagarlista!$K$3=2,
IF(ISBLANK(Deltagarlista!$C47),"",IF(ISBLANK(Arrangörslista!D$53),"",IF($GV55=Z$64," DNS ",IFERROR(VLOOKUP($F55,Arrangörslista!D$53:$AG$90,16,FALSE),"DNS")))),IF(ISBLANK(Deltagarlista!$C47),"",IF(ISBLANK(Arrangörslista!D$53),"",IFERROR(VLOOKUP($F55,Arrangörslista!D$53:$AG$90,16,FALSE),"DNS")))))</f>
        <v/>
      </c>
      <c r="AA55" s="5" t="str">
        <f>IF(Deltagarlista!$K$3=4,IF(ISBLANK(Deltagarlista!$C47),"",IF(ISBLANK(Arrangörslista!G$98),"",IFERROR(VLOOKUP($F55,Arrangörslista!G$98:$AG$135,16,FALSE),IF(ISBLANK(Deltagarlista!$C47),"",IF(ISBLANK(Arrangörslista!G$98),"",IFERROR(VLOOKUP($F55,Arrangörslista!H$98:$AG$135,16,FALSE),"DNS")))))),IF(Deltagarlista!$K$3=2,
IF(ISBLANK(Deltagarlista!$C47),"",IF(ISBLANK(Arrangörslista!E$53),"",IF($GV55=AA$64," DNS ",IFERROR(VLOOKUP($F55,Arrangörslista!E$53:$AG$90,16,FALSE),"DNS")))),IF(ISBLANK(Deltagarlista!$C47),"",IF(ISBLANK(Arrangörslista!E$53),"",IFERROR(VLOOKUP($F55,Arrangörslista!E$53:$AG$90,16,FALSE),"DNS")))))</f>
        <v/>
      </c>
      <c r="AB55" s="5" t="str">
        <f>IF(Deltagarlista!$K$3=4,IF(ISBLANK(Deltagarlista!$C47),"",IF(ISBLANK(Arrangörslista!I$98),"",IFERROR(VLOOKUP($F55,Arrangörslista!I$98:$AG$135,16,FALSE),IF(ISBLANK(Deltagarlista!$C47),"",IF(ISBLANK(Arrangörslista!I$98),"",IFERROR(VLOOKUP($F55,Arrangörslista!J$98:$AG$135,16,FALSE),"DNS")))))),IF(Deltagarlista!$K$3=2,
IF(ISBLANK(Deltagarlista!$C47),"",IF(ISBLANK(Arrangörslista!F$53),"",IF($GV55=AB$64," DNS ",IFERROR(VLOOKUP($F55,Arrangörslista!F$53:$AG$90,16,FALSE),"DNS")))),IF(ISBLANK(Deltagarlista!$C47),"",IF(ISBLANK(Arrangörslista!F$53),"",IFERROR(VLOOKUP($F55,Arrangörslista!F$53:$AG$90,16,FALSE),"DNS")))))</f>
        <v/>
      </c>
      <c r="AC55" s="5" t="str">
        <f>IF(Deltagarlista!$K$3=4,IF(ISBLANK(Deltagarlista!$C47),"",IF(ISBLANK(Arrangörslista!K$98),"",IFERROR(VLOOKUP($F55,Arrangörslista!K$98:$AG$135,16,FALSE),IF(ISBLANK(Deltagarlista!$C47),"",IF(ISBLANK(Arrangörslista!K$98),"",IFERROR(VLOOKUP($F55,Arrangörslista!L$98:$AG$135,16,FALSE),"DNS")))))),IF(Deltagarlista!$K$3=2,
IF(ISBLANK(Deltagarlista!$C47),"",IF(ISBLANK(Arrangörslista!G$53),"",IF($GV55=AC$64," DNS ",IFERROR(VLOOKUP($F55,Arrangörslista!G$53:$AG$90,16,FALSE),"DNS")))),IF(ISBLANK(Deltagarlista!$C47),"",IF(ISBLANK(Arrangörslista!G$53),"",IFERROR(VLOOKUP($F55,Arrangörslista!G$53:$AG$90,16,FALSE),"DNS")))))</f>
        <v/>
      </c>
      <c r="AD55" s="5" t="str">
        <f>IF(Deltagarlista!$K$3=4,IF(ISBLANK(Deltagarlista!$C47),"",IF(ISBLANK(Arrangörslista!M$98),"",IFERROR(VLOOKUP($F55,Arrangörslista!M$98:$AG$135,16,FALSE),IF(ISBLANK(Deltagarlista!$C47),"",IF(ISBLANK(Arrangörslista!M$98),"",IFERROR(VLOOKUP($F55,Arrangörslista!N$98:$AG$135,16,FALSE),"DNS")))))),IF(Deltagarlista!$K$3=2,
IF(ISBLANK(Deltagarlista!$C47),"",IF(ISBLANK(Arrangörslista!H$53),"",IF($GV55=AD$64," DNS ",IFERROR(VLOOKUP($F55,Arrangörslista!H$53:$AG$90,16,FALSE),"DNS")))),IF(ISBLANK(Deltagarlista!$C47),"",IF(ISBLANK(Arrangörslista!H$53),"",IFERROR(VLOOKUP($F55,Arrangörslista!H$53:$AG$90,16,FALSE),"DNS")))))</f>
        <v/>
      </c>
      <c r="AE55" s="5" t="str">
        <f>IF(Deltagarlista!$K$3=4,IF(ISBLANK(Deltagarlista!$C47),"",IF(ISBLANK(Arrangörslista!O$98),"",IFERROR(VLOOKUP($F55,Arrangörslista!O$98:$AG$135,16,FALSE),IF(ISBLANK(Deltagarlista!$C47),"",IF(ISBLANK(Arrangörslista!O$98),"",IFERROR(VLOOKUP($F55,Arrangörslista!P$98:$AG$135,16,FALSE),"DNS")))))),IF(Deltagarlista!$K$3=2,
IF(ISBLANK(Deltagarlista!$C47),"",IF(ISBLANK(Arrangörslista!I$53),"",IF($GV55=AE$64," DNS ",IFERROR(VLOOKUP($F55,Arrangörslista!I$53:$AG$90,16,FALSE),"DNS")))),IF(ISBLANK(Deltagarlista!$C47),"",IF(ISBLANK(Arrangörslista!I$53),"",IFERROR(VLOOKUP($F55,Arrangörslista!I$53:$AG$90,16,FALSE),"DNS")))))</f>
        <v/>
      </c>
      <c r="AF55" s="5" t="str">
        <f>IF(Deltagarlista!$K$3=4,IF(ISBLANK(Deltagarlista!$C47),"",IF(ISBLANK(Arrangörslista!Q$98),"",IFERROR(VLOOKUP($F55,Arrangörslista!Q$98:$AG$135,16,FALSE),IF(ISBLANK(Deltagarlista!$C47),"",IF(ISBLANK(Arrangörslista!Q$98),"",IFERROR(VLOOKUP($F55,Arrangörslista!C$143:$AG$180,16,FALSE),"DNS")))))),IF(Deltagarlista!$K$3=2,
IF(ISBLANK(Deltagarlista!$C47),"",IF(ISBLANK(Arrangörslista!J$53),"",IF($GV55=AF$64," DNS ",IFERROR(VLOOKUP($F55,Arrangörslista!J$53:$AG$90,16,FALSE),"DNS")))),IF(ISBLANK(Deltagarlista!$C47),"",IF(ISBLANK(Arrangörslista!J$53),"",IFERROR(VLOOKUP($F55,Arrangörslista!J$53:$AG$90,16,FALSE),"DNS")))))</f>
        <v/>
      </c>
      <c r="AG55" s="5" t="str">
        <f>IF(Deltagarlista!$K$3=4,IF(ISBLANK(Deltagarlista!$C47),"",IF(ISBLANK(Arrangörslista!D$143),"",IFERROR(VLOOKUP($F55,Arrangörslista!D$143:$AG$180,16,FALSE),IF(ISBLANK(Deltagarlista!$C47),"",IF(ISBLANK(Arrangörslista!D$143),"",IFERROR(VLOOKUP($F55,Arrangörslista!E$143:$AG$180,16,FALSE),"DNS")))))),IF(Deltagarlista!$K$3=2,
IF(ISBLANK(Deltagarlista!$C47),"",IF(ISBLANK(Arrangörslista!K$53),"",IF($GV55=AG$64," DNS ",IFERROR(VLOOKUP($F55,Arrangörslista!K$53:$AG$90,16,FALSE),"DNS")))),IF(ISBLANK(Deltagarlista!$C47),"",IF(ISBLANK(Arrangörslista!K$53),"",IFERROR(VLOOKUP($F55,Arrangörslista!K$53:$AG$90,16,FALSE),"DNS")))))</f>
        <v/>
      </c>
      <c r="AH55" s="5" t="str">
        <f>IF(Deltagarlista!$K$3=4,IF(ISBLANK(Deltagarlista!$C47),"",IF(ISBLANK(Arrangörslista!F$143),"",IFERROR(VLOOKUP($F55,Arrangörslista!F$143:$AG$180,16,FALSE),IF(ISBLANK(Deltagarlista!$C47),"",IF(ISBLANK(Arrangörslista!F$143),"",IFERROR(VLOOKUP($F55,Arrangörslista!G$143:$AG$180,16,FALSE),"DNS")))))),IF(Deltagarlista!$K$3=2,
IF(ISBLANK(Deltagarlista!$C47),"",IF(ISBLANK(Arrangörslista!L$53),"",IF($GV55=AH$64," DNS ",IFERROR(VLOOKUP($F55,Arrangörslista!L$53:$AG$90,16,FALSE),"DNS")))),IF(ISBLANK(Deltagarlista!$C47),"",IF(ISBLANK(Arrangörslista!L$53),"",IFERROR(VLOOKUP($F55,Arrangörslista!L$53:$AG$90,16,FALSE),"DNS")))))</f>
        <v/>
      </c>
      <c r="AI55" s="5" t="str">
        <f>IF(Deltagarlista!$K$3=4,IF(ISBLANK(Deltagarlista!$C47),"",IF(ISBLANK(Arrangörslista!H$143),"",IFERROR(VLOOKUP($F55,Arrangörslista!H$143:$AG$180,16,FALSE),IF(ISBLANK(Deltagarlista!$C47),"",IF(ISBLANK(Arrangörslista!H$143),"",IFERROR(VLOOKUP($F55,Arrangörslista!I$143:$AG$180,16,FALSE),"DNS")))))),IF(Deltagarlista!$K$3=2,
IF(ISBLANK(Deltagarlista!$C47),"",IF(ISBLANK(Arrangörslista!M$53),"",IF($GV55=AI$64," DNS ",IFERROR(VLOOKUP($F55,Arrangörslista!M$53:$AG$90,16,FALSE),"DNS")))),IF(ISBLANK(Deltagarlista!$C47),"",IF(ISBLANK(Arrangörslista!M$53),"",IFERROR(VLOOKUP($F55,Arrangörslista!M$53:$AG$90,16,FALSE),"DNS")))))</f>
        <v/>
      </c>
      <c r="AJ55" s="5" t="str">
        <f>IF(Deltagarlista!$K$3=4,IF(ISBLANK(Deltagarlista!$C47),"",IF(ISBLANK(Arrangörslista!J$143),"",IFERROR(VLOOKUP($F55,Arrangörslista!J$143:$AG$180,16,FALSE),IF(ISBLANK(Deltagarlista!$C47),"",IF(ISBLANK(Arrangörslista!J$143),"",IFERROR(VLOOKUP($F55,Arrangörslista!K$143:$AG$180,16,FALSE),"DNS")))))),IF(Deltagarlista!$K$3=2,
IF(ISBLANK(Deltagarlista!$C47),"",IF(ISBLANK(Arrangörslista!N$53),"",IF($GV55=AJ$64," DNS ",IFERROR(VLOOKUP($F55,Arrangörslista!N$53:$AG$90,16,FALSE),"DNS")))),IF(ISBLANK(Deltagarlista!$C47),"",IF(ISBLANK(Arrangörslista!N$53),"",IFERROR(VLOOKUP($F55,Arrangörslista!N$53:$AG$90,16,FALSE),"DNS")))))</f>
        <v/>
      </c>
      <c r="AK55" s="5" t="str">
        <f>IF(Deltagarlista!$K$3=4,IF(ISBLANK(Deltagarlista!$C47),"",IF(ISBLANK(Arrangörslista!L$143),"",IFERROR(VLOOKUP($F55,Arrangörslista!L$143:$AG$180,16,FALSE),IF(ISBLANK(Deltagarlista!$C47),"",IF(ISBLANK(Arrangörslista!L$143),"",IFERROR(VLOOKUP($F55,Arrangörslista!M$143:$AG$180,16,FALSE),"DNS")))))),IF(Deltagarlista!$K$3=2,
IF(ISBLANK(Deltagarlista!$C47),"",IF(ISBLANK(Arrangörslista!O$53),"",IF($GV55=AK$64," DNS ",IFERROR(VLOOKUP($F55,Arrangörslista!O$53:$AG$90,16,FALSE),"DNS")))),IF(ISBLANK(Deltagarlista!$C47),"",IF(ISBLANK(Arrangörslista!O$53),"",IFERROR(VLOOKUP($F55,Arrangörslista!O$53:$AG$90,16,FALSE),"DNS")))))</f>
        <v/>
      </c>
      <c r="AL55" s="5" t="str">
        <f>IF(Deltagarlista!$K$3=4,IF(ISBLANK(Deltagarlista!$C47),"",IF(ISBLANK(Arrangörslista!N$143),"",IFERROR(VLOOKUP($F55,Arrangörslista!N$143:$AG$180,16,FALSE),IF(ISBLANK(Deltagarlista!$C47),"",IF(ISBLANK(Arrangörslista!N$143),"",IFERROR(VLOOKUP($F55,Arrangörslista!O$143:$AG$180,16,FALSE),"DNS")))))),IF(Deltagarlista!$K$3=2,
IF(ISBLANK(Deltagarlista!$C47),"",IF(ISBLANK(Arrangörslista!P$53),"",IF($GV55=AL$64," DNS ",IFERROR(VLOOKUP($F55,Arrangörslista!P$53:$AG$90,16,FALSE),"DNS")))),IF(ISBLANK(Deltagarlista!$C47),"",IF(ISBLANK(Arrangörslista!P$53),"",IFERROR(VLOOKUP($F55,Arrangörslista!P$53:$AG$90,16,FALSE),"DNS")))))</f>
        <v/>
      </c>
      <c r="AM55" s="5" t="str">
        <f>IF(Deltagarlista!$K$3=4,IF(ISBLANK(Deltagarlista!$C47),"",IF(ISBLANK(Arrangörslista!P$143),"",IFERROR(VLOOKUP($F55,Arrangörslista!P$143:$AG$180,16,FALSE),IF(ISBLANK(Deltagarlista!$C47),"",IF(ISBLANK(Arrangörslista!P$143),"",IFERROR(VLOOKUP($F55,Arrangörslista!Q$143:$AG$180,16,FALSE),"DNS")))))),IF(Deltagarlista!$K$3=2,
IF(ISBLANK(Deltagarlista!$C47),"",IF(ISBLANK(Arrangörslista!Q$53),"",IF($GV55=AM$64," DNS ",IFERROR(VLOOKUP($F55,Arrangörslista!Q$53:$AG$90,16,FALSE),"DNS")))),IF(ISBLANK(Deltagarlista!$C47),"",IF(ISBLANK(Arrangörslista!Q$53),"",IFERROR(VLOOKUP($F55,Arrangörslista!Q$53:$AG$90,16,FALSE),"DNS")))))</f>
        <v/>
      </c>
      <c r="AN55" s="5" t="str">
        <f>IF(Deltagarlista!$K$3=2,
IF(ISBLANK(Deltagarlista!$C47),"",IF(ISBLANK(Arrangörslista!C$98),"",IF($GV55=AN$64," DNS ",IFERROR(VLOOKUP($F55,Arrangörslista!C$98:$AG$135,16,FALSE), "DNS")))), IF(Deltagarlista!$K$3=1,IF(ISBLANK(Deltagarlista!$C47),"",IF(ISBLANK(Arrangörslista!C$98),"",IFERROR(VLOOKUP($F55,Arrangörslista!C$98:$AG$135,16,FALSE), "DNS"))),""))</f>
        <v/>
      </c>
      <c r="AO55" s="5" t="str">
        <f>IF(Deltagarlista!$K$3=2,
IF(ISBLANK(Deltagarlista!$C47),"",IF(ISBLANK(Arrangörslista!D$98),"",IF($GV55=AO$64," DNS ",IFERROR(VLOOKUP($F55,Arrangörslista!D$98:$AG$135,16,FALSE), "DNS")))), IF(Deltagarlista!$K$3=1,IF(ISBLANK(Deltagarlista!$C47),"",IF(ISBLANK(Arrangörslista!D$98),"",IFERROR(VLOOKUP($F55,Arrangörslista!D$98:$AG$135,16,FALSE), "DNS"))),""))</f>
        <v/>
      </c>
      <c r="AP55" s="5" t="str">
        <f>IF(Deltagarlista!$K$3=2,
IF(ISBLANK(Deltagarlista!$C47),"",IF(ISBLANK(Arrangörslista!E$98),"",IF($GV55=AP$64," DNS ",IFERROR(VLOOKUP($F55,Arrangörslista!E$98:$AG$135,16,FALSE), "DNS")))), IF(Deltagarlista!$K$3=1,IF(ISBLANK(Deltagarlista!$C47),"",IF(ISBLANK(Arrangörslista!E$98),"",IFERROR(VLOOKUP($F55,Arrangörslista!E$98:$AG$135,16,FALSE), "DNS"))),""))</f>
        <v/>
      </c>
      <c r="AQ55" s="5" t="str">
        <f>IF(Deltagarlista!$K$3=2,
IF(ISBLANK(Deltagarlista!$C47),"",IF(ISBLANK(Arrangörslista!F$98),"",IF($GV55=AQ$64," DNS ",IFERROR(VLOOKUP($F55,Arrangörslista!F$98:$AG$135,16,FALSE), "DNS")))), IF(Deltagarlista!$K$3=1,IF(ISBLANK(Deltagarlista!$C47),"",IF(ISBLANK(Arrangörslista!F$98),"",IFERROR(VLOOKUP($F55,Arrangörslista!F$98:$AG$135,16,FALSE), "DNS"))),""))</f>
        <v/>
      </c>
      <c r="AR55" s="5" t="str">
        <f>IF(Deltagarlista!$K$3=2,
IF(ISBLANK(Deltagarlista!$C47),"",IF(ISBLANK(Arrangörslista!G$98),"",IF($GV55=AR$64," DNS ",IFERROR(VLOOKUP($F55,Arrangörslista!G$98:$AG$135,16,FALSE), "DNS")))), IF(Deltagarlista!$K$3=1,IF(ISBLANK(Deltagarlista!$C47),"",IF(ISBLANK(Arrangörslista!G$98),"",IFERROR(VLOOKUP($F55,Arrangörslista!G$98:$AG$135,16,FALSE), "DNS"))),""))</f>
        <v/>
      </c>
      <c r="AS55" s="5" t="str">
        <f>IF(Deltagarlista!$K$3=2,
IF(ISBLANK(Deltagarlista!$C47),"",IF(ISBLANK(Arrangörslista!H$98),"",IF($GV55=AS$64," DNS ",IFERROR(VLOOKUP($F55,Arrangörslista!H$98:$AG$135,16,FALSE), "DNS")))), IF(Deltagarlista!$K$3=1,IF(ISBLANK(Deltagarlista!$C47),"",IF(ISBLANK(Arrangörslista!H$98),"",IFERROR(VLOOKUP($F55,Arrangörslista!H$98:$AG$135,16,FALSE), "DNS"))),""))</f>
        <v/>
      </c>
      <c r="AT55" s="5" t="str">
        <f>IF(Deltagarlista!$K$3=2,
IF(ISBLANK(Deltagarlista!$C47),"",IF(ISBLANK(Arrangörslista!I$98),"",IF($GV55=AT$64," DNS ",IFERROR(VLOOKUP($F55,Arrangörslista!I$98:$AG$135,16,FALSE), "DNS")))), IF(Deltagarlista!$K$3=1,IF(ISBLANK(Deltagarlista!$C47),"",IF(ISBLANK(Arrangörslista!I$98),"",IFERROR(VLOOKUP($F55,Arrangörslista!I$98:$AG$135,16,FALSE), "DNS"))),""))</f>
        <v/>
      </c>
      <c r="AU55" s="5" t="str">
        <f>IF(Deltagarlista!$K$3=2,
IF(ISBLANK(Deltagarlista!$C47),"",IF(ISBLANK(Arrangörslista!J$98),"",IF($GV55=AU$64," DNS ",IFERROR(VLOOKUP($F55,Arrangörslista!J$98:$AG$135,16,FALSE), "DNS")))), IF(Deltagarlista!$K$3=1,IF(ISBLANK(Deltagarlista!$C47),"",IF(ISBLANK(Arrangörslista!J$98),"",IFERROR(VLOOKUP($F55,Arrangörslista!J$98:$AG$135,16,FALSE), "DNS"))),""))</f>
        <v/>
      </c>
      <c r="AV55" s="5" t="str">
        <f>IF(Deltagarlista!$K$3=2,
IF(ISBLANK(Deltagarlista!$C47),"",IF(ISBLANK(Arrangörslista!K$98),"",IF($GV55=AV$64," DNS ",IFERROR(VLOOKUP($F55,Arrangörslista!K$98:$AG$135,16,FALSE), "DNS")))), IF(Deltagarlista!$K$3=1,IF(ISBLANK(Deltagarlista!$C47),"",IF(ISBLANK(Arrangörslista!K$98),"",IFERROR(VLOOKUP($F55,Arrangörslista!K$98:$AG$135,16,FALSE), "DNS"))),""))</f>
        <v/>
      </c>
      <c r="AW55" s="5" t="str">
        <f>IF(Deltagarlista!$K$3=2,
IF(ISBLANK(Deltagarlista!$C47),"",IF(ISBLANK(Arrangörslista!L$98),"",IF($GV55=AW$64," DNS ",IFERROR(VLOOKUP($F55,Arrangörslista!L$98:$AG$135,16,FALSE), "DNS")))), IF(Deltagarlista!$K$3=1,IF(ISBLANK(Deltagarlista!$C47),"",IF(ISBLANK(Arrangörslista!L$98),"",IFERROR(VLOOKUP($F55,Arrangörslista!L$98:$AG$135,16,FALSE), "DNS"))),""))</f>
        <v/>
      </c>
      <c r="AX55" s="5" t="str">
        <f>IF(Deltagarlista!$K$3=2,
IF(ISBLANK(Deltagarlista!$C47),"",IF(ISBLANK(Arrangörslista!M$98),"",IF($GV55=AX$64," DNS ",IFERROR(VLOOKUP($F55,Arrangörslista!M$98:$AG$135,16,FALSE), "DNS")))), IF(Deltagarlista!$K$3=1,IF(ISBLANK(Deltagarlista!$C47),"",IF(ISBLANK(Arrangörslista!M$98),"",IFERROR(VLOOKUP($F55,Arrangörslista!M$98:$AG$135,16,FALSE), "DNS"))),""))</f>
        <v/>
      </c>
      <c r="AY55" s="5" t="str">
        <f>IF(Deltagarlista!$K$3=2,
IF(ISBLANK(Deltagarlista!$C47),"",IF(ISBLANK(Arrangörslista!N$98),"",IF($GV55=AY$64," DNS ",IFERROR(VLOOKUP($F55,Arrangörslista!N$98:$AG$135,16,FALSE), "DNS")))), IF(Deltagarlista!$K$3=1,IF(ISBLANK(Deltagarlista!$C47),"",IF(ISBLANK(Arrangörslista!N$98),"",IFERROR(VLOOKUP($F55,Arrangörslista!N$98:$AG$135,16,FALSE), "DNS"))),""))</f>
        <v/>
      </c>
      <c r="AZ55" s="5" t="str">
        <f>IF(Deltagarlista!$K$3=2,
IF(ISBLANK(Deltagarlista!$C47),"",IF(ISBLANK(Arrangörslista!O$98),"",IF($GV55=AZ$64," DNS ",IFERROR(VLOOKUP($F55,Arrangörslista!O$98:$AG$135,16,FALSE), "DNS")))), IF(Deltagarlista!$K$3=1,IF(ISBLANK(Deltagarlista!$C47),"",IF(ISBLANK(Arrangörslista!O$98),"",IFERROR(VLOOKUP($F55,Arrangörslista!O$98:$AG$135,16,FALSE), "DNS"))),""))</f>
        <v/>
      </c>
      <c r="BA55" s="5" t="str">
        <f>IF(Deltagarlista!$K$3=2,
IF(ISBLANK(Deltagarlista!$C47),"",IF(ISBLANK(Arrangörslista!P$98),"",IF($GV55=BA$64," DNS ",IFERROR(VLOOKUP($F55,Arrangörslista!P$98:$AG$135,16,FALSE), "DNS")))), IF(Deltagarlista!$K$3=1,IF(ISBLANK(Deltagarlista!$C47),"",IF(ISBLANK(Arrangörslista!P$98),"",IFERROR(VLOOKUP($F55,Arrangörslista!P$98:$AG$135,16,FALSE), "DNS"))),""))</f>
        <v/>
      </c>
      <c r="BB55" s="5" t="str">
        <f>IF(Deltagarlista!$K$3=2,
IF(ISBLANK(Deltagarlista!$C47),"",IF(ISBLANK(Arrangörslista!Q$98),"",IF($GV55=BB$64," DNS ",IFERROR(VLOOKUP($F55,Arrangörslista!Q$98:$AG$135,16,FALSE), "DNS")))), IF(Deltagarlista!$K$3=1,IF(ISBLANK(Deltagarlista!$C47),"",IF(ISBLANK(Arrangörslista!Q$98),"",IFERROR(VLOOKUP($F55,Arrangörslista!Q$98:$AG$135,16,FALSE), "DNS"))),""))</f>
        <v/>
      </c>
      <c r="BC55" s="5" t="str">
        <f>IF(Deltagarlista!$K$3=2,
IF(ISBLANK(Deltagarlista!$C47),"",IF(ISBLANK(Arrangörslista!C$143),"",IF($GV55=BC$64," DNS ",IFERROR(VLOOKUP($F55,Arrangörslista!C$143:$AG$180,16,FALSE), "DNS")))), IF(Deltagarlista!$K$3=1,IF(ISBLANK(Deltagarlista!$C47),"",IF(ISBLANK(Arrangörslista!C$143),"",IFERROR(VLOOKUP($F55,Arrangörslista!C$143:$AG$180,16,FALSE), "DNS"))),""))</f>
        <v/>
      </c>
      <c r="BD55" s="5" t="str">
        <f>IF(Deltagarlista!$K$3=2,
IF(ISBLANK(Deltagarlista!$C47),"",IF(ISBLANK(Arrangörslista!D$143),"",IF($GV55=BD$64," DNS ",IFERROR(VLOOKUP($F55,Arrangörslista!D$143:$AG$180,16,FALSE), "DNS")))), IF(Deltagarlista!$K$3=1,IF(ISBLANK(Deltagarlista!$C47),"",IF(ISBLANK(Arrangörslista!D$143),"",IFERROR(VLOOKUP($F55,Arrangörslista!D$143:$AG$180,16,FALSE), "DNS"))),""))</f>
        <v/>
      </c>
      <c r="BE55" s="5" t="str">
        <f>IF(Deltagarlista!$K$3=2,
IF(ISBLANK(Deltagarlista!$C47),"",IF(ISBLANK(Arrangörslista!E$143),"",IF($GV55=BE$64," DNS ",IFERROR(VLOOKUP($F55,Arrangörslista!E$143:$AG$180,16,FALSE), "DNS")))), IF(Deltagarlista!$K$3=1,IF(ISBLANK(Deltagarlista!$C47),"",IF(ISBLANK(Arrangörslista!E$143),"",IFERROR(VLOOKUP($F55,Arrangörslista!E$143:$AG$180,16,FALSE), "DNS"))),""))</f>
        <v/>
      </c>
      <c r="BF55" s="5" t="str">
        <f>IF(Deltagarlista!$K$3=2,
IF(ISBLANK(Deltagarlista!$C47),"",IF(ISBLANK(Arrangörslista!F$143),"",IF($GV55=BF$64," DNS ",IFERROR(VLOOKUP($F55,Arrangörslista!F$143:$AG$180,16,FALSE), "DNS")))), IF(Deltagarlista!$K$3=1,IF(ISBLANK(Deltagarlista!$C47),"",IF(ISBLANK(Arrangörslista!F$143),"",IFERROR(VLOOKUP($F55,Arrangörslista!F$143:$AG$180,16,FALSE), "DNS"))),""))</f>
        <v/>
      </c>
      <c r="BG55" s="5" t="str">
        <f>IF(Deltagarlista!$K$3=2,
IF(ISBLANK(Deltagarlista!$C47),"",IF(ISBLANK(Arrangörslista!G$143),"",IF($GV55=BG$64," DNS ",IFERROR(VLOOKUP($F55,Arrangörslista!G$143:$AG$180,16,FALSE), "DNS")))), IF(Deltagarlista!$K$3=1,IF(ISBLANK(Deltagarlista!$C47),"",IF(ISBLANK(Arrangörslista!G$143),"",IFERROR(VLOOKUP($F55,Arrangörslista!G$143:$AG$180,16,FALSE), "DNS"))),""))</f>
        <v/>
      </c>
      <c r="BH55" s="5" t="str">
        <f>IF(Deltagarlista!$K$3=2,
IF(ISBLANK(Deltagarlista!$C47),"",IF(ISBLANK(Arrangörslista!H$143),"",IF($GV55=BH$64," DNS ",IFERROR(VLOOKUP($F55,Arrangörslista!H$143:$AG$180,16,FALSE), "DNS")))), IF(Deltagarlista!$K$3=1,IF(ISBLANK(Deltagarlista!$C47),"",IF(ISBLANK(Arrangörslista!H$143),"",IFERROR(VLOOKUP($F55,Arrangörslista!H$143:$AG$180,16,FALSE), "DNS"))),""))</f>
        <v/>
      </c>
      <c r="BI55" s="5" t="str">
        <f>IF(Deltagarlista!$K$3=2,
IF(ISBLANK(Deltagarlista!$C47),"",IF(ISBLANK(Arrangörslista!I$143),"",IF($GV55=BI$64," DNS ",IFERROR(VLOOKUP($F55,Arrangörslista!I$143:$AG$180,16,FALSE), "DNS")))), IF(Deltagarlista!$K$3=1,IF(ISBLANK(Deltagarlista!$C47),"",IF(ISBLANK(Arrangörslista!I$143),"",IFERROR(VLOOKUP($F55,Arrangörslista!I$143:$AG$180,16,FALSE), "DNS"))),""))</f>
        <v/>
      </c>
      <c r="BJ55" s="5" t="str">
        <f>IF(Deltagarlista!$K$3=2,
IF(ISBLANK(Deltagarlista!$C47),"",IF(ISBLANK(Arrangörslista!J$143),"",IF($GV55=BJ$64," DNS ",IFERROR(VLOOKUP($F55,Arrangörslista!J$143:$AG$180,16,FALSE), "DNS")))), IF(Deltagarlista!$K$3=1,IF(ISBLANK(Deltagarlista!$C47),"",IF(ISBLANK(Arrangörslista!J$143),"",IFERROR(VLOOKUP($F55,Arrangörslista!J$143:$AG$180,16,FALSE), "DNS"))),""))</f>
        <v/>
      </c>
      <c r="BK55" s="5" t="str">
        <f>IF(Deltagarlista!$K$3=2,
IF(ISBLANK(Deltagarlista!$C47),"",IF(ISBLANK(Arrangörslista!K$143),"",IF($GV55=BK$64," DNS ",IFERROR(VLOOKUP($F55,Arrangörslista!K$143:$AG$180,16,FALSE), "DNS")))), IF(Deltagarlista!$K$3=1,IF(ISBLANK(Deltagarlista!$C47),"",IF(ISBLANK(Arrangörslista!K$143),"",IFERROR(VLOOKUP($F55,Arrangörslista!K$143:$AG$180,16,FALSE), "DNS"))),""))</f>
        <v/>
      </c>
      <c r="BL55" s="5" t="str">
        <f>IF(Deltagarlista!$K$3=2,
IF(ISBLANK(Deltagarlista!$C47),"",IF(ISBLANK(Arrangörslista!L$143),"",IF($GV55=BL$64," DNS ",IFERROR(VLOOKUP($F55,Arrangörslista!L$143:$AG$180,16,FALSE), "DNS")))), IF(Deltagarlista!$K$3=1,IF(ISBLANK(Deltagarlista!$C47),"",IF(ISBLANK(Arrangörslista!L$143),"",IFERROR(VLOOKUP($F55,Arrangörslista!L$143:$AG$180,16,FALSE), "DNS"))),""))</f>
        <v/>
      </c>
      <c r="BM55" s="5" t="str">
        <f>IF(Deltagarlista!$K$3=2,
IF(ISBLANK(Deltagarlista!$C47),"",IF(ISBLANK(Arrangörslista!M$143),"",IF($GV55=BM$64," DNS ",IFERROR(VLOOKUP($F55,Arrangörslista!M$143:$AG$180,16,FALSE), "DNS")))), IF(Deltagarlista!$K$3=1,IF(ISBLANK(Deltagarlista!$C47),"",IF(ISBLANK(Arrangörslista!M$143),"",IFERROR(VLOOKUP($F55,Arrangörslista!M$143:$AG$180,16,FALSE), "DNS"))),""))</f>
        <v/>
      </c>
      <c r="BN55" s="5" t="str">
        <f>IF(Deltagarlista!$K$3=2,
IF(ISBLANK(Deltagarlista!$C47),"",IF(ISBLANK(Arrangörslista!N$143),"",IF($GV55=BN$64," DNS ",IFERROR(VLOOKUP($F55,Arrangörslista!N$143:$AG$180,16,FALSE), "DNS")))), IF(Deltagarlista!$K$3=1,IF(ISBLANK(Deltagarlista!$C47),"",IF(ISBLANK(Arrangörslista!N$143),"",IFERROR(VLOOKUP($F55,Arrangörslista!N$143:$AG$180,16,FALSE), "DNS"))),""))</f>
        <v/>
      </c>
      <c r="BO55" s="5" t="str">
        <f>IF(Deltagarlista!$K$3=2,
IF(ISBLANK(Deltagarlista!$C47),"",IF(ISBLANK(Arrangörslista!O$143),"",IF($GV55=BO$64," DNS ",IFERROR(VLOOKUP($F55,Arrangörslista!O$143:$AG$180,16,FALSE), "DNS")))), IF(Deltagarlista!$K$3=1,IF(ISBLANK(Deltagarlista!$C47),"",IF(ISBLANK(Arrangörslista!O$143),"",IFERROR(VLOOKUP($F55,Arrangörslista!O$143:$AG$180,16,FALSE), "DNS"))),""))</f>
        <v/>
      </c>
      <c r="BP55" s="5" t="str">
        <f>IF(Deltagarlista!$K$3=2,
IF(ISBLANK(Deltagarlista!$C47),"",IF(ISBLANK(Arrangörslista!P$143),"",IF($GV55=BP$64," DNS ",IFERROR(VLOOKUP($F55,Arrangörslista!P$143:$AG$180,16,FALSE), "DNS")))), IF(Deltagarlista!$K$3=1,IF(ISBLANK(Deltagarlista!$C47),"",IF(ISBLANK(Arrangörslista!P$143),"",IFERROR(VLOOKUP($F55,Arrangörslista!P$143:$AG$180,16,FALSE), "DNS"))),""))</f>
        <v/>
      </c>
      <c r="BQ55" s="80" t="str">
        <f>IF(Deltagarlista!$K$3=2,
IF(ISBLANK(Deltagarlista!$C47),"",IF(ISBLANK(Arrangörslista!Q$143),"",IF($GV55=BQ$64," DNS ",IFERROR(VLOOKUP($F55,Arrangörslista!Q$143:$AG$180,16,FALSE), "DNS")))), IF(Deltagarlista!$K$3=1,IF(ISBLANK(Deltagarlista!$C47),"",IF(ISBLANK(Arrangörslista!Q$143),"",IFERROR(VLOOKUP($F55,Arrangörslista!Q$143:$AG$180,16,FALSE), "DNS"))),""))</f>
        <v/>
      </c>
      <c r="BR55" s="48"/>
      <c r="BU55" s="71">
        <f>SUM(BV55:EC55)</f>
        <v>0</v>
      </c>
      <c r="BV55" s="61">
        <f>IF(J55="",0,IF(OR(J55="DNF",J55="OCS",J55="DSQ",J55="DNS",J55=" DNS "),$BW$3+1,J55))</f>
        <v>0</v>
      </c>
      <c r="BW55" s="61">
        <f>IF(K55="",0,IF(OR(K55="DNF",K55="OCS",K55="DSQ",K55="DNS",K55=" DNS "),$BW$3+1,K55))</f>
        <v>0</v>
      </c>
      <c r="BX55" s="61">
        <f>IF(L55="",0,IF(OR(L55="DNF",L55="OCS",L55="DSQ",L55="DNS",L55=" DNS "),$BW$3+1,L55))</f>
        <v>0</v>
      </c>
      <c r="BY55" s="61">
        <f>IF(M55="",0,IF(OR(M55="DNF",M55="OCS",M55="DSQ",M55="DNS",M55=" DNS "),$BW$3+1,M55))</f>
        <v>0</v>
      </c>
      <c r="BZ55" s="61">
        <f>IF(N55="",0,IF(OR(N55="DNF",N55="OCS",N55="DSQ",N55="DNS",N55=" DNS "),$BW$3+1,N55))</f>
        <v>0</v>
      </c>
      <c r="CA55" s="61">
        <f>IF(O55="",0,IF(OR(O55="DNF",O55="OCS",O55="DSQ",O55="DNS",O55=" DNS "),$BW$3+1,O55))</f>
        <v>0</v>
      </c>
      <c r="CB55" s="61">
        <f>IF(P55="",0,IF(OR(P55="DNF",P55="OCS",P55="DSQ",P55="DNS",P55=" DNS "),$BW$3+1,P55))</f>
        <v>0</v>
      </c>
      <c r="CC55" s="61">
        <f>IF(Q55="",0,IF(OR(Q55="DNF",Q55="OCS",Q55="DSQ",Q55="DNS",Q55=" DNS "),$BW$3+1,Q55))</f>
        <v>0</v>
      </c>
      <c r="CD55" s="61">
        <f>IF(R55="",0,IF(OR(R55="DNF",R55="OCS",R55="DSQ",R55="DNS",R55=" DNS "),$BW$3+1,R55))</f>
        <v>0</v>
      </c>
      <c r="CE55" s="61">
        <f>IF(S55="",0,IF(OR(S55="DNF",S55="OCS",S55="DSQ",S55="DNS",S55=" DNS "),$BW$3+1,S55))</f>
        <v>0</v>
      </c>
      <c r="CF55" s="61">
        <f>IF(T55="",0,IF(OR(T55="DNF",T55="OCS",T55="DSQ",T55="DNS",T55=" DNS "),$BW$3+1,T55))</f>
        <v>0</v>
      </c>
      <c r="CG55" s="61">
        <f>IF(U55="",0,IF(OR(U55="DNF",U55="OCS",U55="DSQ",U55="DNS",U55=" DNS "),$BW$3+1,U55))</f>
        <v>0</v>
      </c>
      <c r="CH55" s="61">
        <f>IF(V55="",0,IF(OR(V55="DNF",V55="OCS",V55="DSQ",V55="DNS",V55=" DNS "),$BW$3+1,V55))</f>
        <v>0</v>
      </c>
      <c r="CI55" s="61">
        <f>IF(W55="",0,IF(OR(W55="DNF",W55="OCS",W55="DSQ",W55="DNS",W55=" DNS "),$BW$3+1,W55))</f>
        <v>0</v>
      </c>
      <c r="CJ55" s="61">
        <f>IF(X55="",0,IF(OR(X55="DNF",X55="OCS",X55="DSQ",X55="DNS",X55=" DNS "),$BW$3+1,X55))</f>
        <v>0</v>
      </c>
      <c r="CK55" s="61">
        <f>IF(Y55="",0,IF(OR(Y55="DNF",Y55="OCS",Y55="DSQ",Y55="DNS",Y55=" DNS "),$BW$3+1,Y55))</f>
        <v>0</v>
      </c>
      <c r="CL55" s="61">
        <f>IF(Z55="",0,IF(OR(Z55="DNF",Z55="OCS",Z55="DSQ",Z55="DNS",Z55=" DNS "),$BW$3+1,Z55))</f>
        <v>0</v>
      </c>
      <c r="CM55" s="61">
        <f>IF(AA55="",0,IF(OR(AA55="DNF",AA55="OCS",AA55="DSQ",AA55="DNS",AA55=" DNS "),$BW$3+1,AA55))</f>
        <v>0</v>
      </c>
      <c r="CN55" s="61">
        <f>IF(AB55="",0,IF(OR(AB55="DNF",AB55="OCS",AB55="DSQ",AB55="DNS",AB55=" DNS "),$BW$3+1,AB55))</f>
        <v>0</v>
      </c>
      <c r="CO55" s="61">
        <f>IF(AC55="",0,IF(OR(AC55="DNF",AC55="OCS",AC55="DSQ",AC55="DNS",AC55=" DNS "),$BW$3+1,AC55))</f>
        <v>0</v>
      </c>
      <c r="CP55" s="61">
        <f>IF(AD55="",0,IF(OR(AD55="DNF",AD55="OCS",AD55="DSQ",AD55="DNS",AD55=" DNS "),$BW$3+1,AD55))</f>
        <v>0</v>
      </c>
      <c r="CQ55" s="61">
        <f>IF(AE55="",0,IF(OR(AE55="DNF",AE55="OCS",AE55="DSQ",AE55="DNS",AE55=" DNS "),$BW$3+1,AE55))</f>
        <v>0</v>
      </c>
      <c r="CR55" s="61">
        <f>IF(AF55="",0,IF(OR(AF55="DNF",AF55="OCS",AF55="DSQ",AF55="DNS",AF55=" DNS "),$BW$3+1,AF55))</f>
        <v>0</v>
      </c>
      <c r="CS55" s="61">
        <f>IF(AG55="",0,IF(OR(AG55="DNF",AG55="OCS",AG55="DSQ",AG55="DNS",AG55=" DNS "),$BW$3+1,AG55))</f>
        <v>0</v>
      </c>
      <c r="CT55" s="61">
        <f>IF(AH55="",0,IF(OR(AH55="DNF",AH55="OCS",AH55="DSQ",AH55="DNS",AH55=" DNS "),$BW$3+1,AH55))</f>
        <v>0</v>
      </c>
      <c r="CU55" s="61">
        <f>IF(AI55="",0,IF(OR(AI55="DNF",AI55="OCS",AI55="DSQ",AI55="DNS",AI55=" DNS "),$BW$3+1,AI55))</f>
        <v>0</v>
      </c>
      <c r="CV55" s="61">
        <f>IF(AJ55="",0,IF(OR(AJ55="DNF",AJ55="OCS",AJ55="DSQ",AJ55="DNS",AJ55=" DNS "),$BW$3+1,AJ55))</f>
        <v>0</v>
      </c>
      <c r="CW55" s="61">
        <f>IF(AK55="",0,IF(OR(AK55="DNF",AK55="OCS",AK55="DSQ",AK55="DNS",AK55=" DNS "),$BW$3+1,AK55))</f>
        <v>0</v>
      </c>
      <c r="CX55" s="61">
        <f>IF(AL55="",0,IF(OR(AL55="DNF",AL55="OCS",AL55="DSQ",AL55="DNS",AL55=" DNS "),$BW$3+1,AL55))</f>
        <v>0</v>
      </c>
      <c r="CY55" s="61">
        <f>IF(AM55="",0,IF(OR(AM55="DNF",AM55="OCS",AM55="DSQ",AM55="DNS",AM55=" DNS "),$BW$3+1,AM55))</f>
        <v>0</v>
      </c>
      <c r="CZ55" s="61">
        <f>IF(AN55="",0,IF(OR(AN55="DNF",AN55="OCS",AN55="DSQ",AN55="DNS",AN55=" DNS "),$BW$3+1,AN55))</f>
        <v>0</v>
      </c>
      <c r="DA55" s="61">
        <f>IF(AO55="",0,IF(OR(AO55="DNF",AO55="OCS",AO55="DSQ",AO55="DNS",AO55=" DNS "),$BW$3+1,AO55))</f>
        <v>0</v>
      </c>
      <c r="DB55" s="61">
        <f>IF(AP55="",0,IF(OR(AP55="DNF",AP55="OCS",AP55="DSQ",AP55="DNS",AP55=" DNS "),$BW$3+1,AP55))</f>
        <v>0</v>
      </c>
      <c r="DC55" s="61">
        <f>IF(AQ55="",0,IF(OR(AQ55="DNF",AQ55="OCS",AQ55="DSQ",AQ55="DNS",AQ55=" DNS "),$BW$3+1,AQ55))</f>
        <v>0</v>
      </c>
      <c r="DD55" s="61">
        <f>IF(AR55="",0,IF(OR(AR55="DNF",AR55="OCS",AR55="DSQ",AR55="DNS",AR55=" DNS "),$BW$3+1,AR55))</f>
        <v>0</v>
      </c>
      <c r="DE55" s="61">
        <f>IF(AS55="",0,IF(OR(AS55="DNF",AS55="OCS",AS55="DSQ",AS55="DNS",AS55=" DNS "),$BW$3+1,AS55))</f>
        <v>0</v>
      </c>
      <c r="DF55" s="61">
        <f>IF(AT55="",0,IF(OR(AT55="DNF",AT55="OCS",AT55="DSQ",AT55="DNS",AT55=" DNS "),$BW$3+1,AT55))</f>
        <v>0</v>
      </c>
      <c r="DG55" s="61">
        <f>IF(AU55="",0,IF(OR(AU55="DNF",AU55="OCS",AU55="DSQ",AU55="DNS",AU55=" DNS "),$BW$3+1,AU55))</f>
        <v>0</v>
      </c>
      <c r="DH55" s="61">
        <f>IF(AV55="",0,IF(OR(AV55="DNF",AV55="OCS",AV55="DSQ",AV55="DNS",AV55=" DNS "),$BW$3+1,AV55))</f>
        <v>0</v>
      </c>
      <c r="DI55" s="61">
        <f>IF(AW55="",0,IF(OR(AW55="DNF",AW55="OCS",AW55="DSQ",AW55="DNS",AW55=" DNS "),$BW$3+1,AW55))</f>
        <v>0</v>
      </c>
      <c r="DJ55" s="61">
        <f>IF(AX55="",0,IF(OR(AX55="DNF",AX55="OCS",AX55="DSQ",AX55="DNS",AX55=" DNS "),$BW$3+1,AX55))</f>
        <v>0</v>
      </c>
      <c r="DK55" s="61">
        <f>IF(AY55="",0,IF(OR(AY55="DNF",AY55="OCS",AY55="DSQ",AY55="DNS",AY55=" DNS "),$BW$3+1,AY55))</f>
        <v>0</v>
      </c>
      <c r="DL55" s="61">
        <f>IF(AZ55="",0,IF(OR(AZ55="DNF",AZ55="OCS",AZ55="DSQ",AZ55="DNS",AZ55=" DNS "),$BW$3+1,AZ55))</f>
        <v>0</v>
      </c>
      <c r="DM55" s="61">
        <f>IF(BA55="",0,IF(OR(BA55="DNF",BA55="OCS",BA55="DSQ",BA55="DNS",BA55=" DNS "),$BW$3+1,BA55))</f>
        <v>0</v>
      </c>
      <c r="DN55" s="61">
        <f>IF(BB55="",0,IF(OR(BB55="DNF",BB55="OCS",BB55="DSQ",BB55="DNS",BB55=" DNS "),$BW$3+1,BB55))</f>
        <v>0</v>
      </c>
      <c r="DO55" s="61">
        <f>IF(BC55="",0,IF(OR(BC55="DNF",BC55="OCS",BC55="DSQ",BC55="DNS",BC55=" DNS "),$BW$3+1,BC55))</f>
        <v>0</v>
      </c>
      <c r="DP55" s="61">
        <f>IF(BD55="",0,IF(OR(BD55="DNF",BD55="OCS",BD55="DSQ",BD55="DNS",BD55=" DNS "),$BW$3+1,BD55))</f>
        <v>0</v>
      </c>
      <c r="DQ55" s="61">
        <f>IF(BE55="",0,IF(OR(BE55="DNF",BE55="OCS",BE55="DSQ",BE55="DNS",BE55=" DNS "),$BW$3+1,BE55))</f>
        <v>0</v>
      </c>
      <c r="DR55" s="61">
        <f>IF(BF55="",0,IF(OR(BF55="DNF",BF55="OCS",BF55="DSQ",BF55="DNS",BF55=" DNS "),$BW$3+1,BF55))</f>
        <v>0</v>
      </c>
      <c r="DS55" s="61">
        <f>IF(BG55="",0,IF(OR(BG55="DNF",BG55="OCS",BG55="DSQ",BG55="DNS",BG55=" DNS "),$BW$3+1,BG55))</f>
        <v>0</v>
      </c>
      <c r="DT55" s="61">
        <f>IF(BH55="",0,IF(OR(BH55="DNF",BH55="OCS",BH55="DSQ",BH55="DNS",BH55=" DNS "),$BW$3+1,BH55))</f>
        <v>0</v>
      </c>
      <c r="DU55" s="61">
        <f>IF(BI55="",0,IF(OR(BI55="DNF",BI55="OCS",BI55="DSQ",BI55="DNS",BI55=" DNS "),$BW$3+1,BI55))</f>
        <v>0</v>
      </c>
      <c r="DV55" s="61">
        <f>IF(BJ55="",0,IF(OR(BJ55="DNF",BJ55="OCS",BJ55="DSQ",BJ55="DNS",BJ55=" DNS "),$BW$3+1,BJ55))</f>
        <v>0</v>
      </c>
      <c r="DW55" s="61">
        <f>IF(BK55="",0,IF(OR(BK55="DNF",BK55="OCS",BK55="DSQ",BK55="DNS",BK55=" DNS "),$BW$3+1,BK55))</f>
        <v>0</v>
      </c>
      <c r="DX55" s="61">
        <f>IF(BL55="",0,IF(OR(BL55="DNF",BL55="OCS",BL55="DSQ",BL55="DNS",BL55=" DNS "),$BW$3+1,BL55))</f>
        <v>0</v>
      </c>
      <c r="DY55" s="61">
        <f>IF(BM55="",0,IF(OR(BM55="DNF",BM55="OCS",BM55="DSQ",BM55="DNS",BM55=" DNS "),$BW$3+1,BM55))</f>
        <v>0</v>
      </c>
      <c r="DZ55" s="61">
        <f>IF(BN55="",0,IF(OR(BN55="DNF",BN55="OCS",BN55="DSQ",BN55="DNS",BN55=" DNS "),$BW$3+1,BN55))</f>
        <v>0</v>
      </c>
      <c r="EA55" s="61">
        <f>IF(BO55="",0,IF(OR(BO55="DNF",BO55="OCS",BO55="DSQ",BO55="DNS",BO55=" DNS "),$BW$3+1,BO55))</f>
        <v>0</v>
      </c>
      <c r="EB55" s="61">
        <f>IF(BP55="",0,IF(OR(BP55="DNF",BP55="OCS",BP55="DSQ",BP55="DNS",BP55=" DNS "),$BW$3+1,BP55))</f>
        <v>0</v>
      </c>
      <c r="EC55" s="61">
        <f>IF(BQ55="",0,IF(OR(BQ55="DNF",BQ55="OCS",BQ55="DSQ",BQ55="DNS",BQ55=" DNS "),$BW$3+1,BQ55))</f>
        <v>0</v>
      </c>
      <c r="EE55" s="61">
        <f xml:space="preserve">
IF(OR(Deltagarlista!$K$3=3,Deltagarlista!$K$3=4),
IF(Arrangörslista!$U$5&lt;8,0,
IF(Arrangörslista!$U$5&lt;16,SUM(LARGE(BV55:CJ55,1)),
IF(Arrangörslista!$U$5&lt;24,SUM(LARGE(BV55:CR55,{1;2})),
IF(Arrangörslista!$U$5&lt;32,SUM(LARGE(BV55:CZ55,{1;2;3})),
IF(Arrangörslista!$U$5&lt;40,SUM(LARGE(BV55:DH55,{1;2;3;4})),
IF(Arrangörslista!$U$5&lt;48,SUM(LARGE(BV55:DP55,{1;2;3;4;5})),
IF(Arrangörslista!$U$5&lt;56,SUM(LARGE(BV55:DX55,{1;2;3;4;5;6})),
IF(Arrangörslista!$U$5&lt;64,SUM(LARGE(BV55:EC55,{1;2;3;4;5;6;7})),0)))))))),
IF(Deltagarlista!$K$3=2,
IF(Arrangörslista!$U$5&lt;4,LARGE(BV55:BX55,1),
IF(Arrangörslista!$U$5&lt;7,SUM(LARGE(BV55:CA55,{1;2;3})),
IF(Arrangörslista!$U$5&lt;10,SUM(LARGE(BV55:CD55,{1;2;3;4})),
IF(Arrangörslista!$U$5&lt;13,SUM(LARGE(BV55:CG55,{1;2;3;4;5;6})),
IF(Arrangörslista!$U$5&lt;16,SUM(LARGE(BV55:CJ55,{1;2;3;4;5;6;7})),
IF(Arrangörslista!$U$5&lt;19,SUM(LARGE(BV55:CM55,{1;2;3;4;5;6;7;8;9})),
IF(Arrangörslista!$U$5&lt;22,SUM(LARGE(BV55:CP55,{1;2;3;4;5;6;7;8;9;10})),
IF(Arrangörslista!$U$5&lt;25,SUM(LARGE(BV55:CS55,{1;2;3;4;5;6;7;8;9;10;11;12})),
IF(Arrangörslista!$U$5&lt;28,SUM(LARGE(BV55:CV55,{1;2;3;4;5;6;7;8;9;10;11;12;13})),
IF(Arrangörslista!$U$5&lt;31,SUM(LARGE(BV55:CY55,{1;2;3;4;5;6;7;8;9;10;11;12;13;14;15})),
IF(Arrangörslista!$U$5&lt;34,SUM(LARGE(BV55:DB55,{1;2;3;4;5;6;7;8;9;10;11;12;13;14;15;16})),
IF(Arrangörslista!$U$5&lt;37,SUM(LARGE(BV55:DE55,{1;2;3;4;5;6;7;8;9;10;11;12;13;14;15;16;17;18})),
IF(Arrangörslista!$U$5&lt;40,SUM(LARGE(BV55:DH55,{1;2;3;4;5;6;7;8;9;10;11;12;13;14;15;16;17;18;19})),
IF(Arrangörslista!$U$5&lt;43,SUM(LARGE(BV55:DK55,{1;2;3;4;5;6;7;8;9;10;11;12;13;14;15;16;17;18;19;20;21})),
IF(Arrangörslista!$U$5&lt;46,SUM(LARGE(BV55:DN55,{1;2;3;4;5;6;7;8;9;10;11;12;13;14;15;16;17;18;19;20;21;22})),
IF(Arrangörslista!$U$5&lt;49,SUM(LARGE(BV55:DQ55,{1;2;3;4;5;6;7;8;9;10;11;12;13;14;15;16;17;18;19;20;21;22;23;24})),
IF(Arrangörslista!$U$5&lt;52,SUM(LARGE(BV55:DT55,{1;2;3;4;5;6;7;8;9;10;11;12;13;14;15;16;17;18;19;20;21;22;23;24;25})),
IF(Arrangörslista!$U$5&lt;55,SUM(LARGE(BV55:DW55,{1;2;3;4;5;6;7;8;9;10;11;12;13;14;15;16;17;18;19;20;21;22;23;24;25;26;27})),
IF(Arrangörslista!$U$5&lt;58,SUM(LARGE(BV55:DZ55,{1;2;3;4;5;6;7;8;9;10;11;12;13;14;15;16;17;18;19;20;21;22;23;24;25;26;27;28})),
IF(Arrangörslista!$U$5&lt;61,SUM(LARGE(BV55:EC55,{1;2;3;4;5;6;7;8;9;10;11;12;13;14;15;16;17;18;19;20;21;22;23;24;25;26;27;28;29;30})),0)))))))))))))))))))),
IF(Arrangörslista!$U$5&lt;4,0,
IF(Arrangörslista!$U$5&lt;8,SUM(LARGE(BV55:CB55,1)),
IF(Arrangörslista!$U$5&lt;12,SUM(LARGE(BV55:CF55,{1;2})),
IF(Arrangörslista!$U$5&lt;16,SUM(LARGE(BV55:CJ55,{1;2;3})),
IF(Arrangörslista!$U$5&lt;20,SUM(LARGE(BV55:CN55,{1;2;3;4})),
IF(Arrangörslista!$U$5&lt;24,SUM(LARGE(BV55:CR55,{1;2;3;4;5})),
IF(Arrangörslista!$U$5&lt;28,SUM(LARGE(BV55:CV55,{1;2;3;4;5;6})),
IF(Arrangörslista!$U$5&lt;32,SUM(LARGE(BV55:CZ55,{1;2;3;4;5;6;7})),
IF(Arrangörslista!$U$5&lt;36,SUM(LARGE(BV55:DD55,{1;2;3;4;5;6;7;8})),
IF(Arrangörslista!$U$5&lt;40,SUM(LARGE(BV55:DH55,{1;2;3;4;5;6;7;8;9})),
IF(Arrangörslista!$U$5&lt;44,SUM(LARGE(BV55:DL55,{1;2;3;4;5;6;7;8;9;10})),
IF(Arrangörslista!$U$5&lt;48,SUM(LARGE(BV55:DP55,{1;2;3;4;5;6;7;8;9;10;11})),
IF(Arrangörslista!$U$5&lt;52,SUM(LARGE(BV55:DT55,{1;2;3;4;5;6;7;8;9;10;11;12})),
IF(Arrangörslista!$U$5&lt;56,SUM(LARGE(BV55:DX55,{1;2;3;4;5;6;7;8;9;10;11;12;13})),
IF(Arrangörslista!$U$5&lt;60,SUM(LARGE(BV55:EB55,{1;2;3;4;5;6;7;8;9;10;11;12;13;14})),
IF(Arrangörslista!$U$5=60,SUM(LARGE(BV55:EC55,{1;2;3;4;5;6;7;8;9;10;11;12;13;14;15})),0))))))))))))))))))</f>
        <v>0</v>
      </c>
      <c r="EG55" s="67">
        <f>IF(F55="",,1)</f>
        <v>0</v>
      </c>
      <c r="EH55" s="61"/>
      <c r="EI55" s="61"/>
      <c r="EK55" s="62">
        <f>SMALL($J118:$BQ118,1)</f>
        <v>61</v>
      </c>
      <c r="EL55" s="62">
        <f>SMALL($J118:$BQ118,2)</f>
        <v>61</v>
      </c>
      <c r="EM55" s="62">
        <f>SMALL($J118:$BQ118,3)</f>
        <v>61</v>
      </c>
      <c r="EN55" s="62">
        <f>SMALL($J118:$BQ118,4)</f>
        <v>61</v>
      </c>
      <c r="EO55" s="62">
        <f>SMALL($J118:$BQ118,5)</f>
        <v>61</v>
      </c>
      <c r="EP55" s="62">
        <f>SMALL($J118:$BQ118,6)</f>
        <v>61</v>
      </c>
      <c r="EQ55" s="62">
        <f>SMALL($J118:$BQ118,7)</f>
        <v>61</v>
      </c>
      <c r="ER55" s="62">
        <f>SMALL($J118:$BQ118,8)</f>
        <v>61</v>
      </c>
      <c r="ES55" s="62">
        <f>SMALL($J118:$BQ118,9)</f>
        <v>61</v>
      </c>
      <c r="ET55" s="62">
        <f>SMALL($J118:$BQ118,10)</f>
        <v>61</v>
      </c>
      <c r="EU55" s="62">
        <f>SMALL($J118:$BQ118,11)</f>
        <v>61</v>
      </c>
      <c r="EV55" s="62">
        <f>SMALL($J118:$BQ118,12)</f>
        <v>61</v>
      </c>
      <c r="EW55" s="62">
        <f>SMALL($J118:$BQ118,13)</f>
        <v>61</v>
      </c>
      <c r="EX55" s="62">
        <f>SMALL($J118:$BQ118,14)</f>
        <v>61</v>
      </c>
      <c r="EY55" s="62">
        <f>SMALL($J118:$BQ118,15)</f>
        <v>61</v>
      </c>
      <c r="EZ55" s="62">
        <f>SMALL($J118:$BQ118,16)</f>
        <v>61</v>
      </c>
      <c r="FA55" s="62">
        <f>SMALL($J118:$BQ118,17)</f>
        <v>61</v>
      </c>
      <c r="FB55" s="62">
        <f>SMALL($J118:$BQ118,18)</f>
        <v>61</v>
      </c>
      <c r="FC55" s="62">
        <f>SMALL($J118:$BQ118,19)</f>
        <v>61</v>
      </c>
      <c r="FD55" s="62">
        <f>SMALL($J118:$BQ118,20)</f>
        <v>61</v>
      </c>
      <c r="FE55" s="62">
        <f>SMALL($J118:$BQ118,21)</f>
        <v>61</v>
      </c>
      <c r="FF55" s="62">
        <f>SMALL($J118:$BQ118,22)</f>
        <v>61</v>
      </c>
      <c r="FG55" s="62">
        <f>SMALL($J118:$BQ118,23)</f>
        <v>61</v>
      </c>
      <c r="FH55" s="62">
        <f>SMALL($J118:$BQ118,24)</f>
        <v>61</v>
      </c>
      <c r="FI55" s="62">
        <f>SMALL($J118:$BQ118,25)</f>
        <v>61</v>
      </c>
      <c r="FJ55" s="62">
        <f>SMALL($J118:$BQ118,26)</f>
        <v>61</v>
      </c>
      <c r="FK55" s="62">
        <f>SMALL($J118:$BQ118,27)</f>
        <v>61</v>
      </c>
      <c r="FL55" s="62">
        <f>SMALL($J118:$BQ118,28)</f>
        <v>61</v>
      </c>
      <c r="FM55" s="62">
        <f>SMALL($J118:$BQ118,29)</f>
        <v>61</v>
      </c>
      <c r="FN55" s="62">
        <f>SMALL($J118:$BQ118,30)</f>
        <v>61</v>
      </c>
      <c r="FO55" s="62">
        <f>SMALL($J118:$BQ118,31)</f>
        <v>61</v>
      </c>
      <c r="FP55" s="62">
        <f>SMALL($J118:$BQ118,32)</f>
        <v>61</v>
      </c>
      <c r="FQ55" s="62">
        <f>SMALL($J118:$BQ118,33)</f>
        <v>61</v>
      </c>
      <c r="FR55" s="62">
        <f>SMALL($J118:$BQ118,34)</f>
        <v>61</v>
      </c>
      <c r="FS55" s="62">
        <f>SMALL($J118:$BQ118,35)</f>
        <v>61</v>
      </c>
      <c r="FT55" s="62">
        <f>SMALL($J118:$BQ118,36)</f>
        <v>61</v>
      </c>
      <c r="FU55" s="62">
        <f>SMALL($J118:$BQ118,37)</f>
        <v>61</v>
      </c>
      <c r="FV55" s="62">
        <f>SMALL($J118:$BQ118,38)</f>
        <v>61</v>
      </c>
      <c r="FW55" s="62">
        <f>SMALL($J118:$BQ118,39)</f>
        <v>61</v>
      </c>
      <c r="FX55" s="62">
        <f>SMALL($J118:$BQ118,40)</f>
        <v>61</v>
      </c>
      <c r="FY55" s="62">
        <f>SMALL($J118:$BQ118,41)</f>
        <v>61</v>
      </c>
      <c r="FZ55" s="62">
        <f>SMALL($J118:$BQ118,42)</f>
        <v>61</v>
      </c>
      <c r="GA55" s="62">
        <f>SMALL($J118:$BQ118,43)</f>
        <v>61</v>
      </c>
      <c r="GB55" s="62">
        <f>SMALL($J118:$BQ118,44)</f>
        <v>61</v>
      </c>
      <c r="GC55" s="62">
        <f>SMALL($J118:$BQ118,45)</f>
        <v>61</v>
      </c>
      <c r="GD55" s="62">
        <f>SMALL($J118:$BQ118,46)</f>
        <v>61</v>
      </c>
      <c r="GE55" s="62">
        <f>SMALL($J118:$BQ118,47)</f>
        <v>61</v>
      </c>
      <c r="GF55" s="62">
        <f>SMALL($J118:$BQ118,48)</f>
        <v>61</v>
      </c>
      <c r="GG55" s="62">
        <f>SMALL($J118:$BQ118,49)</f>
        <v>61</v>
      </c>
      <c r="GH55" s="62">
        <f>SMALL($J118:$BQ118,50)</f>
        <v>61</v>
      </c>
      <c r="GI55" s="62">
        <f>SMALL($J118:$BQ118,51)</f>
        <v>61</v>
      </c>
      <c r="GJ55" s="62">
        <f>SMALL($J118:$BQ118,52)</f>
        <v>61</v>
      </c>
      <c r="GK55" s="62">
        <f>SMALL($J118:$BQ118,53)</f>
        <v>61</v>
      </c>
      <c r="GL55" s="62">
        <f>SMALL($J118:$BQ118,54)</f>
        <v>61</v>
      </c>
      <c r="GM55" s="62">
        <f>SMALL($J118:$BQ118,55)</f>
        <v>61</v>
      </c>
      <c r="GN55" s="62">
        <f>SMALL($J118:$BQ118,56)</f>
        <v>61</v>
      </c>
      <c r="GO55" s="62">
        <f>SMALL($J118:$BQ118,57)</f>
        <v>61</v>
      </c>
      <c r="GP55" s="62">
        <f>SMALL($J118:$BQ118,58)</f>
        <v>61</v>
      </c>
      <c r="GQ55" s="62">
        <f>SMALL($J118:$BQ118,59)</f>
        <v>61</v>
      </c>
      <c r="GR55" s="62">
        <f>SMALL($J118:$BQ118,60)</f>
        <v>61</v>
      </c>
      <c r="GT55" s="62">
        <f>IF(Deltagarlista!$K$3=2,
IF(GW55="1",
      IF(Arrangörslista!$U$5=1,J118,
IF(Arrangörslista!$U$5=2,K118,
IF(Arrangörslista!$U$5=3,L118,
IF(Arrangörslista!$U$5=4,M118,
IF(Arrangörslista!$U$5=5,N118,
IF(Arrangörslista!$U$5=6,O118,
IF(Arrangörslista!$U$5=7,P118,
IF(Arrangörslista!$U$5=8,Q118,
IF(Arrangörslista!$U$5=9,R118,
IF(Arrangörslista!$U$5=10,S118,
IF(Arrangörslista!$U$5=11,T118,
IF(Arrangörslista!$U$5=12,U118,
IF(Arrangörslista!$U$5=13,V118,
IF(Arrangörslista!$U$5=14,W118,
IF(Arrangörslista!$U$5=15,X118,
IF(Arrangörslista!$U$5=16,Y118,IF(Arrangörslista!$U$5=17,Z118,IF(Arrangörslista!$U$5=18,AA118,IF(Arrangörslista!$U$5=19,AB118,IF(Arrangörslista!$U$5=20,AC118,IF(Arrangörslista!$U$5=21,AD118,IF(Arrangörslista!$U$5=22,AE118,IF(Arrangörslista!$U$5=23,AF118, IF(Arrangörslista!$U$5=24,AG118, IF(Arrangörslista!$U$5=25,AH118, IF(Arrangörslista!$U$5=26,AI118, IF(Arrangörslista!$U$5=27,AJ118, IF(Arrangörslista!$U$5=28,AK118, IF(Arrangörslista!$U$5=29,AL118, IF(Arrangörslista!$U$5=30,AM118, IF(Arrangörslista!$U$5=31,AN118, IF(Arrangörslista!$U$5=32,AO118, IF(Arrangörslista!$U$5=33,AP118, IF(Arrangörslista!$U$5=34,AQ118, IF(Arrangörslista!$U$5=35,AR118, IF(Arrangörslista!$U$5=36,AS118, IF(Arrangörslista!$U$5=37,AT118, IF(Arrangörslista!$U$5=38,AU118, IF(Arrangörslista!$U$5=39,AV118, IF(Arrangörslista!$U$5=40,AW118, IF(Arrangörslista!$U$5=41,AX118, IF(Arrangörslista!$U$5=42,AY118, IF(Arrangörslista!$U$5=43,AZ118, IF(Arrangörslista!$U$5=44,BA118, IF(Arrangörslista!$U$5=45,BB118, IF(Arrangörslista!$U$5=46,BC118, IF(Arrangörslista!$U$5=47,BD118, IF(Arrangörslista!$U$5=48,BE118, IF(Arrangörslista!$U$5=49,BF118, IF(Arrangörslista!$U$5=50,BG118, IF(Arrangörslista!$U$5=51,BH118, IF(Arrangörslista!$U$5=52,BI118, IF(Arrangörslista!$U$5=53,BJ118, IF(Arrangörslista!$U$5=54,BK118, IF(Arrangörslista!$U$5=55,BL118, IF(Arrangörslista!$U$5=56,BM118, IF(Arrangörslista!$U$5=57,BN118, IF(Arrangörslista!$U$5=58,BO118, IF(Arrangörslista!$U$5=59,BP118, IF(Arrangörslista!$U$5=60,BQ118,0))))))))))))))))))))))))))))))))))))))))))))))))))))))))))))),IF(Deltagarlista!$K$3=4, IF(Arrangörslista!$U$5=1,J118,
IF(Arrangörslista!$U$5=2,J118,
IF(Arrangörslista!$U$5=3,K118,
IF(Arrangörslista!$U$5=4,K118,
IF(Arrangörslista!$U$5=5,L118,
IF(Arrangörslista!$U$5=6,L118,
IF(Arrangörslista!$U$5=7,M118,
IF(Arrangörslista!$U$5=8,M118,
IF(Arrangörslista!$U$5=9,N118,
IF(Arrangörslista!$U$5=10,N118,
IF(Arrangörslista!$U$5=11,O118,
IF(Arrangörslista!$U$5=12,O118,
IF(Arrangörslista!$U$5=13,P118,
IF(Arrangörslista!$U$5=14,P118,
IF(Arrangörslista!$U$5=15,Q118,
IF(Arrangörslista!$U$5=16,Q118,
IF(Arrangörslista!$U$5=17,R118,
IF(Arrangörslista!$U$5=18,R118,
IF(Arrangörslista!$U$5=19,S118,
IF(Arrangörslista!$U$5=20,S118,
IF(Arrangörslista!$U$5=21,T118,
IF(Arrangörslista!$U$5=22,T118,IF(Arrangörslista!$U$5=23,U118, IF(Arrangörslista!$U$5=24,U118, IF(Arrangörslista!$U$5=25,V118, IF(Arrangörslista!$U$5=26,V118, IF(Arrangörslista!$U$5=27,W118, IF(Arrangörslista!$U$5=28,W118, IF(Arrangörslista!$U$5=29,X118, IF(Arrangörslista!$U$5=30,X118, IF(Arrangörslista!$U$5=31,X118, IF(Arrangörslista!$U$5=32,Y118, IF(Arrangörslista!$U$5=33,AO118, IF(Arrangörslista!$U$5=34,Y118, IF(Arrangörslista!$U$5=35,Z118, IF(Arrangörslista!$U$5=36,AR118, IF(Arrangörslista!$U$5=37,Z118, IF(Arrangörslista!$U$5=38,AA118, IF(Arrangörslista!$U$5=39,AU118, IF(Arrangörslista!$U$5=40,AA118, IF(Arrangörslista!$U$5=41,AB118, IF(Arrangörslista!$U$5=42,AX118, IF(Arrangörslista!$U$5=43,AB118, IF(Arrangörslista!$U$5=44,AC118, IF(Arrangörslista!$U$5=45,BA118, IF(Arrangörslista!$U$5=46,AC118, IF(Arrangörslista!$U$5=47,AD118, IF(Arrangörslista!$U$5=48,BD118, IF(Arrangörslista!$U$5=49,AD118, IF(Arrangörslista!$U$5=50,AE118, IF(Arrangörslista!$U$5=51,BG118, IF(Arrangörslista!$U$5=52,AE118, IF(Arrangörslista!$U$5=53,AF118, IF(Arrangörslista!$U$5=54,BJ118, IF(Arrangörslista!$U$5=55,AF118, IF(Arrangörslista!$U$5=56,AG118, IF(Arrangörslista!$U$5=57,BM118, IF(Arrangörslista!$U$5=58,AG118, IF(Arrangörslista!$U$5=59,AH118, IF(Arrangörslista!$U$5=60,AH118,0)))))))))))))))))))))))))))))))))))))))))))))))))))))))))))),IF(Arrangörslista!$U$5=1,J118,
IF(Arrangörslista!$U$5=2,K118,
IF(Arrangörslista!$U$5=3,L118,
IF(Arrangörslista!$U$5=4,M118,
IF(Arrangörslista!$U$5=5,N118,
IF(Arrangörslista!$U$5=6,O118,
IF(Arrangörslista!$U$5=7,P118,
IF(Arrangörslista!$U$5=8,Q118,
IF(Arrangörslista!$U$5=9,R118,
IF(Arrangörslista!$U$5=10,S118,
IF(Arrangörslista!$U$5=11,T118,
IF(Arrangörslista!$U$5=12,U118,
IF(Arrangörslista!$U$5=13,V118,
IF(Arrangörslista!$U$5=14,W118,
IF(Arrangörslista!$U$5=15,X118,
IF(Arrangörslista!$U$5=16,Y118,IF(Arrangörslista!$U$5=17,Z118,IF(Arrangörslista!$U$5=18,AA118,IF(Arrangörslista!$U$5=19,AB118,IF(Arrangörslista!$U$5=20,AC118,IF(Arrangörslista!$U$5=21,AD118,IF(Arrangörslista!$U$5=22,AE118,IF(Arrangörslista!$U$5=23,AF118, IF(Arrangörslista!$U$5=24,AG118, IF(Arrangörslista!$U$5=25,AH118, IF(Arrangörslista!$U$5=26,AI118, IF(Arrangörslista!$U$5=27,AJ118, IF(Arrangörslista!$U$5=28,AK118, IF(Arrangörslista!$U$5=29,AL118, IF(Arrangörslista!$U$5=30,AM118, IF(Arrangörslista!$U$5=31,AN118, IF(Arrangörslista!$U$5=32,AO118, IF(Arrangörslista!$U$5=33,AP118, IF(Arrangörslista!$U$5=34,AQ118, IF(Arrangörslista!$U$5=35,AR118, IF(Arrangörslista!$U$5=36,AS118, IF(Arrangörslista!$U$5=37,AT118, IF(Arrangörslista!$U$5=38,AU118, IF(Arrangörslista!$U$5=39,AV118, IF(Arrangörslista!$U$5=40,AW118, IF(Arrangörslista!$U$5=41,AX118, IF(Arrangörslista!$U$5=42,AY118, IF(Arrangörslista!$U$5=43,AZ118, IF(Arrangörslista!$U$5=44,BA118, IF(Arrangörslista!$U$5=45,BB118, IF(Arrangörslista!$U$5=46,BC118, IF(Arrangörslista!$U$5=47,BD118, IF(Arrangörslista!$U$5=48,BE118, IF(Arrangörslista!$U$5=49,BF118, IF(Arrangörslista!$U$5=50,BG118, IF(Arrangörslista!$U$5=51,BH118, IF(Arrangörslista!$U$5=52,BI118, IF(Arrangörslista!$U$5=53,BJ118, IF(Arrangörslista!$U$5=54,BK118, IF(Arrangörslista!$U$5=55,BL118, IF(Arrangörslista!$U$5=56,BM118, IF(Arrangörslista!$U$5=57,BN118, IF(Arrangörslista!$U$5=58,BO118, IF(Arrangörslista!$U$5=59,BP118, IF(Arrangörslista!$U$5=60,BQ118,0))))))))))))))))))))))))))))))))))))))))))))))))))))))))))))
))</f>
        <v>0</v>
      </c>
      <c r="GV55" s="65" t="str">
        <f>IFERROR(IF(VLOOKUP(F55,Deltagarlista!$E$5:$I$64,5,FALSE)="Grön","Gr",IF(VLOOKUP(F55,Deltagarlista!$E$5:$I$64,5,FALSE)="Röd","R",IF(VLOOKUP(F55,Deltagarlista!$E$5:$I$64,5,FALSE)="Blå","B","Gu"))),"")</f>
        <v/>
      </c>
      <c r="GW55" s="62" t="str">
        <f t="shared" si="1"/>
        <v/>
      </c>
    </row>
    <row r="56" spans="1:205" ht="15.75" customHeight="1" x14ac:dyDescent="0.3">
      <c r="B56" s="23" t="str">
        <f>IF($BW$3&gt;52,53,"")</f>
        <v/>
      </c>
      <c r="C56" s="92" t="str">
        <f>IF(ISBLANK(Deltagarlista!C49),"",Deltagarlista!C49)</f>
        <v/>
      </c>
      <c r="D56" s="109" t="str">
        <f>CONCATENATE(IF(AND(Deltagarlista!H49="GM",Deltagarlista!$S$14=TRUE),"GM   ",""), IF(OR(Deltagarlista!$K$3=4,Deltagarlista!$K$3=2),Deltagarlista!I49,""))</f>
        <v/>
      </c>
      <c r="E56" s="8" t="str">
        <f>IF(ISBLANK(Deltagarlista!D49),"",Deltagarlista!D49)</f>
        <v/>
      </c>
      <c r="F56" s="8" t="str">
        <f>IF(ISBLANK(Deltagarlista!E49),"",Deltagarlista!E49)</f>
        <v/>
      </c>
      <c r="G56" s="95" t="str">
        <f>IF(ISBLANK(Deltagarlista!F49),"",Deltagarlista!F49)</f>
        <v/>
      </c>
      <c r="H56" s="72" t="str">
        <f>IF(ISBLANK(Deltagarlista!C49),"",BU56-EE56)</f>
        <v/>
      </c>
      <c r="I56" s="13" t="str">
        <f>IF(ISBLANK(Deltagarlista!C49),"",IF(AND(Deltagarlista!$K$3=2,Deltagarlista!$L$3&lt;37),SUM(SUM(BV56:EC56)-(ROUNDDOWN(Arrangörslista!$U$5/3,1))*($BW$3+1)),SUM(BV56:EC56)))</f>
        <v/>
      </c>
      <c r="J56" s="79" t="str">
        <f>IF(Deltagarlista!$K$3=4,IF(ISBLANK(Deltagarlista!$C49),"",IF(ISBLANK(Arrangörslista!C$8),"",IFERROR(VLOOKUP($F56,Arrangörslista!C$8:$AG$45,16,FALSE),IF(ISBLANK(Deltagarlista!$C49),"",IF(ISBLANK(Arrangörslista!C$8),"",IFERROR(VLOOKUP($F56,Arrangörslista!D$8:$AG$45,16,FALSE),"DNS")))))),IF(Deltagarlista!$K$3=2,
IF(ISBLANK(Deltagarlista!$C49),"",IF(ISBLANK(Arrangörslista!C$8),"",IF($GV56=J$64," DNS ",IFERROR(VLOOKUP($F56,Arrangörslista!C$8:$AG$45,16,FALSE),"DNS")))),IF(ISBLANK(Deltagarlista!$C49),"",IF(ISBLANK(Arrangörslista!C$8),"",IFERROR(VLOOKUP($F56,Arrangörslista!C$8:$AG$45,16,FALSE),"DNS")))))</f>
        <v/>
      </c>
      <c r="K56" s="5" t="str">
        <f>IF(Deltagarlista!$K$3=4,IF(ISBLANK(Deltagarlista!$C49),"",IF(ISBLANK(Arrangörslista!E$8),"",IFERROR(VLOOKUP($F56,Arrangörslista!E$8:$AG$45,16,FALSE),IF(ISBLANK(Deltagarlista!$C49),"",IF(ISBLANK(Arrangörslista!E$8),"",IFERROR(VLOOKUP($F56,Arrangörslista!F$8:$AG$45,16,FALSE),"DNS")))))),IF(Deltagarlista!$K$3=2,
IF(ISBLANK(Deltagarlista!$C49),"",IF(ISBLANK(Arrangörslista!D$8),"",IF($GV56=K$64," DNS ",IFERROR(VLOOKUP($F56,Arrangörslista!D$8:$AG$45,16,FALSE),"DNS")))),IF(ISBLANK(Deltagarlista!$C49),"",IF(ISBLANK(Arrangörslista!D$8),"",IFERROR(VLOOKUP($F56,Arrangörslista!D$8:$AG$45,16,FALSE),"DNS")))))</f>
        <v/>
      </c>
      <c r="L56" s="5" t="str">
        <f>IF(Deltagarlista!$K$3=4,IF(ISBLANK(Deltagarlista!$C49),"",IF(ISBLANK(Arrangörslista!G$8),"",IFERROR(VLOOKUP($F56,Arrangörslista!G$8:$AG$45,16,FALSE),IF(ISBLANK(Deltagarlista!$C49),"",IF(ISBLANK(Arrangörslista!G$8),"",IFERROR(VLOOKUP($F56,Arrangörslista!H$8:$AG$45,16,FALSE),"DNS")))))),IF(Deltagarlista!$K$3=2,
IF(ISBLANK(Deltagarlista!$C49),"",IF(ISBLANK(Arrangörslista!E$8),"",IF($GV56=L$64," DNS ",IFERROR(VLOOKUP($F56,Arrangörslista!E$8:$AG$45,16,FALSE),"DNS")))),IF(ISBLANK(Deltagarlista!$C49),"",IF(ISBLANK(Arrangörslista!E$8),"",IFERROR(VLOOKUP($F56,Arrangörslista!E$8:$AG$45,16,FALSE),"DNS")))))</f>
        <v/>
      </c>
      <c r="M56" s="5" t="str">
        <f>IF(Deltagarlista!$K$3=4,IF(ISBLANK(Deltagarlista!$C49),"",IF(ISBLANK(Arrangörslista!I$8),"",IFERROR(VLOOKUP($F56,Arrangörslista!I$8:$AG$45,16,FALSE),IF(ISBLANK(Deltagarlista!$C49),"",IF(ISBLANK(Arrangörslista!I$8),"",IFERROR(VLOOKUP($F56,Arrangörslista!J$8:$AG$45,16,FALSE),"DNS")))))),IF(Deltagarlista!$K$3=2,
IF(ISBLANK(Deltagarlista!$C49),"",IF(ISBLANK(Arrangörslista!F$8),"",IF($GV56=M$64," DNS ",IFERROR(VLOOKUP($F56,Arrangörslista!F$8:$AG$45,16,FALSE),"DNS")))),IF(ISBLANK(Deltagarlista!$C49),"",IF(ISBLANK(Arrangörslista!F$8),"",IFERROR(VLOOKUP($F56,Arrangörslista!F$8:$AG$45,16,FALSE),"DNS")))))</f>
        <v/>
      </c>
      <c r="N56" s="5" t="str">
        <f>IF(Deltagarlista!$K$3=4,IF(ISBLANK(Deltagarlista!$C49),"",IF(ISBLANK(Arrangörslista!K$8),"",IFERROR(VLOOKUP($F56,Arrangörslista!K$8:$AG$45,16,FALSE),IF(ISBLANK(Deltagarlista!$C49),"",IF(ISBLANK(Arrangörslista!K$8),"",IFERROR(VLOOKUP($F56,Arrangörslista!L$8:$AG$45,16,FALSE),"DNS")))))),IF(Deltagarlista!$K$3=2,
IF(ISBLANK(Deltagarlista!$C49),"",IF(ISBLANK(Arrangörslista!G$8),"",IF($GV56=N$64," DNS ",IFERROR(VLOOKUP($F56,Arrangörslista!G$8:$AG$45,16,FALSE),"DNS")))),IF(ISBLANK(Deltagarlista!$C49),"",IF(ISBLANK(Arrangörslista!G$8),"",IFERROR(VLOOKUP($F56,Arrangörslista!G$8:$AG$45,16,FALSE),"DNS")))))</f>
        <v/>
      </c>
      <c r="O56" s="5" t="str">
        <f>IF(Deltagarlista!$K$3=4,IF(ISBLANK(Deltagarlista!$C49),"",IF(ISBLANK(Arrangörslista!M$8),"",IFERROR(VLOOKUP($F56,Arrangörslista!M$8:$AG$45,16,FALSE),IF(ISBLANK(Deltagarlista!$C49),"",IF(ISBLANK(Arrangörslista!M$8),"",IFERROR(VLOOKUP($F56,Arrangörslista!N$8:$AG$45,16,FALSE),"DNS")))))),IF(Deltagarlista!$K$3=2,
IF(ISBLANK(Deltagarlista!$C49),"",IF(ISBLANK(Arrangörslista!H$8),"",IF($GV56=O$64," DNS ",IFERROR(VLOOKUP($F56,Arrangörslista!H$8:$AG$45,16,FALSE),"DNS")))),IF(ISBLANK(Deltagarlista!$C49),"",IF(ISBLANK(Arrangörslista!H$8),"",IFERROR(VLOOKUP($F56,Arrangörslista!H$8:$AG$45,16,FALSE),"DNS")))))</f>
        <v/>
      </c>
      <c r="P56" s="5" t="str">
        <f>IF(Deltagarlista!$K$3=4,IF(ISBLANK(Deltagarlista!$C49),"",IF(ISBLANK(Arrangörslista!O$8),"",IFERROR(VLOOKUP($F56,Arrangörslista!O$8:$AG$45,16,FALSE),IF(ISBLANK(Deltagarlista!$C49),"",IF(ISBLANK(Arrangörslista!O$8),"",IFERROR(VLOOKUP($F56,Arrangörslista!P$8:$AG$45,16,FALSE),"DNS")))))),IF(Deltagarlista!$K$3=2,
IF(ISBLANK(Deltagarlista!$C49),"",IF(ISBLANK(Arrangörslista!I$8),"",IF($GV56=P$64," DNS ",IFERROR(VLOOKUP($F56,Arrangörslista!I$8:$AG$45,16,FALSE),"DNS")))),IF(ISBLANK(Deltagarlista!$C49),"",IF(ISBLANK(Arrangörslista!I$8),"",IFERROR(VLOOKUP($F56,Arrangörslista!I$8:$AG$45,16,FALSE),"DNS")))))</f>
        <v/>
      </c>
      <c r="Q56" s="5" t="str">
        <f>IF(Deltagarlista!$K$3=4,IF(ISBLANK(Deltagarlista!$C49),"",IF(ISBLANK(Arrangörslista!Q$8),"",IFERROR(VLOOKUP($F56,Arrangörslista!Q$8:$AG$45,16,FALSE),IF(ISBLANK(Deltagarlista!$C49),"",IF(ISBLANK(Arrangörslista!Q$8),"",IFERROR(VLOOKUP($F56,Arrangörslista!C$53:$AG$90,16,FALSE),"DNS")))))),IF(Deltagarlista!$K$3=2,
IF(ISBLANK(Deltagarlista!$C49),"",IF(ISBLANK(Arrangörslista!J$8),"",IF($GV56=Q$64," DNS ",IFERROR(VLOOKUP($F56,Arrangörslista!J$8:$AG$45,16,FALSE),"DNS")))),IF(ISBLANK(Deltagarlista!$C49),"",IF(ISBLANK(Arrangörslista!J$8),"",IFERROR(VLOOKUP($F56,Arrangörslista!J$8:$AG$45,16,FALSE),"DNS")))))</f>
        <v/>
      </c>
      <c r="R56" s="5" t="str">
        <f>IF(Deltagarlista!$K$3=4,IF(ISBLANK(Deltagarlista!$C49),"",IF(ISBLANK(Arrangörslista!D$53),"",IFERROR(VLOOKUP($F56,Arrangörslista!D$53:$AG$90,16,FALSE),IF(ISBLANK(Deltagarlista!$C49),"",IF(ISBLANK(Arrangörslista!D$53),"",IFERROR(VLOOKUP($F56,Arrangörslista!E$53:$AG$90,16,FALSE),"DNS")))))),IF(Deltagarlista!$K$3=2,
IF(ISBLANK(Deltagarlista!$C49),"",IF(ISBLANK(Arrangörslista!K$8),"",IF($GV56=R$64," DNS ",IFERROR(VLOOKUP($F56,Arrangörslista!K$8:$AG$45,16,FALSE),"DNS")))),IF(ISBLANK(Deltagarlista!$C49),"",IF(ISBLANK(Arrangörslista!K$8),"",IFERROR(VLOOKUP($F56,Arrangörslista!K$8:$AG$45,16,FALSE),"DNS")))))</f>
        <v/>
      </c>
      <c r="S56" s="5" t="str">
        <f>IF(Deltagarlista!$K$3=4,IF(ISBLANK(Deltagarlista!$C49),"",IF(ISBLANK(Arrangörslista!F$53),"",IFERROR(VLOOKUP($F56,Arrangörslista!F$53:$AG$90,16,FALSE),IF(ISBLANK(Deltagarlista!$C49),"",IF(ISBLANK(Arrangörslista!F$53),"",IFERROR(VLOOKUP($F56,Arrangörslista!G$53:$AG$90,16,FALSE),"DNS")))))),IF(Deltagarlista!$K$3=2,
IF(ISBLANK(Deltagarlista!$C49),"",IF(ISBLANK(Arrangörslista!L$8),"",IF($GV56=S$64," DNS ",IFERROR(VLOOKUP($F56,Arrangörslista!L$8:$AG$45,16,FALSE),"DNS")))),IF(ISBLANK(Deltagarlista!$C49),"",IF(ISBLANK(Arrangörslista!L$8),"",IFERROR(VLOOKUP($F56,Arrangörslista!L$8:$AG$45,16,FALSE),"DNS")))))</f>
        <v/>
      </c>
      <c r="T56" s="5" t="str">
        <f>IF(Deltagarlista!$K$3=4,IF(ISBLANK(Deltagarlista!$C49),"",IF(ISBLANK(Arrangörslista!H$53),"",IFERROR(VLOOKUP($F56,Arrangörslista!H$53:$AG$90,16,FALSE),IF(ISBLANK(Deltagarlista!$C49),"",IF(ISBLANK(Arrangörslista!H$53),"",IFERROR(VLOOKUP($F56,Arrangörslista!I$53:$AG$90,16,FALSE),"DNS")))))),IF(Deltagarlista!$K$3=2,
IF(ISBLANK(Deltagarlista!$C49),"",IF(ISBLANK(Arrangörslista!M$8),"",IF($GV56=T$64," DNS ",IFERROR(VLOOKUP($F56,Arrangörslista!M$8:$AG$45,16,FALSE),"DNS")))),IF(ISBLANK(Deltagarlista!$C49),"",IF(ISBLANK(Arrangörslista!M$8),"",IFERROR(VLOOKUP($F56,Arrangörslista!M$8:$AG$45,16,FALSE),"DNS")))))</f>
        <v/>
      </c>
      <c r="U56" s="5" t="str">
        <f>IF(Deltagarlista!$K$3=4,IF(ISBLANK(Deltagarlista!$C49),"",IF(ISBLANK(Arrangörslista!J$53),"",IFERROR(VLOOKUP($F56,Arrangörslista!J$53:$AG$90,16,FALSE),IF(ISBLANK(Deltagarlista!$C49),"",IF(ISBLANK(Arrangörslista!J$53),"",IFERROR(VLOOKUP($F56,Arrangörslista!K$53:$AG$90,16,FALSE),"DNS")))))),IF(Deltagarlista!$K$3=2,
IF(ISBLANK(Deltagarlista!$C49),"",IF(ISBLANK(Arrangörslista!N$8),"",IF($GV56=U$64," DNS ",IFERROR(VLOOKUP($F56,Arrangörslista!N$8:$AG$45,16,FALSE),"DNS")))),IF(ISBLANK(Deltagarlista!$C49),"",IF(ISBLANK(Arrangörslista!N$8),"",IFERROR(VLOOKUP($F56,Arrangörslista!N$8:$AG$45,16,FALSE),"DNS")))))</f>
        <v/>
      </c>
      <c r="V56" s="5" t="str">
        <f>IF(Deltagarlista!$K$3=4,IF(ISBLANK(Deltagarlista!$C49),"",IF(ISBLANK(Arrangörslista!L$53),"",IFERROR(VLOOKUP($F56,Arrangörslista!L$53:$AG$90,16,FALSE),IF(ISBLANK(Deltagarlista!$C49),"",IF(ISBLANK(Arrangörslista!L$53),"",IFERROR(VLOOKUP($F56,Arrangörslista!M$53:$AG$90,16,FALSE),"DNS")))))),IF(Deltagarlista!$K$3=2,
IF(ISBLANK(Deltagarlista!$C49),"",IF(ISBLANK(Arrangörslista!O$8),"",IF($GV56=V$64," DNS ",IFERROR(VLOOKUP($F56,Arrangörslista!O$8:$AG$45,16,FALSE),"DNS")))),IF(ISBLANK(Deltagarlista!$C49),"",IF(ISBLANK(Arrangörslista!O$8),"",IFERROR(VLOOKUP($F56,Arrangörslista!O$8:$AG$45,16,FALSE),"DNS")))))</f>
        <v/>
      </c>
      <c r="W56" s="5" t="str">
        <f>IF(Deltagarlista!$K$3=4,IF(ISBLANK(Deltagarlista!$C49),"",IF(ISBLANK(Arrangörslista!N$53),"",IFERROR(VLOOKUP($F56,Arrangörslista!N$53:$AG$90,16,FALSE),IF(ISBLANK(Deltagarlista!$C49),"",IF(ISBLANK(Arrangörslista!N$53),"",IFERROR(VLOOKUP($F56,Arrangörslista!O$53:$AG$90,16,FALSE),"DNS")))))),IF(Deltagarlista!$K$3=2,
IF(ISBLANK(Deltagarlista!$C49),"",IF(ISBLANK(Arrangörslista!P$8),"",IF($GV56=W$64," DNS ",IFERROR(VLOOKUP($F56,Arrangörslista!P$8:$AG$45,16,FALSE),"DNS")))),IF(ISBLANK(Deltagarlista!$C49),"",IF(ISBLANK(Arrangörslista!P$8),"",IFERROR(VLOOKUP($F56,Arrangörslista!P$8:$AG$45,16,FALSE),"DNS")))))</f>
        <v/>
      </c>
      <c r="X56" s="5" t="str">
        <f>IF(Deltagarlista!$K$3=4,IF(ISBLANK(Deltagarlista!$C49),"",IF(ISBLANK(Arrangörslista!P$53),"",IFERROR(VLOOKUP($F56,Arrangörslista!P$53:$AG$90,16,FALSE),IF(ISBLANK(Deltagarlista!$C49),"",IF(ISBLANK(Arrangörslista!P$53),"",IFERROR(VLOOKUP($F56,Arrangörslista!Q$53:$AG$90,16,FALSE),"DNS")))))),IF(Deltagarlista!$K$3=2,
IF(ISBLANK(Deltagarlista!$C49),"",IF(ISBLANK(Arrangörslista!Q$8),"",IF($GV56=X$64," DNS ",IFERROR(VLOOKUP($F56,Arrangörslista!Q$8:$AG$45,16,FALSE),"DNS")))),IF(ISBLANK(Deltagarlista!$C49),"",IF(ISBLANK(Arrangörslista!Q$8),"",IFERROR(VLOOKUP($F56,Arrangörslista!Q$8:$AG$45,16,FALSE),"DNS")))))</f>
        <v/>
      </c>
      <c r="Y56" s="5" t="str">
        <f>IF(Deltagarlista!$K$3=4,IF(ISBLANK(Deltagarlista!$C49),"",IF(ISBLANK(Arrangörslista!C$98),"",IFERROR(VLOOKUP($F56,Arrangörslista!C$98:$AG$135,16,FALSE),IF(ISBLANK(Deltagarlista!$C49),"",IF(ISBLANK(Arrangörslista!C$98),"",IFERROR(VLOOKUP($F56,Arrangörslista!D$98:$AG$135,16,FALSE),"DNS")))))),IF(Deltagarlista!$K$3=2,
IF(ISBLANK(Deltagarlista!$C49),"",IF(ISBLANK(Arrangörslista!C$53),"",IF($GV56=Y$64," DNS ",IFERROR(VLOOKUP($F56,Arrangörslista!C$53:$AG$90,16,FALSE),"DNS")))),IF(ISBLANK(Deltagarlista!$C49),"",IF(ISBLANK(Arrangörslista!C$53),"",IFERROR(VLOOKUP($F56,Arrangörslista!C$53:$AG$90,16,FALSE),"DNS")))))</f>
        <v/>
      </c>
      <c r="Z56" s="5" t="str">
        <f>IF(Deltagarlista!$K$3=4,IF(ISBLANK(Deltagarlista!$C49),"",IF(ISBLANK(Arrangörslista!E$98),"",IFERROR(VLOOKUP($F56,Arrangörslista!E$98:$AG$135,16,FALSE),IF(ISBLANK(Deltagarlista!$C49),"",IF(ISBLANK(Arrangörslista!E$98),"",IFERROR(VLOOKUP($F56,Arrangörslista!F$98:$AG$135,16,FALSE),"DNS")))))),IF(Deltagarlista!$K$3=2,
IF(ISBLANK(Deltagarlista!$C49),"",IF(ISBLANK(Arrangörslista!D$53),"",IF($GV56=Z$64," DNS ",IFERROR(VLOOKUP($F56,Arrangörslista!D$53:$AG$90,16,FALSE),"DNS")))),IF(ISBLANK(Deltagarlista!$C49),"",IF(ISBLANK(Arrangörslista!D$53),"",IFERROR(VLOOKUP($F56,Arrangörslista!D$53:$AG$90,16,FALSE),"DNS")))))</f>
        <v/>
      </c>
      <c r="AA56" s="5" t="str">
        <f>IF(Deltagarlista!$K$3=4,IF(ISBLANK(Deltagarlista!$C49),"",IF(ISBLANK(Arrangörslista!G$98),"",IFERROR(VLOOKUP($F56,Arrangörslista!G$98:$AG$135,16,FALSE),IF(ISBLANK(Deltagarlista!$C49),"",IF(ISBLANK(Arrangörslista!G$98),"",IFERROR(VLOOKUP($F56,Arrangörslista!H$98:$AG$135,16,FALSE),"DNS")))))),IF(Deltagarlista!$K$3=2,
IF(ISBLANK(Deltagarlista!$C49),"",IF(ISBLANK(Arrangörslista!E$53),"",IF($GV56=AA$64," DNS ",IFERROR(VLOOKUP($F56,Arrangörslista!E$53:$AG$90,16,FALSE),"DNS")))),IF(ISBLANK(Deltagarlista!$C49),"",IF(ISBLANK(Arrangörslista!E$53),"",IFERROR(VLOOKUP($F56,Arrangörslista!E$53:$AG$90,16,FALSE),"DNS")))))</f>
        <v/>
      </c>
      <c r="AB56" s="5" t="str">
        <f>IF(Deltagarlista!$K$3=4,IF(ISBLANK(Deltagarlista!$C49),"",IF(ISBLANK(Arrangörslista!I$98),"",IFERROR(VLOOKUP($F56,Arrangörslista!I$98:$AG$135,16,FALSE),IF(ISBLANK(Deltagarlista!$C49),"",IF(ISBLANK(Arrangörslista!I$98),"",IFERROR(VLOOKUP($F56,Arrangörslista!J$98:$AG$135,16,FALSE),"DNS")))))),IF(Deltagarlista!$K$3=2,
IF(ISBLANK(Deltagarlista!$C49),"",IF(ISBLANK(Arrangörslista!F$53),"",IF($GV56=AB$64," DNS ",IFERROR(VLOOKUP($F56,Arrangörslista!F$53:$AG$90,16,FALSE),"DNS")))),IF(ISBLANK(Deltagarlista!$C49),"",IF(ISBLANK(Arrangörslista!F$53),"",IFERROR(VLOOKUP($F56,Arrangörslista!F$53:$AG$90,16,FALSE),"DNS")))))</f>
        <v/>
      </c>
      <c r="AC56" s="5" t="str">
        <f>IF(Deltagarlista!$K$3=4,IF(ISBLANK(Deltagarlista!$C49),"",IF(ISBLANK(Arrangörslista!K$98),"",IFERROR(VLOOKUP($F56,Arrangörslista!K$98:$AG$135,16,FALSE),IF(ISBLANK(Deltagarlista!$C49),"",IF(ISBLANK(Arrangörslista!K$98),"",IFERROR(VLOOKUP($F56,Arrangörslista!L$98:$AG$135,16,FALSE),"DNS")))))),IF(Deltagarlista!$K$3=2,
IF(ISBLANK(Deltagarlista!$C49),"",IF(ISBLANK(Arrangörslista!G$53),"",IF($GV56=AC$64," DNS ",IFERROR(VLOOKUP($F56,Arrangörslista!G$53:$AG$90,16,FALSE),"DNS")))),IF(ISBLANK(Deltagarlista!$C49),"",IF(ISBLANK(Arrangörslista!G$53),"",IFERROR(VLOOKUP($F56,Arrangörslista!G$53:$AG$90,16,FALSE),"DNS")))))</f>
        <v/>
      </c>
      <c r="AD56" s="5" t="str">
        <f>IF(Deltagarlista!$K$3=4,IF(ISBLANK(Deltagarlista!$C49),"",IF(ISBLANK(Arrangörslista!M$98),"",IFERROR(VLOOKUP($F56,Arrangörslista!M$98:$AG$135,16,FALSE),IF(ISBLANK(Deltagarlista!$C49),"",IF(ISBLANK(Arrangörslista!M$98),"",IFERROR(VLOOKUP($F56,Arrangörslista!N$98:$AG$135,16,FALSE),"DNS")))))),IF(Deltagarlista!$K$3=2,
IF(ISBLANK(Deltagarlista!$C49),"",IF(ISBLANK(Arrangörslista!H$53),"",IF($GV56=AD$64," DNS ",IFERROR(VLOOKUP($F56,Arrangörslista!H$53:$AG$90,16,FALSE),"DNS")))),IF(ISBLANK(Deltagarlista!$C49),"",IF(ISBLANK(Arrangörslista!H$53),"",IFERROR(VLOOKUP($F56,Arrangörslista!H$53:$AG$90,16,FALSE),"DNS")))))</f>
        <v/>
      </c>
      <c r="AE56" s="5" t="str">
        <f>IF(Deltagarlista!$K$3=4,IF(ISBLANK(Deltagarlista!$C49),"",IF(ISBLANK(Arrangörslista!O$98),"",IFERROR(VLOOKUP($F56,Arrangörslista!O$98:$AG$135,16,FALSE),IF(ISBLANK(Deltagarlista!$C49),"",IF(ISBLANK(Arrangörslista!O$98),"",IFERROR(VLOOKUP($F56,Arrangörslista!P$98:$AG$135,16,FALSE),"DNS")))))),IF(Deltagarlista!$K$3=2,
IF(ISBLANK(Deltagarlista!$C49),"",IF(ISBLANK(Arrangörslista!I$53),"",IF($GV56=AE$64," DNS ",IFERROR(VLOOKUP($F56,Arrangörslista!I$53:$AG$90,16,FALSE),"DNS")))),IF(ISBLANK(Deltagarlista!$C49),"",IF(ISBLANK(Arrangörslista!I$53),"",IFERROR(VLOOKUP($F56,Arrangörslista!I$53:$AG$90,16,FALSE),"DNS")))))</f>
        <v/>
      </c>
      <c r="AF56" s="5" t="str">
        <f>IF(Deltagarlista!$K$3=4,IF(ISBLANK(Deltagarlista!$C49),"",IF(ISBLANK(Arrangörslista!Q$98),"",IFERROR(VLOOKUP($F56,Arrangörslista!Q$98:$AG$135,16,FALSE),IF(ISBLANK(Deltagarlista!$C49),"",IF(ISBLANK(Arrangörslista!Q$98),"",IFERROR(VLOOKUP($F56,Arrangörslista!C$143:$AG$180,16,FALSE),"DNS")))))),IF(Deltagarlista!$K$3=2,
IF(ISBLANK(Deltagarlista!$C49),"",IF(ISBLANK(Arrangörslista!J$53),"",IF($GV56=AF$64," DNS ",IFERROR(VLOOKUP($F56,Arrangörslista!J$53:$AG$90,16,FALSE),"DNS")))),IF(ISBLANK(Deltagarlista!$C49),"",IF(ISBLANK(Arrangörslista!J$53),"",IFERROR(VLOOKUP($F56,Arrangörslista!J$53:$AG$90,16,FALSE),"DNS")))))</f>
        <v/>
      </c>
      <c r="AG56" s="5" t="str">
        <f>IF(Deltagarlista!$K$3=4,IF(ISBLANK(Deltagarlista!$C49),"",IF(ISBLANK(Arrangörslista!D$143),"",IFERROR(VLOOKUP($F56,Arrangörslista!D$143:$AG$180,16,FALSE),IF(ISBLANK(Deltagarlista!$C49),"",IF(ISBLANK(Arrangörslista!D$143),"",IFERROR(VLOOKUP($F56,Arrangörslista!E$143:$AG$180,16,FALSE),"DNS")))))),IF(Deltagarlista!$K$3=2,
IF(ISBLANK(Deltagarlista!$C49),"",IF(ISBLANK(Arrangörslista!K$53),"",IF($GV56=AG$64," DNS ",IFERROR(VLOOKUP($F56,Arrangörslista!K$53:$AG$90,16,FALSE),"DNS")))),IF(ISBLANK(Deltagarlista!$C49),"",IF(ISBLANK(Arrangörslista!K$53),"",IFERROR(VLOOKUP($F56,Arrangörslista!K$53:$AG$90,16,FALSE),"DNS")))))</f>
        <v/>
      </c>
      <c r="AH56" s="5" t="str">
        <f>IF(Deltagarlista!$K$3=4,IF(ISBLANK(Deltagarlista!$C49),"",IF(ISBLANK(Arrangörslista!F$143),"",IFERROR(VLOOKUP($F56,Arrangörslista!F$143:$AG$180,16,FALSE),IF(ISBLANK(Deltagarlista!$C49),"",IF(ISBLANK(Arrangörslista!F$143),"",IFERROR(VLOOKUP($F56,Arrangörslista!G$143:$AG$180,16,FALSE),"DNS")))))),IF(Deltagarlista!$K$3=2,
IF(ISBLANK(Deltagarlista!$C49),"",IF(ISBLANK(Arrangörslista!L$53),"",IF($GV56=AH$64," DNS ",IFERROR(VLOOKUP($F56,Arrangörslista!L$53:$AG$90,16,FALSE),"DNS")))),IF(ISBLANK(Deltagarlista!$C49),"",IF(ISBLANK(Arrangörslista!L$53),"",IFERROR(VLOOKUP($F56,Arrangörslista!L$53:$AG$90,16,FALSE),"DNS")))))</f>
        <v/>
      </c>
      <c r="AI56" s="5" t="str">
        <f>IF(Deltagarlista!$K$3=4,IF(ISBLANK(Deltagarlista!$C49),"",IF(ISBLANK(Arrangörslista!H$143),"",IFERROR(VLOOKUP($F56,Arrangörslista!H$143:$AG$180,16,FALSE),IF(ISBLANK(Deltagarlista!$C49),"",IF(ISBLANK(Arrangörslista!H$143),"",IFERROR(VLOOKUP($F56,Arrangörslista!I$143:$AG$180,16,FALSE),"DNS")))))),IF(Deltagarlista!$K$3=2,
IF(ISBLANK(Deltagarlista!$C49),"",IF(ISBLANK(Arrangörslista!M$53),"",IF($GV56=AI$64," DNS ",IFERROR(VLOOKUP($F56,Arrangörslista!M$53:$AG$90,16,FALSE),"DNS")))),IF(ISBLANK(Deltagarlista!$C49),"",IF(ISBLANK(Arrangörslista!M$53),"",IFERROR(VLOOKUP($F56,Arrangörslista!M$53:$AG$90,16,FALSE),"DNS")))))</f>
        <v/>
      </c>
      <c r="AJ56" s="5" t="str">
        <f>IF(Deltagarlista!$K$3=4,IF(ISBLANK(Deltagarlista!$C49),"",IF(ISBLANK(Arrangörslista!J$143),"",IFERROR(VLOOKUP($F56,Arrangörslista!J$143:$AG$180,16,FALSE),IF(ISBLANK(Deltagarlista!$C49),"",IF(ISBLANK(Arrangörslista!J$143),"",IFERROR(VLOOKUP($F56,Arrangörslista!K$143:$AG$180,16,FALSE),"DNS")))))),IF(Deltagarlista!$K$3=2,
IF(ISBLANK(Deltagarlista!$C49),"",IF(ISBLANK(Arrangörslista!N$53),"",IF($GV56=AJ$64," DNS ",IFERROR(VLOOKUP($F56,Arrangörslista!N$53:$AG$90,16,FALSE),"DNS")))),IF(ISBLANK(Deltagarlista!$C49),"",IF(ISBLANK(Arrangörslista!N$53),"",IFERROR(VLOOKUP($F56,Arrangörslista!N$53:$AG$90,16,FALSE),"DNS")))))</f>
        <v/>
      </c>
      <c r="AK56" s="5" t="str">
        <f>IF(Deltagarlista!$K$3=4,IF(ISBLANK(Deltagarlista!$C49),"",IF(ISBLANK(Arrangörslista!L$143),"",IFERROR(VLOOKUP($F56,Arrangörslista!L$143:$AG$180,16,FALSE),IF(ISBLANK(Deltagarlista!$C49),"",IF(ISBLANK(Arrangörslista!L$143),"",IFERROR(VLOOKUP($F56,Arrangörslista!M$143:$AG$180,16,FALSE),"DNS")))))),IF(Deltagarlista!$K$3=2,
IF(ISBLANK(Deltagarlista!$C49),"",IF(ISBLANK(Arrangörslista!O$53),"",IF($GV56=AK$64," DNS ",IFERROR(VLOOKUP($F56,Arrangörslista!O$53:$AG$90,16,FALSE),"DNS")))),IF(ISBLANK(Deltagarlista!$C49),"",IF(ISBLANK(Arrangörslista!O$53),"",IFERROR(VLOOKUP($F56,Arrangörslista!O$53:$AG$90,16,FALSE),"DNS")))))</f>
        <v/>
      </c>
      <c r="AL56" s="5" t="str">
        <f>IF(Deltagarlista!$K$3=4,IF(ISBLANK(Deltagarlista!$C49),"",IF(ISBLANK(Arrangörslista!N$143),"",IFERROR(VLOOKUP($F56,Arrangörslista!N$143:$AG$180,16,FALSE),IF(ISBLANK(Deltagarlista!$C49),"",IF(ISBLANK(Arrangörslista!N$143),"",IFERROR(VLOOKUP($F56,Arrangörslista!O$143:$AG$180,16,FALSE),"DNS")))))),IF(Deltagarlista!$K$3=2,
IF(ISBLANK(Deltagarlista!$C49),"",IF(ISBLANK(Arrangörslista!P$53),"",IF($GV56=AL$64," DNS ",IFERROR(VLOOKUP($F56,Arrangörslista!P$53:$AG$90,16,FALSE),"DNS")))),IF(ISBLANK(Deltagarlista!$C49),"",IF(ISBLANK(Arrangörslista!P$53),"",IFERROR(VLOOKUP($F56,Arrangörslista!P$53:$AG$90,16,FALSE),"DNS")))))</f>
        <v/>
      </c>
      <c r="AM56" s="5" t="str">
        <f>IF(Deltagarlista!$K$3=4,IF(ISBLANK(Deltagarlista!$C49),"",IF(ISBLANK(Arrangörslista!P$143),"",IFERROR(VLOOKUP($F56,Arrangörslista!P$143:$AG$180,16,FALSE),IF(ISBLANK(Deltagarlista!$C49),"",IF(ISBLANK(Arrangörslista!P$143),"",IFERROR(VLOOKUP($F56,Arrangörslista!Q$143:$AG$180,16,FALSE),"DNS")))))),IF(Deltagarlista!$K$3=2,
IF(ISBLANK(Deltagarlista!$C49),"",IF(ISBLANK(Arrangörslista!Q$53),"",IF($GV56=AM$64," DNS ",IFERROR(VLOOKUP($F56,Arrangörslista!Q$53:$AG$90,16,FALSE),"DNS")))),IF(ISBLANK(Deltagarlista!$C49),"",IF(ISBLANK(Arrangörslista!Q$53),"",IFERROR(VLOOKUP($F56,Arrangörslista!Q$53:$AG$90,16,FALSE),"DNS")))))</f>
        <v/>
      </c>
      <c r="AN56" s="5" t="str">
        <f>IF(Deltagarlista!$K$3=2,
IF(ISBLANK(Deltagarlista!$C49),"",IF(ISBLANK(Arrangörslista!C$98),"",IF($GV56=AN$64," DNS ",IFERROR(VLOOKUP($F56,Arrangörslista!C$98:$AG$135,16,FALSE), "DNS")))), IF(Deltagarlista!$K$3=1,IF(ISBLANK(Deltagarlista!$C49),"",IF(ISBLANK(Arrangörslista!C$98),"",IFERROR(VLOOKUP($F56,Arrangörslista!C$98:$AG$135,16,FALSE), "DNS"))),""))</f>
        <v/>
      </c>
      <c r="AO56" s="5" t="str">
        <f>IF(Deltagarlista!$K$3=2,
IF(ISBLANK(Deltagarlista!$C49),"",IF(ISBLANK(Arrangörslista!D$98),"",IF($GV56=AO$64," DNS ",IFERROR(VLOOKUP($F56,Arrangörslista!D$98:$AG$135,16,FALSE), "DNS")))), IF(Deltagarlista!$K$3=1,IF(ISBLANK(Deltagarlista!$C49),"",IF(ISBLANK(Arrangörslista!D$98),"",IFERROR(VLOOKUP($F56,Arrangörslista!D$98:$AG$135,16,FALSE), "DNS"))),""))</f>
        <v/>
      </c>
      <c r="AP56" s="5" t="str">
        <f>IF(Deltagarlista!$K$3=2,
IF(ISBLANK(Deltagarlista!$C49),"",IF(ISBLANK(Arrangörslista!E$98),"",IF($GV56=AP$64," DNS ",IFERROR(VLOOKUP($F56,Arrangörslista!E$98:$AG$135,16,FALSE), "DNS")))), IF(Deltagarlista!$K$3=1,IF(ISBLANK(Deltagarlista!$C49),"",IF(ISBLANK(Arrangörslista!E$98),"",IFERROR(VLOOKUP($F56,Arrangörslista!E$98:$AG$135,16,FALSE), "DNS"))),""))</f>
        <v/>
      </c>
      <c r="AQ56" s="5" t="str">
        <f>IF(Deltagarlista!$K$3=2,
IF(ISBLANK(Deltagarlista!$C49),"",IF(ISBLANK(Arrangörslista!F$98),"",IF($GV56=AQ$64," DNS ",IFERROR(VLOOKUP($F56,Arrangörslista!F$98:$AG$135,16,FALSE), "DNS")))), IF(Deltagarlista!$K$3=1,IF(ISBLANK(Deltagarlista!$C49),"",IF(ISBLANK(Arrangörslista!F$98),"",IFERROR(VLOOKUP($F56,Arrangörslista!F$98:$AG$135,16,FALSE), "DNS"))),""))</f>
        <v/>
      </c>
      <c r="AR56" s="5" t="str">
        <f>IF(Deltagarlista!$K$3=2,
IF(ISBLANK(Deltagarlista!$C49),"",IF(ISBLANK(Arrangörslista!G$98),"",IF($GV56=AR$64," DNS ",IFERROR(VLOOKUP($F56,Arrangörslista!G$98:$AG$135,16,FALSE), "DNS")))), IF(Deltagarlista!$K$3=1,IF(ISBLANK(Deltagarlista!$C49),"",IF(ISBLANK(Arrangörslista!G$98),"",IFERROR(VLOOKUP($F56,Arrangörslista!G$98:$AG$135,16,FALSE), "DNS"))),""))</f>
        <v/>
      </c>
      <c r="AS56" s="5" t="str">
        <f>IF(Deltagarlista!$K$3=2,
IF(ISBLANK(Deltagarlista!$C49),"",IF(ISBLANK(Arrangörslista!H$98),"",IF($GV56=AS$64," DNS ",IFERROR(VLOOKUP($F56,Arrangörslista!H$98:$AG$135,16,FALSE), "DNS")))), IF(Deltagarlista!$K$3=1,IF(ISBLANK(Deltagarlista!$C49),"",IF(ISBLANK(Arrangörslista!H$98),"",IFERROR(VLOOKUP($F56,Arrangörslista!H$98:$AG$135,16,FALSE), "DNS"))),""))</f>
        <v/>
      </c>
      <c r="AT56" s="5" t="str">
        <f>IF(Deltagarlista!$K$3=2,
IF(ISBLANK(Deltagarlista!$C49),"",IF(ISBLANK(Arrangörslista!I$98),"",IF($GV56=AT$64," DNS ",IFERROR(VLOOKUP($F56,Arrangörslista!I$98:$AG$135,16,FALSE), "DNS")))), IF(Deltagarlista!$K$3=1,IF(ISBLANK(Deltagarlista!$C49),"",IF(ISBLANK(Arrangörslista!I$98),"",IFERROR(VLOOKUP($F56,Arrangörslista!I$98:$AG$135,16,FALSE), "DNS"))),""))</f>
        <v/>
      </c>
      <c r="AU56" s="5" t="str">
        <f>IF(Deltagarlista!$K$3=2,
IF(ISBLANK(Deltagarlista!$C49),"",IF(ISBLANK(Arrangörslista!J$98),"",IF($GV56=AU$64," DNS ",IFERROR(VLOOKUP($F56,Arrangörslista!J$98:$AG$135,16,FALSE), "DNS")))), IF(Deltagarlista!$K$3=1,IF(ISBLANK(Deltagarlista!$C49),"",IF(ISBLANK(Arrangörslista!J$98),"",IFERROR(VLOOKUP($F56,Arrangörslista!J$98:$AG$135,16,FALSE), "DNS"))),""))</f>
        <v/>
      </c>
      <c r="AV56" s="5" t="str">
        <f>IF(Deltagarlista!$K$3=2,
IF(ISBLANK(Deltagarlista!$C49),"",IF(ISBLANK(Arrangörslista!K$98),"",IF($GV56=AV$64," DNS ",IFERROR(VLOOKUP($F56,Arrangörslista!K$98:$AG$135,16,FALSE), "DNS")))), IF(Deltagarlista!$K$3=1,IF(ISBLANK(Deltagarlista!$C49),"",IF(ISBLANK(Arrangörslista!K$98),"",IFERROR(VLOOKUP($F56,Arrangörslista!K$98:$AG$135,16,FALSE), "DNS"))),""))</f>
        <v/>
      </c>
      <c r="AW56" s="5" t="str">
        <f>IF(Deltagarlista!$K$3=2,
IF(ISBLANK(Deltagarlista!$C49),"",IF(ISBLANK(Arrangörslista!L$98),"",IF($GV56=AW$64," DNS ",IFERROR(VLOOKUP($F56,Arrangörslista!L$98:$AG$135,16,FALSE), "DNS")))), IF(Deltagarlista!$K$3=1,IF(ISBLANK(Deltagarlista!$C49),"",IF(ISBLANK(Arrangörslista!L$98),"",IFERROR(VLOOKUP($F56,Arrangörslista!L$98:$AG$135,16,FALSE), "DNS"))),""))</f>
        <v/>
      </c>
      <c r="AX56" s="5" t="str">
        <f>IF(Deltagarlista!$K$3=2,
IF(ISBLANK(Deltagarlista!$C49),"",IF(ISBLANK(Arrangörslista!M$98),"",IF($GV56=AX$64," DNS ",IFERROR(VLOOKUP($F56,Arrangörslista!M$98:$AG$135,16,FALSE), "DNS")))), IF(Deltagarlista!$K$3=1,IF(ISBLANK(Deltagarlista!$C49),"",IF(ISBLANK(Arrangörslista!M$98),"",IFERROR(VLOOKUP($F56,Arrangörslista!M$98:$AG$135,16,FALSE), "DNS"))),""))</f>
        <v/>
      </c>
      <c r="AY56" s="5" t="str">
        <f>IF(Deltagarlista!$K$3=2,
IF(ISBLANK(Deltagarlista!$C49),"",IF(ISBLANK(Arrangörslista!N$98),"",IF($GV56=AY$64," DNS ",IFERROR(VLOOKUP($F56,Arrangörslista!N$98:$AG$135,16,FALSE), "DNS")))), IF(Deltagarlista!$K$3=1,IF(ISBLANK(Deltagarlista!$C49),"",IF(ISBLANK(Arrangörslista!N$98),"",IFERROR(VLOOKUP($F56,Arrangörslista!N$98:$AG$135,16,FALSE), "DNS"))),""))</f>
        <v/>
      </c>
      <c r="AZ56" s="5" t="str">
        <f>IF(Deltagarlista!$K$3=2,
IF(ISBLANK(Deltagarlista!$C49),"",IF(ISBLANK(Arrangörslista!O$98),"",IF($GV56=AZ$64," DNS ",IFERROR(VLOOKUP($F56,Arrangörslista!O$98:$AG$135,16,FALSE), "DNS")))), IF(Deltagarlista!$K$3=1,IF(ISBLANK(Deltagarlista!$C49),"",IF(ISBLANK(Arrangörslista!O$98),"",IFERROR(VLOOKUP($F56,Arrangörslista!O$98:$AG$135,16,FALSE), "DNS"))),""))</f>
        <v/>
      </c>
      <c r="BA56" s="5" t="str">
        <f>IF(Deltagarlista!$K$3=2,
IF(ISBLANK(Deltagarlista!$C49),"",IF(ISBLANK(Arrangörslista!P$98),"",IF($GV56=BA$64," DNS ",IFERROR(VLOOKUP($F56,Arrangörslista!P$98:$AG$135,16,FALSE), "DNS")))), IF(Deltagarlista!$K$3=1,IF(ISBLANK(Deltagarlista!$C49),"",IF(ISBLANK(Arrangörslista!P$98),"",IFERROR(VLOOKUP($F56,Arrangörslista!P$98:$AG$135,16,FALSE), "DNS"))),""))</f>
        <v/>
      </c>
      <c r="BB56" s="5" t="str">
        <f>IF(Deltagarlista!$K$3=2,
IF(ISBLANK(Deltagarlista!$C49),"",IF(ISBLANK(Arrangörslista!Q$98),"",IF($GV56=BB$64," DNS ",IFERROR(VLOOKUP($F56,Arrangörslista!Q$98:$AG$135,16,FALSE), "DNS")))), IF(Deltagarlista!$K$3=1,IF(ISBLANK(Deltagarlista!$C49),"",IF(ISBLANK(Arrangörslista!Q$98),"",IFERROR(VLOOKUP($F56,Arrangörslista!Q$98:$AG$135,16,FALSE), "DNS"))),""))</f>
        <v/>
      </c>
      <c r="BC56" s="5" t="str">
        <f>IF(Deltagarlista!$K$3=2,
IF(ISBLANK(Deltagarlista!$C49),"",IF(ISBLANK(Arrangörslista!C$143),"",IF($GV56=BC$64," DNS ",IFERROR(VLOOKUP($F56,Arrangörslista!C$143:$AG$180,16,FALSE), "DNS")))), IF(Deltagarlista!$K$3=1,IF(ISBLANK(Deltagarlista!$C49),"",IF(ISBLANK(Arrangörslista!C$143),"",IFERROR(VLOOKUP($F56,Arrangörslista!C$143:$AG$180,16,FALSE), "DNS"))),""))</f>
        <v/>
      </c>
      <c r="BD56" s="5" t="str">
        <f>IF(Deltagarlista!$K$3=2,
IF(ISBLANK(Deltagarlista!$C49),"",IF(ISBLANK(Arrangörslista!D$143),"",IF($GV56=BD$64," DNS ",IFERROR(VLOOKUP($F56,Arrangörslista!D$143:$AG$180,16,FALSE), "DNS")))), IF(Deltagarlista!$K$3=1,IF(ISBLANK(Deltagarlista!$C49),"",IF(ISBLANK(Arrangörslista!D$143),"",IFERROR(VLOOKUP($F56,Arrangörslista!D$143:$AG$180,16,FALSE), "DNS"))),""))</f>
        <v/>
      </c>
      <c r="BE56" s="5" t="str">
        <f>IF(Deltagarlista!$K$3=2,
IF(ISBLANK(Deltagarlista!$C49),"",IF(ISBLANK(Arrangörslista!E$143),"",IF($GV56=BE$64," DNS ",IFERROR(VLOOKUP($F56,Arrangörslista!E$143:$AG$180,16,FALSE), "DNS")))), IF(Deltagarlista!$K$3=1,IF(ISBLANK(Deltagarlista!$C49),"",IF(ISBLANK(Arrangörslista!E$143),"",IFERROR(VLOOKUP($F56,Arrangörslista!E$143:$AG$180,16,FALSE), "DNS"))),""))</f>
        <v/>
      </c>
      <c r="BF56" s="5" t="str">
        <f>IF(Deltagarlista!$K$3=2,
IF(ISBLANK(Deltagarlista!$C49),"",IF(ISBLANK(Arrangörslista!F$143),"",IF($GV56=BF$64," DNS ",IFERROR(VLOOKUP($F56,Arrangörslista!F$143:$AG$180,16,FALSE), "DNS")))), IF(Deltagarlista!$K$3=1,IF(ISBLANK(Deltagarlista!$C49),"",IF(ISBLANK(Arrangörslista!F$143),"",IFERROR(VLOOKUP($F56,Arrangörslista!F$143:$AG$180,16,FALSE), "DNS"))),""))</f>
        <v/>
      </c>
      <c r="BG56" s="5" t="str">
        <f>IF(Deltagarlista!$K$3=2,
IF(ISBLANK(Deltagarlista!$C49),"",IF(ISBLANK(Arrangörslista!G$143),"",IF($GV56=BG$64," DNS ",IFERROR(VLOOKUP($F56,Arrangörslista!G$143:$AG$180,16,FALSE), "DNS")))), IF(Deltagarlista!$K$3=1,IF(ISBLANK(Deltagarlista!$C49),"",IF(ISBLANK(Arrangörslista!G$143),"",IFERROR(VLOOKUP($F56,Arrangörslista!G$143:$AG$180,16,FALSE), "DNS"))),""))</f>
        <v/>
      </c>
      <c r="BH56" s="5" t="str">
        <f>IF(Deltagarlista!$K$3=2,
IF(ISBLANK(Deltagarlista!$C49),"",IF(ISBLANK(Arrangörslista!H$143),"",IF($GV56=BH$64," DNS ",IFERROR(VLOOKUP($F56,Arrangörslista!H$143:$AG$180,16,FALSE), "DNS")))), IF(Deltagarlista!$K$3=1,IF(ISBLANK(Deltagarlista!$C49),"",IF(ISBLANK(Arrangörslista!H$143),"",IFERROR(VLOOKUP($F56,Arrangörslista!H$143:$AG$180,16,FALSE), "DNS"))),""))</f>
        <v/>
      </c>
      <c r="BI56" s="5" t="str">
        <f>IF(Deltagarlista!$K$3=2,
IF(ISBLANK(Deltagarlista!$C49),"",IF(ISBLANK(Arrangörslista!I$143),"",IF($GV56=BI$64," DNS ",IFERROR(VLOOKUP($F56,Arrangörslista!I$143:$AG$180,16,FALSE), "DNS")))), IF(Deltagarlista!$K$3=1,IF(ISBLANK(Deltagarlista!$C49),"",IF(ISBLANK(Arrangörslista!I$143),"",IFERROR(VLOOKUP($F56,Arrangörslista!I$143:$AG$180,16,FALSE), "DNS"))),""))</f>
        <v/>
      </c>
      <c r="BJ56" s="5" t="str">
        <f>IF(Deltagarlista!$K$3=2,
IF(ISBLANK(Deltagarlista!$C49),"",IF(ISBLANK(Arrangörslista!J$143),"",IF($GV56=BJ$64," DNS ",IFERROR(VLOOKUP($F56,Arrangörslista!J$143:$AG$180,16,FALSE), "DNS")))), IF(Deltagarlista!$K$3=1,IF(ISBLANK(Deltagarlista!$C49),"",IF(ISBLANK(Arrangörslista!J$143),"",IFERROR(VLOOKUP($F56,Arrangörslista!J$143:$AG$180,16,FALSE), "DNS"))),""))</f>
        <v/>
      </c>
      <c r="BK56" s="5" t="str">
        <f>IF(Deltagarlista!$K$3=2,
IF(ISBLANK(Deltagarlista!$C49),"",IF(ISBLANK(Arrangörslista!K$143),"",IF($GV56=BK$64," DNS ",IFERROR(VLOOKUP($F56,Arrangörslista!K$143:$AG$180,16,FALSE), "DNS")))), IF(Deltagarlista!$K$3=1,IF(ISBLANK(Deltagarlista!$C49),"",IF(ISBLANK(Arrangörslista!K$143),"",IFERROR(VLOOKUP($F56,Arrangörslista!K$143:$AG$180,16,FALSE), "DNS"))),""))</f>
        <v/>
      </c>
      <c r="BL56" s="5" t="str">
        <f>IF(Deltagarlista!$K$3=2,
IF(ISBLANK(Deltagarlista!$C49),"",IF(ISBLANK(Arrangörslista!L$143),"",IF($GV56=BL$64," DNS ",IFERROR(VLOOKUP($F56,Arrangörslista!L$143:$AG$180,16,FALSE), "DNS")))), IF(Deltagarlista!$K$3=1,IF(ISBLANK(Deltagarlista!$C49),"",IF(ISBLANK(Arrangörslista!L$143),"",IFERROR(VLOOKUP($F56,Arrangörslista!L$143:$AG$180,16,FALSE), "DNS"))),""))</f>
        <v/>
      </c>
      <c r="BM56" s="5" t="str">
        <f>IF(Deltagarlista!$K$3=2,
IF(ISBLANK(Deltagarlista!$C49),"",IF(ISBLANK(Arrangörslista!M$143),"",IF($GV56=BM$64," DNS ",IFERROR(VLOOKUP($F56,Arrangörslista!M$143:$AG$180,16,FALSE), "DNS")))), IF(Deltagarlista!$K$3=1,IF(ISBLANK(Deltagarlista!$C49),"",IF(ISBLANK(Arrangörslista!M$143),"",IFERROR(VLOOKUP($F56,Arrangörslista!M$143:$AG$180,16,FALSE), "DNS"))),""))</f>
        <v/>
      </c>
      <c r="BN56" s="5" t="str">
        <f>IF(Deltagarlista!$K$3=2,
IF(ISBLANK(Deltagarlista!$C49),"",IF(ISBLANK(Arrangörslista!N$143),"",IF($GV56=BN$64," DNS ",IFERROR(VLOOKUP($F56,Arrangörslista!N$143:$AG$180,16,FALSE), "DNS")))), IF(Deltagarlista!$K$3=1,IF(ISBLANK(Deltagarlista!$C49),"",IF(ISBLANK(Arrangörslista!N$143),"",IFERROR(VLOOKUP($F56,Arrangörslista!N$143:$AG$180,16,FALSE), "DNS"))),""))</f>
        <v/>
      </c>
      <c r="BO56" s="5" t="str">
        <f>IF(Deltagarlista!$K$3=2,
IF(ISBLANK(Deltagarlista!$C49),"",IF(ISBLANK(Arrangörslista!O$143),"",IF($GV56=BO$64," DNS ",IFERROR(VLOOKUP($F56,Arrangörslista!O$143:$AG$180,16,FALSE), "DNS")))), IF(Deltagarlista!$K$3=1,IF(ISBLANK(Deltagarlista!$C49),"",IF(ISBLANK(Arrangörslista!O$143),"",IFERROR(VLOOKUP($F56,Arrangörslista!O$143:$AG$180,16,FALSE), "DNS"))),""))</f>
        <v/>
      </c>
      <c r="BP56" s="5" t="str">
        <f>IF(Deltagarlista!$K$3=2,
IF(ISBLANK(Deltagarlista!$C49),"",IF(ISBLANK(Arrangörslista!P$143),"",IF($GV56=BP$64," DNS ",IFERROR(VLOOKUP($F56,Arrangörslista!P$143:$AG$180,16,FALSE), "DNS")))), IF(Deltagarlista!$K$3=1,IF(ISBLANK(Deltagarlista!$C49),"",IF(ISBLANK(Arrangörslista!P$143),"",IFERROR(VLOOKUP($F56,Arrangörslista!P$143:$AG$180,16,FALSE), "DNS"))),""))</f>
        <v/>
      </c>
      <c r="BQ56" s="80" t="str">
        <f>IF(Deltagarlista!$K$3=2,
IF(ISBLANK(Deltagarlista!$C49),"",IF(ISBLANK(Arrangörslista!Q$143),"",IF($GV56=BQ$64," DNS ",IFERROR(VLOOKUP($F56,Arrangörslista!Q$143:$AG$180,16,FALSE), "DNS")))), IF(Deltagarlista!$K$3=1,IF(ISBLANK(Deltagarlista!$C49),"",IF(ISBLANK(Arrangörslista!Q$143),"",IFERROR(VLOOKUP($F56,Arrangörslista!Q$143:$AG$180,16,FALSE), "DNS"))),""))</f>
        <v/>
      </c>
      <c r="BR56" s="48"/>
      <c r="BU56" s="71">
        <f>SUM(BV56:EC56)</f>
        <v>0</v>
      </c>
      <c r="BV56" s="61">
        <f>IF(J56="",0,IF(OR(J56="DNF",J56="OCS",J56="DSQ",J56="DNS",J56=" DNS "),$BW$3+1,J56))</f>
        <v>0</v>
      </c>
      <c r="BW56" s="61">
        <f>IF(K56="",0,IF(OR(K56="DNF",K56="OCS",K56="DSQ",K56="DNS",K56=" DNS "),$BW$3+1,K56))</f>
        <v>0</v>
      </c>
      <c r="BX56" s="61">
        <f>IF(L56="",0,IF(OR(L56="DNF",L56="OCS",L56="DSQ",L56="DNS",L56=" DNS "),$BW$3+1,L56))</f>
        <v>0</v>
      </c>
      <c r="BY56" s="61">
        <f>IF(M56="",0,IF(OR(M56="DNF",M56="OCS",M56="DSQ",M56="DNS",M56=" DNS "),$BW$3+1,M56))</f>
        <v>0</v>
      </c>
      <c r="BZ56" s="61">
        <f>IF(N56="",0,IF(OR(N56="DNF",N56="OCS",N56="DSQ",N56="DNS",N56=" DNS "),$BW$3+1,N56))</f>
        <v>0</v>
      </c>
      <c r="CA56" s="61">
        <f>IF(O56="",0,IF(OR(O56="DNF",O56="OCS",O56="DSQ",O56="DNS",O56=" DNS "),$BW$3+1,O56))</f>
        <v>0</v>
      </c>
      <c r="CB56" s="61">
        <f>IF(P56="",0,IF(OR(P56="DNF",P56="OCS",P56="DSQ",P56="DNS",P56=" DNS "),$BW$3+1,P56))</f>
        <v>0</v>
      </c>
      <c r="CC56" s="61">
        <f>IF(Q56="",0,IF(OR(Q56="DNF",Q56="OCS",Q56="DSQ",Q56="DNS",Q56=" DNS "),$BW$3+1,Q56))</f>
        <v>0</v>
      </c>
      <c r="CD56" s="61">
        <f>IF(R56="",0,IF(OR(R56="DNF",R56="OCS",R56="DSQ",R56="DNS",R56=" DNS "),$BW$3+1,R56))</f>
        <v>0</v>
      </c>
      <c r="CE56" s="61">
        <f>IF(S56="",0,IF(OR(S56="DNF",S56="OCS",S56="DSQ",S56="DNS",S56=" DNS "),$BW$3+1,S56))</f>
        <v>0</v>
      </c>
      <c r="CF56" s="61">
        <f>IF(T56="",0,IF(OR(T56="DNF",T56="OCS",T56="DSQ",T56="DNS",T56=" DNS "),$BW$3+1,T56))</f>
        <v>0</v>
      </c>
      <c r="CG56" s="61">
        <f>IF(U56="",0,IF(OR(U56="DNF",U56="OCS",U56="DSQ",U56="DNS",U56=" DNS "),$BW$3+1,U56))</f>
        <v>0</v>
      </c>
      <c r="CH56" s="61">
        <f>IF(V56="",0,IF(OR(V56="DNF",V56="OCS",V56="DSQ",V56="DNS",V56=" DNS "),$BW$3+1,V56))</f>
        <v>0</v>
      </c>
      <c r="CI56" s="61">
        <f>IF(W56="",0,IF(OR(W56="DNF",W56="OCS",W56="DSQ",W56="DNS",W56=" DNS "),$BW$3+1,W56))</f>
        <v>0</v>
      </c>
      <c r="CJ56" s="61">
        <f>IF(X56="",0,IF(OR(X56="DNF",X56="OCS",X56="DSQ",X56="DNS",X56=" DNS "),$BW$3+1,X56))</f>
        <v>0</v>
      </c>
      <c r="CK56" s="61">
        <f>IF(Y56="",0,IF(OR(Y56="DNF",Y56="OCS",Y56="DSQ",Y56="DNS",Y56=" DNS "),$BW$3+1,Y56))</f>
        <v>0</v>
      </c>
      <c r="CL56" s="61">
        <f>IF(Z56="",0,IF(OR(Z56="DNF",Z56="OCS",Z56="DSQ",Z56="DNS",Z56=" DNS "),$BW$3+1,Z56))</f>
        <v>0</v>
      </c>
      <c r="CM56" s="61">
        <f>IF(AA56="",0,IF(OR(AA56="DNF",AA56="OCS",AA56="DSQ",AA56="DNS",AA56=" DNS "),$BW$3+1,AA56))</f>
        <v>0</v>
      </c>
      <c r="CN56" s="61">
        <f>IF(AB56="",0,IF(OR(AB56="DNF",AB56="OCS",AB56="DSQ",AB56="DNS",AB56=" DNS "),$BW$3+1,AB56))</f>
        <v>0</v>
      </c>
      <c r="CO56" s="61">
        <f>IF(AC56="",0,IF(OR(AC56="DNF",AC56="OCS",AC56="DSQ",AC56="DNS",AC56=" DNS "),$BW$3+1,AC56))</f>
        <v>0</v>
      </c>
      <c r="CP56" s="61">
        <f>IF(AD56="",0,IF(OR(AD56="DNF",AD56="OCS",AD56="DSQ",AD56="DNS",AD56=" DNS "),$BW$3+1,AD56))</f>
        <v>0</v>
      </c>
      <c r="CQ56" s="61">
        <f>IF(AE56="",0,IF(OR(AE56="DNF",AE56="OCS",AE56="DSQ",AE56="DNS",AE56=" DNS "),$BW$3+1,AE56))</f>
        <v>0</v>
      </c>
      <c r="CR56" s="61">
        <f>IF(AF56="",0,IF(OR(AF56="DNF",AF56="OCS",AF56="DSQ",AF56="DNS",AF56=" DNS "),$BW$3+1,AF56))</f>
        <v>0</v>
      </c>
      <c r="CS56" s="61">
        <f>IF(AG56="",0,IF(OR(AG56="DNF",AG56="OCS",AG56="DSQ",AG56="DNS",AG56=" DNS "),$BW$3+1,AG56))</f>
        <v>0</v>
      </c>
      <c r="CT56" s="61">
        <f>IF(AH56="",0,IF(OR(AH56="DNF",AH56="OCS",AH56="DSQ",AH56="DNS",AH56=" DNS "),$BW$3+1,AH56))</f>
        <v>0</v>
      </c>
      <c r="CU56" s="61">
        <f>IF(AI56="",0,IF(OR(AI56="DNF",AI56="OCS",AI56="DSQ",AI56="DNS",AI56=" DNS "),$BW$3+1,AI56))</f>
        <v>0</v>
      </c>
      <c r="CV56" s="61">
        <f>IF(AJ56="",0,IF(OR(AJ56="DNF",AJ56="OCS",AJ56="DSQ",AJ56="DNS",AJ56=" DNS "),$BW$3+1,AJ56))</f>
        <v>0</v>
      </c>
      <c r="CW56" s="61">
        <f>IF(AK56="",0,IF(OR(AK56="DNF",AK56="OCS",AK56="DSQ",AK56="DNS",AK56=" DNS "),$BW$3+1,AK56))</f>
        <v>0</v>
      </c>
      <c r="CX56" s="61">
        <f>IF(AL56="",0,IF(OR(AL56="DNF",AL56="OCS",AL56="DSQ",AL56="DNS",AL56=" DNS "),$BW$3+1,AL56))</f>
        <v>0</v>
      </c>
      <c r="CY56" s="61">
        <f>IF(AM56="",0,IF(OR(AM56="DNF",AM56="OCS",AM56="DSQ",AM56="DNS",AM56=" DNS "),$BW$3+1,AM56))</f>
        <v>0</v>
      </c>
      <c r="CZ56" s="61">
        <f>IF(AN56="",0,IF(OR(AN56="DNF",AN56="OCS",AN56="DSQ",AN56="DNS",AN56=" DNS "),$BW$3+1,AN56))</f>
        <v>0</v>
      </c>
      <c r="DA56" s="61">
        <f>IF(AO56="",0,IF(OR(AO56="DNF",AO56="OCS",AO56="DSQ",AO56="DNS",AO56=" DNS "),$BW$3+1,AO56))</f>
        <v>0</v>
      </c>
      <c r="DB56" s="61">
        <f>IF(AP56="",0,IF(OR(AP56="DNF",AP56="OCS",AP56="DSQ",AP56="DNS",AP56=" DNS "),$BW$3+1,AP56))</f>
        <v>0</v>
      </c>
      <c r="DC56" s="61">
        <f>IF(AQ56="",0,IF(OR(AQ56="DNF",AQ56="OCS",AQ56="DSQ",AQ56="DNS",AQ56=" DNS "),$BW$3+1,AQ56))</f>
        <v>0</v>
      </c>
      <c r="DD56" s="61">
        <f>IF(AR56="",0,IF(OR(AR56="DNF",AR56="OCS",AR56="DSQ",AR56="DNS",AR56=" DNS "),$BW$3+1,AR56))</f>
        <v>0</v>
      </c>
      <c r="DE56" s="61">
        <f>IF(AS56="",0,IF(OR(AS56="DNF",AS56="OCS",AS56="DSQ",AS56="DNS",AS56=" DNS "),$BW$3+1,AS56))</f>
        <v>0</v>
      </c>
      <c r="DF56" s="61">
        <f>IF(AT56="",0,IF(OR(AT56="DNF",AT56="OCS",AT56="DSQ",AT56="DNS",AT56=" DNS "),$BW$3+1,AT56))</f>
        <v>0</v>
      </c>
      <c r="DG56" s="61">
        <f>IF(AU56="",0,IF(OR(AU56="DNF",AU56="OCS",AU56="DSQ",AU56="DNS",AU56=" DNS "),$BW$3+1,AU56))</f>
        <v>0</v>
      </c>
      <c r="DH56" s="61">
        <f>IF(AV56="",0,IF(OR(AV56="DNF",AV56="OCS",AV56="DSQ",AV56="DNS",AV56=" DNS "),$BW$3+1,AV56))</f>
        <v>0</v>
      </c>
      <c r="DI56" s="61">
        <f>IF(AW56="",0,IF(OR(AW56="DNF",AW56="OCS",AW56="DSQ",AW56="DNS",AW56=" DNS "),$BW$3+1,AW56))</f>
        <v>0</v>
      </c>
      <c r="DJ56" s="61">
        <f>IF(AX56="",0,IF(OR(AX56="DNF",AX56="OCS",AX56="DSQ",AX56="DNS",AX56=" DNS "),$BW$3+1,AX56))</f>
        <v>0</v>
      </c>
      <c r="DK56" s="61">
        <f>IF(AY56="",0,IF(OR(AY56="DNF",AY56="OCS",AY56="DSQ",AY56="DNS",AY56=" DNS "),$BW$3+1,AY56))</f>
        <v>0</v>
      </c>
      <c r="DL56" s="61">
        <f>IF(AZ56="",0,IF(OR(AZ56="DNF",AZ56="OCS",AZ56="DSQ",AZ56="DNS",AZ56=" DNS "),$BW$3+1,AZ56))</f>
        <v>0</v>
      </c>
      <c r="DM56" s="61">
        <f>IF(BA56="",0,IF(OR(BA56="DNF",BA56="OCS",BA56="DSQ",BA56="DNS",BA56=" DNS "),$BW$3+1,BA56))</f>
        <v>0</v>
      </c>
      <c r="DN56" s="61">
        <f>IF(BB56="",0,IF(OR(BB56="DNF",BB56="OCS",BB56="DSQ",BB56="DNS",BB56=" DNS "),$BW$3+1,BB56))</f>
        <v>0</v>
      </c>
      <c r="DO56" s="61">
        <f>IF(BC56="",0,IF(OR(BC56="DNF",BC56="OCS",BC56="DSQ",BC56="DNS",BC56=" DNS "),$BW$3+1,BC56))</f>
        <v>0</v>
      </c>
      <c r="DP56" s="61">
        <f>IF(BD56="",0,IF(OR(BD56="DNF",BD56="OCS",BD56="DSQ",BD56="DNS",BD56=" DNS "),$BW$3+1,BD56))</f>
        <v>0</v>
      </c>
      <c r="DQ56" s="61">
        <f>IF(BE56="",0,IF(OR(BE56="DNF",BE56="OCS",BE56="DSQ",BE56="DNS",BE56=" DNS "),$BW$3+1,BE56))</f>
        <v>0</v>
      </c>
      <c r="DR56" s="61">
        <f>IF(BF56="",0,IF(OR(BF56="DNF",BF56="OCS",BF56="DSQ",BF56="DNS",BF56=" DNS "),$BW$3+1,BF56))</f>
        <v>0</v>
      </c>
      <c r="DS56" s="61">
        <f>IF(BG56="",0,IF(OR(BG56="DNF",BG56="OCS",BG56="DSQ",BG56="DNS",BG56=" DNS "),$BW$3+1,BG56))</f>
        <v>0</v>
      </c>
      <c r="DT56" s="61">
        <f>IF(BH56="",0,IF(OR(BH56="DNF",BH56="OCS",BH56="DSQ",BH56="DNS",BH56=" DNS "),$BW$3+1,BH56))</f>
        <v>0</v>
      </c>
      <c r="DU56" s="61">
        <f>IF(BI56="",0,IF(OR(BI56="DNF",BI56="OCS",BI56="DSQ",BI56="DNS",BI56=" DNS "),$BW$3+1,BI56))</f>
        <v>0</v>
      </c>
      <c r="DV56" s="61">
        <f>IF(BJ56="",0,IF(OR(BJ56="DNF",BJ56="OCS",BJ56="DSQ",BJ56="DNS",BJ56=" DNS "),$BW$3+1,BJ56))</f>
        <v>0</v>
      </c>
      <c r="DW56" s="61">
        <f>IF(BK56="",0,IF(OR(BK56="DNF",BK56="OCS",BK56="DSQ",BK56="DNS",BK56=" DNS "),$BW$3+1,BK56))</f>
        <v>0</v>
      </c>
      <c r="DX56" s="61">
        <f>IF(BL56="",0,IF(OR(BL56="DNF",BL56="OCS",BL56="DSQ",BL56="DNS",BL56=" DNS "),$BW$3+1,BL56))</f>
        <v>0</v>
      </c>
      <c r="DY56" s="61">
        <f>IF(BM56="",0,IF(OR(BM56="DNF",BM56="OCS",BM56="DSQ",BM56="DNS",BM56=" DNS "),$BW$3+1,BM56))</f>
        <v>0</v>
      </c>
      <c r="DZ56" s="61">
        <f>IF(BN56="",0,IF(OR(BN56="DNF",BN56="OCS",BN56="DSQ",BN56="DNS",BN56=" DNS "),$BW$3+1,BN56))</f>
        <v>0</v>
      </c>
      <c r="EA56" s="61">
        <f>IF(BO56="",0,IF(OR(BO56="DNF",BO56="OCS",BO56="DSQ",BO56="DNS",BO56=" DNS "),$BW$3+1,BO56))</f>
        <v>0</v>
      </c>
      <c r="EB56" s="61">
        <f>IF(BP56="",0,IF(OR(BP56="DNF",BP56="OCS",BP56="DSQ",BP56="DNS",BP56=" DNS "),$BW$3+1,BP56))</f>
        <v>0</v>
      </c>
      <c r="EC56" s="61">
        <f>IF(BQ56="",0,IF(OR(BQ56="DNF",BQ56="OCS",BQ56="DSQ",BQ56="DNS",BQ56=" DNS "),$BW$3+1,BQ56))</f>
        <v>0</v>
      </c>
      <c r="EE56" s="61">
        <f xml:space="preserve">
IF(OR(Deltagarlista!$K$3=3,Deltagarlista!$K$3=4),
IF(Arrangörslista!$U$5&lt;8,0,
IF(Arrangörslista!$U$5&lt;16,SUM(LARGE(BV56:CJ56,1)),
IF(Arrangörslista!$U$5&lt;24,SUM(LARGE(BV56:CR56,{1;2})),
IF(Arrangörslista!$U$5&lt;32,SUM(LARGE(BV56:CZ56,{1;2;3})),
IF(Arrangörslista!$U$5&lt;40,SUM(LARGE(BV56:DH56,{1;2;3;4})),
IF(Arrangörslista!$U$5&lt;48,SUM(LARGE(BV56:DP56,{1;2;3;4;5})),
IF(Arrangörslista!$U$5&lt;56,SUM(LARGE(BV56:DX56,{1;2;3;4;5;6})),
IF(Arrangörslista!$U$5&lt;64,SUM(LARGE(BV56:EC56,{1;2;3;4;5;6;7})),0)))))))),
IF(Deltagarlista!$K$3=2,
IF(Arrangörslista!$U$5&lt;4,LARGE(BV56:BX56,1),
IF(Arrangörslista!$U$5&lt;7,SUM(LARGE(BV56:CA56,{1;2;3})),
IF(Arrangörslista!$U$5&lt;10,SUM(LARGE(BV56:CD56,{1;2;3;4})),
IF(Arrangörslista!$U$5&lt;13,SUM(LARGE(BV56:CG56,{1;2;3;4;5;6})),
IF(Arrangörslista!$U$5&lt;16,SUM(LARGE(BV56:CJ56,{1;2;3;4;5;6;7})),
IF(Arrangörslista!$U$5&lt;19,SUM(LARGE(BV56:CM56,{1;2;3;4;5;6;7;8;9})),
IF(Arrangörslista!$U$5&lt;22,SUM(LARGE(BV56:CP56,{1;2;3;4;5;6;7;8;9;10})),
IF(Arrangörslista!$U$5&lt;25,SUM(LARGE(BV56:CS56,{1;2;3;4;5;6;7;8;9;10;11;12})),
IF(Arrangörslista!$U$5&lt;28,SUM(LARGE(BV56:CV56,{1;2;3;4;5;6;7;8;9;10;11;12;13})),
IF(Arrangörslista!$U$5&lt;31,SUM(LARGE(BV56:CY56,{1;2;3;4;5;6;7;8;9;10;11;12;13;14;15})),
IF(Arrangörslista!$U$5&lt;34,SUM(LARGE(BV56:DB56,{1;2;3;4;5;6;7;8;9;10;11;12;13;14;15;16})),
IF(Arrangörslista!$U$5&lt;37,SUM(LARGE(BV56:DE56,{1;2;3;4;5;6;7;8;9;10;11;12;13;14;15;16;17;18})),
IF(Arrangörslista!$U$5&lt;40,SUM(LARGE(BV56:DH56,{1;2;3;4;5;6;7;8;9;10;11;12;13;14;15;16;17;18;19})),
IF(Arrangörslista!$U$5&lt;43,SUM(LARGE(BV56:DK56,{1;2;3;4;5;6;7;8;9;10;11;12;13;14;15;16;17;18;19;20;21})),
IF(Arrangörslista!$U$5&lt;46,SUM(LARGE(BV56:DN56,{1;2;3;4;5;6;7;8;9;10;11;12;13;14;15;16;17;18;19;20;21;22})),
IF(Arrangörslista!$U$5&lt;49,SUM(LARGE(BV56:DQ56,{1;2;3;4;5;6;7;8;9;10;11;12;13;14;15;16;17;18;19;20;21;22;23;24})),
IF(Arrangörslista!$U$5&lt;52,SUM(LARGE(BV56:DT56,{1;2;3;4;5;6;7;8;9;10;11;12;13;14;15;16;17;18;19;20;21;22;23;24;25})),
IF(Arrangörslista!$U$5&lt;55,SUM(LARGE(BV56:DW56,{1;2;3;4;5;6;7;8;9;10;11;12;13;14;15;16;17;18;19;20;21;22;23;24;25;26;27})),
IF(Arrangörslista!$U$5&lt;58,SUM(LARGE(BV56:DZ56,{1;2;3;4;5;6;7;8;9;10;11;12;13;14;15;16;17;18;19;20;21;22;23;24;25;26;27;28})),
IF(Arrangörslista!$U$5&lt;61,SUM(LARGE(BV56:EC56,{1;2;3;4;5;6;7;8;9;10;11;12;13;14;15;16;17;18;19;20;21;22;23;24;25;26;27;28;29;30})),0)))))))))))))))))))),
IF(Arrangörslista!$U$5&lt;4,0,
IF(Arrangörslista!$U$5&lt;8,SUM(LARGE(BV56:CB56,1)),
IF(Arrangörslista!$U$5&lt;12,SUM(LARGE(BV56:CF56,{1;2})),
IF(Arrangörslista!$U$5&lt;16,SUM(LARGE(BV56:CJ56,{1;2;3})),
IF(Arrangörslista!$U$5&lt;20,SUM(LARGE(BV56:CN56,{1;2;3;4})),
IF(Arrangörslista!$U$5&lt;24,SUM(LARGE(BV56:CR56,{1;2;3;4;5})),
IF(Arrangörslista!$U$5&lt;28,SUM(LARGE(BV56:CV56,{1;2;3;4;5;6})),
IF(Arrangörslista!$U$5&lt;32,SUM(LARGE(BV56:CZ56,{1;2;3;4;5;6;7})),
IF(Arrangörslista!$U$5&lt;36,SUM(LARGE(BV56:DD56,{1;2;3;4;5;6;7;8})),
IF(Arrangörslista!$U$5&lt;40,SUM(LARGE(BV56:DH56,{1;2;3;4;5;6;7;8;9})),
IF(Arrangörslista!$U$5&lt;44,SUM(LARGE(BV56:DL56,{1;2;3;4;5;6;7;8;9;10})),
IF(Arrangörslista!$U$5&lt;48,SUM(LARGE(BV56:DP56,{1;2;3;4;5;6;7;8;9;10;11})),
IF(Arrangörslista!$U$5&lt;52,SUM(LARGE(BV56:DT56,{1;2;3;4;5;6;7;8;9;10;11;12})),
IF(Arrangörslista!$U$5&lt;56,SUM(LARGE(BV56:DX56,{1;2;3;4;5;6;7;8;9;10;11;12;13})),
IF(Arrangörslista!$U$5&lt;60,SUM(LARGE(BV56:EB56,{1;2;3;4;5;6;7;8;9;10;11;12;13;14})),
IF(Arrangörslista!$U$5=60,SUM(LARGE(BV56:EC56,{1;2;3;4;5;6;7;8;9;10;11;12;13;14;15})),0))))))))))))))))))</f>
        <v>0</v>
      </c>
      <c r="EG56" s="67">
        <f>IF(F56="",,1)</f>
        <v>0</v>
      </c>
      <c r="EH56" s="61"/>
      <c r="EI56" s="61"/>
      <c r="EK56" s="62">
        <f>SMALL($J119:$BQ119,1)</f>
        <v>61</v>
      </c>
      <c r="EL56" s="62">
        <f>SMALL($J119:$BQ119,2)</f>
        <v>61</v>
      </c>
      <c r="EM56" s="62">
        <f>SMALL($J119:$BQ119,3)</f>
        <v>61</v>
      </c>
      <c r="EN56" s="62">
        <f>SMALL($J119:$BQ119,4)</f>
        <v>61</v>
      </c>
      <c r="EO56" s="62">
        <f>SMALL($J119:$BQ119,5)</f>
        <v>61</v>
      </c>
      <c r="EP56" s="62">
        <f>SMALL($J119:$BQ119,6)</f>
        <v>61</v>
      </c>
      <c r="EQ56" s="62">
        <f>SMALL($J119:$BQ119,7)</f>
        <v>61</v>
      </c>
      <c r="ER56" s="62">
        <f>SMALL($J119:$BQ119,8)</f>
        <v>61</v>
      </c>
      <c r="ES56" s="62">
        <f>SMALL($J119:$BQ119,9)</f>
        <v>61</v>
      </c>
      <c r="ET56" s="62">
        <f>SMALL($J119:$BQ119,10)</f>
        <v>61</v>
      </c>
      <c r="EU56" s="62">
        <f>SMALL($J119:$BQ119,11)</f>
        <v>61</v>
      </c>
      <c r="EV56" s="62">
        <f>SMALL($J119:$BQ119,12)</f>
        <v>61</v>
      </c>
      <c r="EW56" s="62">
        <f>SMALL($J119:$BQ119,13)</f>
        <v>61</v>
      </c>
      <c r="EX56" s="62">
        <f>SMALL($J119:$BQ119,14)</f>
        <v>61</v>
      </c>
      <c r="EY56" s="62">
        <f>SMALL($J119:$BQ119,15)</f>
        <v>61</v>
      </c>
      <c r="EZ56" s="62">
        <f>SMALL($J119:$BQ119,16)</f>
        <v>61</v>
      </c>
      <c r="FA56" s="62">
        <f>SMALL($J119:$BQ119,17)</f>
        <v>61</v>
      </c>
      <c r="FB56" s="62">
        <f>SMALL($J119:$BQ119,18)</f>
        <v>61</v>
      </c>
      <c r="FC56" s="62">
        <f>SMALL($J119:$BQ119,19)</f>
        <v>61</v>
      </c>
      <c r="FD56" s="62">
        <f>SMALL($J119:$BQ119,20)</f>
        <v>61</v>
      </c>
      <c r="FE56" s="62">
        <f>SMALL($J119:$BQ119,21)</f>
        <v>61</v>
      </c>
      <c r="FF56" s="62">
        <f>SMALL($J119:$BQ119,22)</f>
        <v>61</v>
      </c>
      <c r="FG56" s="62">
        <f>SMALL($J119:$BQ119,23)</f>
        <v>61</v>
      </c>
      <c r="FH56" s="62">
        <f>SMALL($J119:$BQ119,24)</f>
        <v>61</v>
      </c>
      <c r="FI56" s="62">
        <f>SMALL($J119:$BQ119,25)</f>
        <v>61</v>
      </c>
      <c r="FJ56" s="62">
        <f>SMALL($J119:$BQ119,26)</f>
        <v>61</v>
      </c>
      <c r="FK56" s="62">
        <f>SMALL($J119:$BQ119,27)</f>
        <v>61</v>
      </c>
      <c r="FL56" s="62">
        <f>SMALL($J119:$BQ119,28)</f>
        <v>61</v>
      </c>
      <c r="FM56" s="62">
        <f>SMALL($J119:$BQ119,29)</f>
        <v>61</v>
      </c>
      <c r="FN56" s="62">
        <f>SMALL($J119:$BQ119,30)</f>
        <v>61</v>
      </c>
      <c r="FO56" s="62">
        <f>SMALL($J119:$BQ119,31)</f>
        <v>61</v>
      </c>
      <c r="FP56" s="62">
        <f>SMALL($J119:$BQ119,32)</f>
        <v>61</v>
      </c>
      <c r="FQ56" s="62">
        <f>SMALL($J119:$BQ119,33)</f>
        <v>61</v>
      </c>
      <c r="FR56" s="62">
        <f>SMALL($J119:$BQ119,34)</f>
        <v>61</v>
      </c>
      <c r="FS56" s="62">
        <f>SMALL($J119:$BQ119,35)</f>
        <v>61</v>
      </c>
      <c r="FT56" s="62">
        <f>SMALL($J119:$BQ119,36)</f>
        <v>61</v>
      </c>
      <c r="FU56" s="62">
        <f>SMALL($J119:$BQ119,37)</f>
        <v>61</v>
      </c>
      <c r="FV56" s="62">
        <f>SMALL($J119:$BQ119,38)</f>
        <v>61</v>
      </c>
      <c r="FW56" s="62">
        <f>SMALL($J119:$BQ119,39)</f>
        <v>61</v>
      </c>
      <c r="FX56" s="62">
        <f>SMALL($J119:$BQ119,40)</f>
        <v>61</v>
      </c>
      <c r="FY56" s="62">
        <f>SMALL($J119:$BQ119,41)</f>
        <v>61</v>
      </c>
      <c r="FZ56" s="62">
        <f>SMALL($J119:$BQ119,42)</f>
        <v>61</v>
      </c>
      <c r="GA56" s="62">
        <f>SMALL($J119:$BQ119,43)</f>
        <v>61</v>
      </c>
      <c r="GB56" s="62">
        <f>SMALL($J119:$BQ119,44)</f>
        <v>61</v>
      </c>
      <c r="GC56" s="62">
        <f>SMALL($J119:$BQ119,45)</f>
        <v>61</v>
      </c>
      <c r="GD56" s="62">
        <f>SMALL($J119:$BQ119,46)</f>
        <v>61</v>
      </c>
      <c r="GE56" s="62">
        <f>SMALL($J119:$BQ119,47)</f>
        <v>61</v>
      </c>
      <c r="GF56" s="62">
        <f>SMALL($J119:$BQ119,48)</f>
        <v>61</v>
      </c>
      <c r="GG56" s="62">
        <f>SMALL($J119:$BQ119,49)</f>
        <v>61</v>
      </c>
      <c r="GH56" s="62">
        <f>SMALL($J119:$BQ119,50)</f>
        <v>61</v>
      </c>
      <c r="GI56" s="62">
        <f>SMALL($J119:$BQ119,51)</f>
        <v>61</v>
      </c>
      <c r="GJ56" s="62">
        <f>SMALL($J119:$BQ119,52)</f>
        <v>61</v>
      </c>
      <c r="GK56" s="62">
        <f>SMALL($J119:$BQ119,53)</f>
        <v>61</v>
      </c>
      <c r="GL56" s="62">
        <f>SMALL($J119:$BQ119,54)</f>
        <v>61</v>
      </c>
      <c r="GM56" s="62">
        <f>SMALL($J119:$BQ119,55)</f>
        <v>61</v>
      </c>
      <c r="GN56" s="62">
        <f>SMALL($J119:$BQ119,56)</f>
        <v>61</v>
      </c>
      <c r="GO56" s="62">
        <f>SMALL($J119:$BQ119,57)</f>
        <v>61</v>
      </c>
      <c r="GP56" s="62">
        <f>SMALL($J119:$BQ119,58)</f>
        <v>61</v>
      </c>
      <c r="GQ56" s="62">
        <f>SMALL($J119:$BQ119,59)</f>
        <v>61</v>
      </c>
      <c r="GR56" s="62">
        <f>SMALL($J119:$BQ119,60)</f>
        <v>61</v>
      </c>
      <c r="GT56" s="62">
        <f>IF(Deltagarlista!$K$3=2,
IF(GW56="1",
      IF(Arrangörslista!$U$5=1,J119,
IF(Arrangörslista!$U$5=2,K119,
IF(Arrangörslista!$U$5=3,L119,
IF(Arrangörslista!$U$5=4,M119,
IF(Arrangörslista!$U$5=5,N119,
IF(Arrangörslista!$U$5=6,O119,
IF(Arrangörslista!$U$5=7,P119,
IF(Arrangörslista!$U$5=8,Q119,
IF(Arrangörslista!$U$5=9,R119,
IF(Arrangörslista!$U$5=10,S119,
IF(Arrangörslista!$U$5=11,T119,
IF(Arrangörslista!$U$5=12,U119,
IF(Arrangörslista!$U$5=13,V119,
IF(Arrangörslista!$U$5=14,W119,
IF(Arrangörslista!$U$5=15,X119,
IF(Arrangörslista!$U$5=16,Y119,IF(Arrangörslista!$U$5=17,Z119,IF(Arrangörslista!$U$5=18,AA119,IF(Arrangörslista!$U$5=19,AB119,IF(Arrangörslista!$U$5=20,AC119,IF(Arrangörslista!$U$5=21,AD119,IF(Arrangörslista!$U$5=22,AE119,IF(Arrangörslista!$U$5=23,AF119, IF(Arrangörslista!$U$5=24,AG119, IF(Arrangörslista!$U$5=25,AH119, IF(Arrangörslista!$U$5=26,AI119, IF(Arrangörslista!$U$5=27,AJ119, IF(Arrangörslista!$U$5=28,AK119, IF(Arrangörslista!$U$5=29,AL119, IF(Arrangörslista!$U$5=30,AM119, IF(Arrangörslista!$U$5=31,AN119, IF(Arrangörslista!$U$5=32,AO119, IF(Arrangörslista!$U$5=33,AP119, IF(Arrangörslista!$U$5=34,AQ119, IF(Arrangörslista!$U$5=35,AR119, IF(Arrangörslista!$U$5=36,AS119, IF(Arrangörslista!$U$5=37,AT119, IF(Arrangörslista!$U$5=38,AU119, IF(Arrangörslista!$U$5=39,AV119, IF(Arrangörslista!$U$5=40,AW119, IF(Arrangörslista!$U$5=41,AX119, IF(Arrangörslista!$U$5=42,AY119, IF(Arrangörslista!$U$5=43,AZ119, IF(Arrangörslista!$U$5=44,BA119, IF(Arrangörslista!$U$5=45,BB119, IF(Arrangörslista!$U$5=46,BC119, IF(Arrangörslista!$U$5=47,BD119, IF(Arrangörslista!$U$5=48,BE119, IF(Arrangörslista!$U$5=49,BF119, IF(Arrangörslista!$U$5=50,BG119, IF(Arrangörslista!$U$5=51,BH119, IF(Arrangörslista!$U$5=52,BI119, IF(Arrangörslista!$U$5=53,BJ119, IF(Arrangörslista!$U$5=54,BK119, IF(Arrangörslista!$U$5=55,BL119, IF(Arrangörslista!$U$5=56,BM119, IF(Arrangörslista!$U$5=57,BN119, IF(Arrangörslista!$U$5=58,BO119, IF(Arrangörslista!$U$5=59,BP119, IF(Arrangörslista!$U$5=60,BQ119,0))))))))))))))))))))))))))))))))))))))))))))))))))))))))))))),IF(Deltagarlista!$K$3=4, IF(Arrangörslista!$U$5=1,J119,
IF(Arrangörslista!$U$5=2,J119,
IF(Arrangörslista!$U$5=3,K119,
IF(Arrangörslista!$U$5=4,K119,
IF(Arrangörslista!$U$5=5,L119,
IF(Arrangörslista!$U$5=6,L119,
IF(Arrangörslista!$U$5=7,M119,
IF(Arrangörslista!$U$5=8,M119,
IF(Arrangörslista!$U$5=9,N119,
IF(Arrangörslista!$U$5=10,N119,
IF(Arrangörslista!$U$5=11,O119,
IF(Arrangörslista!$U$5=12,O119,
IF(Arrangörslista!$U$5=13,P119,
IF(Arrangörslista!$U$5=14,P119,
IF(Arrangörslista!$U$5=15,Q119,
IF(Arrangörslista!$U$5=16,Q119,
IF(Arrangörslista!$U$5=17,R119,
IF(Arrangörslista!$U$5=18,R119,
IF(Arrangörslista!$U$5=19,S119,
IF(Arrangörslista!$U$5=20,S119,
IF(Arrangörslista!$U$5=21,T119,
IF(Arrangörslista!$U$5=22,T119,IF(Arrangörslista!$U$5=23,U119, IF(Arrangörslista!$U$5=24,U119, IF(Arrangörslista!$U$5=25,V119, IF(Arrangörslista!$U$5=26,V119, IF(Arrangörslista!$U$5=27,W119, IF(Arrangörslista!$U$5=28,W119, IF(Arrangörslista!$U$5=29,X119, IF(Arrangörslista!$U$5=30,X119, IF(Arrangörslista!$U$5=31,X119, IF(Arrangörslista!$U$5=32,Y119, IF(Arrangörslista!$U$5=33,AO119, IF(Arrangörslista!$U$5=34,Y119, IF(Arrangörslista!$U$5=35,Z119, IF(Arrangörslista!$U$5=36,AR119, IF(Arrangörslista!$U$5=37,Z119, IF(Arrangörslista!$U$5=38,AA119, IF(Arrangörslista!$U$5=39,AU119, IF(Arrangörslista!$U$5=40,AA119, IF(Arrangörslista!$U$5=41,AB119, IF(Arrangörslista!$U$5=42,AX119, IF(Arrangörslista!$U$5=43,AB119, IF(Arrangörslista!$U$5=44,AC119, IF(Arrangörslista!$U$5=45,BA119, IF(Arrangörslista!$U$5=46,AC119, IF(Arrangörslista!$U$5=47,AD119, IF(Arrangörslista!$U$5=48,BD119, IF(Arrangörslista!$U$5=49,AD119, IF(Arrangörslista!$U$5=50,AE119, IF(Arrangörslista!$U$5=51,BG119, IF(Arrangörslista!$U$5=52,AE119, IF(Arrangörslista!$U$5=53,AF119, IF(Arrangörslista!$U$5=54,BJ119, IF(Arrangörslista!$U$5=55,AF119, IF(Arrangörslista!$U$5=56,AG119, IF(Arrangörslista!$U$5=57,BM119, IF(Arrangörslista!$U$5=58,AG119, IF(Arrangörslista!$U$5=59,AH119, IF(Arrangörslista!$U$5=60,AH119,0)))))))))))))))))))))))))))))))))))))))))))))))))))))))))))),IF(Arrangörslista!$U$5=1,J119,
IF(Arrangörslista!$U$5=2,K119,
IF(Arrangörslista!$U$5=3,L119,
IF(Arrangörslista!$U$5=4,M119,
IF(Arrangörslista!$U$5=5,N119,
IF(Arrangörslista!$U$5=6,O119,
IF(Arrangörslista!$U$5=7,P119,
IF(Arrangörslista!$U$5=8,Q119,
IF(Arrangörslista!$U$5=9,R119,
IF(Arrangörslista!$U$5=10,S119,
IF(Arrangörslista!$U$5=11,T119,
IF(Arrangörslista!$U$5=12,U119,
IF(Arrangörslista!$U$5=13,V119,
IF(Arrangörslista!$U$5=14,W119,
IF(Arrangörslista!$U$5=15,X119,
IF(Arrangörslista!$U$5=16,Y119,IF(Arrangörslista!$U$5=17,Z119,IF(Arrangörslista!$U$5=18,AA119,IF(Arrangörslista!$U$5=19,AB119,IF(Arrangörslista!$U$5=20,AC119,IF(Arrangörslista!$U$5=21,AD119,IF(Arrangörslista!$U$5=22,AE119,IF(Arrangörslista!$U$5=23,AF119, IF(Arrangörslista!$U$5=24,AG119, IF(Arrangörslista!$U$5=25,AH119, IF(Arrangörslista!$U$5=26,AI119, IF(Arrangörslista!$U$5=27,AJ119, IF(Arrangörslista!$U$5=28,AK119, IF(Arrangörslista!$U$5=29,AL119, IF(Arrangörslista!$U$5=30,AM119, IF(Arrangörslista!$U$5=31,AN119, IF(Arrangörslista!$U$5=32,AO119, IF(Arrangörslista!$U$5=33,AP119, IF(Arrangörslista!$U$5=34,AQ119, IF(Arrangörslista!$U$5=35,AR119, IF(Arrangörslista!$U$5=36,AS119, IF(Arrangörslista!$U$5=37,AT119, IF(Arrangörslista!$U$5=38,AU119, IF(Arrangörslista!$U$5=39,AV119, IF(Arrangörslista!$U$5=40,AW119, IF(Arrangörslista!$U$5=41,AX119, IF(Arrangörslista!$U$5=42,AY119, IF(Arrangörslista!$U$5=43,AZ119, IF(Arrangörslista!$U$5=44,BA119, IF(Arrangörslista!$U$5=45,BB119, IF(Arrangörslista!$U$5=46,BC119, IF(Arrangörslista!$U$5=47,BD119, IF(Arrangörslista!$U$5=48,BE119, IF(Arrangörslista!$U$5=49,BF119, IF(Arrangörslista!$U$5=50,BG119, IF(Arrangörslista!$U$5=51,BH119, IF(Arrangörslista!$U$5=52,BI119, IF(Arrangörslista!$U$5=53,BJ119, IF(Arrangörslista!$U$5=54,BK119, IF(Arrangörslista!$U$5=55,BL119, IF(Arrangörslista!$U$5=56,BM119, IF(Arrangörslista!$U$5=57,BN119, IF(Arrangörslista!$U$5=58,BO119, IF(Arrangörslista!$U$5=59,BP119, IF(Arrangörslista!$U$5=60,BQ119,0))))))))))))))))))))))))))))))))))))))))))))))))))))))))))))
))</f>
        <v>0</v>
      </c>
      <c r="GV56" s="65" t="str">
        <f>IFERROR(IF(VLOOKUP(F56,Deltagarlista!$E$5:$I$64,5,FALSE)="Grön","Gr",IF(VLOOKUP(F56,Deltagarlista!$E$5:$I$64,5,FALSE)="Röd","R",IF(VLOOKUP(F56,Deltagarlista!$E$5:$I$64,5,FALSE)="Blå","B","Gu"))),"")</f>
        <v/>
      </c>
      <c r="GW56" s="62" t="str">
        <f t="shared" si="1"/>
        <v/>
      </c>
    </row>
    <row r="57" spans="1:205" ht="15.75" customHeight="1" x14ac:dyDescent="0.3">
      <c r="B57" s="23" t="str">
        <f>IF($BW$3&gt;53,54,"")</f>
        <v/>
      </c>
      <c r="C57" s="92" t="str">
        <f>IF(ISBLANK(Deltagarlista!C50),"",Deltagarlista!C50)</f>
        <v/>
      </c>
      <c r="D57" s="109" t="str">
        <f>CONCATENATE(IF(AND(Deltagarlista!H50="GM",Deltagarlista!$S$14=TRUE),"GM   ",""), IF(OR(Deltagarlista!$K$3=4,Deltagarlista!$K$3=2),Deltagarlista!I50,""))</f>
        <v/>
      </c>
      <c r="E57" s="8" t="str">
        <f>IF(ISBLANK(Deltagarlista!D50),"",Deltagarlista!D50)</f>
        <v/>
      </c>
      <c r="F57" s="8" t="str">
        <f>IF(ISBLANK(Deltagarlista!E50),"",Deltagarlista!E50)</f>
        <v/>
      </c>
      <c r="G57" s="95" t="str">
        <f>IF(ISBLANK(Deltagarlista!F50),"",Deltagarlista!F50)</f>
        <v/>
      </c>
      <c r="H57" s="72" t="str">
        <f>IF(ISBLANK(Deltagarlista!C50),"",BU57-EE57)</f>
        <v/>
      </c>
      <c r="I57" s="13" t="str">
        <f>IF(ISBLANK(Deltagarlista!C50),"",IF(AND(Deltagarlista!$K$3=2,Deltagarlista!$L$3&lt;37),SUM(SUM(BV57:EC57)-(ROUNDDOWN(Arrangörslista!$U$5/3,1))*($BW$3+1)),SUM(BV57:EC57)))</f>
        <v/>
      </c>
      <c r="J57" s="79" t="str">
        <f>IF(Deltagarlista!$K$3=4,IF(ISBLANK(Deltagarlista!$C50),"",IF(ISBLANK(Arrangörslista!C$8),"",IFERROR(VLOOKUP($F57,Arrangörslista!C$8:$AG$45,16,FALSE),IF(ISBLANK(Deltagarlista!$C50),"",IF(ISBLANK(Arrangörslista!C$8),"",IFERROR(VLOOKUP($F57,Arrangörslista!D$8:$AG$45,16,FALSE),"DNS")))))),IF(Deltagarlista!$K$3=2,
IF(ISBLANK(Deltagarlista!$C50),"",IF(ISBLANK(Arrangörslista!C$8),"",IF($GV57=J$64," DNS ",IFERROR(VLOOKUP($F57,Arrangörslista!C$8:$AG$45,16,FALSE),"DNS")))),IF(ISBLANK(Deltagarlista!$C50),"",IF(ISBLANK(Arrangörslista!C$8),"",IFERROR(VLOOKUP($F57,Arrangörslista!C$8:$AG$45,16,FALSE),"DNS")))))</f>
        <v/>
      </c>
      <c r="K57" s="5" t="str">
        <f>IF(Deltagarlista!$K$3=4,IF(ISBLANK(Deltagarlista!$C50),"",IF(ISBLANK(Arrangörslista!E$8),"",IFERROR(VLOOKUP($F57,Arrangörslista!E$8:$AG$45,16,FALSE),IF(ISBLANK(Deltagarlista!$C50),"",IF(ISBLANK(Arrangörslista!E$8),"",IFERROR(VLOOKUP($F57,Arrangörslista!F$8:$AG$45,16,FALSE),"DNS")))))),IF(Deltagarlista!$K$3=2,
IF(ISBLANK(Deltagarlista!$C50),"",IF(ISBLANK(Arrangörslista!D$8),"",IF($GV57=K$64," DNS ",IFERROR(VLOOKUP($F57,Arrangörslista!D$8:$AG$45,16,FALSE),"DNS")))),IF(ISBLANK(Deltagarlista!$C50),"",IF(ISBLANK(Arrangörslista!D$8),"",IFERROR(VLOOKUP($F57,Arrangörslista!D$8:$AG$45,16,FALSE),"DNS")))))</f>
        <v/>
      </c>
      <c r="L57" s="5" t="str">
        <f>IF(Deltagarlista!$K$3=4,IF(ISBLANK(Deltagarlista!$C50),"",IF(ISBLANK(Arrangörslista!G$8),"",IFERROR(VLOOKUP($F57,Arrangörslista!G$8:$AG$45,16,FALSE),IF(ISBLANK(Deltagarlista!$C50),"",IF(ISBLANK(Arrangörslista!G$8),"",IFERROR(VLOOKUP($F57,Arrangörslista!H$8:$AG$45,16,FALSE),"DNS")))))),IF(Deltagarlista!$K$3=2,
IF(ISBLANK(Deltagarlista!$C50),"",IF(ISBLANK(Arrangörslista!E$8),"",IF($GV57=L$64," DNS ",IFERROR(VLOOKUP($F57,Arrangörslista!E$8:$AG$45,16,FALSE),"DNS")))),IF(ISBLANK(Deltagarlista!$C50),"",IF(ISBLANK(Arrangörslista!E$8),"",IFERROR(VLOOKUP($F57,Arrangörslista!E$8:$AG$45,16,FALSE),"DNS")))))</f>
        <v/>
      </c>
      <c r="M57" s="5" t="str">
        <f>IF(Deltagarlista!$K$3=4,IF(ISBLANK(Deltagarlista!$C50),"",IF(ISBLANK(Arrangörslista!I$8),"",IFERROR(VLOOKUP($F57,Arrangörslista!I$8:$AG$45,16,FALSE),IF(ISBLANK(Deltagarlista!$C50),"",IF(ISBLANK(Arrangörslista!I$8),"",IFERROR(VLOOKUP($F57,Arrangörslista!J$8:$AG$45,16,FALSE),"DNS")))))),IF(Deltagarlista!$K$3=2,
IF(ISBLANK(Deltagarlista!$C50),"",IF(ISBLANK(Arrangörslista!F$8),"",IF($GV57=M$64," DNS ",IFERROR(VLOOKUP($F57,Arrangörslista!F$8:$AG$45,16,FALSE),"DNS")))),IF(ISBLANK(Deltagarlista!$C50),"",IF(ISBLANK(Arrangörslista!F$8),"",IFERROR(VLOOKUP($F57,Arrangörslista!F$8:$AG$45,16,FALSE),"DNS")))))</f>
        <v/>
      </c>
      <c r="N57" s="5" t="str">
        <f>IF(Deltagarlista!$K$3=4,IF(ISBLANK(Deltagarlista!$C50),"",IF(ISBLANK(Arrangörslista!K$8),"",IFERROR(VLOOKUP($F57,Arrangörslista!K$8:$AG$45,16,FALSE),IF(ISBLANK(Deltagarlista!$C50),"",IF(ISBLANK(Arrangörslista!K$8),"",IFERROR(VLOOKUP($F57,Arrangörslista!L$8:$AG$45,16,FALSE),"DNS")))))),IF(Deltagarlista!$K$3=2,
IF(ISBLANK(Deltagarlista!$C50),"",IF(ISBLANK(Arrangörslista!G$8),"",IF($GV57=N$64," DNS ",IFERROR(VLOOKUP($F57,Arrangörslista!G$8:$AG$45,16,FALSE),"DNS")))),IF(ISBLANK(Deltagarlista!$C50),"",IF(ISBLANK(Arrangörslista!G$8),"",IFERROR(VLOOKUP($F57,Arrangörslista!G$8:$AG$45,16,FALSE),"DNS")))))</f>
        <v/>
      </c>
      <c r="O57" s="5" t="str">
        <f>IF(Deltagarlista!$K$3=4,IF(ISBLANK(Deltagarlista!$C50),"",IF(ISBLANK(Arrangörslista!M$8),"",IFERROR(VLOOKUP($F57,Arrangörslista!M$8:$AG$45,16,FALSE),IF(ISBLANK(Deltagarlista!$C50),"",IF(ISBLANK(Arrangörslista!M$8),"",IFERROR(VLOOKUP($F57,Arrangörslista!N$8:$AG$45,16,FALSE),"DNS")))))),IF(Deltagarlista!$K$3=2,
IF(ISBLANK(Deltagarlista!$C50),"",IF(ISBLANK(Arrangörslista!H$8),"",IF($GV57=O$64," DNS ",IFERROR(VLOOKUP($F57,Arrangörslista!H$8:$AG$45,16,FALSE),"DNS")))),IF(ISBLANK(Deltagarlista!$C50),"",IF(ISBLANK(Arrangörslista!H$8),"",IFERROR(VLOOKUP($F57,Arrangörslista!H$8:$AG$45,16,FALSE),"DNS")))))</f>
        <v/>
      </c>
      <c r="P57" s="5" t="str">
        <f>IF(Deltagarlista!$K$3=4,IF(ISBLANK(Deltagarlista!$C50),"",IF(ISBLANK(Arrangörslista!O$8),"",IFERROR(VLOOKUP($F57,Arrangörslista!O$8:$AG$45,16,FALSE),IF(ISBLANK(Deltagarlista!$C50),"",IF(ISBLANK(Arrangörslista!O$8),"",IFERROR(VLOOKUP($F57,Arrangörslista!P$8:$AG$45,16,FALSE),"DNS")))))),IF(Deltagarlista!$K$3=2,
IF(ISBLANK(Deltagarlista!$C50),"",IF(ISBLANK(Arrangörslista!I$8),"",IF($GV57=P$64," DNS ",IFERROR(VLOOKUP($F57,Arrangörslista!I$8:$AG$45,16,FALSE),"DNS")))),IF(ISBLANK(Deltagarlista!$C50),"",IF(ISBLANK(Arrangörslista!I$8),"",IFERROR(VLOOKUP($F57,Arrangörslista!I$8:$AG$45,16,FALSE),"DNS")))))</f>
        <v/>
      </c>
      <c r="Q57" s="5" t="str">
        <f>IF(Deltagarlista!$K$3=4,IF(ISBLANK(Deltagarlista!$C50),"",IF(ISBLANK(Arrangörslista!Q$8),"",IFERROR(VLOOKUP($F57,Arrangörslista!Q$8:$AG$45,16,FALSE),IF(ISBLANK(Deltagarlista!$C50),"",IF(ISBLANK(Arrangörslista!Q$8),"",IFERROR(VLOOKUP($F57,Arrangörslista!C$53:$AG$90,16,FALSE),"DNS")))))),IF(Deltagarlista!$K$3=2,
IF(ISBLANK(Deltagarlista!$C50),"",IF(ISBLANK(Arrangörslista!J$8),"",IF($GV57=Q$64," DNS ",IFERROR(VLOOKUP($F57,Arrangörslista!J$8:$AG$45,16,FALSE),"DNS")))),IF(ISBLANK(Deltagarlista!$C50),"",IF(ISBLANK(Arrangörslista!J$8),"",IFERROR(VLOOKUP($F57,Arrangörslista!J$8:$AG$45,16,FALSE),"DNS")))))</f>
        <v/>
      </c>
      <c r="R57" s="5" t="str">
        <f>IF(Deltagarlista!$K$3=4,IF(ISBLANK(Deltagarlista!$C50),"",IF(ISBLANK(Arrangörslista!D$53),"",IFERROR(VLOOKUP($F57,Arrangörslista!D$53:$AG$90,16,FALSE),IF(ISBLANK(Deltagarlista!$C50),"",IF(ISBLANK(Arrangörslista!D$53),"",IFERROR(VLOOKUP($F57,Arrangörslista!E$53:$AG$90,16,FALSE),"DNS")))))),IF(Deltagarlista!$K$3=2,
IF(ISBLANK(Deltagarlista!$C50),"",IF(ISBLANK(Arrangörslista!K$8),"",IF($GV57=R$64," DNS ",IFERROR(VLOOKUP($F57,Arrangörslista!K$8:$AG$45,16,FALSE),"DNS")))),IF(ISBLANK(Deltagarlista!$C50),"",IF(ISBLANK(Arrangörslista!K$8),"",IFERROR(VLOOKUP($F57,Arrangörslista!K$8:$AG$45,16,FALSE),"DNS")))))</f>
        <v/>
      </c>
      <c r="S57" s="5" t="str">
        <f>IF(Deltagarlista!$K$3=4,IF(ISBLANK(Deltagarlista!$C50),"",IF(ISBLANK(Arrangörslista!F$53),"",IFERROR(VLOOKUP($F57,Arrangörslista!F$53:$AG$90,16,FALSE),IF(ISBLANK(Deltagarlista!$C50),"",IF(ISBLANK(Arrangörslista!F$53),"",IFERROR(VLOOKUP($F57,Arrangörslista!G$53:$AG$90,16,FALSE),"DNS")))))),IF(Deltagarlista!$K$3=2,
IF(ISBLANK(Deltagarlista!$C50),"",IF(ISBLANK(Arrangörslista!L$8),"",IF($GV57=S$64," DNS ",IFERROR(VLOOKUP($F57,Arrangörslista!L$8:$AG$45,16,FALSE),"DNS")))),IF(ISBLANK(Deltagarlista!$C50),"",IF(ISBLANK(Arrangörslista!L$8),"",IFERROR(VLOOKUP($F57,Arrangörslista!L$8:$AG$45,16,FALSE),"DNS")))))</f>
        <v/>
      </c>
      <c r="T57" s="5" t="str">
        <f>IF(Deltagarlista!$K$3=4,IF(ISBLANK(Deltagarlista!$C50),"",IF(ISBLANK(Arrangörslista!H$53),"",IFERROR(VLOOKUP($F57,Arrangörslista!H$53:$AG$90,16,FALSE),IF(ISBLANK(Deltagarlista!$C50),"",IF(ISBLANK(Arrangörslista!H$53),"",IFERROR(VLOOKUP($F57,Arrangörslista!I$53:$AG$90,16,FALSE),"DNS")))))),IF(Deltagarlista!$K$3=2,
IF(ISBLANK(Deltagarlista!$C50),"",IF(ISBLANK(Arrangörslista!M$8),"",IF($GV57=T$64," DNS ",IFERROR(VLOOKUP($F57,Arrangörslista!M$8:$AG$45,16,FALSE),"DNS")))),IF(ISBLANK(Deltagarlista!$C50),"",IF(ISBLANK(Arrangörslista!M$8),"",IFERROR(VLOOKUP($F57,Arrangörslista!M$8:$AG$45,16,FALSE),"DNS")))))</f>
        <v/>
      </c>
      <c r="U57" s="5" t="str">
        <f>IF(Deltagarlista!$K$3=4,IF(ISBLANK(Deltagarlista!$C50),"",IF(ISBLANK(Arrangörslista!J$53),"",IFERROR(VLOOKUP($F57,Arrangörslista!J$53:$AG$90,16,FALSE),IF(ISBLANK(Deltagarlista!$C50),"",IF(ISBLANK(Arrangörslista!J$53),"",IFERROR(VLOOKUP($F57,Arrangörslista!K$53:$AG$90,16,FALSE),"DNS")))))),IF(Deltagarlista!$K$3=2,
IF(ISBLANK(Deltagarlista!$C50),"",IF(ISBLANK(Arrangörslista!N$8),"",IF($GV57=U$64," DNS ",IFERROR(VLOOKUP($F57,Arrangörslista!N$8:$AG$45,16,FALSE),"DNS")))),IF(ISBLANK(Deltagarlista!$C50),"",IF(ISBLANK(Arrangörslista!N$8),"",IFERROR(VLOOKUP($F57,Arrangörslista!N$8:$AG$45,16,FALSE),"DNS")))))</f>
        <v/>
      </c>
      <c r="V57" s="5" t="str">
        <f>IF(Deltagarlista!$K$3=4,IF(ISBLANK(Deltagarlista!$C50),"",IF(ISBLANK(Arrangörslista!L$53),"",IFERROR(VLOOKUP($F57,Arrangörslista!L$53:$AG$90,16,FALSE),IF(ISBLANK(Deltagarlista!$C50),"",IF(ISBLANK(Arrangörslista!L$53),"",IFERROR(VLOOKUP($F57,Arrangörslista!M$53:$AG$90,16,FALSE),"DNS")))))),IF(Deltagarlista!$K$3=2,
IF(ISBLANK(Deltagarlista!$C50),"",IF(ISBLANK(Arrangörslista!O$8),"",IF($GV57=V$64," DNS ",IFERROR(VLOOKUP($F57,Arrangörslista!O$8:$AG$45,16,FALSE),"DNS")))),IF(ISBLANK(Deltagarlista!$C50),"",IF(ISBLANK(Arrangörslista!O$8),"",IFERROR(VLOOKUP($F57,Arrangörslista!O$8:$AG$45,16,FALSE),"DNS")))))</f>
        <v/>
      </c>
      <c r="W57" s="5" t="str">
        <f>IF(Deltagarlista!$K$3=4,IF(ISBLANK(Deltagarlista!$C50),"",IF(ISBLANK(Arrangörslista!N$53),"",IFERROR(VLOOKUP($F57,Arrangörslista!N$53:$AG$90,16,FALSE),IF(ISBLANK(Deltagarlista!$C50),"",IF(ISBLANK(Arrangörslista!N$53),"",IFERROR(VLOOKUP($F57,Arrangörslista!O$53:$AG$90,16,FALSE),"DNS")))))),IF(Deltagarlista!$K$3=2,
IF(ISBLANK(Deltagarlista!$C50),"",IF(ISBLANK(Arrangörslista!P$8),"",IF($GV57=W$64," DNS ",IFERROR(VLOOKUP($F57,Arrangörslista!P$8:$AG$45,16,FALSE),"DNS")))),IF(ISBLANK(Deltagarlista!$C50),"",IF(ISBLANK(Arrangörslista!P$8),"",IFERROR(VLOOKUP($F57,Arrangörslista!P$8:$AG$45,16,FALSE),"DNS")))))</f>
        <v/>
      </c>
      <c r="X57" s="5" t="str">
        <f>IF(Deltagarlista!$K$3=4,IF(ISBLANK(Deltagarlista!$C50),"",IF(ISBLANK(Arrangörslista!P$53),"",IFERROR(VLOOKUP($F57,Arrangörslista!P$53:$AG$90,16,FALSE),IF(ISBLANK(Deltagarlista!$C50),"",IF(ISBLANK(Arrangörslista!P$53),"",IFERROR(VLOOKUP($F57,Arrangörslista!Q$53:$AG$90,16,FALSE),"DNS")))))),IF(Deltagarlista!$K$3=2,
IF(ISBLANK(Deltagarlista!$C50),"",IF(ISBLANK(Arrangörslista!Q$8),"",IF($GV57=X$64," DNS ",IFERROR(VLOOKUP($F57,Arrangörslista!Q$8:$AG$45,16,FALSE),"DNS")))),IF(ISBLANK(Deltagarlista!$C50),"",IF(ISBLANK(Arrangörslista!Q$8),"",IFERROR(VLOOKUP($F57,Arrangörslista!Q$8:$AG$45,16,FALSE),"DNS")))))</f>
        <v/>
      </c>
      <c r="Y57" s="5" t="str">
        <f>IF(Deltagarlista!$K$3=4,IF(ISBLANK(Deltagarlista!$C50),"",IF(ISBLANK(Arrangörslista!C$98),"",IFERROR(VLOOKUP($F57,Arrangörslista!C$98:$AG$135,16,FALSE),IF(ISBLANK(Deltagarlista!$C50),"",IF(ISBLANK(Arrangörslista!C$98),"",IFERROR(VLOOKUP($F57,Arrangörslista!D$98:$AG$135,16,FALSE),"DNS")))))),IF(Deltagarlista!$K$3=2,
IF(ISBLANK(Deltagarlista!$C50),"",IF(ISBLANK(Arrangörslista!C$53),"",IF($GV57=Y$64," DNS ",IFERROR(VLOOKUP($F57,Arrangörslista!C$53:$AG$90,16,FALSE),"DNS")))),IF(ISBLANK(Deltagarlista!$C50),"",IF(ISBLANK(Arrangörslista!C$53),"",IFERROR(VLOOKUP($F57,Arrangörslista!C$53:$AG$90,16,FALSE),"DNS")))))</f>
        <v/>
      </c>
      <c r="Z57" s="5" t="str">
        <f>IF(Deltagarlista!$K$3=4,IF(ISBLANK(Deltagarlista!$C50),"",IF(ISBLANK(Arrangörslista!E$98),"",IFERROR(VLOOKUP($F57,Arrangörslista!E$98:$AG$135,16,FALSE),IF(ISBLANK(Deltagarlista!$C50),"",IF(ISBLANK(Arrangörslista!E$98),"",IFERROR(VLOOKUP($F57,Arrangörslista!F$98:$AG$135,16,FALSE),"DNS")))))),IF(Deltagarlista!$K$3=2,
IF(ISBLANK(Deltagarlista!$C50),"",IF(ISBLANK(Arrangörslista!D$53),"",IF($GV57=Z$64," DNS ",IFERROR(VLOOKUP($F57,Arrangörslista!D$53:$AG$90,16,FALSE),"DNS")))),IF(ISBLANK(Deltagarlista!$C50),"",IF(ISBLANK(Arrangörslista!D$53),"",IFERROR(VLOOKUP($F57,Arrangörslista!D$53:$AG$90,16,FALSE),"DNS")))))</f>
        <v/>
      </c>
      <c r="AA57" s="5" t="str">
        <f>IF(Deltagarlista!$K$3=4,IF(ISBLANK(Deltagarlista!$C50),"",IF(ISBLANK(Arrangörslista!G$98),"",IFERROR(VLOOKUP($F57,Arrangörslista!G$98:$AG$135,16,FALSE),IF(ISBLANK(Deltagarlista!$C50),"",IF(ISBLANK(Arrangörslista!G$98),"",IFERROR(VLOOKUP($F57,Arrangörslista!H$98:$AG$135,16,FALSE),"DNS")))))),IF(Deltagarlista!$K$3=2,
IF(ISBLANK(Deltagarlista!$C50),"",IF(ISBLANK(Arrangörslista!E$53),"",IF($GV57=AA$64," DNS ",IFERROR(VLOOKUP($F57,Arrangörslista!E$53:$AG$90,16,FALSE),"DNS")))),IF(ISBLANK(Deltagarlista!$C50),"",IF(ISBLANK(Arrangörslista!E$53),"",IFERROR(VLOOKUP($F57,Arrangörslista!E$53:$AG$90,16,FALSE),"DNS")))))</f>
        <v/>
      </c>
      <c r="AB57" s="5" t="str">
        <f>IF(Deltagarlista!$K$3=4,IF(ISBLANK(Deltagarlista!$C50),"",IF(ISBLANK(Arrangörslista!I$98),"",IFERROR(VLOOKUP($F57,Arrangörslista!I$98:$AG$135,16,FALSE),IF(ISBLANK(Deltagarlista!$C50),"",IF(ISBLANK(Arrangörslista!I$98),"",IFERROR(VLOOKUP($F57,Arrangörslista!J$98:$AG$135,16,FALSE),"DNS")))))),IF(Deltagarlista!$K$3=2,
IF(ISBLANK(Deltagarlista!$C50),"",IF(ISBLANK(Arrangörslista!F$53),"",IF($GV57=AB$64," DNS ",IFERROR(VLOOKUP($F57,Arrangörslista!F$53:$AG$90,16,FALSE),"DNS")))),IF(ISBLANK(Deltagarlista!$C50),"",IF(ISBLANK(Arrangörslista!F$53),"",IFERROR(VLOOKUP($F57,Arrangörslista!F$53:$AG$90,16,FALSE),"DNS")))))</f>
        <v/>
      </c>
      <c r="AC57" s="5" t="str">
        <f>IF(Deltagarlista!$K$3=4,IF(ISBLANK(Deltagarlista!$C50),"",IF(ISBLANK(Arrangörslista!K$98),"",IFERROR(VLOOKUP($F57,Arrangörslista!K$98:$AG$135,16,FALSE),IF(ISBLANK(Deltagarlista!$C50),"",IF(ISBLANK(Arrangörslista!K$98),"",IFERROR(VLOOKUP($F57,Arrangörslista!L$98:$AG$135,16,FALSE),"DNS")))))),IF(Deltagarlista!$K$3=2,
IF(ISBLANK(Deltagarlista!$C50),"",IF(ISBLANK(Arrangörslista!G$53),"",IF($GV57=AC$64," DNS ",IFERROR(VLOOKUP($F57,Arrangörslista!G$53:$AG$90,16,FALSE),"DNS")))),IF(ISBLANK(Deltagarlista!$C50),"",IF(ISBLANK(Arrangörslista!G$53),"",IFERROR(VLOOKUP($F57,Arrangörslista!G$53:$AG$90,16,FALSE),"DNS")))))</f>
        <v/>
      </c>
      <c r="AD57" s="5" t="str">
        <f>IF(Deltagarlista!$K$3=4,IF(ISBLANK(Deltagarlista!$C50),"",IF(ISBLANK(Arrangörslista!M$98),"",IFERROR(VLOOKUP($F57,Arrangörslista!M$98:$AG$135,16,FALSE),IF(ISBLANK(Deltagarlista!$C50),"",IF(ISBLANK(Arrangörslista!M$98),"",IFERROR(VLOOKUP($F57,Arrangörslista!N$98:$AG$135,16,FALSE),"DNS")))))),IF(Deltagarlista!$K$3=2,
IF(ISBLANK(Deltagarlista!$C50),"",IF(ISBLANK(Arrangörslista!H$53),"",IF($GV57=AD$64," DNS ",IFERROR(VLOOKUP($F57,Arrangörslista!H$53:$AG$90,16,FALSE),"DNS")))),IF(ISBLANK(Deltagarlista!$C50),"",IF(ISBLANK(Arrangörslista!H$53),"",IFERROR(VLOOKUP($F57,Arrangörslista!H$53:$AG$90,16,FALSE),"DNS")))))</f>
        <v/>
      </c>
      <c r="AE57" s="5" t="str">
        <f>IF(Deltagarlista!$K$3=4,IF(ISBLANK(Deltagarlista!$C50),"",IF(ISBLANK(Arrangörslista!O$98),"",IFERROR(VLOOKUP($F57,Arrangörslista!O$98:$AG$135,16,FALSE),IF(ISBLANK(Deltagarlista!$C50),"",IF(ISBLANK(Arrangörslista!O$98),"",IFERROR(VLOOKUP($F57,Arrangörslista!P$98:$AG$135,16,FALSE),"DNS")))))),IF(Deltagarlista!$K$3=2,
IF(ISBLANK(Deltagarlista!$C50),"",IF(ISBLANK(Arrangörslista!I$53),"",IF($GV57=AE$64," DNS ",IFERROR(VLOOKUP($F57,Arrangörslista!I$53:$AG$90,16,FALSE),"DNS")))),IF(ISBLANK(Deltagarlista!$C50),"",IF(ISBLANK(Arrangörslista!I$53),"",IFERROR(VLOOKUP($F57,Arrangörslista!I$53:$AG$90,16,FALSE),"DNS")))))</f>
        <v/>
      </c>
      <c r="AF57" s="5" t="str">
        <f>IF(Deltagarlista!$K$3=4,IF(ISBLANK(Deltagarlista!$C50),"",IF(ISBLANK(Arrangörslista!Q$98),"",IFERROR(VLOOKUP($F57,Arrangörslista!Q$98:$AG$135,16,FALSE),IF(ISBLANK(Deltagarlista!$C50),"",IF(ISBLANK(Arrangörslista!Q$98),"",IFERROR(VLOOKUP($F57,Arrangörslista!C$143:$AG$180,16,FALSE),"DNS")))))),IF(Deltagarlista!$K$3=2,
IF(ISBLANK(Deltagarlista!$C50),"",IF(ISBLANK(Arrangörslista!J$53),"",IF($GV57=AF$64," DNS ",IFERROR(VLOOKUP($F57,Arrangörslista!J$53:$AG$90,16,FALSE),"DNS")))),IF(ISBLANK(Deltagarlista!$C50),"",IF(ISBLANK(Arrangörslista!J$53),"",IFERROR(VLOOKUP($F57,Arrangörslista!J$53:$AG$90,16,FALSE),"DNS")))))</f>
        <v/>
      </c>
      <c r="AG57" s="5" t="str">
        <f>IF(Deltagarlista!$K$3=4,IF(ISBLANK(Deltagarlista!$C50),"",IF(ISBLANK(Arrangörslista!D$143),"",IFERROR(VLOOKUP($F57,Arrangörslista!D$143:$AG$180,16,FALSE),IF(ISBLANK(Deltagarlista!$C50),"",IF(ISBLANK(Arrangörslista!D$143),"",IFERROR(VLOOKUP($F57,Arrangörslista!E$143:$AG$180,16,FALSE),"DNS")))))),IF(Deltagarlista!$K$3=2,
IF(ISBLANK(Deltagarlista!$C50),"",IF(ISBLANK(Arrangörslista!K$53),"",IF($GV57=AG$64," DNS ",IFERROR(VLOOKUP($F57,Arrangörslista!K$53:$AG$90,16,FALSE),"DNS")))),IF(ISBLANK(Deltagarlista!$C50),"",IF(ISBLANK(Arrangörslista!K$53),"",IFERROR(VLOOKUP($F57,Arrangörslista!K$53:$AG$90,16,FALSE),"DNS")))))</f>
        <v/>
      </c>
      <c r="AH57" s="5" t="str">
        <f>IF(Deltagarlista!$K$3=4,IF(ISBLANK(Deltagarlista!$C50),"",IF(ISBLANK(Arrangörslista!F$143),"",IFERROR(VLOOKUP($F57,Arrangörslista!F$143:$AG$180,16,FALSE),IF(ISBLANK(Deltagarlista!$C50),"",IF(ISBLANK(Arrangörslista!F$143),"",IFERROR(VLOOKUP($F57,Arrangörslista!G$143:$AG$180,16,FALSE),"DNS")))))),IF(Deltagarlista!$K$3=2,
IF(ISBLANK(Deltagarlista!$C50),"",IF(ISBLANK(Arrangörslista!L$53),"",IF($GV57=AH$64," DNS ",IFERROR(VLOOKUP($F57,Arrangörslista!L$53:$AG$90,16,FALSE),"DNS")))),IF(ISBLANK(Deltagarlista!$C50),"",IF(ISBLANK(Arrangörslista!L$53),"",IFERROR(VLOOKUP($F57,Arrangörslista!L$53:$AG$90,16,FALSE),"DNS")))))</f>
        <v/>
      </c>
      <c r="AI57" s="5" t="str">
        <f>IF(Deltagarlista!$K$3=4,IF(ISBLANK(Deltagarlista!$C50),"",IF(ISBLANK(Arrangörslista!H$143),"",IFERROR(VLOOKUP($F57,Arrangörslista!H$143:$AG$180,16,FALSE),IF(ISBLANK(Deltagarlista!$C50),"",IF(ISBLANK(Arrangörslista!H$143),"",IFERROR(VLOOKUP($F57,Arrangörslista!I$143:$AG$180,16,FALSE),"DNS")))))),IF(Deltagarlista!$K$3=2,
IF(ISBLANK(Deltagarlista!$C50),"",IF(ISBLANK(Arrangörslista!M$53),"",IF($GV57=AI$64," DNS ",IFERROR(VLOOKUP($F57,Arrangörslista!M$53:$AG$90,16,FALSE),"DNS")))),IF(ISBLANK(Deltagarlista!$C50),"",IF(ISBLANK(Arrangörslista!M$53),"",IFERROR(VLOOKUP($F57,Arrangörslista!M$53:$AG$90,16,FALSE),"DNS")))))</f>
        <v/>
      </c>
      <c r="AJ57" s="5" t="str">
        <f>IF(Deltagarlista!$K$3=4,IF(ISBLANK(Deltagarlista!$C50),"",IF(ISBLANK(Arrangörslista!J$143),"",IFERROR(VLOOKUP($F57,Arrangörslista!J$143:$AG$180,16,FALSE),IF(ISBLANK(Deltagarlista!$C50),"",IF(ISBLANK(Arrangörslista!J$143),"",IFERROR(VLOOKUP($F57,Arrangörslista!K$143:$AG$180,16,FALSE),"DNS")))))),IF(Deltagarlista!$K$3=2,
IF(ISBLANK(Deltagarlista!$C50),"",IF(ISBLANK(Arrangörslista!N$53),"",IF($GV57=AJ$64," DNS ",IFERROR(VLOOKUP($F57,Arrangörslista!N$53:$AG$90,16,FALSE),"DNS")))),IF(ISBLANK(Deltagarlista!$C50),"",IF(ISBLANK(Arrangörslista!N$53),"",IFERROR(VLOOKUP($F57,Arrangörslista!N$53:$AG$90,16,FALSE),"DNS")))))</f>
        <v/>
      </c>
      <c r="AK57" s="5" t="str">
        <f>IF(Deltagarlista!$K$3=4,IF(ISBLANK(Deltagarlista!$C50),"",IF(ISBLANK(Arrangörslista!L$143),"",IFERROR(VLOOKUP($F57,Arrangörslista!L$143:$AG$180,16,FALSE),IF(ISBLANK(Deltagarlista!$C50),"",IF(ISBLANK(Arrangörslista!L$143),"",IFERROR(VLOOKUP($F57,Arrangörslista!M$143:$AG$180,16,FALSE),"DNS")))))),IF(Deltagarlista!$K$3=2,
IF(ISBLANK(Deltagarlista!$C50),"",IF(ISBLANK(Arrangörslista!O$53),"",IF($GV57=AK$64," DNS ",IFERROR(VLOOKUP($F57,Arrangörslista!O$53:$AG$90,16,FALSE),"DNS")))),IF(ISBLANK(Deltagarlista!$C50),"",IF(ISBLANK(Arrangörslista!O$53),"",IFERROR(VLOOKUP($F57,Arrangörslista!O$53:$AG$90,16,FALSE),"DNS")))))</f>
        <v/>
      </c>
      <c r="AL57" s="5" t="str">
        <f>IF(Deltagarlista!$K$3=4,IF(ISBLANK(Deltagarlista!$C50),"",IF(ISBLANK(Arrangörslista!N$143),"",IFERROR(VLOOKUP($F57,Arrangörslista!N$143:$AG$180,16,FALSE),IF(ISBLANK(Deltagarlista!$C50),"",IF(ISBLANK(Arrangörslista!N$143),"",IFERROR(VLOOKUP($F57,Arrangörslista!O$143:$AG$180,16,FALSE),"DNS")))))),IF(Deltagarlista!$K$3=2,
IF(ISBLANK(Deltagarlista!$C50),"",IF(ISBLANK(Arrangörslista!P$53),"",IF($GV57=AL$64," DNS ",IFERROR(VLOOKUP($F57,Arrangörslista!P$53:$AG$90,16,FALSE),"DNS")))),IF(ISBLANK(Deltagarlista!$C50),"",IF(ISBLANK(Arrangörslista!P$53),"",IFERROR(VLOOKUP($F57,Arrangörslista!P$53:$AG$90,16,FALSE),"DNS")))))</f>
        <v/>
      </c>
      <c r="AM57" s="5" t="str">
        <f>IF(Deltagarlista!$K$3=4,IF(ISBLANK(Deltagarlista!$C50),"",IF(ISBLANK(Arrangörslista!P$143),"",IFERROR(VLOOKUP($F57,Arrangörslista!P$143:$AG$180,16,FALSE),IF(ISBLANK(Deltagarlista!$C50),"",IF(ISBLANK(Arrangörslista!P$143),"",IFERROR(VLOOKUP($F57,Arrangörslista!Q$143:$AG$180,16,FALSE),"DNS")))))),IF(Deltagarlista!$K$3=2,
IF(ISBLANK(Deltagarlista!$C50),"",IF(ISBLANK(Arrangörslista!Q$53),"",IF($GV57=AM$64," DNS ",IFERROR(VLOOKUP($F57,Arrangörslista!Q$53:$AG$90,16,FALSE),"DNS")))),IF(ISBLANK(Deltagarlista!$C50),"",IF(ISBLANK(Arrangörslista!Q$53),"",IFERROR(VLOOKUP($F57,Arrangörslista!Q$53:$AG$90,16,FALSE),"DNS")))))</f>
        <v/>
      </c>
      <c r="AN57" s="5" t="str">
        <f>IF(Deltagarlista!$K$3=2,
IF(ISBLANK(Deltagarlista!$C50),"",IF(ISBLANK(Arrangörslista!C$98),"",IF($GV57=AN$64," DNS ",IFERROR(VLOOKUP($F57,Arrangörslista!C$98:$AG$135,16,FALSE), "DNS")))), IF(Deltagarlista!$K$3=1,IF(ISBLANK(Deltagarlista!$C50),"",IF(ISBLANK(Arrangörslista!C$98),"",IFERROR(VLOOKUP($F57,Arrangörslista!C$98:$AG$135,16,FALSE), "DNS"))),""))</f>
        <v/>
      </c>
      <c r="AO57" s="5" t="str">
        <f>IF(Deltagarlista!$K$3=2,
IF(ISBLANK(Deltagarlista!$C50),"",IF(ISBLANK(Arrangörslista!D$98),"",IF($GV57=AO$64," DNS ",IFERROR(VLOOKUP($F57,Arrangörslista!D$98:$AG$135,16,FALSE), "DNS")))), IF(Deltagarlista!$K$3=1,IF(ISBLANK(Deltagarlista!$C50),"",IF(ISBLANK(Arrangörslista!D$98),"",IFERROR(VLOOKUP($F57,Arrangörslista!D$98:$AG$135,16,FALSE), "DNS"))),""))</f>
        <v/>
      </c>
      <c r="AP57" s="5" t="str">
        <f>IF(Deltagarlista!$K$3=2,
IF(ISBLANK(Deltagarlista!$C50),"",IF(ISBLANK(Arrangörslista!E$98),"",IF($GV57=AP$64," DNS ",IFERROR(VLOOKUP($F57,Arrangörslista!E$98:$AG$135,16,FALSE), "DNS")))), IF(Deltagarlista!$K$3=1,IF(ISBLANK(Deltagarlista!$C50),"",IF(ISBLANK(Arrangörslista!E$98),"",IFERROR(VLOOKUP($F57,Arrangörslista!E$98:$AG$135,16,FALSE), "DNS"))),""))</f>
        <v/>
      </c>
      <c r="AQ57" s="5" t="str">
        <f>IF(Deltagarlista!$K$3=2,
IF(ISBLANK(Deltagarlista!$C50),"",IF(ISBLANK(Arrangörslista!F$98),"",IF($GV57=AQ$64," DNS ",IFERROR(VLOOKUP($F57,Arrangörslista!F$98:$AG$135,16,FALSE), "DNS")))), IF(Deltagarlista!$K$3=1,IF(ISBLANK(Deltagarlista!$C50),"",IF(ISBLANK(Arrangörslista!F$98),"",IFERROR(VLOOKUP($F57,Arrangörslista!F$98:$AG$135,16,FALSE), "DNS"))),""))</f>
        <v/>
      </c>
      <c r="AR57" s="5" t="str">
        <f>IF(Deltagarlista!$K$3=2,
IF(ISBLANK(Deltagarlista!$C50),"",IF(ISBLANK(Arrangörslista!G$98),"",IF($GV57=AR$64," DNS ",IFERROR(VLOOKUP($F57,Arrangörslista!G$98:$AG$135,16,FALSE), "DNS")))), IF(Deltagarlista!$K$3=1,IF(ISBLANK(Deltagarlista!$C50),"",IF(ISBLANK(Arrangörslista!G$98),"",IFERROR(VLOOKUP($F57,Arrangörslista!G$98:$AG$135,16,FALSE), "DNS"))),""))</f>
        <v/>
      </c>
      <c r="AS57" s="5" t="str">
        <f>IF(Deltagarlista!$K$3=2,
IF(ISBLANK(Deltagarlista!$C50),"",IF(ISBLANK(Arrangörslista!H$98),"",IF($GV57=AS$64," DNS ",IFERROR(VLOOKUP($F57,Arrangörslista!H$98:$AG$135,16,FALSE), "DNS")))), IF(Deltagarlista!$K$3=1,IF(ISBLANK(Deltagarlista!$C50),"",IF(ISBLANK(Arrangörslista!H$98),"",IFERROR(VLOOKUP($F57,Arrangörslista!H$98:$AG$135,16,FALSE), "DNS"))),""))</f>
        <v/>
      </c>
      <c r="AT57" s="5" t="str">
        <f>IF(Deltagarlista!$K$3=2,
IF(ISBLANK(Deltagarlista!$C50),"",IF(ISBLANK(Arrangörslista!I$98),"",IF($GV57=AT$64," DNS ",IFERROR(VLOOKUP($F57,Arrangörslista!I$98:$AG$135,16,FALSE), "DNS")))), IF(Deltagarlista!$K$3=1,IF(ISBLANK(Deltagarlista!$C50),"",IF(ISBLANK(Arrangörslista!I$98),"",IFERROR(VLOOKUP($F57,Arrangörslista!I$98:$AG$135,16,FALSE), "DNS"))),""))</f>
        <v/>
      </c>
      <c r="AU57" s="5" t="str">
        <f>IF(Deltagarlista!$K$3=2,
IF(ISBLANK(Deltagarlista!$C50),"",IF(ISBLANK(Arrangörslista!J$98),"",IF($GV57=AU$64," DNS ",IFERROR(VLOOKUP($F57,Arrangörslista!J$98:$AG$135,16,FALSE), "DNS")))), IF(Deltagarlista!$K$3=1,IF(ISBLANK(Deltagarlista!$C50),"",IF(ISBLANK(Arrangörslista!J$98),"",IFERROR(VLOOKUP($F57,Arrangörslista!J$98:$AG$135,16,FALSE), "DNS"))),""))</f>
        <v/>
      </c>
      <c r="AV57" s="5" t="str">
        <f>IF(Deltagarlista!$K$3=2,
IF(ISBLANK(Deltagarlista!$C50),"",IF(ISBLANK(Arrangörslista!K$98),"",IF($GV57=AV$64," DNS ",IFERROR(VLOOKUP($F57,Arrangörslista!K$98:$AG$135,16,FALSE), "DNS")))), IF(Deltagarlista!$K$3=1,IF(ISBLANK(Deltagarlista!$C50),"",IF(ISBLANK(Arrangörslista!K$98),"",IFERROR(VLOOKUP($F57,Arrangörslista!K$98:$AG$135,16,FALSE), "DNS"))),""))</f>
        <v/>
      </c>
      <c r="AW57" s="5" t="str">
        <f>IF(Deltagarlista!$K$3=2,
IF(ISBLANK(Deltagarlista!$C50),"",IF(ISBLANK(Arrangörslista!L$98),"",IF($GV57=AW$64," DNS ",IFERROR(VLOOKUP($F57,Arrangörslista!L$98:$AG$135,16,FALSE), "DNS")))), IF(Deltagarlista!$K$3=1,IF(ISBLANK(Deltagarlista!$C50),"",IF(ISBLANK(Arrangörslista!L$98),"",IFERROR(VLOOKUP($F57,Arrangörslista!L$98:$AG$135,16,FALSE), "DNS"))),""))</f>
        <v/>
      </c>
      <c r="AX57" s="5" t="str">
        <f>IF(Deltagarlista!$K$3=2,
IF(ISBLANK(Deltagarlista!$C50),"",IF(ISBLANK(Arrangörslista!M$98),"",IF($GV57=AX$64," DNS ",IFERROR(VLOOKUP($F57,Arrangörslista!M$98:$AG$135,16,FALSE), "DNS")))), IF(Deltagarlista!$K$3=1,IF(ISBLANK(Deltagarlista!$C50),"",IF(ISBLANK(Arrangörslista!M$98),"",IFERROR(VLOOKUP($F57,Arrangörslista!M$98:$AG$135,16,FALSE), "DNS"))),""))</f>
        <v/>
      </c>
      <c r="AY57" s="5" t="str">
        <f>IF(Deltagarlista!$K$3=2,
IF(ISBLANK(Deltagarlista!$C50),"",IF(ISBLANK(Arrangörslista!N$98),"",IF($GV57=AY$64," DNS ",IFERROR(VLOOKUP($F57,Arrangörslista!N$98:$AG$135,16,FALSE), "DNS")))), IF(Deltagarlista!$K$3=1,IF(ISBLANK(Deltagarlista!$C50),"",IF(ISBLANK(Arrangörslista!N$98),"",IFERROR(VLOOKUP($F57,Arrangörslista!N$98:$AG$135,16,FALSE), "DNS"))),""))</f>
        <v/>
      </c>
      <c r="AZ57" s="5" t="str">
        <f>IF(Deltagarlista!$K$3=2,
IF(ISBLANK(Deltagarlista!$C50),"",IF(ISBLANK(Arrangörslista!O$98),"",IF($GV57=AZ$64," DNS ",IFERROR(VLOOKUP($F57,Arrangörslista!O$98:$AG$135,16,FALSE), "DNS")))), IF(Deltagarlista!$K$3=1,IF(ISBLANK(Deltagarlista!$C50),"",IF(ISBLANK(Arrangörslista!O$98),"",IFERROR(VLOOKUP($F57,Arrangörslista!O$98:$AG$135,16,FALSE), "DNS"))),""))</f>
        <v/>
      </c>
      <c r="BA57" s="5" t="str">
        <f>IF(Deltagarlista!$K$3=2,
IF(ISBLANK(Deltagarlista!$C50),"",IF(ISBLANK(Arrangörslista!P$98),"",IF($GV57=BA$64," DNS ",IFERROR(VLOOKUP($F57,Arrangörslista!P$98:$AG$135,16,FALSE), "DNS")))), IF(Deltagarlista!$K$3=1,IF(ISBLANK(Deltagarlista!$C50),"",IF(ISBLANK(Arrangörslista!P$98),"",IFERROR(VLOOKUP($F57,Arrangörslista!P$98:$AG$135,16,FALSE), "DNS"))),""))</f>
        <v/>
      </c>
      <c r="BB57" s="5" t="str">
        <f>IF(Deltagarlista!$K$3=2,
IF(ISBLANK(Deltagarlista!$C50),"",IF(ISBLANK(Arrangörslista!Q$98),"",IF($GV57=BB$64," DNS ",IFERROR(VLOOKUP($F57,Arrangörslista!Q$98:$AG$135,16,FALSE), "DNS")))), IF(Deltagarlista!$K$3=1,IF(ISBLANK(Deltagarlista!$C50),"",IF(ISBLANK(Arrangörslista!Q$98),"",IFERROR(VLOOKUP($F57,Arrangörslista!Q$98:$AG$135,16,FALSE), "DNS"))),""))</f>
        <v/>
      </c>
      <c r="BC57" s="5" t="str">
        <f>IF(Deltagarlista!$K$3=2,
IF(ISBLANK(Deltagarlista!$C50),"",IF(ISBLANK(Arrangörslista!C$143),"",IF($GV57=BC$64," DNS ",IFERROR(VLOOKUP($F57,Arrangörslista!C$143:$AG$180,16,FALSE), "DNS")))), IF(Deltagarlista!$K$3=1,IF(ISBLANK(Deltagarlista!$C50),"",IF(ISBLANK(Arrangörslista!C$143),"",IFERROR(VLOOKUP($F57,Arrangörslista!C$143:$AG$180,16,FALSE), "DNS"))),""))</f>
        <v/>
      </c>
      <c r="BD57" s="5" t="str">
        <f>IF(Deltagarlista!$K$3=2,
IF(ISBLANK(Deltagarlista!$C50),"",IF(ISBLANK(Arrangörslista!D$143),"",IF($GV57=BD$64," DNS ",IFERROR(VLOOKUP($F57,Arrangörslista!D$143:$AG$180,16,FALSE), "DNS")))), IF(Deltagarlista!$K$3=1,IF(ISBLANK(Deltagarlista!$C50),"",IF(ISBLANK(Arrangörslista!D$143),"",IFERROR(VLOOKUP($F57,Arrangörslista!D$143:$AG$180,16,FALSE), "DNS"))),""))</f>
        <v/>
      </c>
      <c r="BE57" s="5" t="str">
        <f>IF(Deltagarlista!$K$3=2,
IF(ISBLANK(Deltagarlista!$C50),"",IF(ISBLANK(Arrangörslista!E$143),"",IF($GV57=BE$64," DNS ",IFERROR(VLOOKUP($F57,Arrangörslista!E$143:$AG$180,16,FALSE), "DNS")))), IF(Deltagarlista!$K$3=1,IF(ISBLANK(Deltagarlista!$C50),"",IF(ISBLANK(Arrangörslista!E$143),"",IFERROR(VLOOKUP($F57,Arrangörslista!E$143:$AG$180,16,FALSE), "DNS"))),""))</f>
        <v/>
      </c>
      <c r="BF57" s="5" t="str">
        <f>IF(Deltagarlista!$K$3=2,
IF(ISBLANK(Deltagarlista!$C50),"",IF(ISBLANK(Arrangörslista!F$143),"",IF($GV57=BF$64," DNS ",IFERROR(VLOOKUP($F57,Arrangörslista!F$143:$AG$180,16,FALSE), "DNS")))), IF(Deltagarlista!$K$3=1,IF(ISBLANK(Deltagarlista!$C50),"",IF(ISBLANK(Arrangörslista!F$143),"",IFERROR(VLOOKUP($F57,Arrangörslista!F$143:$AG$180,16,FALSE), "DNS"))),""))</f>
        <v/>
      </c>
      <c r="BG57" s="5" t="str">
        <f>IF(Deltagarlista!$K$3=2,
IF(ISBLANK(Deltagarlista!$C50),"",IF(ISBLANK(Arrangörslista!G$143),"",IF($GV57=BG$64," DNS ",IFERROR(VLOOKUP($F57,Arrangörslista!G$143:$AG$180,16,FALSE), "DNS")))), IF(Deltagarlista!$K$3=1,IF(ISBLANK(Deltagarlista!$C50),"",IF(ISBLANK(Arrangörslista!G$143),"",IFERROR(VLOOKUP($F57,Arrangörslista!G$143:$AG$180,16,FALSE), "DNS"))),""))</f>
        <v/>
      </c>
      <c r="BH57" s="5" t="str">
        <f>IF(Deltagarlista!$K$3=2,
IF(ISBLANK(Deltagarlista!$C50),"",IF(ISBLANK(Arrangörslista!H$143),"",IF($GV57=BH$64," DNS ",IFERROR(VLOOKUP($F57,Arrangörslista!H$143:$AG$180,16,FALSE), "DNS")))), IF(Deltagarlista!$K$3=1,IF(ISBLANK(Deltagarlista!$C50),"",IF(ISBLANK(Arrangörslista!H$143),"",IFERROR(VLOOKUP($F57,Arrangörslista!H$143:$AG$180,16,FALSE), "DNS"))),""))</f>
        <v/>
      </c>
      <c r="BI57" s="5" t="str">
        <f>IF(Deltagarlista!$K$3=2,
IF(ISBLANK(Deltagarlista!$C50),"",IF(ISBLANK(Arrangörslista!I$143),"",IF($GV57=BI$64," DNS ",IFERROR(VLOOKUP($F57,Arrangörslista!I$143:$AG$180,16,FALSE), "DNS")))), IF(Deltagarlista!$K$3=1,IF(ISBLANK(Deltagarlista!$C50),"",IF(ISBLANK(Arrangörslista!I$143),"",IFERROR(VLOOKUP($F57,Arrangörslista!I$143:$AG$180,16,FALSE), "DNS"))),""))</f>
        <v/>
      </c>
      <c r="BJ57" s="5" t="str">
        <f>IF(Deltagarlista!$K$3=2,
IF(ISBLANK(Deltagarlista!$C50),"",IF(ISBLANK(Arrangörslista!J$143),"",IF($GV57=BJ$64," DNS ",IFERROR(VLOOKUP($F57,Arrangörslista!J$143:$AG$180,16,FALSE), "DNS")))), IF(Deltagarlista!$K$3=1,IF(ISBLANK(Deltagarlista!$C50),"",IF(ISBLANK(Arrangörslista!J$143),"",IFERROR(VLOOKUP($F57,Arrangörslista!J$143:$AG$180,16,FALSE), "DNS"))),""))</f>
        <v/>
      </c>
      <c r="BK57" s="5" t="str">
        <f>IF(Deltagarlista!$K$3=2,
IF(ISBLANK(Deltagarlista!$C50),"",IF(ISBLANK(Arrangörslista!K$143),"",IF($GV57=BK$64," DNS ",IFERROR(VLOOKUP($F57,Arrangörslista!K$143:$AG$180,16,FALSE), "DNS")))), IF(Deltagarlista!$K$3=1,IF(ISBLANK(Deltagarlista!$C50),"",IF(ISBLANK(Arrangörslista!K$143),"",IFERROR(VLOOKUP($F57,Arrangörslista!K$143:$AG$180,16,FALSE), "DNS"))),""))</f>
        <v/>
      </c>
      <c r="BL57" s="5" t="str">
        <f>IF(Deltagarlista!$K$3=2,
IF(ISBLANK(Deltagarlista!$C50),"",IF(ISBLANK(Arrangörslista!L$143),"",IF($GV57=BL$64," DNS ",IFERROR(VLOOKUP($F57,Arrangörslista!L$143:$AG$180,16,FALSE), "DNS")))), IF(Deltagarlista!$K$3=1,IF(ISBLANK(Deltagarlista!$C50),"",IF(ISBLANK(Arrangörslista!L$143),"",IFERROR(VLOOKUP($F57,Arrangörslista!L$143:$AG$180,16,FALSE), "DNS"))),""))</f>
        <v/>
      </c>
      <c r="BM57" s="5" t="str">
        <f>IF(Deltagarlista!$K$3=2,
IF(ISBLANK(Deltagarlista!$C50),"",IF(ISBLANK(Arrangörslista!M$143),"",IF($GV57=BM$64," DNS ",IFERROR(VLOOKUP($F57,Arrangörslista!M$143:$AG$180,16,FALSE), "DNS")))), IF(Deltagarlista!$K$3=1,IF(ISBLANK(Deltagarlista!$C50),"",IF(ISBLANK(Arrangörslista!M$143),"",IFERROR(VLOOKUP($F57,Arrangörslista!M$143:$AG$180,16,FALSE), "DNS"))),""))</f>
        <v/>
      </c>
      <c r="BN57" s="5" t="str">
        <f>IF(Deltagarlista!$K$3=2,
IF(ISBLANK(Deltagarlista!$C50),"",IF(ISBLANK(Arrangörslista!N$143),"",IF($GV57=BN$64," DNS ",IFERROR(VLOOKUP($F57,Arrangörslista!N$143:$AG$180,16,FALSE), "DNS")))), IF(Deltagarlista!$K$3=1,IF(ISBLANK(Deltagarlista!$C50),"",IF(ISBLANK(Arrangörslista!N$143),"",IFERROR(VLOOKUP($F57,Arrangörslista!N$143:$AG$180,16,FALSE), "DNS"))),""))</f>
        <v/>
      </c>
      <c r="BO57" s="5" t="str">
        <f>IF(Deltagarlista!$K$3=2,
IF(ISBLANK(Deltagarlista!$C50),"",IF(ISBLANK(Arrangörslista!O$143),"",IF($GV57=BO$64," DNS ",IFERROR(VLOOKUP($F57,Arrangörslista!O$143:$AG$180,16,FALSE), "DNS")))), IF(Deltagarlista!$K$3=1,IF(ISBLANK(Deltagarlista!$C50),"",IF(ISBLANK(Arrangörslista!O$143),"",IFERROR(VLOOKUP($F57,Arrangörslista!O$143:$AG$180,16,FALSE), "DNS"))),""))</f>
        <v/>
      </c>
      <c r="BP57" s="5" t="str">
        <f>IF(Deltagarlista!$K$3=2,
IF(ISBLANK(Deltagarlista!$C50),"",IF(ISBLANK(Arrangörslista!P$143),"",IF($GV57=BP$64," DNS ",IFERROR(VLOOKUP($F57,Arrangörslista!P$143:$AG$180,16,FALSE), "DNS")))), IF(Deltagarlista!$K$3=1,IF(ISBLANK(Deltagarlista!$C50),"",IF(ISBLANK(Arrangörslista!P$143),"",IFERROR(VLOOKUP($F57,Arrangörslista!P$143:$AG$180,16,FALSE), "DNS"))),""))</f>
        <v/>
      </c>
      <c r="BQ57" s="80" t="str">
        <f>IF(Deltagarlista!$K$3=2,
IF(ISBLANK(Deltagarlista!$C50),"",IF(ISBLANK(Arrangörslista!Q$143),"",IF($GV57=BQ$64," DNS ",IFERROR(VLOOKUP($F57,Arrangörslista!Q$143:$AG$180,16,FALSE), "DNS")))), IF(Deltagarlista!$K$3=1,IF(ISBLANK(Deltagarlista!$C50),"",IF(ISBLANK(Arrangörslista!Q$143),"",IFERROR(VLOOKUP($F57,Arrangörslista!Q$143:$AG$180,16,FALSE), "DNS"))),""))</f>
        <v/>
      </c>
      <c r="BR57" s="48"/>
      <c r="BU57" s="71">
        <f>SUM(BV57:EC57)</f>
        <v>0</v>
      </c>
      <c r="BV57" s="61">
        <f>IF(J57="",0,IF(OR(J57="DNF",J57="OCS",J57="DSQ",J57="DNS",J57=" DNS "),$BW$3+1,J57))</f>
        <v>0</v>
      </c>
      <c r="BW57" s="61">
        <f>IF(K57="",0,IF(OR(K57="DNF",K57="OCS",K57="DSQ",K57="DNS",K57=" DNS "),$BW$3+1,K57))</f>
        <v>0</v>
      </c>
      <c r="BX57" s="61">
        <f>IF(L57="",0,IF(OR(L57="DNF",L57="OCS",L57="DSQ",L57="DNS",L57=" DNS "),$BW$3+1,L57))</f>
        <v>0</v>
      </c>
      <c r="BY57" s="61">
        <f>IF(M57="",0,IF(OR(M57="DNF",M57="OCS",M57="DSQ",M57="DNS",M57=" DNS "),$BW$3+1,M57))</f>
        <v>0</v>
      </c>
      <c r="BZ57" s="61">
        <f>IF(N57="",0,IF(OR(N57="DNF",N57="OCS",N57="DSQ",N57="DNS",N57=" DNS "),$BW$3+1,N57))</f>
        <v>0</v>
      </c>
      <c r="CA57" s="61">
        <f>IF(O57="",0,IF(OR(O57="DNF",O57="OCS",O57="DSQ",O57="DNS",O57=" DNS "),$BW$3+1,O57))</f>
        <v>0</v>
      </c>
      <c r="CB57" s="61">
        <f>IF(P57="",0,IF(OR(P57="DNF",P57="OCS",P57="DSQ",P57="DNS",P57=" DNS "),$BW$3+1,P57))</f>
        <v>0</v>
      </c>
      <c r="CC57" s="61">
        <f>IF(Q57="",0,IF(OR(Q57="DNF",Q57="OCS",Q57="DSQ",Q57="DNS",Q57=" DNS "),$BW$3+1,Q57))</f>
        <v>0</v>
      </c>
      <c r="CD57" s="61">
        <f>IF(R57="",0,IF(OR(R57="DNF",R57="OCS",R57="DSQ",R57="DNS",R57=" DNS "),$BW$3+1,R57))</f>
        <v>0</v>
      </c>
      <c r="CE57" s="61">
        <f>IF(S57="",0,IF(OR(S57="DNF",S57="OCS",S57="DSQ",S57="DNS",S57=" DNS "),$BW$3+1,S57))</f>
        <v>0</v>
      </c>
      <c r="CF57" s="61">
        <f>IF(T57="",0,IF(OR(T57="DNF",T57="OCS",T57="DSQ",T57="DNS",T57=" DNS "),$BW$3+1,T57))</f>
        <v>0</v>
      </c>
      <c r="CG57" s="61">
        <f>IF(U57="",0,IF(OR(U57="DNF",U57="OCS",U57="DSQ",U57="DNS",U57=" DNS "),$BW$3+1,U57))</f>
        <v>0</v>
      </c>
      <c r="CH57" s="61">
        <f>IF(V57="",0,IF(OR(V57="DNF",V57="OCS",V57="DSQ",V57="DNS",V57=" DNS "),$BW$3+1,V57))</f>
        <v>0</v>
      </c>
      <c r="CI57" s="61">
        <f>IF(W57="",0,IF(OR(W57="DNF",W57="OCS",W57="DSQ",W57="DNS",W57=" DNS "),$BW$3+1,W57))</f>
        <v>0</v>
      </c>
      <c r="CJ57" s="61">
        <f>IF(X57="",0,IF(OR(X57="DNF",X57="OCS",X57="DSQ",X57="DNS",X57=" DNS "),$BW$3+1,X57))</f>
        <v>0</v>
      </c>
      <c r="CK57" s="61">
        <f>IF(Y57="",0,IF(OR(Y57="DNF",Y57="OCS",Y57="DSQ",Y57="DNS",Y57=" DNS "),$BW$3+1,Y57))</f>
        <v>0</v>
      </c>
      <c r="CL57" s="61">
        <f>IF(Z57="",0,IF(OR(Z57="DNF",Z57="OCS",Z57="DSQ",Z57="DNS",Z57=" DNS "),$BW$3+1,Z57))</f>
        <v>0</v>
      </c>
      <c r="CM57" s="61">
        <f>IF(AA57="",0,IF(OR(AA57="DNF",AA57="OCS",AA57="DSQ",AA57="DNS",AA57=" DNS "),$BW$3+1,AA57))</f>
        <v>0</v>
      </c>
      <c r="CN57" s="61">
        <f>IF(AB57="",0,IF(OR(AB57="DNF",AB57="OCS",AB57="DSQ",AB57="DNS",AB57=" DNS "),$BW$3+1,AB57))</f>
        <v>0</v>
      </c>
      <c r="CO57" s="61">
        <f>IF(AC57="",0,IF(OR(AC57="DNF",AC57="OCS",AC57="DSQ",AC57="DNS",AC57=" DNS "),$BW$3+1,AC57))</f>
        <v>0</v>
      </c>
      <c r="CP57" s="61">
        <f>IF(AD57="",0,IF(OR(AD57="DNF",AD57="OCS",AD57="DSQ",AD57="DNS",AD57=" DNS "),$BW$3+1,AD57))</f>
        <v>0</v>
      </c>
      <c r="CQ57" s="61">
        <f>IF(AE57="",0,IF(OR(AE57="DNF",AE57="OCS",AE57="DSQ",AE57="DNS",AE57=" DNS "),$BW$3+1,AE57))</f>
        <v>0</v>
      </c>
      <c r="CR57" s="61">
        <f>IF(AF57="",0,IF(OR(AF57="DNF",AF57="OCS",AF57="DSQ",AF57="DNS",AF57=" DNS "),$BW$3+1,AF57))</f>
        <v>0</v>
      </c>
      <c r="CS57" s="61">
        <f>IF(AG57="",0,IF(OR(AG57="DNF",AG57="OCS",AG57="DSQ",AG57="DNS",AG57=" DNS "),$BW$3+1,AG57))</f>
        <v>0</v>
      </c>
      <c r="CT57" s="61">
        <f>IF(AH57="",0,IF(OR(AH57="DNF",AH57="OCS",AH57="DSQ",AH57="DNS",AH57=" DNS "),$BW$3+1,AH57))</f>
        <v>0</v>
      </c>
      <c r="CU57" s="61">
        <f>IF(AI57="",0,IF(OR(AI57="DNF",AI57="OCS",AI57="DSQ",AI57="DNS",AI57=" DNS "),$BW$3+1,AI57))</f>
        <v>0</v>
      </c>
      <c r="CV57" s="61">
        <f>IF(AJ57="",0,IF(OR(AJ57="DNF",AJ57="OCS",AJ57="DSQ",AJ57="DNS",AJ57=" DNS "),$BW$3+1,AJ57))</f>
        <v>0</v>
      </c>
      <c r="CW57" s="61">
        <f>IF(AK57="",0,IF(OR(AK57="DNF",AK57="OCS",AK57="DSQ",AK57="DNS",AK57=" DNS "),$BW$3+1,AK57))</f>
        <v>0</v>
      </c>
      <c r="CX57" s="61">
        <f>IF(AL57="",0,IF(OR(AL57="DNF",AL57="OCS",AL57="DSQ",AL57="DNS",AL57=" DNS "),$BW$3+1,AL57))</f>
        <v>0</v>
      </c>
      <c r="CY57" s="61">
        <f>IF(AM57="",0,IF(OR(AM57="DNF",AM57="OCS",AM57="DSQ",AM57="DNS",AM57=" DNS "),$BW$3+1,AM57))</f>
        <v>0</v>
      </c>
      <c r="CZ57" s="61">
        <f>IF(AN57="",0,IF(OR(AN57="DNF",AN57="OCS",AN57="DSQ",AN57="DNS",AN57=" DNS "),$BW$3+1,AN57))</f>
        <v>0</v>
      </c>
      <c r="DA57" s="61">
        <f>IF(AO57="",0,IF(OR(AO57="DNF",AO57="OCS",AO57="DSQ",AO57="DNS",AO57=" DNS "),$BW$3+1,AO57))</f>
        <v>0</v>
      </c>
      <c r="DB57" s="61">
        <f>IF(AP57="",0,IF(OR(AP57="DNF",AP57="OCS",AP57="DSQ",AP57="DNS",AP57=" DNS "),$BW$3+1,AP57))</f>
        <v>0</v>
      </c>
      <c r="DC57" s="61">
        <f>IF(AQ57="",0,IF(OR(AQ57="DNF",AQ57="OCS",AQ57="DSQ",AQ57="DNS",AQ57=" DNS "),$BW$3+1,AQ57))</f>
        <v>0</v>
      </c>
      <c r="DD57" s="61">
        <f>IF(AR57="",0,IF(OR(AR57="DNF",AR57="OCS",AR57="DSQ",AR57="DNS",AR57=" DNS "),$BW$3+1,AR57))</f>
        <v>0</v>
      </c>
      <c r="DE57" s="61">
        <f>IF(AS57="",0,IF(OR(AS57="DNF",AS57="OCS",AS57="DSQ",AS57="DNS",AS57=" DNS "),$BW$3+1,AS57))</f>
        <v>0</v>
      </c>
      <c r="DF57" s="61">
        <f>IF(AT57="",0,IF(OR(AT57="DNF",AT57="OCS",AT57="DSQ",AT57="DNS",AT57=" DNS "),$BW$3+1,AT57))</f>
        <v>0</v>
      </c>
      <c r="DG57" s="61">
        <f>IF(AU57="",0,IF(OR(AU57="DNF",AU57="OCS",AU57="DSQ",AU57="DNS",AU57=" DNS "),$BW$3+1,AU57))</f>
        <v>0</v>
      </c>
      <c r="DH57" s="61">
        <f>IF(AV57="",0,IF(OR(AV57="DNF",AV57="OCS",AV57="DSQ",AV57="DNS",AV57=" DNS "),$BW$3+1,AV57))</f>
        <v>0</v>
      </c>
      <c r="DI57" s="61">
        <f>IF(AW57="",0,IF(OR(AW57="DNF",AW57="OCS",AW57="DSQ",AW57="DNS",AW57=" DNS "),$BW$3+1,AW57))</f>
        <v>0</v>
      </c>
      <c r="DJ57" s="61">
        <f>IF(AX57="",0,IF(OR(AX57="DNF",AX57="OCS",AX57="DSQ",AX57="DNS",AX57=" DNS "),$BW$3+1,AX57))</f>
        <v>0</v>
      </c>
      <c r="DK57" s="61">
        <f>IF(AY57="",0,IF(OR(AY57="DNF",AY57="OCS",AY57="DSQ",AY57="DNS",AY57=" DNS "),$BW$3+1,AY57))</f>
        <v>0</v>
      </c>
      <c r="DL57" s="61">
        <f>IF(AZ57="",0,IF(OR(AZ57="DNF",AZ57="OCS",AZ57="DSQ",AZ57="DNS",AZ57=" DNS "),$BW$3+1,AZ57))</f>
        <v>0</v>
      </c>
      <c r="DM57" s="61">
        <f>IF(BA57="",0,IF(OR(BA57="DNF",BA57="OCS",BA57="DSQ",BA57="DNS",BA57=" DNS "),$BW$3+1,BA57))</f>
        <v>0</v>
      </c>
      <c r="DN57" s="61">
        <f>IF(BB57="",0,IF(OR(BB57="DNF",BB57="OCS",BB57="DSQ",BB57="DNS",BB57=" DNS "),$BW$3+1,BB57))</f>
        <v>0</v>
      </c>
      <c r="DO57" s="61">
        <f>IF(BC57="",0,IF(OR(BC57="DNF",BC57="OCS",BC57="DSQ",BC57="DNS",BC57=" DNS "),$BW$3+1,BC57))</f>
        <v>0</v>
      </c>
      <c r="DP57" s="61">
        <f>IF(BD57="",0,IF(OR(BD57="DNF",BD57="OCS",BD57="DSQ",BD57="DNS",BD57=" DNS "),$BW$3+1,BD57))</f>
        <v>0</v>
      </c>
      <c r="DQ57" s="61">
        <f>IF(BE57="",0,IF(OR(BE57="DNF",BE57="OCS",BE57="DSQ",BE57="DNS",BE57=" DNS "),$BW$3+1,BE57))</f>
        <v>0</v>
      </c>
      <c r="DR57" s="61">
        <f>IF(BF57="",0,IF(OR(BF57="DNF",BF57="OCS",BF57="DSQ",BF57="DNS",BF57=" DNS "),$BW$3+1,BF57))</f>
        <v>0</v>
      </c>
      <c r="DS57" s="61">
        <f>IF(BG57="",0,IF(OR(BG57="DNF",BG57="OCS",BG57="DSQ",BG57="DNS",BG57=" DNS "),$BW$3+1,BG57))</f>
        <v>0</v>
      </c>
      <c r="DT57" s="61">
        <f>IF(BH57="",0,IF(OR(BH57="DNF",BH57="OCS",BH57="DSQ",BH57="DNS",BH57=" DNS "),$BW$3+1,BH57))</f>
        <v>0</v>
      </c>
      <c r="DU57" s="61">
        <f>IF(BI57="",0,IF(OR(BI57="DNF",BI57="OCS",BI57="DSQ",BI57="DNS",BI57=" DNS "),$BW$3+1,BI57))</f>
        <v>0</v>
      </c>
      <c r="DV57" s="61">
        <f>IF(BJ57="",0,IF(OR(BJ57="DNF",BJ57="OCS",BJ57="DSQ",BJ57="DNS",BJ57=" DNS "),$BW$3+1,BJ57))</f>
        <v>0</v>
      </c>
      <c r="DW57" s="61">
        <f>IF(BK57="",0,IF(OR(BK57="DNF",BK57="OCS",BK57="DSQ",BK57="DNS",BK57=" DNS "),$BW$3+1,BK57))</f>
        <v>0</v>
      </c>
      <c r="DX57" s="61">
        <f>IF(BL57="",0,IF(OR(BL57="DNF",BL57="OCS",BL57="DSQ",BL57="DNS",BL57=" DNS "),$BW$3+1,BL57))</f>
        <v>0</v>
      </c>
      <c r="DY57" s="61">
        <f>IF(BM57="",0,IF(OR(BM57="DNF",BM57="OCS",BM57="DSQ",BM57="DNS",BM57=" DNS "),$BW$3+1,BM57))</f>
        <v>0</v>
      </c>
      <c r="DZ57" s="61">
        <f>IF(BN57="",0,IF(OR(BN57="DNF",BN57="OCS",BN57="DSQ",BN57="DNS",BN57=" DNS "),$BW$3+1,BN57))</f>
        <v>0</v>
      </c>
      <c r="EA57" s="61">
        <f>IF(BO57="",0,IF(OR(BO57="DNF",BO57="OCS",BO57="DSQ",BO57="DNS",BO57=" DNS "),$BW$3+1,BO57))</f>
        <v>0</v>
      </c>
      <c r="EB57" s="61">
        <f>IF(BP57="",0,IF(OR(BP57="DNF",BP57="OCS",BP57="DSQ",BP57="DNS",BP57=" DNS "),$BW$3+1,BP57))</f>
        <v>0</v>
      </c>
      <c r="EC57" s="61">
        <f>IF(BQ57="",0,IF(OR(BQ57="DNF",BQ57="OCS",BQ57="DSQ",BQ57="DNS",BQ57=" DNS "),$BW$3+1,BQ57))</f>
        <v>0</v>
      </c>
      <c r="EE57" s="61">
        <f xml:space="preserve">
IF(OR(Deltagarlista!$K$3=3,Deltagarlista!$K$3=4),
IF(Arrangörslista!$U$5&lt;8,0,
IF(Arrangörslista!$U$5&lt;16,SUM(LARGE(BV57:CJ57,1)),
IF(Arrangörslista!$U$5&lt;24,SUM(LARGE(BV57:CR57,{1;2})),
IF(Arrangörslista!$U$5&lt;32,SUM(LARGE(BV57:CZ57,{1;2;3})),
IF(Arrangörslista!$U$5&lt;40,SUM(LARGE(BV57:DH57,{1;2;3;4})),
IF(Arrangörslista!$U$5&lt;48,SUM(LARGE(BV57:DP57,{1;2;3;4;5})),
IF(Arrangörslista!$U$5&lt;56,SUM(LARGE(BV57:DX57,{1;2;3;4;5;6})),
IF(Arrangörslista!$U$5&lt;64,SUM(LARGE(BV57:EC57,{1;2;3;4;5;6;7})),0)))))))),
IF(Deltagarlista!$K$3=2,
IF(Arrangörslista!$U$5&lt;4,LARGE(BV57:BX57,1),
IF(Arrangörslista!$U$5&lt;7,SUM(LARGE(BV57:CA57,{1;2;3})),
IF(Arrangörslista!$U$5&lt;10,SUM(LARGE(BV57:CD57,{1;2;3;4})),
IF(Arrangörslista!$U$5&lt;13,SUM(LARGE(BV57:CG57,{1;2;3;4;5;6})),
IF(Arrangörslista!$U$5&lt;16,SUM(LARGE(BV57:CJ57,{1;2;3;4;5;6;7})),
IF(Arrangörslista!$U$5&lt;19,SUM(LARGE(BV57:CM57,{1;2;3;4;5;6;7;8;9})),
IF(Arrangörslista!$U$5&lt;22,SUM(LARGE(BV57:CP57,{1;2;3;4;5;6;7;8;9;10})),
IF(Arrangörslista!$U$5&lt;25,SUM(LARGE(BV57:CS57,{1;2;3;4;5;6;7;8;9;10;11;12})),
IF(Arrangörslista!$U$5&lt;28,SUM(LARGE(BV57:CV57,{1;2;3;4;5;6;7;8;9;10;11;12;13})),
IF(Arrangörslista!$U$5&lt;31,SUM(LARGE(BV57:CY57,{1;2;3;4;5;6;7;8;9;10;11;12;13;14;15})),
IF(Arrangörslista!$U$5&lt;34,SUM(LARGE(BV57:DB57,{1;2;3;4;5;6;7;8;9;10;11;12;13;14;15;16})),
IF(Arrangörslista!$U$5&lt;37,SUM(LARGE(BV57:DE57,{1;2;3;4;5;6;7;8;9;10;11;12;13;14;15;16;17;18})),
IF(Arrangörslista!$U$5&lt;40,SUM(LARGE(BV57:DH57,{1;2;3;4;5;6;7;8;9;10;11;12;13;14;15;16;17;18;19})),
IF(Arrangörslista!$U$5&lt;43,SUM(LARGE(BV57:DK57,{1;2;3;4;5;6;7;8;9;10;11;12;13;14;15;16;17;18;19;20;21})),
IF(Arrangörslista!$U$5&lt;46,SUM(LARGE(BV57:DN57,{1;2;3;4;5;6;7;8;9;10;11;12;13;14;15;16;17;18;19;20;21;22})),
IF(Arrangörslista!$U$5&lt;49,SUM(LARGE(BV57:DQ57,{1;2;3;4;5;6;7;8;9;10;11;12;13;14;15;16;17;18;19;20;21;22;23;24})),
IF(Arrangörslista!$U$5&lt;52,SUM(LARGE(BV57:DT57,{1;2;3;4;5;6;7;8;9;10;11;12;13;14;15;16;17;18;19;20;21;22;23;24;25})),
IF(Arrangörslista!$U$5&lt;55,SUM(LARGE(BV57:DW57,{1;2;3;4;5;6;7;8;9;10;11;12;13;14;15;16;17;18;19;20;21;22;23;24;25;26;27})),
IF(Arrangörslista!$U$5&lt;58,SUM(LARGE(BV57:DZ57,{1;2;3;4;5;6;7;8;9;10;11;12;13;14;15;16;17;18;19;20;21;22;23;24;25;26;27;28})),
IF(Arrangörslista!$U$5&lt;61,SUM(LARGE(BV57:EC57,{1;2;3;4;5;6;7;8;9;10;11;12;13;14;15;16;17;18;19;20;21;22;23;24;25;26;27;28;29;30})),0)))))))))))))))))))),
IF(Arrangörslista!$U$5&lt;4,0,
IF(Arrangörslista!$U$5&lt;8,SUM(LARGE(BV57:CB57,1)),
IF(Arrangörslista!$U$5&lt;12,SUM(LARGE(BV57:CF57,{1;2})),
IF(Arrangörslista!$U$5&lt;16,SUM(LARGE(BV57:CJ57,{1;2;3})),
IF(Arrangörslista!$U$5&lt;20,SUM(LARGE(BV57:CN57,{1;2;3;4})),
IF(Arrangörslista!$U$5&lt;24,SUM(LARGE(BV57:CR57,{1;2;3;4;5})),
IF(Arrangörslista!$U$5&lt;28,SUM(LARGE(BV57:CV57,{1;2;3;4;5;6})),
IF(Arrangörslista!$U$5&lt;32,SUM(LARGE(BV57:CZ57,{1;2;3;4;5;6;7})),
IF(Arrangörslista!$U$5&lt;36,SUM(LARGE(BV57:DD57,{1;2;3;4;5;6;7;8})),
IF(Arrangörslista!$U$5&lt;40,SUM(LARGE(BV57:DH57,{1;2;3;4;5;6;7;8;9})),
IF(Arrangörslista!$U$5&lt;44,SUM(LARGE(BV57:DL57,{1;2;3;4;5;6;7;8;9;10})),
IF(Arrangörslista!$U$5&lt;48,SUM(LARGE(BV57:DP57,{1;2;3;4;5;6;7;8;9;10;11})),
IF(Arrangörslista!$U$5&lt;52,SUM(LARGE(BV57:DT57,{1;2;3;4;5;6;7;8;9;10;11;12})),
IF(Arrangörslista!$U$5&lt;56,SUM(LARGE(BV57:DX57,{1;2;3;4;5;6;7;8;9;10;11;12;13})),
IF(Arrangörslista!$U$5&lt;60,SUM(LARGE(BV57:EB57,{1;2;3;4;5;6;7;8;9;10;11;12;13;14})),
IF(Arrangörslista!$U$5=60,SUM(LARGE(BV57:EC57,{1;2;3;4;5;6;7;8;9;10;11;12;13;14;15})),0))))))))))))))))))</f>
        <v>0</v>
      </c>
      <c r="EG57" s="67">
        <f>IF(F57="",,1)</f>
        <v>0</v>
      </c>
      <c r="EH57" s="61"/>
      <c r="EI57" s="61"/>
      <c r="EK57" s="62">
        <f>SMALL($J120:$BQ120,1)</f>
        <v>61</v>
      </c>
      <c r="EL57" s="62">
        <f>SMALL($J120:$BQ120,2)</f>
        <v>61</v>
      </c>
      <c r="EM57" s="62">
        <f>SMALL($J120:$BQ120,3)</f>
        <v>61</v>
      </c>
      <c r="EN57" s="62">
        <f>SMALL($J120:$BQ120,4)</f>
        <v>61</v>
      </c>
      <c r="EO57" s="62">
        <f>SMALL($J120:$BQ120,5)</f>
        <v>61</v>
      </c>
      <c r="EP57" s="62">
        <f>SMALL($J120:$BQ120,6)</f>
        <v>61</v>
      </c>
      <c r="EQ57" s="62">
        <f>SMALL($J120:$BQ120,7)</f>
        <v>61</v>
      </c>
      <c r="ER57" s="62">
        <f>SMALL($J120:$BQ120,8)</f>
        <v>61</v>
      </c>
      <c r="ES57" s="62">
        <f>SMALL($J120:$BQ120,9)</f>
        <v>61</v>
      </c>
      <c r="ET57" s="62">
        <f>SMALL($J120:$BQ120,10)</f>
        <v>61</v>
      </c>
      <c r="EU57" s="62">
        <f>SMALL($J120:$BQ120,11)</f>
        <v>61</v>
      </c>
      <c r="EV57" s="62">
        <f>SMALL($J120:$BQ120,12)</f>
        <v>61</v>
      </c>
      <c r="EW57" s="62">
        <f>SMALL($J120:$BQ120,13)</f>
        <v>61</v>
      </c>
      <c r="EX57" s="62">
        <f>SMALL($J120:$BQ120,14)</f>
        <v>61</v>
      </c>
      <c r="EY57" s="62">
        <f>SMALL($J120:$BQ120,15)</f>
        <v>61</v>
      </c>
      <c r="EZ57" s="62">
        <f>SMALL($J120:$BQ120,16)</f>
        <v>61</v>
      </c>
      <c r="FA57" s="62">
        <f>SMALL($J120:$BQ120,17)</f>
        <v>61</v>
      </c>
      <c r="FB57" s="62">
        <f>SMALL($J120:$BQ120,18)</f>
        <v>61</v>
      </c>
      <c r="FC57" s="62">
        <f>SMALL($J120:$BQ120,19)</f>
        <v>61</v>
      </c>
      <c r="FD57" s="62">
        <f>SMALL($J120:$BQ120,20)</f>
        <v>61</v>
      </c>
      <c r="FE57" s="62">
        <f>SMALL($J120:$BQ120,21)</f>
        <v>61</v>
      </c>
      <c r="FF57" s="62">
        <f>SMALL($J120:$BQ120,22)</f>
        <v>61</v>
      </c>
      <c r="FG57" s="62">
        <f>SMALL($J120:$BQ120,23)</f>
        <v>61</v>
      </c>
      <c r="FH57" s="62">
        <f>SMALL($J120:$BQ120,24)</f>
        <v>61</v>
      </c>
      <c r="FI57" s="62">
        <f>SMALL($J120:$BQ120,25)</f>
        <v>61</v>
      </c>
      <c r="FJ57" s="62">
        <f>SMALL($J120:$BQ120,26)</f>
        <v>61</v>
      </c>
      <c r="FK57" s="62">
        <f>SMALL($J120:$BQ120,27)</f>
        <v>61</v>
      </c>
      <c r="FL57" s="62">
        <f>SMALL($J120:$BQ120,28)</f>
        <v>61</v>
      </c>
      <c r="FM57" s="62">
        <f>SMALL($J120:$BQ120,29)</f>
        <v>61</v>
      </c>
      <c r="FN57" s="62">
        <f>SMALL($J120:$BQ120,30)</f>
        <v>61</v>
      </c>
      <c r="FO57" s="62">
        <f>SMALL($J120:$BQ120,31)</f>
        <v>61</v>
      </c>
      <c r="FP57" s="62">
        <f>SMALL($J120:$BQ120,32)</f>
        <v>61</v>
      </c>
      <c r="FQ57" s="62">
        <f>SMALL($J120:$BQ120,33)</f>
        <v>61</v>
      </c>
      <c r="FR57" s="62">
        <f>SMALL($J120:$BQ120,34)</f>
        <v>61</v>
      </c>
      <c r="FS57" s="62">
        <f>SMALL($J120:$BQ120,35)</f>
        <v>61</v>
      </c>
      <c r="FT57" s="62">
        <f>SMALL($J120:$BQ120,36)</f>
        <v>61</v>
      </c>
      <c r="FU57" s="62">
        <f>SMALL($J120:$BQ120,37)</f>
        <v>61</v>
      </c>
      <c r="FV57" s="62">
        <f>SMALL($J120:$BQ120,38)</f>
        <v>61</v>
      </c>
      <c r="FW57" s="62">
        <f>SMALL($J120:$BQ120,39)</f>
        <v>61</v>
      </c>
      <c r="FX57" s="62">
        <f>SMALL($J120:$BQ120,40)</f>
        <v>61</v>
      </c>
      <c r="FY57" s="62">
        <f>SMALL($J120:$BQ120,41)</f>
        <v>61</v>
      </c>
      <c r="FZ57" s="62">
        <f>SMALL($J120:$BQ120,42)</f>
        <v>61</v>
      </c>
      <c r="GA57" s="62">
        <f>SMALL($J120:$BQ120,43)</f>
        <v>61</v>
      </c>
      <c r="GB57" s="62">
        <f>SMALL($J120:$BQ120,44)</f>
        <v>61</v>
      </c>
      <c r="GC57" s="62">
        <f>SMALL($J120:$BQ120,45)</f>
        <v>61</v>
      </c>
      <c r="GD57" s="62">
        <f>SMALL($J120:$BQ120,46)</f>
        <v>61</v>
      </c>
      <c r="GE57" s="62">
        <f>SMALL($J120:$BQ120,47)</f>
        <v>61</v>
      </c>
      <c r="GF57" s="62">
        <f>SMALL($J120:$BQ120,48)</f>
        <v>61</v>
      </c>
      <c r="GG57" s="62">
        <f>SMALL($J120:$BQ120,49)</f>
        <v>61</v>
      </c>
      <c r="GH57" s="62">
        <f>SMALL($J120:$BQ120,50)</f>
        <v>61</v>
      </c>
      <c r="GI57" s="62">
        <f>SMALL($J120:$BQ120,51)</f>
        <v>61</v>
      </c>
      <c r="GJ57" s="62">
        <f>SMALL($J120:$BQ120,52)</f>
        <v>61</v>
      </c>
      <c r="GK57" s="62">
        <f>SMALL($J120:$BQ120,53)</f>
        <v>61</v>
      </c>
      <c r="GL57" s="62">
        <f>SMALL($J120:$BQ120,54)</f>
        <v>61</v>
      </c>
      <c r="GM57" s="62">
        <f>SMALL($J120:$BQ120,55)</f>
        <v>61</v>
      </c>
      <c r="GN57" s="62">
        <f>SMALL($J120:$BQ120,56)</f>
        <v>61</v>
      </c>
      <c r="GO57" s="62">
        <f>SMALL($J120:$BQ120,57)</f>
        <v>61</v>
      </c>
      <c r="GP57" s="62">
        <f>SMALL($J120:$BQ120,58)</f>
        <v>61</v>
      </c>
      <c r="GQ57" s="62">
        <f>SMALL($J120:$BQ120,59)</f>
        <v>61</v>
      </c>
      <c r="GR57" s="62">
        <f>SMALL($J120:$BQ120,60)</f>
        <v>61</v>
      </c>
      <c r="GT57" s="62">
        <f>IF(Deltagarlista!$K$3=2,
IF(GW57="1",
      IF(Arrangörslista!$U$5=1,J120,
IF(Arrangörslista!$U$5=2,K120,
IF(Arrangörslista!$U$5=3,L120,
IF(Arrangörslista!$U$5=4,M120,
IF(Arrangörslista!$U$5=5,N120,
IF(Arrangörslista!$U$5=6,O120,
IF(Arrangörslista!$U$5=7,P120,
IF(Arrangörslista!$U$5=8,Q120,
IF(Arrangörslista!$U$5=9,R120,
IF(Arrangörslista!$U$5=10,S120,
IF(Arrangörslista!$U$5=11,T120,
IF(Arrangörslista!$U$5=12,U120,
IF(Arrangörslista!$U$5=13,V120,
IF(Arrangörslista!$U$5=14,W120,
IF(Arrangörslista!$U$5=15,X120,
IF(Arrangörslista!$U$5=16,Y120,IF(Arrangörslista!$U$5=17,Z120,IF(Arrangörslista!$U$5=18,AA120,IF(Arrangörslista!$U$5=19,AB120,IF(Arrangörslista!$U$5=20,AC120,IF(Arrangörslista!$U$5=21,AD120,IF(Arrangörslista!$U$5=22,AE120,IF(Arrangörslista!$U$5=23,AF120, IF(Arrangörslista!$U$5=24,AG120, IF(Arrangörslista!$U$5=25,AH120, IF(Arrangörslista!$U$5=26,AI120, IF(Arrangörslista!$U$5=27,AJ120, IF(Arrangörslista!$U$5=28,AK120, IF(Arrangörslista!$U$5=29,AL120, IF(Arrangörslista!$U$5=30,AM120, IF(Arrangörslista!$U$5=31,AN120, IF(Arrangörslista!$U$5=32,AO120, IF(Arrangörslista!$U$5=33,AP120, IF(Arrangörslista!$U$5=34,AQ120, IF(Arrangörslista!$U$5=35,AR120, IF(Arrangörslista!$U$5=36,AS120, IF(Arrangörslista!$U$5=37,AT120, IF(Arrangörslista!$U$5=38,AU120, IF(Arrangörslista!$U$5=39,AV120, IF(Arrangörslista!$U$5=40,AW120, IF(Arrangörslista!$U$5=41,AX120, IF(Arrangörslista!$U$5=42,AY120, IF(Arrangörslista!$U$5=43,AZ120, IF(Arrangörslista!$U$5=44,BA120, IF(Arrangörslista!$U$5=45,BB120, IF(Arrangörslista!$U$5=46,BC120, IF(Arrangörslista!$U$5=47,BD120, IF(Arrangörslista!$U$5=48,BE120, IF(Arrangörslista!$U$5=49,BF120, IF(Arrangörslista!$U$5=50,BG120, IF(Arrangörslista!$U$5=51,BH120, IF(Arrangörslista!$U$5=52,BI120, IF(Arrangörslista!$U$5=53,BJ120, IF(Arrangörslista!$U$5=54,BK120, IF(Arrangörslista!$U$5=55,BL120, IF(Arrangörslista!$U$5=56,BM120, IF(Arrangörslista!$U$5=57,BN120, IF(Arrangörslista!$U$5=58,BO120, IF(Arrangörslista!$U$5=59,BP120, IF(Arrangörslista!$U$5=60,BQ120,0))))))))))))))))))))))))))))))))))))))))))))))))))))))))))))),IF(Deltagarlista!$K$3=4, IF(Arrangörslista!$U$5=1,J120,
IF(Arrangörslista!$U$5=2,J120,
IF(Arrangörslista!$U$5=3,K120,
IF(Arrangörslista!$U$5=4,K120,
IF(Arrangörslista!$U$5=5,L120,
IF(Arrangörslista!$U$5=6,L120,
IF(Arrangörslista!$U$5=7,M120,
IF(Arrangörslista!$U$5=8,M120,
IF(Arrangörslista!$U$5=9,N120,
IF(Arrangörslista!$U$5=10,N120,
IF(Arrangörslista!$U$5=11,O120,
IF(Arrangörslista!$U$5=12,O120,
IF(Arrangörslista!$U$5=13,P120,
IF(Arrangörslista!$U$5=14,P120,
IF(Arrangörslista!$U$5=15,Q120,
IF(Arrangörslista!$U$5=16,Q120,
IF(Arrangörslista!$U$5=17,R120,
IF(Arrangörslista!$U$5=18,R120,
IF(Arrangörslista!$U$5=19,S120,
IF(Arrangörslista!$U$5=20,S120,
IF(Arrangörslista!$U$5=21,T120,
IF(Arrangörslista!$U$5=22,T120,IF(Arrangörslista!$U$5=23,U120, IF(Arrangörslista!$U$5=24,U120, IF(Arrangörslista!$U$5=25,V120, IF(Arrangörslista!$U$5=26,V120, IF(Arrangörslista!$U$5=27,W120, IF(Arrangörslista!$U$5=28,W120, IF(Arrangörslista!$U$5=29,X120, IF(Arrangörslista!$U$5=30,X120, IF(Arrangörslista!$U$5=31,X120, IF(Arrangörslista!$U$5=32,Y120, IF(Arrangörslista!$U$5=33,AO120, IF(Arrangörslista!$U$5=34,Y120, IF(Arrangörslista!$U$5=35,Z120, IF(Arrangörslista!$U$5=36,AR120, IF(Arrangörslista!$U$5=37,Z120, IF(Arrangörslista!$U$5=38,AA120, IF(Arrangörslista!$U$5=39,AU120, IF(Arrangörslista!$U$5=40,AA120, IF(Arrangörslista!$U$5=41,AB120, IF(Arrangörslista!$U$5=42,AX120, IF(Arrangörslista!$U$5=43,AB120, IF(Arrangörslista!$U$5=44,AC120, IF(Arrangörslista!$U$5=45,BA120, IF(Arrangörslista!$U$5=46,AC120, IF(Arrangörslista!$U$5=47,AD120, IF(Arrangörslista!$U$5=48,BD120, IF(Arrangörslista!$U$5=49,AD120, IF(Arrangörslista!$U$5=50,AE120, IF(Arrangörslista!$U$5=51,BG120, IF(Arrangörslista!$U$5=52,AE120, IF(Arrangörslista!$U$5=53,AF120, IF(Arrangörslista!$U$5=54,BJ120, IF(Arrangörslista!$U$5=55,AF120, IF(Arrangörslista!$U$5=56,AG120, IF(Arrangörslista!$U$5=57,BM120, IF(Arrangörslista!$U$5=58,AG120, IF(Arrangörslista!$U$5=59,AH120, IF(Arrangörslista!$U$5=60,AH120,0)))))))))))))))))))))))))))))))))))))))))))))))))))))))))))),IF(Arrangörslista!$U$5=1,J120,
IF(Arrangörslista!$U$5=2,K120,
IF(Arrangörslista!$U$5=3,L120,
IF(Arrangörslista!$U$5=4,M120,
IF(Arrangörslista!$U$5=5,N120,
IF(Arrangörslista!$U$5=6,O120,
IF(Arrangörslista!$U$5=7,P120,
IF(Arrangörslista!$U$5=8,Q120,
IF(Arrangörslista!$U$5=9,R120,
IF(Arrangörslista!$U$5=10,S120,
IF(Arrangörslista!$U$5=11,T120,
IF(Arrangörslista!$U$5=12,U120,
IF(Arrangörslista!$U$5=13,V120,
IF(Arrangörslista!$U$5=14,W120,
IF(Arrangörslista!$U$5=15,X120,
IF(Arrangörslista!$U$5=16,Y120,IF(Arrangörslista!$U$5=17,Z120,IF(Arrangörslista!$U$5=18,AA120,IF(Arrangörslista!$U$5=19,AB120,IF(Arrangörslista!$U$5=20,AC120,IF(Arrangörslista!$U$5=21,AD120,IF(Arrangörslista!$U$5=22,AE120,IF(Arrangörslista!$U$5=23,AF120, IF(Arrangörslista!$U$5=24,AG120, IF(Arrangörslista!$U$5=25,AH120, IF(Arrangörslista!$U$5=26,AI120, IF(Arrangörslista!$U$5=27,AJ120, IF(Arrangörslista!$U$5=28,AK120, IF(Arrangörslista!$U$5=29,AL120, IF(Arrangörslista!$U$5=30,AM120, IF(Arrangörslista!$U$5=31,AN120, IF(Arrangörslista!$U$5=32,AO120, IF(Arrangörslista!$U$5=33,AP120, IF(Arrangörslista!$U$5=34,AQ120, IF(Arrangörslista!$U$5=35,AR120, IF(Arrangörslista!$U$5=36,AS120, IF(Arrangörslista!$U$5=37,AT120, IF(Arrangörslista!$U$5=38,AU120, IF(Arrangörslista!$U$5=39,AV120, IF(Arrangörslista!$U$5=40,AW120, IF(Arrangörslista!$U$5=41,AX120, IF(Arrangörslista!$U$5=42,AY120, IF(Arrangörslista!$U$5=43,AZ120, IF(Arrangörslista!$U$5=44,BA120, IF(Arrangörslista!$U$5=45,BB120, IF(Arrangörslista!$U$5=46,BC120, IF(Arrangörslista!$U$5=47,BD120, IF(Arrangörslista!$U$5=48,BE120, IF(Arrangörslista!$U$5=49,BF120, IF(Arrangörslista!$U$5=50,BG120, IF(Arrangörslista!$U$5=51,BH120, IF(Arrangörslista!$U$5=52,BI120, IF(Arrangörslista!$U$5=53,BJ120, IF(Arrangörslista!$U$5=54,BK120, IF(Arrangörslista!$U$5=55,BL120, IF(Arrangörslista!$U$5=56,BM120, IF(Arrangörslista!$U$5=57,BN120, IF(Arrangörslista!$U$5=58,BO120, IF(Arrangörslista!$U$5=59,BP120, IF(Arrangörslista!$U$5=60,BQ120,0))))))))))))))))))))))))))))))))))))))))))))))))))))))))))))
))</f>
        <v>0</v>
      </c>
      <c r="GV57" s="65" t="str">
        <f>IFERROR(IF(VLOOKUP(F57,Deltagarlista!$E$5:$I$64,5,FALSE)="Grön","Gr",IF(VLOOKUP(F57,Deltagarlista!$E$5:$I$64,5,FALSE)="Röd","R",IF(VLOOKUP(F57,Deltagarlista!$E$5:$I$64,5,FALSE)="Blå","B","Gu"))),"")</f>
        <v/>
      </c>
      <c r="GW57" s="62" t="str">
        <f t="shared" si="1"/>
        <v/>
      </c>
    </row>
    <row r="58" spans="1:205" ht="15.75" customHeight="1" x14ac:dyDescent="0.3">
      <c r="B58" s="23" t="str">
        <f>IF($BW$3&gt;54,55,"")</f>
        <v/>
      </c>
      <c r="C58" s="92" t="str">
        <f>IF(ISBLANK(Deltagarlista!C52),"",Deltagarlista!C52)</f>
        <v/>
      </c>
      <c r="D58" s="109" t="str">
        <f>CONCATENATE(IF(AND(Deltagarlista!H52="GM",Deltagarlista!$S$14=TRUE),"GM   ",""),  IF(OR(Deltagarlista!$K$3=4,Deltagarlista!$K$3=2),Deltagarlista!I52,""))</f>
        <v/>
      </c>
      <c r="E58" s="8" t="str">
        <f>IF(ISBLANK(Deltagarlista!D52),"",Deltagarlista!D52)</f>
        <v/>
      </c>
      <c r="F58" s="8" t="str">
        <f>IF(ISBLANK(Deltagarlista!E52),"",Deltagarlista!E52)</f>
        <v/>
      </c>
      <c r="G58" s="95" t="str">
        <f>IF(ISBLANK(Deltagarlista!F52),"",Deltagarlista!F52)</f>
        <v/>
      </c>
      <c r="H58" s="72" t="str">
        <f>IF(ISBLANK(Deltagarlista!C52),"",BU58-EE58)</f>
        <v/>
      </c>
      <c r="I58" s="13" t="str">
        <f>IF(ISBLANK(Deltagarlista!C52),"",IF(AND(Deltagarlista!$K$3=2,Deltagarlista!$L$3&lt;37),SUM(SUM(BV58:EC58)-(ROUNDDOWN(Arrangörslista!$U$5/3,1))*($BW$3+1)),SUM(BV58:EC58)))</f>
        <v/>
      </c>
      <c r="J58" s="79" t="str">
        <f>IF(Deltagarlista!$K$3=4,IF(ISBLANK(Deltagarlista!$C52),"",IF(ISBLANK(Arrangörslista!C$8),"",IFERROR(VLOOKUP($F58,Arrangörslista!C$8:$AG$45,16,FALSE),IF(ISBLANK(Deltagarlista!$C52),"",IF(ISBLANK(Arrangörslista!C$8),"",IFERROR(VLOOKUP($F58,Arrangörslista!D$8:$AG$45,16,FALSE),"DNS")))))),IF(Deltagarlista!$K$3=2,
IF(ISBLANK(Deltagarlista!$C52),"",IF(ISBLANK(Arrangörslista!C$8),"",IF($GV58=J$64," DNS ",IFERROR(VLOOKUP($F58,Arrangörslista!C$8:$AG$45,16,FALSE),"DNS")))),IF(ISBLANK(Deltagarlista!$C52),"",IF(ISBLANK(Arrangörslista!C$8),"",IFERROR(VLOOKUP($F58,Arrangörslista!C$8:$AG$45,16,FALSE),"DNS")))))</f>
        <v/>
      </c>
      <c r="K58" s="5" t="str">
        <f>IF(Deltagarlista!$K$3=4,IF(ISBLANK(Deltagarlista!$C52),"",IF(ISBLANK(Arrangörslista!E$8),"",IFERROR(VLOOKUP($F58,Arrangörslista!E$8:$AG$45,16,FALSE),IF(ISBLANK(Deltagarlista!$C52),"",IF(ISBLANK(Arrangörslista!E$8),"",IFERROR(VLOOKUP($F58,Arrangörslista!F$8:$AG$45,16,FALSE),"DNS")))))),IF(Deltagarlista!$K$3=2,
IF(ISBLANK(Deltagarlista!$C52),"",IF(ISBLANK(Arrangörslista!D$8),"",IF($GV58=K$64," DNS ",IFERROR(VLOOKUP($F58,Arrangörslista!D$8:$AG$45,16,FALSE),"DNS")))),IF(ISBLANK(Deltagarlista!$C52),"",IF(ISBLANK(Arrangörslista!D$8),"",IFERROR(VLOOKUP($F58,Arrangörslista!D$8:$AG$45,16,FALSE),"DNS")))))</f>
        <v/>
      </c>
      <c r="L58" s="5" t="str">
        <f>IF(Deltagarlista!$K$3=4,IF(ISBLANK(Deltagarlista!$C52),"",IF(ISBLANK(Arrangörslista!G$8),"",IFERROR(VLOOKUP($F58,Arrangörslista!G$8:$AG$45,16,FALSE),IF(ISBLANK(Deltagarlista!$C52),"",IF(ISBLANK(Arrangörslista!G$8),"",IFERROR(VLOOKUP($F58,Arrangörslista!H$8:$AG$45,16,FALSE),"DNS")))))),IF(Deltagarlista!$K$3=2,
IF(ISBLANK(Deltagarlista!$C52),"",IF(ISBLANK(Arrangörslista!E$8),"",IF($GV58=L$64," DNS ",IFERROR(VLOOKUP($F58,Arrangörslista!E$8:$AG$45,16,FALSE),"DNS")))),IF(ISBLANK(Deltagarlista!$C52),"",IF(ISBLANK(Arrangörslista!E$8),"",IFERROR(VLOOKUP($F58,Arrangörslista!E$8:$AG$45,16,FALSE),"DNS")))))</f>
        <v/>
      </c>
      <c r="M58" s="5" t="str">
        <f>IF(Deltagarlista!$K$3=4,IF(ISBLANK(Deltagarlista!$C52),"",IF(ISBLANK(Arrangörslista!I$8),"",IFERROR(VLOOKUP($F58,Arrangörslista!I$8:$AG$45,16,FALSE),IF(ISBLANK(Deltagarlista!$C52),"",IF(ISBLANK(Arrangörslista!I$8),"",IFERROR(VLOOKUP($F58,Arrangörslista!J$8:$AG$45,16,FALSE),"DNS")))))),IF(Deltagarlista!$K$3=2,
IF(ISBLANK(Deltagarlista!$C52),"",IF(ISBLANK(Arrangörslista!F$8),"",IF($GV58=M$64," DNS ",IFERROR(VLOOKUP($F58,Arrangörslista!F$8:$AG$45,16,FALSE),"DNS")))),IF(ISBLANK(Deltagarlista!$C52),"",IF(ISBLANK(Arrangörslista!F$8),"",IFERROR(VLOOKUP($F58,Arrangörslista!F$8:$AG$45,16,FALSE),"DNS")))))</f>
        <v/>
      </c>
      <c r="N58" s="5" t="str">
        <f>IF(Deltagarlista!$K$3=4,IF(ISBLANK(Deltagarlista!$C52),"",IF(ISBLANK(Arrangörslista!K$8),"",IFERROR(VLOOKUP($F58,Arrangörslista!K$8:$AG$45,16,FALSE),IF(ISBLANK(Deltagarlista!$C52),"",IF(ISBLANK(Arrangörslista!K$8),"",IFERROR(VLOOKUP($F58,Arrangörslista!L$8:$AG$45,16,FALSE),"DNS")))))),IF(Deltagarlista!$K$3=2,
IF(ISBLANK(Deltagarlista!$C52),"",IF(ISBLANK(Arrangörslista!G$8),"",IF($GV58=N$64," DNS ",IFERROR(VLOOKUP($F58,Arrangörslista!G$8:$AG$45,16,FALSE),"DNS")))),IF(ISBLANK(Deltagarlista!$C52),"",IF(ISBLANK(Arrangörslista!G$8),"",IFERROR(VLOOKUP($F58,Arrangörslista!G$8:$AG$45,16,FALSE),"DNS")))))</f>
        <v/>
      </c>
      <c r="O58" s="5" t="str">
        <f>IF(Deltagarlista!$K$3=4,IF(ISBLANK(Deltagarlista!$C52),"",IF(ISBLANK(Arrangörslista!M$8),"",IFERROR(VLOOKUP($F58,Arrangörslista!M$8:$AG$45,16,FALSE),IF(ISBLANK(Deltagarlista!$C52),"",IF(ISBLANK(Arrangörslista!M$8),"",IFERROR(VLOOKUP($F58,Arrangörslista!N$8:$AG$45,16,FALSE),"DNS")))))),IF(Deltagarlista!$K$3=2,
IF(ISBLANK(Deltagarlista!$C52),"",IF(ISBLANK(Arrangörslista!H$8),"",IF($GV58=O$64," DNS ",IFERROR(VLOOKUP($F58,Arrangörslista!H$8:$AG$45,16,FALSE),"DNS")))),IF(ISBLANK(Deltagarlista!$C52),"",IF(ISBLANK(Arrangörslista!H$8),"",IFERROR(VLOOKUP($F58,Arrangörslista!H$8:$AG$45,16,FALSE),"DNS")))))</f>
        <v/>
      </c>
      <c r="P58" s="5" t="str">
        <f>IF(Deltagarlista!$K$3=4,IF(ISBLANK(Deltagarlista!$C52),"",IF(ISBLANK(Arrangörslista!O$8),"",IFERROR(VLOOKUP($F58,Arrangörslista!O$8:$AG$45,16,FALSE),IF(ISBLANK(Deltagarlista!$C52),"",IF(ISBLANK(Arrangörslista!O$8),"",IFERROR(VLOOKUP($F58,Arrangörslista!P$8:$AG$45,16,FALSE),"DNS")))))),IF(Deltagarlista!$K$3=2,
IF(ISBLANK(Deltagarlista!$C52),"",IF(ISBLANK(Arrangörslista!I$8),"",IF($GV58=P$64," DNS ",IFERROR(VLOOKUP($F58,Arrangörslista!I$8:$AG$45,16,FALSE),"DNS")))),IF(ISBLANK(Deltagarlista!$C52),"",IF(ISBLANK(Arrangörslista!I$8),"",IFERROR(VLOOKUP($F58,Arrangörslista!I$8:$AG$45,16,FALSE),"DNS")))))</f>
        <v/>
      </c>
      <c r="Q58" s="5" t="str">
        <f>IF(Deltagarlista!$K$3=4,IF(ISBLANK(Deltagarlista!$C52),"",IF(ISBLANK(Arrangörslista!Q$8),"",IFERROR(VLOOKUP($F58,Arrangörslista!Q$8:$AG$45,16,FALSE),IF(ISBLANK(Deltagarlista!$C52),"",IF(ISBLANK(Arrangörslista!Q$8),"",IFERROR(VLOOKUP($F58,Arrangörslista!C$53:$AG$90,16,FALSE),"DNS")))))),IF(Deltagarlista!$K$3=2,
IF(ISBLANK(Deltagarlista!$C52),"",IF(ISBLANK(Arrangörslista!J$8),"",IF($GV58=Q$64," DNS ",IFERROR(VLOOKUP($F58,Arrangörslista!J$8:$AG$45,16,FALSE),"DNS")))),IF(ISBLANK(Deltagarlista!$C52),"",IF(ISBLANK(Arrangörslista!J$8),"",IFERROR(VLOOKUP($F58,Arrangörslista!J$8:$AG$45,16,FALSE),"DNS")))))</f>
        <v/>
      </c>
      <c r="R58" s="5" t="str">
        <f>IF(Deltagarlista!$K$3=4,IF(ISBLANK(Deltagarlista!$C52),"",IF(ISBLANK(Arrangörslista!D$53),"",IFERROR(VLOOKUP($F58,Arrangörslista!D$53:$AG$90,16,FALSE),IF(ISBLANK(Deltagarlista!$C52),"",IF(ISBLANK(Arrangörslista!D$53),"",IFERROR(VLOOKUP($F58,Arrangörslista!E$53:$AG$90,16,FALSE),"DNS")))))),IF(Deltagarlista!$K$3=2,
IF(ISBLANK(Deltagarlista!$C52),"",IF(ISBLANK(Arrangörslista!K$8),"",IF($GV58=R$64," DNS ",IFERROR(VLOOKUP($F58,Arrangörslista!K$8:$AG$45,16,FALSE),"DNS")))),IF(ISBLANK(Deltagarlista!$C52),"",IF(ISBLANK(Arrangörslista!K$8),"",IFERROR(VLOOKUP($F58,Arrangörslista!K$8:$AG$45,16,FALSE),"DNS")))))</f>
        <v/>
      </c>
      <c r="S58" s="5" t="str">
        <f>IF(Deltagarlista!$K$3=4,IF(ISBLANK(Deltagarlista!$C52),"",IF(ISBLANK(Arrangörslista!F$53),"",IFERROR(VLOOKUP($F58,Arrangörslista!F$53:$AG$90,16,FALSE),IF(ISBLANK(Deltagarlista!$C52),"",IF(ISBLANK(Arrangörslista!F$53),"",IFERROR(VLOOKUP($F58,Arrangörslista!G$53:$AG$90,16,FALSE),"DNS")))))),IF(Deltagarlista!$K$3=2,
IF(ISBLANK(Deltagarlista!$C52),"",IF(ISBLANK(Arrangörslista!L$8),"",IF($GV58=S$64," DNS ",IFERROR(VLOOKUP($F58,Arrangörslista!L$8:$AG$45,16,FALSE),"DNS")))),IF(ISBLANK(Deltagarlista!$C52),"",IF(ISBLANK(Arrangörslista!L$8),"",IFERROR(VLOOKUP($F58,Arrangörslista!L$8:$AG$45,16,FALSE),"DNS")))))</f>
        <v/>
      </c>
      <c r="T58" s="5" t="str">
        <f>IF(Deltagarlista!$K$3=4,IF(ISBLANK(Deltagarlista!$C52),"",IF(ISBLANK(Arrangörslista!H$53),"",IFERROR(VLOOKUP($F58,Arrangörslista!H$53:$AG$90,16,FALSE),IF(ISBLANK(Deltagarlista!$C52),"",IF(ISBLANK(Arrangörslista!H$53),"",IFERROR(VLOOKUP($F58,Arrangörslista!I$53:$AG$90,16,FALSE),"DNS")))))),IF(Deltagarlista!$K$3=2,
IF(ISBLANK(Deltagarlista!$C52),"",IF(ISBLANK(Arrangörslista!M$8),"",IF($GV58=T$64," DNS ",IFERROR(VLOOKUP($F58,Arrangörslista!M$8:$AG$45,16,FALSE),"DNS")))),IF(ISBLANK(Deltagarlista!$C52),"",IF(ISBLANK(Arrangörslista!M$8),"",IFERROR(VLOOKUP($F58,Arrangörslista!M$8:$AG$45,16,FALSE),"DNS")))))</f>
        <v/>
      </c>
      <c r="U58" s="5" t="str">
        <f>IF(Deltagarlista!$K$3=4,IF(ISBLANK(Deltagarlista!$C52),"",IF(ISBLANK(Arrangörslista!J$53),"",IFERROR(VLOOKUP($F58,Arrangörslista!J$53:$AG$90,16,FALSE),IF(ISBLANK(Deltagarlista!$C52),"",IF(ISBLANK(Arrangörslista!J$53),"",IFERROR(VLOOKUP($F58,Arrangörslista!K$53:$AG$90,16,FALSE),"DNS")))))),IF(Deltagarlista!$K$3=2,
IF(ISBLANK(Deltagarlista!$C52),"",IF(ISBLANK(Arrangörslista!N$8),"",IF($GV58=U$64," DNS ",IFERROR(VLOOKUP($F58,Arrangörslista!N$8:$AG$45,16,FALSE),"DNS")))),IF(ISBLANK(Deltagarlista!$C52),"",IF(ISBLANK(Arrangörslista!N$8),"",IFERROR(VLOOKUP($F58,Arrangörslista!N$8:$AG$45,16,FALSE),"DNS")))))</f>
        <v/>
      </c>
      <c r="V58" s="5" t="str">
        <f>IF(Deltagarlista!$K$3=4,IF(ISBLANK(Deltagarlista!$C52),"",IF(ISBLANK(Arrangörslista!L$53),"",IFERROR(VLOOKUP($F58,Arrangörslista!L$53:$AG$90,16,FALSE),IF(ISBLANK(Deltagarlista!$C52),"",IF(ISBLANK(Arrangörslista!L$53),"",IFERROR(VLOOKUP($F58,Arrangörslista!M$53:$AG$90,16,FALSE),"DNS")))))),IF(Deltagarlista!$K$3=2,
IF(ISBLANK(Deltagarlista!$C52),"",IF(ISBLANK(Arrangörslista!O$8),"",IF($GV58=V$64," DNS ",IFERROR(VLOOKUP($F58,Arrangörslista!O$8:$AG$45,16,FALSE),"DNS")))),IF(ISBLANK(Deltagarlista!$C52),"",IF(ISBLANK(Arrangörslista!O$8),"",IFERROR(VLOOKUP($F58,Arrangörslista!O$8:$AG$45,16,FALSE),"DNS")))))</f>
        <v/>
      </c>
      <c r="W58" s="5" t="str">
        <f>IF(Deltagarlista!$K$3=4,IF(ISBLANK(Deltagarlista!$C52),"",IF(ISBLANK(Arrangörslista!N$53),"",IFERROR(VLOOKUP($F58,Arrangörslista!N$53:$AG$90,16,FALSE),IF(ISBLANK(Deltagarlista!$C52),"",IF(ISBLANK(Arrangörslista!N$53),"",IFERROR(VLOOKUP($F58,Arrangörslista!O$53:$AG$90,16,FALSE),"DNS")))))),IF(Deltagarlista!$K$3=2,
IF(ISBLANK(Deltagarlista!$C52),"",IF(ISBLANK(Arrangörslista!P$8),"",IF($GV58=W$64," DNS ",IFERROR(VLOOKUP($F58,Arrangörslista!P$8:$AG$45,16,FALSE),"DNS")))),IF(ISBLANK(Deltagarlista!$C52),"",IF(ISBLANK(Arrangörslista!P$8),"",IFERROR(VLOOKUP($F58,Arrangörslista!P$8:$AG$45,16,FALSE),"DNS")))))</f>
        <v/>
      </c>
      <c r="X58" s="5" t="str">
        <f>IF(Deltagarlista!$K$3=4,IF(ISBLANK(Deltagarlista!$C52),"",IF(ISBLANK(Arrangörslista!P$53),"",IFERROR(VLOOKUP($F58,Arrangörslista!P$53:$AG$90,16,FALSE),IF(ISBLANK(Deltagarlista!$C52),"",IF(ISBLANK(Arrangörslista!P$53),"",IFERROR(VLOOKUP($F58,Arrangörslista!Q$53:$AG$90,16,FALSE),"DNS")))))),IF(Deltagarlista!$K$3=2,
IF(ISBLANK(Deltagarlista!$C52),"",IF(ISBLANK(Arrangörslista!Q$8),"",IF($GV58=X$64," DNS ",IFERROR(VLOOKUP($F58,Arrangörslista!Q$8:$AG$45,16,FALSE),"DNS")))),IF(ISBLANK(Deltagarlista!$C52),"",IF(ISBLANK(Arrangörslista!Q$8),"",IFERROR(VLOOKUP($F58,Arrangörslista!Q$8:$AG$45,16,FALSE),"DNS")))))</f>
        <v/>
      </c>
      <c r="Y58" s="5" t="str">
        <f>IF(Deltagarlista!$K$3=4,IF(ISBLANK(Deltagarlista!$C52),"",IF(ISBLANK(Arrangörslista!C$98),"",IFERROR(VLOOKUP($F58,Arrangörslista!C$98:$AG$135,16,FALSE),IF(ISBLANK(Deltagarlista!$C52),"",IF(ISBLANK(Arrangörslista!C$98),"",IFERROR(VLOOKUP($F58,Arrangörslista!D$98:$AG$135,16,FALSE),"DNS")))))),IF(Deltagarlista!$K$3=2,
IF(ISBLANK(Deltagarlista!$C52),"",IF(ISBLANK(Arrangörslista!C$53),"",IF($GV58=Y$64," DNS ",IFERROR(VLOOKUP($F58,Arrangörslista!C$53:$AG$90,16,FALSE),"DNS")))),IF(ISBLANK(Deltagarlista!$C52),"",IF(ISBLANK(Arrangörslista!C$53),"",IFERROR(VLOOKUP($F58,Arrangörslista!C$53:$AG$90,16,FALSE),"DNS")))))</f>
        <v/>
      </c>
      <c r="Z58" s="5" t="str">
        <f>IF(Deltagarlista!$K$3=4,IF(ISBLANK(Deltagarlista!$C52),"",IF(ISBLANK(Arrangörslista!E$98),"",IFERROR(VLOOKUP($F58,Arrangörslista!E$98:$AG$135,16,FALSE),IF(ISBLANK(Deltagarlista!$C52),"",IF(ISBLANK(Arrangörslista!E$98),"",IFERROR(VLOOKUP($F58,Arrangörslista!F$98:$AG$135,16,FALSE),"DNS")))))),IF(Deltagarlista!$K$3=2,
IF(ISBLANK(Deltagarlista!$C52),"",IF(ISBLANK(Arrangörslista!D$53),"",IF($GV58=Z$64," DNS ",IFERROR(VLOOKUP($F58,Arrangörslista!D$53:$AG$90,16,FALSE),"DNS")))),IF(ISBLANK(Deltagarlista!$C52),"",IF(ISBLANK(Arrangörslista!D$53),"",IFERROR(VLOOKUP($F58,Arrangörslista!D$53:$AG$90,16,FALSE),"DNS")))))</f>
        <v/>
      </c>
      <c r="AA58" s="5" t="str">
        <f>IF(Deltagarlista!$K$3=4,IF(ISBLANK(Deltagarlista!$C52),"",IF(ISBLANK(Arrangörslista!G$98),"",IFERROR(VLOOKUP($F58,Arrangörslista!G$98:$AG$135,16,FALSE),IF(ISBLANK(Deltagarlista!$C52),"",IF(ISBLANK(Arrangörslista!G$98),"",IFERROR(VLOOKUP($F58,Arrangörslista!H$98:$AG$135,16,FALSE),"DNS")))))),IF(Deltagarlista!$K$3=2,
IF(ISBLANK(Deltagarlista!$C52),"",IF(ISBLANK(Arrangörslista!E$53),"",IF($GV58=AA$64," DNS ",IFERROR(VLOOKUP($F58,Arrangörslista!E$53:$AG$90,16,FALSE),"DNS")))),IF(ISBLANK(Deltagarlista!$C52),"",IF(ISBLANK(Arrangörslista!E$53),"",IFERROR(VLOOKUP($F58,Arrangörslista!E$53:$AG$90,16,FALSE),"DNS")))))</f>
        <v/>
      </c>
      <c r="AB58" s="5" t="str">
        <f>IF(Deltagarlista!$K$3=4,IF(ISBLANK(Deltagarlista!$C52),"",IF(ISBLANK(Arrangörslista!I$98),"",IFERROR(VLOOKUP($F58,Arrangörslista!I$98:$AG$135,16,FALSE),IF(ISBLANK(Deltagarlista!$C52),"",IF(ISBLANK(Arrangörslista!I$98),"",IFERROR(VLOOKUP($F58,Arrangörslista!J$98:$AG$135,16,FALSE),"DNS")))))),IF(Deltagarlista!$K$3=2,
IF(ISBLANK(Deltagarlista!$C52),"",IF(ISBLANK(Arrangörslista!F$53),"",IF($GV58=AB$64," DNS ",IFERROR(VLOOKUP($F58,Arrangörslista!F$53:$AG$90,16,FALSE),"DNS")))),IF(ISBLANK(Deltagarlista!$C52),"",IF(ISBLANK(Arrangörslista!F$53),"",IFERROR(VLOOKUP($F58,Arrangörslista!F$53:$AG$90,16,FALSE),"DNS")))))</f>
        <v/>
      </c>
      <c r="AC58" s="5" t="str">
        <f>IF(Deltagarlista!$K$3=4,IF(ISBLANK(Deltagarlista!$C52),"",IF(ISBLANK(Arrangörslista!K$98),"",IFERROR(VLOOKUP($F58,Arrangörslista!K$98:$AG$135,16,FALSE),IF(ISBLANK(Deltagarlista!$C52),"",IF(ISBLANK(Arrangörslista!K$98),"",IFERROR(VLOOKUP($F58,Arrangörslista!L$98:$AG$135,16,FALSE),"DNS")))))),IF(Deltagarlista!$K$3=2,
IF(ISBLANK(Deltagarlista!$C52),"",IF(ISBLANK(Arrangörslista!G$53),"",IF($GV58=AC$64," DNS ",IFERROR(VLOOKUP($F58,Arrangörslista!G$53:$AG$90,16,FALSE),"DNS")))),IF(ISBLANK(Deltagarlista!$C52),"",IF(ISBLANK(Arrangörslista!G$53),"",IFERROR(VLOOKUP($F58,Arrangörslista!G$53:$AG$90,16,FALSE),"DNS")))))</f>
        <v/>
      </c>
      <c r="AD58" s="5" t="str">
        <f>IF(Deltagarlista!$K$3=4,IF(ISBLANK(Deltagarlista!$C52),"",IF(ISBLANK(Arrangörslista!M$98),"",IFERROR(VLOOKUP($F58,Arrangörslista!M$98:$AG$135,16,FALSE),IF(ISBLANK(Deltagarlista!$C52),"",IF(ISBLANK(Arrangörslista!M$98),"",IFERROR(VLOOKUP($F58,Arrangörslista!N$98:$AG$135,16,FALSE),"DNS")))))),IF(Deltagarlista!$K$3=2,
IF(ISBLANK(Deltagarlista!$C52),"",IF(ISBLANK(Arrangörslista!H$53),"",IF($GV58=AD$64," DNS ",IFERROR(VLOOKUP($F58,Arrangörslista!H$53:$AG$90,16,FALSE),"DNS")))),IF(ISBLANK(Deltagarlista!$C52),"",IF(ISBLANK(Arrangörslista!H$53),"",IFERROR(VLOOKUP($F58,Arrangörslista!H$53:$AG$90,16,FALSE),"DNS")))))</f>
        <v/>
      </c>
      <c r="AE58" s="5" t="str">
        <f>IF(Deltagarlista!$K$3=4,IF(ISBLANK(Deltagarlista!$C52),"",IF(ISBLANK(Arrangörslista!O$98),"",IFERROR(VLOOKUP($F58,Arrangörslista!O$98:$AG$135,16,FALSE),IF(ISBLANK(Deltagarlista!$C52),"",IF(ISBLANK(Arrangörslista!O$98),"",IFERROR(VLOOKUP($F58,Arrangörslista!P$98:$AG$135,16,FALSE),"DNS")))))),IF(Deltagarlista!$K$3=2,
IF(ISBLANK(Deltagarlista!$C52),"",IF(ISBLANK(Arrangörslista!I$53),"",IF($GV58=AE$64," DNS ",IFERROR(VLOOKUP($F58,Arrangörslista!I$53:$AG$90,16,FALSE),"DNS")))),IF(ISBLANK(Deltagarlista!$C52),"",IF(ISBLANK(Arrangörslista!I$53),"",IFERROR(VLOOKUP($F58,Arrangörslista!I$53:$AG$90,16,FALSE),"DNS")))))</f>
        <v/>
      </c>
      <c r="AF58" s="5" t="str">
        <f>IF(Deltagarlista!$K$3=4,IF(ISBLANK(Deltagarlista!$C52),"",IF(ISBLANK(Arrangörslista!Q$98),"",IFERROR(VLOOKUP($F58,Arrangörslista!Q$98:$AG$135,16,FALSE),IF(ISBLANK(Deltagarlista!$C52),"",IF(ISBLANK(Arrangörslista!Q$98),"",IFERROR(VLOOKUP($F58,Arrangörslista!C$143:$AG$180,16,FALSE),"DNS")))))),IF(Deltagarlista!$K$3=2,
IF(ISBLANK(Deltagarlista!$C52),"",IF(ISBLANK(Arrangörslista!J$53),"",IF($GV58=AF$64," DNS ",IFERROR(VLOOKUP($F58,Arrangörslista!J$53:$AG$90,16,FALSE),"DNS")))),IF(ISBLANK(Deltagarlista!$C52),"",IF(ISBLANK(Arrangörslista!J$53),"",IFERROR(VLOOKUP($F58,Arrangörslista!J$53:$AG$90,16,FALSE),"DNS")))))</f>
        <v/>
      </c>
      <c r="AG58" s="5" t="str">
        <f>IF(Deltagarlista!$K$3=4,IF(ISBLANK(Deltagarlista!$C52),"",IF(ISBLANK(Arrangörslista!D$143),"",IFERROR(VLOOKUP($F58,Arrangörslista!D$143:$AG$180,16,FALSE),IF(ISBLANK(Deltagarlista!$C52),"",IF(ISBLANK(Arrangörslista!D$143),"",IFERROR(VLOOKUP($F58,Arrangörslista!E$143:$AG$180,16,FALSE),"DNS")))))),IF(Deltagarlista!$K$3=2,
IF(ISBLANK(Deltagarlista!$C52),"",IF(ISBLANK(Arrangörslista!K$53),"",IF($GV58=AG$64," DNS ",IFERROR(VLOOKUP($F58,Arrangörslista!K$53:$AG$90,16,FALSE),"DNS")))),IF(ISBLANK(Deltagarlista!$C52),"",IF(ISBLANK(Arrangörslista!K$53),"",IFERROR(VLOOKUP($F58,Arrangörslista!K$53:$AG$90,16,FALSE),"DNS")))))</f>
        <v/>
      </c>
      <c r="AH58" s="5" t="str">
        <f>IF(Deltagarlista!$K$3=4,IF(ISBLANK(Deltagarlista!$C52),"",IF(ISBLANK(Arrangörslista!F$143),"",IFERROR(VLOOKUP($F58,Arrangörslista!F$143:$AG$180,16,FALSE),IF(ISBLANK(Deltagarlista!$C52),"",IF(ISBLANK(Arrangörslista!F$143),"",IFERROR(VLOOKUP($F58,Arrangörslista!G$143:$AG$180,16,FALSE),"DNS")))))),IF(Deltagarlista!$K$3=2,
IF(ISBLANK(Deltagarlista!$C52),"",IF(ISBLANK(Arrangörslista!L$53),"",IF($GV58=AH$64," DNS ",IFERROR(VLOOKUP($F58,Arrangörslista!L$53:$AG$90,16,FALSE),"DNS")))),IF(ISBLANK(Deltagarlista!$C52),"",IF(ISBLANK(Arrangörslista!L$53),"",IFERROR(VLOOKUP($F58,Arrangörslista!L$53:$AG$90,16,FALSE),"DNS")))))</f>
        <v/>
      </c>
      <c r="AI58" s="5" t="str">
        <f>IF(Deltagarlista!$K$3=4,IF(ISBLANK(Deltagarlista!$C52),"",IF(ISBLANK(Arrangörslista!H$143),"",IFERROR(VLOOKUP($F58,Arrangörslista!H$143:$AG$180,16,FALSE),IF(ISBLANK(Deltagarlista!$C52),"",IF(ISBLANK(Arrangörslista!H$143),"",IFERROR(VLOOKUP($F58,Arrangörslista!I$143:$AG$180,16,FALSE),"DNS")))))),IF(Deltagarlista!$K$3=2,
IF(ISBLANK(Deltagarlista!$C52),"",IF(ISBLANK(Arrangörslista!M$53),"",IF($GV58=AI$64," DNS ",IFERROR(VLOOKUP($F58,Arrangörslista!M$53:$AG$90,16,FALSE),"DNS")))),IF(ISBLANK(Deltagarlista!$C52),"",IF(ISBLANK(Arrangörslista!M$53),"",IFERROR(VLOOKUP($F58,Arrangörslista!M$53:$AG$90,16,FALSE),"DNS")))))</f>
        <v/>
      </c>
      <c r="AJ58" s="5" t="str">
        <f>IF(Deltagarlista!$K$3=4,IF(ISBLANK(Deltagarlista!$C52),"",IF(ISBLANK(Arrangörslista!J$143),"",IFERROR(VLOOKUP($F58,Arrangörslista!J$143:$AG$180,16,FALSE),IF(ISBLANK(Deltagarlista!$C52),"",IF(ISBLANK(Arrangörslista!J$143),"",IFERROR(VLOOKUP($F58,Arrangörslista!K$143:$AG$180,16,FALSE),"DNS")))))),IF(Deltagarlista!$K$3=2,
IF(ISBLANK(Deltagarlista!$C52),"",IF(ISBLANK(Arrangörslista!N$53),"",IF($GV58=AJ$64," DNS ",IFERROR(VLOOKUP($F58,Arrangörslista!N$53:$AG$90,16,FALSE),"DNS")))),IF(ISBLANK(Deltagarlista!$C52),"",IF(ISBLANK(Arrangörslista!N$53),"",IFERROR(VLOOKUP($F58,Arrangörslista!N$53:$AG$90,16,FALSE),"DNS")))))</f>
        <v/>
      </c>
      <c r="AK58" s="5" t="str">
        <f>IF(Deltagarlista!$K$3=4,IF(ISBLANK(Deltagarlista!$C52),"",IF(ISBLANK(Arrangörslista!L$143),"",IFERROR(VLOOKUP($F58,Arrangörslista!L$143:$AG$180,16,FALSE),IF(ISBLANK(Deltagarlista!$C52),"",IF(ISBLANK(Arrangörslista!L$143),"",IFERROR(VLOOKUP($F58,Arrangörslista!M$143:$AG$180,16,FALSE),"DNS")))))),IF(Deltagarlista!$K$3=2,
IF(ISBLANK(Deltagarlista!$C52),"",IF(ISBLANK(Arrangörslista!O$53),"",IF($GV58=AK$64," DNS ",IFERROR(VLOOKUP($F58,Arrangörslista!O$53:$AG$90,16,FALSE),"DNS")))),IF(ISBLANK(Deltagarlista!$C52),"",IF(ISBLANK(Arrangörslista!O$53),"",IFERROR(VLOOKUP($F58,Arrangörslista!O$53:$AG$90,16,FALSE),"DNS")))))</f>
        <v/>
      </c>
      <c r="AL58" s="5" t="str">
        <f>IF(Deltagarlista!$K$3=4,IF(ISBLANK(Deltagarlista!$C52),"",IF(ISBLANK(Arrangörslista!N$143),"",IFERROR(VLOOKUP($F58,Arrangörslista!N$143:$AG$180,16,FALSE),IF(ISBLANK(Deltagarlista!$C52),"",IF(ISBLANK(Arrangörslista!N$143),"",IFERROR(VLOOKUP($F58,Arrangörslista!O$143:$AG$180,16,FALSE),"DNS")))))),IF(Deltagarlista!$K$3=2,
IF(ISBLANK(Deltagarlista!$C52),"",IF(ISBLANK(Arrangörslista!P$53),"",IF($GV58=AL$64," DNS ",IFERROR(VLOOKUP($F58,Arrangörslista!P$53:$AG$90,16,FALSE),"DNS")))),IF(ISBLANK(Deltagarlista!$C52),"",IF(ISBLANK(Arrangörslista!P$53),"",IFERROR(VLOOKUP($F58,Arrangörslista!P$53:$AG$90,16,FALSE),"DNS")))))</f>
        <v/>
      </c>
      <c r="AM58" s="5" t="str">
        <f>IF(Deltagarlista!$K$3=4,IF(ISBLANK(Deltagarlista!$C52),"",IF(ISBLANK(Arrangörslista!P$143),"",IFERROR(VLOOKUP($F58,Arrangörslista!P$143:$AG$180,16,FALSE),IF(ISBLANK(Deltagarlista!$C52),"",IF(ISBLANK(Arrangörslista!P$143),"",IFERROR(VLOOKUP($F58,Arrangörslista!Q$143:$AG$180,16,FALSE),"DNS")))))),IF(Deltagarlista!$K$3=2,
IF(ISBLANK(Deltagarlista!$C52),"",IF(ISBLANK(Arrangörslista!Q$53),"",IF($GV58=AM$64," DNS ",IFERROR(VLOOKUP($F58,Arrangörslista!Q$53:$AG$90,16,FALSE),"DNS")))),IF(ISBLANK(Deltagarlista!$C52),"",IF(ISBLANK(Arrangörslista!Q$53),"",IFERROR(VLOOKUP($F58,Arrangörslista!Q$53:$AG$90,16,FALSE),"DNS")))))</f>
        <v/>
      </c>
      <c r="AN58" s="5" t="str">
        <f>IF(Deltagarlista!$K$3=2,
IF(ISBLANK(Deltagarlista!$C52),"",IF(ISBLANK(Arrangörslista!C$98),"",IF($GV58=AN$64," DNS ",IFERROR(VLOOKUP($F58,Arrangörslista!C$98:$AG$135,16,FALSE), "DNS")))), IF(Deltagarlista!$K$3=1,IF(ISBLANK(Deltagarlista!$C52),"",IF(ISBLANK(Arrangörslista!C$98),"",IFERROR(VLOOKUP($F58,Arrangörslista!C$98:$AG$135,16,FALSE), "DNS"))),""))</f>
        <v/>
      </c>
      <c r="AO58" s="5" t="str">
        <f>IF(Deltagarlista!$K$3=2,
IF(ISBLANK(Deltagarlista!$C52),"",IF(ISBLANK(Arrangörslista!D$98),"",IF($GV58=AO$64," DNS ",IFERROR(VLOOKUP($F58,Arrangörslista!D$98:$AG$135,16,FALSE), "DNS")))), IF(Deltagarlista!$K$3=1,IF(ISBLANK(Deltagarlista!$C52),"",IF(ISBLANK(Arrangörslista!D$98),"",IFERROR(VLOOKUP($F58,Arrangörslista!D$98:$AG$135,16,FALSE), "DNS"))),""))</f>
        <v/>
      </c>
      <c r="AP58" s="5" t="str">
        <f>IF(Deltagarlista!$K$3=2,
IF(ISBLANK(Deltagarlista!$C52),"",IF(ISBLANK(Arrangörslista!E$98),"",IF($GV58=AP$64," DNS ",IFERROR(VLOOKUP($F58,Arrangörslista!E$98:$AG$135,16,FALSE), "DNS")))), IF(Deltagarlista!$K$3=1,IF(ISBLANK(Deltagarlista!$C52),"",IF(ISBLANK(Arrangörslista!E$98),"",IFERROR(VLOOKUP($F58,Arrangörslista!E$98:$AG$135,16,FALSE), "DNS"))),""))</f>
        <v/>
      </c>
      <c r="AQ58" s="5" t="str">
        <f>IF(Deltagarlista!$K$3=2,
IF(ISBLANK(Deltagarlista!$C52),"",IF(ISBLANK(Arrangörslista!F$98),"",IF($GV58=AQ$64," DNS ",IFERROR(VLOOKUP($F58,Arrangörslista!F$98:$AG$135,16,FALSE), "DNS")))), IF(Deltagarlista!$K$3=1,IF(ISBLANK(Deltagarlista!$C52),"",IF(ISBLANK(Arrangörslista!F$98),"",IFERROR(VLOOKUP($F58,Arrangörslista!F$98:$AG$135,16,FALSE), "DNS"))),""))</f>
        <v/>
      </c>
      <c r="AR58" s="5" t="str">
        <f>IF(Deltagarlista!$K$3=2,
IF(ISBLANK(Deltagarlista!$C52),"",IF(ISBLANK(Arrangörslista!G$98),"",IF($GV58=AR$64," DNS ",IFERROR(VLOOKUP($F58,Arrangörslista!G$98:$AG$135,16,FALSE), "DNS")))), IF(Deltagarlista!$K$3=1,IF(ISBLANK(Deltagarlista!$C52),"",IF(ISBLANK(Arrangörslista!G$98),"",IFERROR(VLOOKUP($F58,Arrangörslista!G$98:$AG$135,16,FALSE), "DNS"))),""))</f>
        <v/>
      </c>
      <c r="AS58" s="5" t="str">
        <f>IF(Deltagarlista!$K$3=2,
IF(ISBLANK(Deltagarlista!$C52),"",IF(ISBLANK(Arrangörslista!H$98),"",IF($GV58=AS$64," DNS ",IFERROR(VLOOKUP($F58,Arrangörslista!H$98:$AG$135,16,FALSE), "DNS")))), IF(Deltagarlista!$K$3=1,IF(ISBLANK(Deltagarlista!$C52),"",IF(ISBLANK(Arrangörslista!H$98),"",IFERROR(VLOOKUP($F58,Arrangörslista!H$98:$AG$135,16,FALSE), "DNS"))),""))</f>
        <v/>
      </c>
      <c r="AT58" s="5" t="str">
        <f>IF(Deltagarlista!$K$3=2,
IF(ISBLANK(Deltagarlista!$C52),"",IF(ISBLANK(Arrangörslista!I$98),"",IF($GV58=AT$64," DNS ",IFERROR(VLOOKUP($F58,Arrangörslista!I$98:$AG$135,16,FALSE), "DNS")))), IF(Deltagarlista!$K$3=1,IF(ISBLANK(Deltagarlista!$C52),"",IF(ISBLANK(Arrangörslista!I$98),"",IFERROR(VLOOKUP($F58,Arrangörslista!I$98:$AG$135,16,FALSE), "DNS"))),""))</f>
        <v/>
      </c>
      <c r="AU58" s="5" t="str">
        <f>IF(Deltagarlista!$K$3=2,
IF(ISBLANK(Deltagarlista!$C52),"",IF(ISBLANK(Arrangörslista!J$98),"",IF($GV58=AU$64," DNS ",IFERROR(VLOOKUP($F58,Arrangörslista!J$98:$AG$135,16,FALSE), "DNS")))), IF(Deltagarlista!$K$3=1,IF(ISBLANK(Deltagarlista!$C52),"",IF(ISBLANK(Arrangörslista!J$98),"",IFERROR(VLOOKUP($F58,Arrangörslista!J$98:$AG$135,16,FALSE), "DNS"))),""))</f>
        <v/>
      </c>
      <c r="AV58" s="5" t="str">
        <f>IF(Deltagarlista!$K$3=2,
IF(ISBLANK(Deltagarlista!$C52),"",IF(ISBLANK(Arrangörslista!K$98),"",IF($GV58=AV$64," DNS ",IFERROR(VLOOKUP($F58,Arrangörslista!K$98:$AG$135,16,FALSE), "DNS")))), IF(Deltagarlista!$K$3=1,IF(ISBLANK(Deltagarlista!$C52),"",IF(ISBLANK(Arrangörslista!K$98),"",IFERROR(VLOOKUP($F58,Arrangörslista!K$98:$AG$135,16,FALSE), "DNS"))),""))</f>
        <v/>
      </c>
      <c r="AW58" s="5" t="str">
        <f>IF(Deltagarlista!$K$3=2,
IF(ISBLANK(Deltagarlista!$C52),"",IF(ISBLANK(Arrangörslista!L$98),"",IF($GV58=AW$64," DNS ",IFERROR(VLOOKUP($F58,Arrangörslista!L$98:$AG$135,16,FALSE), "DNS")))), IF(Deltagarlista!$K$3=1,IF(ISBLANK(Deltagarlista!$C52),"",IF(ISBLANK(Arrangörslista!L$98),"",IFERROR(VLOOKUP($F58,Arrangörslista!L$98:$AG$135,16,FALSE), "DNS"))),""))</f>
        <v/>
      </c>
      <c r="AX58" s="5" t="str">
        <f>IF(Deltagarlista!$K$3=2,
IF(ISBLANK(Deltagarlista!$C52),"",IF(ISBLANK(Arrangörslista!M$98),"",IF($GV58=AX$64," DNS ",IFERROR(VLOOKUP($F58,Arrangörslista!M$98:$AG$135,16,FALSE), "DNS")))), IF(Deltagarlista!$K$3=1,IF(ISBLANK(Deltagarlista!$C52),"",IF(ISBLANK(Arrangörslista!M$98),"",IFERROR(VLOOKUP($F58,Arrangörslista!M$98:$AG$135,16,FALSE), "DNS"))),""))</f>
        <v/>
      </c>
      <c r="AY58" s="5" t="str">
        <f>IF(Deltagarlista!$K$3=2,
IF(ISBLANK(Deltagarlista!$C52),"",IF(ISBLANK(Arrangörslista!N$98),"",IF($GV58=AY$64," DNS ",IFERROR(VLOOKUP($F58,Arrangörslista!N$98:$AG$135,16,FALSE), "DNS")))), IF(Deltagarlista!$K$3=1,IF(ISBLANK(Deltagarlista!$C52),"",IF(ISBLANK(Arrangörslista!N$98),"",IFERROR(VLOOKUP($F58,Arrangörslista!N$98:$AG$135,16,FALSE), "DNS"))),""))</f>
        <v/>
      </c>
      <c r="AZ58" s="5" t="str">
        <f>IF(Deltagarlista!$K$3=2,
IF(ISBLANK(Deltagarlista!$C52),"",IF(ISBLANK(Arrangörslista!O$98),"",IF($GV58=AZ$64," DNS ",IFERROR(VLOOKUP($F58,Arrangörslista!O$98:$AG$135,16,FALSE), "DNS")))), IF(Deltagarlista!$K$3=1,IF(ISBLANK(Deltagarlista!$C52),"",IF(ISBLANK(Arrangörslista!O$98),"",IFERROR(VLOOKUP($F58,Arrangörslista!O$98:$AG$135,16,FALSE), "DNS"))),""))</f>
        <v/>
      </c>
      <c r="BA58" s="5" t="str">
        <f>IF(Deltagarlista!$K$3=2,
IF(ISBLANK(Deltagarlista!$C52),"",IF(ISBLANK(Arrangörslista!P$98),"",IF($GV58=BA$64," DNS ",IFERROR(VLOOKUP($F58,Arrangörslista!P$98:$AG$135,16,FALSE), "DNS")))), IF(Deltagarlista!$K$3=1,IF(ISBLANK(Deltagarlista!$C52),"",IF(ISBLANK(Arrangörslista!P$98),"",IFERROR(VLOOKUP($F58,Arrangörslista!P$98:$AG$135,16,FALSE), "DNS"))),""))</f>
        <v/>
      </c>
      <c r="BB58" s="5" t="str">
        <f>IF(Deltagarlista!$K$3=2,
IF(ISBLANK(Deltagarlista!$C52),"",IF(ISBLANK(Arrangörslista!Q$98),"",IF($GV58=BB$64," DNS ",IFERROR(VLOOKUP($F58,Arrangörslista!Q$98:$AG$135,16,FALSE), "DNS")))), IF(Deltagarlista!$K$3=1,IF(ISBLANK(Deltagarlista!$C52),"",IF(ISBLANK(Arrangörslista!Q$98),"",IFERROR(VLOOKUP($F58,Arrangörslista!Q$98:$AG$135,16,FALSE), "DNS"))),""))</f>
        <v/>
      </c>
      <c r="BC58" s="5" t="str">
        <f>IF(Deltagarlista!$K$3=2,
IF(ISBLANK(Deltagarlista!$C52),"",IF(ISBLANK(Arrangörslista!C$143),"",IF($GV58=BC$64," DNS ",IFERROR(VLOOKUP($F58,Arrangörslista!C$143:$AG$180,16,FALSE), "DNS")))), IF(Deltagarlista!$K$3=1,IF(ISBLANK(Deltagarlista!$C52),"",IF(ISBLANK(Arrangörslista!C$143),"",IFERROR(VLOOKUP($F58,Arrangörslista!C$143:$AG$180,16,FALSE), "DNS"))),""))</f>
        <v/>
      </c>
      <c r="BD58" s="5" t="str">
        <f>IF(Deltagarlista!$K$3=2,
IF(ISBLANK(Deltagarlista!$C52),"",IF(ISBLANK(Arrangörslista!D$143),"",IF($GV58=BD$64," DNS ",IFERROR(VLOOKUP($F58,Arrangörslista!D$143:$AG$180,16,FALSE), "DNS")))), IF(Deltagarlista!$K$3=1,IF(ISBLANK(Deltagarlista!$C52),"",IF(ISBLANK(Arrangörslista!D$143),"",IFERROR(VLOOKUP($F58,Arrangörslista!D$143:$AG$180,16,FALSE), "DNS"))),""))</f>
        <v/>
      </c>
      <c r="BE58" s="5" t="str">
        <f>IF(Deltagarlista!$K$3=2,
IF(ISBLANK(Deltagarlista!$C52),"",IF(ISBLANK(Arrangörslista!E$143),"",IF($GV58=BE$64," DNS ",IFERROR(VLOOKUP($F58,Arrangörslista!E$143:$AG$180,16,FALSE), "DNS")))), IF(Deltagarlista!$K$3=1,IF(ISBLANK(Deltagarlista!$C52),"",IF(ISBLANK(Arrangörslista!E$143),"",IFERROR(VLOOKUP($F58,Arrangörslista!E$143:$AG$180,16,FALSE), "DNS"))),""))</f>
        <v/>
      </c>
      <c r="BF58" s="5" t="str">
        <f>IF(Deltagarlista!$K$3=2,
IF(ISBLANK(Deltagarlista!$C52),"",IF(ISBLANK(Arrangörslista!F$143),"",IF($GV58=BF$64," DNS ",IFERROR(VLOOKUP($F58,Arrangörslista!F$143:$AG$180,16,FALSE), "DNS")))), IF(Deltagarlista!$K$3=1,IF(ISBLANK(Deltagarlista!$C52),"",IF(ISBLANK(Arrangörslista!F$143),"",IFERROR(VLOOKUP($F58,Arrangörslista!F$143:$AG$180,16,FALSE), "DNS"))),""))</f>
        <v/>
      </c>
      <c r="BG58" s="5" t="str">
        <f>IF(Deltagarlista!$K$3=2,
IF(ISBLANK(Deltagarlista!$C52),"",IF(ISBLANK(Arrangörslista!G$143),"",IF($GV58=BG$64," DNS ",IFERROR(VLOOKUP($F58,Arrangörslista!G$143:$AG$180,16,FALSE), "DNS")))), IF(Deltagarlista!$K$3=1,IF(ISBLANK(Deltagarlista!$C52),"",IF(ISBLANK(Arrangörslista!G$143),"",IFERROR(VLOOKUP($F58,Arrangörslista!G$143:$AG$180,16,FALSE), "DNS"))),""))</f>
        <v/>
      </c>
      <c r="BH58" s="5" t="str">
        <f>IF(Deltagarlista!$K$3=2,
IF(ISBLANK(Deltagarlista!$C52),"",IF(ISBLANK(Arrangörslista!H$143),"",IF($GV58=BH$64," DNS ",IFERROR(VLOOKUP($F58,Arrangörslista!H$143:$AG$180,16,FALSE), "DNS")))), IF(Deltagarlista!$K$3=1,IF(ISBLANK(Deltagarlista!$C52),"",IF(ISBLANK(Arrangörslista!H$143),"",IFERROR(VLOOKUP($F58,Arrangörslista!H$143:$AG$180,16,FALSE), "DNS"))),""))</f>
        <v/>
      </c>
      <c r="BI58" s="5" t="str">
        <f>IF(Deltagarlista!$K$3=2,
IF(ISBLANK(Deltagarlista!$C52),"",IF(ISBLANK(Arrangörslista!I$143),"",IF($GV58=BI$64," DNS ",IFERROR(VLOOKUP($F58,Arrangörslista!I$143:$AG$180,16,FALSE), "DNS")))), IF(Deltagarlista!$K$3=1,IF(ISBLANK(Deltagarlista!$C52),"",IF(ISBLANK(Arrangörslista!I$143),"",IFERROR(VLOOKUP($F58,Arrangörslista!I$143:$AG$180,16,FALSE), "DNS"))),""))</f>
        <v/>
      </c>
      <c r="BJ58" s="5" t="str">
        <f>IF(Deltagarlista!$K$3=2,
IF(ISBLANK(Deltagarlista!$C52),"",IF(ISBLANK(Arrangörslista!J$143),"",IF($GV58=BJ$64," DNS ",IFERROR(VLOOKUP($F58,Arrangörslista!J$143:$AG$180,16,FALSE), "DNS")))), IF(Deltagarlista!$K$3=1,IF(ISBLANK(Deltagarlista!$C52),"",IF(ISBLANK(Arrangörslista!J$143),"",IFERROR(VLOOKUP($F58,Arrangörslista!J$143:$AG$180,16,FALSE), "DNS"))),""))</f>
        <v/>
      </c>
      <c r="BK58" s="5" t="str">
        <f>IF(Deltagarlista!$K$3=2,
IF(ISBLANK(Deltagarlista!$C52),"",IF(ISBLANK(Arrangörslista!K$143),"",IF($GV58=BK$64," DNS ",IFERROR(VLOOKUP($F58,Arrangörslista!K$143:$AG$180,16,FALSE), "DNS")))), IF(Deltagarlista!$K$3=1,IF(ISBLANK(Deltagarlista!$C52),"",IF(ISBLANK(Arrangörslista!K$143),"",IFERROR(VLOOKUP($F58,Arrangörslista!K$143:$AG$180,16,FALSE), "DNS"))),""))</f>
        <v/>
      </c>
      <c r="BL58" s="5" t="str">
        <f>IF(Deltagarlista!$K$3=2,
IF(ISBLANK(Deltagarlista!$C52),"",IF(ISBLANK(Arrangörslista!L$143),"",IF($GV58=BL$64," DNS ",IFERROR(VLOOKUP($F58,Arrangörslista!L$143:$AG$180,16,FALSE), "DNS")))), IF(Deltagarlista!$K$3=1,IF(ISBLANK(Deltagarlista!$C52),"",IF(ISBLANK(Arrangörslista!L$143),"",IFERROR(VLOOKUP($F58,Arrangörslista!L$143:$AG$180,16,FALSE), "DNS"))),""))</f>
        <v/>
      </c>
      <c r="BM58" s="5" t="str">
        <f>IF(Deltagarlista!$K$3=2,
IF(ISBLANK(Deltagarlista!$C52),"",IF(ISBLANK(Arrangörslista!M$143),"",IF($GV58=BM$64," DNS ",IFERROR(VLOOKUP($F58,Arrangörslista!M$143:$AG$180,16,FALSE), "DNS")))), IF(Deltagarlista!$K$3=1,IF(ISBLANK(Deltagarlista!$C52),"",IF(ISBLANK(Arrangörslista!M$143),"",IFERROR(VLOOKUP($F58,Arrangörslista!M$143:$AG$180,16,FALSE), "DNS"))),""))</f>
        <v/>
      </c>
      <c r="BN58" s="5" t="str">
        <f>IF(Deltagarlista!$K$3=2,
IF(ISBLANK(Deltagarlista!$C52),"",IF(ISBLANK(Arrangörslista!N$143),"",IF($GV58=BN$64," DNS ",IFERROR(VLOOKUP($F58,Arrangörslista!N$143:$AG$180,16,FALSE), "DNS")))), IF(Deltagarlista!$K$3=1,IF(ISBLANK(Deltagarlista!$C52),"",IF(ISBLANK(Arrangörslista!N$143),"",IFERROR(VLOOKUP($F58,Arrangörslista!N$143:$AG$180,16,FALSE), "DNS"))),""))</f>
        <v/>
      </c>
      <c r="BO58" s="5" t="str">
        <f>IF(Deltagarlista!$K$3=2,
IF(ISBLANK(Deltagarlista!$C52),"",IF(ISBLANK(Arrangörslista!O$143),"",IF($GV58=BO$64," DNS ",IFERROR(VLOOKUP($F58,Arrangörslista!O$143:$AG$180,16,FALSE), "DNS")))), IF(Deltagarlista!$K$3=1,IF(ISBLANK(Deltagarlista!$C52),"",IF(ISBLANK(Arrangörslista!O$143),"",IFERROR(VLOOKUP($F58,Arrangörslista!O$143:$AG$180,16,FALSE), "DNS"))),""))</f>
        <v/>
      </c>
      <c r="BP58" s="5" t="str">
        <f>IF(Deltagarlista!$K$3=2,
IF(ISBLANK(Deltagarlista!$C52),"",IF(ISBLANK(Arrangörslista!P$143),"",IF($GV58=BP$64," DNS ",IFERROR(VLOOKUP($F58,Arrangörslista!P$143:$AG$180,16,FALSE), "DNS")))), IF(Deltagarlista!$K$3=1,IF(ISBLANK(Deltagarlista!$C52),"",IF(ISBLANK(Arrangörslista!P$143),"",IFERROR(VLOOKUP($F58,Arrangörslista!P$143:$AG$180,16,FALSE), "DNS"))),""))</f>
        <v/>
      </c>
      <c r="BQ58" s="80" t="str">
        <f>IF(Deltagarlista!$K$3=2,
IF(ISBLANK(Deltagarlista!$C52),"",IF(ISBLANK(Arrangörslista!Q$143),"",IF($GV58=BQ$64," DNS ",IFERROR(VLOOKUP($F58,Arrangörslista!Q$143:$AG$180,16,FALSE), "DNS")))), IF(Deltagarlista!$K$3=1,IF(ISBLANK(Deltagarlista!$C52),"",IF(ISBLANK(Arrangörslista!Q$143),"",IFERROR(VLOOKUP($F58,Arrangörslista!Q$143:$AG$180,16,FALSE), "DNS"))),""))</f>
        <v/>
      </c>
      <c r="BR58" s="48"/>
      <c r="BU58" s="71">
        <f>SUM(BV58:EC58)</f>
        <v>0</v>
      </c>
      <c r="BV58" s="61">
        <f>IF(J58="",0,IF(OR(J58="DNF",J58="OCS",J58="DSQ",J58="DNS",J58=" DNS "),$BW$3+1,J58))</f>
        <v>0</v>
      </c>
      <c r="BW58" s="61">
        <f>IF(K58="",0,IF(OR(K58="DNF",K58="OCS",K58="DSQ",K58="DNS",K58=" DNS "),$BW$3+1,K58))</f>
        <v>0</v>
      </c>
      <c r="BX58" s="61">
        <f>IF(L58="",0,IF(OR(L58="DNF",L58="OCS",L58="DSQ",L58="DNS",L58=" DNS "),$BW$3+1,L58))</f>
        <v>0</v>
      </c>
      <c r="BY58" s="61">
        <f>IF(M58="",0,IF(OR(M58="DNF",M58="OCS",M58="DSQ",M58="DNS",M58=" DNS "),$BW$3+1,M58))</f>
        <v>0</v>
      </c>
      <c r="BZ58" s="61">
        <f>IF(N58="",0,IF(OR(N58="DNF",N58="OCS",N58="DSQ",N58="DNS",N58=" DNS "),$BW$3+1,N58))</f>
        <v>0</v>
      </c>
      <c r="CA58" s="61">
        <f>IF(O58="",0,IF(OR(O58="DNF",O58="OCS",O58="DSQ",O58="DNS",O58=" DNS "),$BW$3+1,O58))</f>
        <v>0</v>
      </c>
      <c r="CB58" s="61">
        <f>IF(P58="",0,IF(OR(P58="DNF",P58="OCS",P58="DSQ",P58="DNS",P58=" DNS "),$BW$3+1,P58))</f>
        <v>0</v>
      </c>
      <c r="CC58" s="61">
        <f>IF(Q58="",0,IF(OR(Q58="DNF",Q58="OCS",Q58="DSQ",Q58="DNS",Q58=" DNS "),$BW$3+1,Q58))</f>
        <v>0</v>
      </c>
      <c r="CD58" s="61">
        <f>IF(R58="",0,IF(OR(R58="DNF",R58="OCS",R58="DSQ",R58="DNS",R58=" DNS "),$BW$3+1,R58))</f>
        <v>0</v>
      </c>
      <c r="CE58" s="61">
        <f>IF(S58="",0,IF(OR(S58="DNF",S58="OCS",S58="DSQ",S58="DNS",S58=" DNS "),$BW$3+1,S58))</f>
        <v>0</v>
      </c>
      <c r="CF58" s="61">
        <f>IF(T58="",0,IF(OR(T58="DNF",T58="OCS",T58="DSQ",T58="DNS",T58=" DNS "),$BW$3+1,T58))</f>
        <v>0</v>
      </c>
      <c r="CG58" s="61">
        <f>IF(U58="",0,IF(OR(U58="DNF",U58="OCS",U58="DSQ",U58="DNS",U58=" DNS "),$BW$3+1,U58))</f>
        <v>0</v>
      </c>
      <c r="CH58" s="61">
        <f>IF(V58="",0,IF(OR(V58="DNF",V58="OCS",V58="DSQ",V58="DNS",V58=" DNS "),$BW$3+1,V58))</f>
        <v>0</v>
      </c>
      <c r="CI58" s="61">
        <f>IF(W58="",0,IF(OR(W58="DNF",W58="OCS",W58="DSQ",W58="DNS",W58=" DNS "),$BW$3+1,W58))</f>
        <v>0</v>
      </c>
      <c r="CJ58" s="61">
        <f>IF(X58="",0,IF(OR(X58="DNF",X58="OCS",X58="DSQ",X58="DNS",X58=" DNS "),$BW$3+1,X58))</f>
        <v>0</v>
      </c>
      <c r="CK58" s="61">
        <f>IF(Y58="",0,IF(OR(Y58="DNF",Y58="OCS",Y58="DSQ",Y58="DNS",Y58=" DNS "),$BW$3+1,Y58))</f>
        <v>0</v>
      </c>
      <c r="CL58" s="61">
        <f>IF(Z58="",0,IF(OR(Z58="DNF",Z58="OCS",Z58="DSQ",Z58="DNS",Z58=" DNS "),$BW$3+1,Z58))</f>
        <v>0</v>
      </c>
      <c r="CM58" s="61">
        <f>IF(AA58="",0,IF(OR(AA58="DNF",AA58="OCS",AA58="DSQ",AA58="DNS",AA58=" DNS "),$BW$3+1,AA58))</f>
        <v>0</v>
      </c>
      <c r="CN58" s="61">
        <f>IF(AB58="",0,IF(OR(AB58="DNF",AB58="OCS",AB58="DSQ",AB58="DNS",AB58=" DNS "),$BW$3+1,AB58))</f>
        <v>0</v>
      </c>
      <c r="CO58" s="61">
        <f>IF(AC58="",0,IF(OR(AC58="DNF",AC58="OCS",AC58="DSQ",AC58="DNS",AC58=" DNS "),$BW$3+1,AC58))</f>
        <v>0</v>
      </c>
      <c r="CP58" s="61">
        <f>IF(AD58="",0,IF(OR(AD58="DNF",AD58="OCS",AD58="DSQ",AD58="DNS",AD58=" DNS "),$BW$3+1,AD58))</f>
        <v>0</v>
      </c>
      <c r="CQ58" s="61">
        <f>IF(AE58="",0,IF(OR(AE58="DNF",AE58="OCS",AE58="DSQ",AE58="DNS",AE58=" DNS "),$BW$3+1,AE58))</f>
        <v>0</v>
      </c>
      <c r="CR58" s="61">
        <f>IF(AF58="",0,IF(OR(AF58="DNF",AF58="OCS",AF58="DSQ",AF58="DNS",AF58=" DNS "),$BW$3+1,AF58))</f>
        <v>0</v>
      </c>
      <c r="CS58" s="61">
        <f>IF(AG58="",0,IF(OR(AG58="DNF",AG58="OCS",AG58="DSQ",AG58="DNS",AG58=" DNS "),$BW$3+1,AG58))</f>
        <v>0</v>
      </c>
      <c r="CT58" s="61">
        <f>IF(AH58="",0,IF(OR(AH58="DNF",AH58="OCS",AH58="DSQ",AH58="DNS",AH58=" DNS "),$BW$3+1,AH58))</f>
        <v>0</v>
      </c>
      <c r="CU58" s="61">
        <f>IF(AI58="",0,IF(OR(AI58="DNF",AI58="OCS",AI58="DSQ",AI58="DNS",AI58=" DNS "),$BW$3+1,AI58))</f>
        <v>0</v>
      </c>
      <c r="CV58" s="61">
        <f>IF(AJ58="",0,IF(OR(AJ58="DNF",AJ58="OCS",AJ58="DSQ",AJ58="DNS",AJ58=" DNS "),$BW$3+1,AJ58))</f>
        <v>0</v>
      </c>
      <c r="CW58" s="61">
        <f>IF(AK58="",0,IF(OR(AK58="DNF",AK58="OCS",AK58="DSQ",AK58="DNS",AK58=" DNS "),$BW$3+1,AK58))</f>
        <v>0</v>
      </c>
      <c r="CX58" s="61">
        <f>IF(AL58="",0,IF(OR(AL58="DNF",AL58="OCS",AL58="DSQ",AL58="DNS",AL58=" DNS "),$BW$3+1,AL58))</f>
        <v>0</v>
      </c>
      <c r="CY58" s="61">
        <f>IF(AM58="",0,IF(OR(AM58="DNF",AM58="OCS",AM58="DSQ",AM58="DNS",AM58=" DNS "),$BW$3+1,AM58))</f>
        <v>0</v>
      </c>
      <c r="CZ58" s="61">
        <f>IF(AN58="",0,IF(OR(AN58="DNF",AN58="OCS",AN58="DSQ",AN58="DNS",AN58=" DNS "),$BW$3+1,AN58))</f>
        <v>0</v>
      </c>
      <c r="DA58" s="61">
        <f>IF(AO58="",0,IF(OR(AO58="DNF",AO58="OCS",AO58="DSQ",AO58="DNS",AO58=" DNS "),$BW$3+1,AO58))</f>
        <v>0</v>
      </c>
      <c r="DB58" s="61">
        <f>IF(AP58="",0,IF(OR(AP58="DNF",AP58="OCS",AP58="DSQ",AP58="DNS",AP58=" DNS "),$BW$3+1,AP58))</f>
        <v>0</v>
      </c>
      <c r="DC58" s="61">
        <f>IF(AQ58="",0,IF(OR(AQ58="DNF",AQ58="OCS",AQ58="DSQ",AQ58="DNS",AQ58=" DNS "),$BW$3+1,AQ58))</f>
        <v>0</v>
      </c>
      <c r="DD58" s="61">
        <f>IF(AR58="",0,IF(OR(AR58="DNF",AR58="OCS",AR58="DSQ",AR58="DNS",AR58=" DNS "),$BW$3+1,AR58))</f>
        <v>0</v>
      </c>
      <c r="DE58" s="61">
        <f>IF(AS58="",0,IF(OR(AS58="DNF",AS58="OCS",AS58="DSQ",AS58="DNS",AS58=" DNS "),$BW$3+1,AS58))</f>
        <v>0</v>
      </c>
      <c r="DF58" s="61">
        <f>IF(AT58="",0,IF(OR(AT58="DNF",AT58="OCS",AT58="DSQ",AT58="DNS",AT58=" DNS "),$BW$3+1,AT58))</f>
        <v>0</v>
      </c>
      <c r="DG58" s="61">
        <f>IF(AU58="",0,IF(OR(AU58="DNF",AU58="OCS",AU58="DSQ",AU58="DNS",AU58=" DNS "),$BW$3+1,AU58))</f>
        <v>0</v>
      </c>
      <c r="DH58" s="61">
        <f>IF(AV58="",0,IF(OR(AV58="DNF",AV58="OCS",AV58="DSQ",AV58="DNS",AV58=" DNS "),$BW$3+1,AV58))</f>
        <v>0</v>
      </c>
      <c r="DI58" s="61">
        <f>IF(AW58="",0,IF(OR(AW58="DNF",AW58="OCS",AW58="DSQ",AW58="DNS",AW58=" DNS "),$BW$3+1,AW58))</f>
        <v>0</v>
      </c>
      <c r="DJ58" s="61">
        <f>IF(AX58="",0,IF(OR(AX58="DNF",AX58="OCS",AX58="DSQ",AX58="DNS",AX58=" DNS "),$BW$3+1,AX58))</f>
        <v>0</v>
      </c>
      <c r="DK58" s="61">
        <f>IF(AY58="",0,IF(OR(AY58="DNF",AY58="OCS",AY58="DSQ",AY58="DNS",AY58=" DNS "),$BW$3+1,AY58))</f>
        <v>0</v>
      </c>
      <c r="DL58" s="61">
        <f>IF(AZ58="",0,IF(OR(AZ58="DNF",AZ58="OCS",AZ58="DSQ",AZ58="DNS",AZ58=" DNS "),$BW$3+1,AZ58))</f>
        <v>0</v>
      </c>
      <c r="DM58" s="61">
        <f>IF(BA58="",0,IF(OR(BA58="DNF",BA58="OCS",BA58="DSQ",BA58="DNS",BA58=" DNS "),$BW$3+1,BA58))</f>
        <v>0</v>
      </c>
      <c r="DN58" s="61">
        <f>IF(BB58="",0,IF(OR(BB58="DNF",BB58="OCS",BB58="DSQ",BB58="DNS",BB58=" DNS "),$BW$3+1,BB58))</f>
        <v>0</v>
      </c>
      <c r="DO58" s="61">
        <f>IF(BC58="",0,IF(OR(BC58="DNF",BC58="OCS",BC58="DSQ",BC58="DNS",BC58=" DNS "),$BW$3+1,BC58))</f>
        <v>0</v>
      </c>
      <c r="DP58" s="61">
        <f>IF(BD58="",0,IF(OR(BD58="DNF",BD58="OCS",BD58="DSQ",BD58="DNS",BD58=" DNS "),$BW$3+1,BD58))</f>
        <v>0</v>
      </c>
      <c r="DQ58" s="61">
        <f>IF(BE58="",0,IF(OR(BE58="DNF",BE58="OCS",BE58="DSQ",BE58="DNS",BE58=" DNS "),$BW$3+1,BE58))</f>
        <v>0</v>
      </c>
      <c r="DR58" s="61">
        <f>IF(BF58="",0,IF(OR(BF58="DNF",BF58="OCS",BF58="DSQ",BF58="DNS",BF58=" DNS "),$BW$3+1,BF58))</f>
        <v>0</v>
      </c>
      <c r="DS58" s="61">
        <f>IF(BG58="",0,IF(OR(BG58="DNF",BG58="OCS",BG58="DSQ",BG58="DNS",BG58=" DNS "),$BW$3+1,BG58))</f>
        <v>0</v>
      </c>
      <c r="DT58" s="61">
        <f>IF(BH58="",0,IF(OR(BH58="DNF",BH58="OCS",BH58="DSQ",BH58="DNS",BH58=" DNS "),$BW$3+1,BH58))</f>
        <v>0</v>
      </c>
      <c r="DU58" s="61">
        <f>IF(BI58="",0,IF(OR(BI58="DNF",BI58="OCS",BI58="DSQ",BI58="DNS",BI58=" DNS "),$BW$3+1,BI58))</f>
        <v>0</v>
      </c>
      <c r="DV58" s="61">
        <f>IF(BJ58="",0,IF(OR(BJ58="DNF",BJ58="OCS",BJ58="DSQ",BJ58="DNS",BJ58=" DNS "),$BW$3+1,BJ58))</f>
        <v>0</v>
      </c>
      <c r="DW58" s="61">
        <f>IF(BK58="",0,IF(OR(BK58="DNF",BK58="OCS",BK58="DSQ",BK58="DNS",BK58=" DNS "),$BW$3+1,BK58))</f>
        <v>0</v>
      </c>
      <c r="DX58" s="61">
        <f>IF(BL58="",0,IF(OR(BL58="DNF",BL58="OCS",BL58="DSQ",BL58="DNS",BL58=" DNS "),$BW$3+1,BL58))</f>
        <v>0</v>
      </c>
      <c r="DY58" s="61">
        <f>IF(BM58="",0,IF(OR(BM58="DNF",BM58="OCS",BM58="DSQ",BM58="DNS",BM58=" DNS "),$BW$3+1,BM58))</f>
        <v>0</v>
      </c>
      <c r="DZ58" s="61">
        <f>IF(BN58="",0,IF(OR(BN58="DNF",BN58="OCS",BN58="DSQ",BN58="DNS",BN58=" DNS "),$BW$3+1,BN58))</f>
        <v>0</v>
      </c>
      <c r="EA58" s="61">
        <f>IF(BO58="",0,IF(OR(BO58="DNF",BO58="OCS",BO58="DSQ",BO58="DNS",BO58=" DNS "),$BW$3+1,BO58))</f>
        <v>0</v>
      </c>
      <c r="EB58" s="61">
        <f>IF(BP58="",0,IF(OR(BP58="DNF",BP58="OCS",BP58="DSQ",BP58="DNS",BP58=" DNS "),$BW$3+1,BP58))</f>
        <v>0</v>
      </c>
      <c r="EC58" s="61">
        <f>IF(BQ58="",0,IF(OR(BQ58="DNF",BQ58="OCS",BQ58="DSQ",BQ58="DNS",BQ58=" DNS "),$BW$3+1,BQ58))</f>
        <v>0</v>
      </c>
      <c r="EE58" s="61">
        <f xml:space="preserve">
IF(OR(Deltagarlista!$K$3=3,Deltagarlista!$K$3=4),
IF(Arrangörslista!$U$5&lt;8,0,
IF(Arrangörslista!$U$5&lt;16,SUM(LARGE(BV58:CJ58,1)),
IF(Arrangörslista!$U$5&lt;24,SUM(LARGE(BV58:CR58,{1;2})),
IF(Arrangörslista!$U$5&lt;32,SUM(LARGE(BV58:CZ58,{1;2;3})),
IF(Arrangörslista!$U$5&lt;40,SUM(LARGE(BV58:DH58,{1;2;3;4})),
IF(Arrangörslista!$U$5&lt;48,SUM(LARGE(BV58:DP58,{1;2;3;4;5})),
IF(Arrangörslista!$U$5&lt;56,SUM(LARGE(BV58:DX58,{1;2;3;4;5;6})),
IF(Arrangörslista!$U$5&lt;64,SUM(LARGE(BV58:EC58,{1;2;3;4;5;6;7})),0)))))))),
IF(Deltagarlista!$K$3=2,
IF(Arrangörslista!$U$5&lt;4,LARGE(BV58:BX58,1),
IF(Arrangörslista!$U$5&lt;7,SUM(LARGE(BV58:CA58,{1;2;3})),
IF(Arrangörslista!$U$5&lt;10,SUM(LARGE(BV58:CD58,{1;2;3;4})),
IF(Arrangörslista!$U$5&lt;13,SUM(LARGE(BV58:CG58,{1;2;3;4;5;6})),
IF(Arrangörslista!$U$5&lt;16,SUM(LARGE(BV58:CJ58,{1;2;3;4;5;6;7})),
IF(Arrangörslista!$U$5&lt;19,SUM(LARGE(BV58:CM58,{1;2;3;4;5;6;7;8;9})),
IF(Arrangörslista!$U$5&lt;22,SUM(LARGE(BV58:CP58,{1;2;3;4;5;6;7;8;9;10})),
IF(Arrangörslista!$U$5&lt;25,SUM(LARGE(BV58:CS58,{1;2;3;4;5;6;7;8;9;10;11;12})),
IF(Arrangörslista!$U$5&lt;28,SUM(LARGE(BV58:CV58,{1;2;3;4;5;6;7;8;9;10;11;12;13})),
IF(Arrangörslista!$U$5&lt;31,SUM(LARGE(BV58:CY58,{1;2;3;4;5;6;7;8;9;10;11;12;13;14;15})),
IF(Arrangörslista!$U$5&lt;34,SUM(LARGE(BV58:DB58,{1;2;3;4;5;6;7;8;9;10;11;12;13;14;15;16})),
IF(Arrangörslista!$U$5&lt;37,SUM(LARGE(BV58:DE58,{1;2;3;4;5;6;7;8;9;10;11;12;13;14;15;16;17;18})),
IF(Arrangörslista!$U$5&lt;40,SUM(LARGE(BV58:DH58,{1;2;3;4;5;6;7;8;9;10;11;12;13;14;15;16;17;18;19})),
IF(Arrangörslista!$U$5&lt;43,SUM(LARGE(BV58:DK58,{1;2;3;4;5;6;7;8;9;10;11;12;13;14;15;16;17;18;19;20;21})),
IF(Arrangörslista!$U$5&lt;46,SUM(LARGE(BV58:DN58,{1;2;3;4;5;6;7;8;9;10;11;12;13;14;15;16;17;18;19;20;21;22})),
IF(Arrangörslista!$U$5&lt;49,SUM(LARGE(BV58:DQ58,{1;2;3;4;5;6;7;8;9;10;11;12;13;14;15;16;17;18;19;20;21;22;23;24})),
IF(Arrangörslista!$U$5&lt;52,SUM(LARGE(BV58:DT58,{1;2;3;4;5;6;7;8;9;10;11;12;13;14;15;16;17;18;19;20;21;22;23;24;25})),
IF(Arrangörslista!$U$5&lt;55,SUM(LARGE(BV58:DW58,{1;2;3;4;5;6;7;8;9;10;11;12;13;14;15;16;17;18;19;20;21;22;23;24;25;26;27})),
IF(Arrangörslista!$U$5&lt;58,SUM(LARGE(BV58:DZ58,{1;2;3;4;5;6;7;8;9;10;11;12;13;14;15;16;17;18;19;20;21;22;23;24;25;26;27;28})),
IF(Arrangörslista!$U$5&lt;61,SUM(LARGE(BV58:EC58,{1;2;3;4;5;6;7;8;9;10;11;12;13;14;15;16;17;18;19;20;21;22;23;24;25;26;27;28;29;30})),0)))))))))))))))))))),
IF(Arrangörslista!$U$5&lt;4,0,
IF(Arrangörslista!$U$5&lt;8,SUM(LARGE(BV58:CB58,1)),
IF(Arrangörslista!$U$5&lt;12,SUM(LARGE(BV58:CF58,{1;2})),
IF(Arrangörslista!$U$5&lt;16,SUM(LARGE(BV58:CJ58,{1;2;3})),
IF(Arrangörslista!$U$5&lt;20,SUM(LARGE(BV58:CN58,{1;2;3;4})),
IF(Arrangörslista!$U$5&lt;24,SUM(LARGE(BV58:CR58,{1;2;3;4;5})),
IF(Arrangörslista!$U$5&lt;28,SUM(LARGE(BV58:CV58,{1;2;3;4;5;6})),
IF(Arrangörslista!$U$5&lt;32,SUM(LARGE(BV58:CZ58,{1;2;3;4;5;6;7})),
IF(Arrangörslista!$U$5&lt;36,SUM(LARGE(BV58:DD58,{1;2;3;4;5;6;7;8})),
IF(Arrangörslista!$U$5&lt;40,SUM(LARGE(BV58:DH58,{1;2;3;4;5;6;7;8;9})),
IF(Arrangörslista!$U$5&lt;44,SUM(LARGE(BV58:DL58,{1;2;3;4;5;6;7;8;9;10})),
IF(Arrangörslista!$U$5&lt;48,SUM(LARGE(BV58:DP58,{1;2;3;4;5;6;7;8;9;10;11})),
IF(Arrangörslista!$U$5&lt;52,SUM(LARGE(BV58:DT58,{1;2;3;4;5;6;7;8;9;10;11;12})),
IF(Arrangörslista!$U$5&lt;56,SUM(LARGE(BV58:DX58,{1;2;3;4;5;6;7;8;9;10;11;12;13})),
IF(Arrangörslista!$U$5&lt;60,SUM(LARGE(BV58:EB58,{1;2;3;4;5;6;7;8;9;10;11;12;13;14})),
IF(Arrangörslista!$U$5=60,SUM(LARGE(BV58:EC58,{1;2;3;4;5;6;7;8;9;10;11;12;13;14;15})),0))))))))))))))))))</f>
        <v>0</v>
      </c>
      <c r="EG58" s="67">
        <f>IF(F58="",,1)</f>
        <v>0</v>
      </c>
      <c r="EH58" s="61"/>
      <c r="EI58" s="61"/>
      <c r="EK58" s="62">
        <f>SMALL($J121:$BQ121,1)</f>
        <v>61</v>
      </c>
      <c r="EL58" s="62">
        <f>SMALL($J121:$BQ121,2)</f>
        <v>61</v>
      </c>
      <c r="EM58" s="62">
        <f>SMALL($J121:$BQ121,3)</f>
        <v>61</v>
      </c>
      <c r="EN58" s="62">
        <f>SMALL($J121:$BQ121,4)</f>
        <v>61</v>
      </c>
      <c r="EO58" s="62">
        <f>SMALL($J121:$BQ121,5)</f>
        <v>61</v>
      </c>
      <c r="EP58" s="62">
        <f>SMALL($J121:$BQ121,6)</f>
        <v>61</v>
      </c>
      <c r="EQ58" s="62">
        <f>SMALL($J121:$BQ121,7)</f>
        <v>61</v>
      </c>
      <c r="ER58" s="62">
        <f>SMALL($J121:$BQ121,8)</f>
        <v>61</v>
      </c>
      <c r="ES58" s="62">
        <f>SMALL($J121:$BQ121,9)</f>
        <v>61</v>
      </c>
      <c r="ET58" s="62">
        <f>SMALL($J121:$BQ121,10)</f>
        <v>61</v>
      </c>
      <c r="EU58" s="62">
        <f>SMALL($J121:$BQ121,11)</f>
        <v>61</v>
      </c>
      <c r="EV58" s="62">
        <f>SMALL($J121:$BQ121,12)</f>
        <v>61</v>
      </c>
      <c r="EW58" s="62">
        <f>SMALL($J121:$BQ121,13)</f>
        <v>61</v>
      </c>
      <c r="EX58" s="62">
        <f>SMALL($J121:$BQ121,14)</f>
        <v>61</v>
      </c>
      <c r="EY58" s="62">
        <f>SMALL($J121:$BQ121,15)</f>
        <v>61</v>
      </c>
      <c r="EZ58" s="62">
        <f>SMALL($J121:$BQ121,16)</f>
        <v>61</v>
      </c>
      <c r="FA58" s="62">
        <f>SMALL($J121:$BQ121,17)</f>
        <v>61</v>
      </c>
      <c r="FB58" s="62">
        <f>SMALL($J121:$BQ121,18)</f>
        <v>61</v>
      </c>
      <c r="FC58" s="62">
        <f>SMALL($J121:$BQ121,19)</f>
        <v>61</v>
      </c>
      <c r="FD58" s="62">
        <f>SMALL($J121:$BQ121,20)</f>
        <v>61</v>
      </c>
      <c r="FE58" s="62">
        <f>SMALL($J121:$BQ121,21)</f>
        <v>61</v>
      </c>
      <c r="FF58" s="62">
        <f>SMALL($J121:$BQ121,22)</f>
        <v>61</v>
      </c>
      <c r="FG58" s="62">
        <f>SMALL($J121:$BQ121,23)</f>
        <v>61</v>
      </c>
      <c r="FH58" s="62">
        <f>SMALL($J121:$BQ121,24)</f>
        <v>61</v>
      </c>
      <c r="FI58" s="62">
        <f>SMALL($J121:$BQ121,25)</f>
        <v>61</v>
      </c>
      <c r="FJ58" s="62">
        <f>SMALL($J121:$BQ121,26)</f>
        <v>61</v>
      </c>
      <c r="FK58" s="62">
        <f>SMALL($J121:$BQ121,27)</f>
        <v>61</v>
      </c>
      <c r="FL58" s="62">
        <f>SMALL($J121:$BQ121,28)</f>
        <v>61</v>
      </c>
      <c r="FM58" s="62">
        <f>SMALL($J121:$BQ121,29)</f>
        <v>61</v>
      </c>
      <c r="FN58" s="62">
        <f>SMALL($J121:$BQ121,30)</f>
        <v>61</v>
      </c>
      <c r="FO58" s="62">
        <f>SMALL($J121:$BQ121,31)</f>
        <v>61</v>
      </c>
      <c r="FP58" s="62">
        <f>SMALL($J121:$BQ121,32)</f>
        <v>61</v>
      </c>
      <c r="FQ58" s="62">
        <f>SMALL($J121:$BQ121,33)</f>
        <v>61</v>
      </c>
      <c r="FR58" s="62">
        <f>SMALL($J121:$BQ121,34)</f>
        <v>61</v>
      </c>
      <c r="FS58" s="62">
        <f>SMALL($J121:$BQ121,35)</f>
        <v>61</v>
      </c>
      <c r="FT58" s="62">
        <f>SMALL($J121:$BQ121,36)</f>
        <v>61</v>
      </c>
      <c r="FU58" s="62">
        <f>SMALL($J121:$BQ121,37)</f>
        <v>61</v>
      </c>
      <c r="FV58" s="62">
        <f>SMALL($J121:$BQ121,38)</f>
        <v>61</v>
      </c>
      <c r="FW58" s="62">
        <f>SMALL($J121:$BQ121,39)</f>
        <v>61</v>
      </c>
      <c r="FX58" s="62">
        <f>SMALL($J121:$BQ121,40)</f>
        <v>61</v>
      </c>
      <c r="FY58" s="62">
        <f>SMALL($J121:$BQ121,41)</f>
        <v>61</v>
      </c>
      <c r="FZ58" s="62">
        <f>SMALL($J121:$BQ121,42)</f>
        <v>61</v>
      </c>
      <c r="GA58" s="62">
        <f>SMALL($J121:$BQ121,43)</f>
        <v>61</v>
      </c>
      <c r="GB58" s="62">
        <f>SMALL($J121:$BQ121,44)</f>
        <v>61</v>
      </c>
      <c r="GC58" s="62">
        <f>SMALL($J121:$BQ121,45)</f>
        <v>61</v>
      </c>
      <c r="GD58" s="62">
        <f>SMALL($J121:$BQ121,46)</f>
        <v>61</v>
      </c>
      <c r="GE58" s="62">
        <f>SMALL($J121:$BQ121,47)</f>
        <v>61</v>
      </c>
      <c r="GF58" s="62">
        <f>SMALL($J121:$BQ121,48)</f>
        <v>61</v>
      </c>
      <c r="GG58" s="62">
        <f>SMALL($J121:$BQ121,49)</f>
        <v>61</v>
      </c>
      <c r="GH58" s="62">
        <f>SMALL($J121:$BQ121,50)</f>
        <v>61</v>
      </c>
      <c r="GI58" s="62">
        <f>SMALL($J121:$BQ121,51)</f>
        <v>61</v>
      </c>
      <c r="GJ58" s="62">
        <f>SMALL($J121:$BQ121,52)</f>
        <v>61</v>
      </c>
      <c r="GK58" s="62">
        <f>SMALL($J121:$BQ121,53)</f>
        <v>61</v>
      </c>
      <c r="GL58" s="62">
        <f>SMALL($J121:$BQ121,54)</f>
        <v>61</v>
      </c>
      <c r="GM58" s="62">
        <f>SMALL($J121:$BQ121,55)</f>
        <v>61</v>
      </c>
      <c r="GN58" s="62">
        <f>SMALL($J121:$BQ121,56)</f>
        <v>61</v>
      </c>
      <c r="GO58" s="62">
        <f>SMALL($J121:$BQ121,57)</f>
        <v>61</v>
      </c>
      <c r="GP58" s="62">
        <f>SMALL($J121:$BQ121,58)</f>
        <v>61</v>
      </c>
      <c r="GQ58" s="62">
        <f>SMALL($J121:$BQ121,59)</f>
        <v>61</v>
      </c>
      <c r="GR58" s="62">
        <f>SMALL($J121:$BQ121,60)</f>
        <v>61</v>
      </c>
      <c r="GT58" s="62">
        <f>IF(Deltagarlista!$K$3=2,
IF(GW58="1",
      IF(Arrangörslista!$U$5=1,J121,
IF(Arrangörslista!$U$5=2,K121,
IF(Arrangörslista!$U$5=3,L121,
IF(Arrangörslista!$U$5=4,M121,
IF(Arrangörslista!$U$5=5,N121,
IF(Arrangörslista!$U$5=6,O121,
IF(Arrangörslista!$U$5=7,P121,
IF(Arrangörslista!$U$5=8,Q121,
IF(Arrangörslista!$U$5=9,R121,
IF(Arrangörslista!$U$5=10,S121,
IF(Arrangörslista!$U$5=11,T121,
IF(Arrangörslista!$U$5=12,U121,
IF(Arrangörslista!$U$5=13,V121,
IF(Arrangörslista!$U$5=14,W121,
IF(Arrangörslista!$U$5=15,X121,
IF(Arrangörslista!$U$5=16,Y121,IF(Arrangörslista!$U$5=17,Z121,IF(Arrangörslista!$U$5=18,AA121,IF(Arrangörslista!$U$5=19,AB121,IF(Arrangörslista!$U$5=20,AC121,IF(Arrangörslista!$U$5=21,AD121,IF(Arrangörslista!$U$5=22,AE121,IF(Arrangörslista!$U$5=23,AF121, IF(Arrangörslista!$U$5=24,AG121, IF(Arrangörslista!$U$5=25,AH121, IF(Arrangörslista!$U$5=26,AI121, IF(Arrangörslista!$U$5=27,AJ121, IF(Arrangörslista!$U$5=28,AK121, IF(Arrangörslista!$U$5=29,AL121, IF(Arrangörslista!$U$5=30,AM121, IF(Arrangörslista!$U$5=31,AN121, IF(Arrangörslista!$U$5=32,AO121, IF(Arrangörslista!$U$5=33,AP121, IF(Arrangörslista!$U$5=34,AQ121, IF(Arrangörslista!$U$5=35,AR121, IF(Arrangörslista!$U$5=36,AS121, IF(Arrangörslista!$U$5=37,AT121, IF(Arrangörslista!$U$5=38,AU121, IF(Arrangörslista!$U$5=39,AV121, IF(Arrangörslista!$U$5=40,AW121, IF(Arrangörslista!$U$5=41,AX121, IF(Arrangörslista!$U$5=42,AY121, IF(Arrangörslista!$U$5=43,AZ121, IF(Arrangörslista!$U$5=44,BA121, IF(Arrangörslista!$U$5=45,BB121, IF(Arrangörslista!$U$5=46,BC121, IF(Arrangörslista!$U$5=47,BD121, IF(Arrangörslista!$U$5=48,BE121, IF(Arrangörslista!$U$5=49,BF121, IF(Arrangörslista!$U$5=50,BG121, IF(Arrangörslista!$U$5=51,BH121, IF(Arrangörslista!$U$5=52,BI121, IF(Arrangörslista!$U$5=53,BJ121, IF(Arrangörslista!$U$5=54,BK121, IF(Arrangörslista!$U$5=55,BL121, IF(Arrangörslista!$U$5=56,BM121, IF(Arrangörslista!$U$5=57,BN121, IF(Arrangörslista!$U$5=58,BO121, IF(Arrangörslista!$U$5=59,BP121, IF(Arrangörslista!$U$5=60,BQ121,0))))))))))))))))))))))))))))))))))))))))))))))))))))))))))))),IF(Deltagarlista!$K$3=4, IF(Arrangörslista!$U$5=1,J121,
IF(Arrangörslista!$U$5=2,J121,
IF(Arrangörslista!$U$5=3,K121,
IF(Arrangörslista!$U$5=4,K121,
IF(Arrangörslista!$U$5=5,L121,
IF(Arrangörslista!$U$5=6,L121,
IF(Arrangörslista!$U$5=7,M121,
IF(Arrangörslista!$U$5=8,M121,
IF(Arrangörslista!$U$5=9,N121,
IF(Arrangörslista!$U$5=10,N121,
IF(Arrangörslista!$U$5=11,O121,
IF(Arrangörslista!$U$5=12,O121,
IF(Arrangörslista!$U$5=13,P121,
IF(Arrangörslista!$U$5=14,P121,
IF(Arrangörslista!$U$5=15,Q121,
IF(Arrangörslista!$U$5=16,Q121,
IF(Arrangörslista!$U$5=17,R121,
IF(Arrangörslista!$U$5=18,R121,
IF(Arrangörslista!$U$5=19,S121,
IF(Arrangörslista!$U$5=20,S121,
IF(Arrangörslista!$U$5=21,T121,
IF(Arrangörslista!$U$5=22,T121,IF(Arrangörslista!$U$5=23,U121, IF(Arrangörslista!$U$5=24,U121, IF(Arrangörslista!$U$5=25,V121, IF(Arrangörslista!$U$5=26,V121, IF(Arrangörslista!$U$5=27,W121, IF(Arrangörslista!$U$5=28,W121, IF(Arrangörslista!$U$5=29,X121, IF(Arrangörslista!$U$5=30,X121, IF(Arrangörslista!$U$5=31,X121, IF(Arrangörslista!$U$5=32,Y121, IF(Arrangörslista!$U$5=33,AO121, IF(Arrangörslista!$U$5=34,Y121, IF(Arrangörslista!$U$5=35,Z121, IF(Arrangörslista!$U$5=36,AR121, IF(Arrangörslista!$U$5=37,Z121, IF(Arrangörslista!$U$5=38,AA121, IF(Arrangörslista!$U$5=39,AU121, IF(Arrangörslista!$U$5=40,AA121, IF(Arrangörslista!$U$5=41,AB121, IF(Arrangörslista!$U$5=42,AX121, IF(Arrangörslista!$U$5=43,AB121, IF(Arrangörslista!$U$5=44,AC121, IF(Arrangörslista!$U$5=45,BA121, IF(Arrangörslista!$U$5=46,AC121, IF(Arrangörslista!$U$5=47,AD121, IF(Arrangörslista!$U$5=48,BD121, IF(Arrangörslista!$U$5=49,AD121, IF(Arrangörslista!$U$5=50,AE121, IF(Arrangörslista!$U$5=51,BG121, IF(Arrangörslista!$U$5=52,AE121, IF(Arrangörslista!$U$5=53,AF121, IF(Arrangörslista!$U$5=54,BJ121, IF(Arrangörslista!$U$5=55,AF121, IF(Arrangörslista!$U$5=56,AG121, IF(Arrangörslista!$U$5=57,BM121, IF(Arrangörslista!$U$5=58,AG121, IF(Arrangörslista!$U$5=59,AH121, IF(Arrangörslista!$U$5=60,AH121,0)))))))))))))))))))))))))))))))))))))))))))))))))))))))))))),IF(Arrangörslista!$U$5=1,J121,
IF(Arrangörslista!$U$5=2,K121,
IF(Arrangörslista!$U$5=3,L121,
IF(Arrangörslista!$U$5=4,M121,
IF(Arrangörslista!$U$5=5,N121,
IF(Arrangörslista!$U$5=6,O121,
IF(Arrangörslista!$U$5=7,P121,
IF(Arrangörslista!$U$5=8,Q121,
IF(Arrangörslista!$U$5=9,R121,
IF(Arrangörslista!$U$5=10,S121,
IF(Arrangörslista!$U$5=11,T121,
IF(Arrangörslista!$U$5=12,U121,
IF(Arrangörslista!$U$5=13,V121,
IF(Arrangörslista!$U$5=14,W121,
IF(Arrangörslista!$U$5=15,X121,
IF(Arrangörslista!$U$5=16,Y121,IF(Arrangörslista!$U$5=17,Z121,IF(Arrangörslista!$U$5=18,AA121,IF(Arrangörslista!$U$5=19,AB121,IF(Arrangörslista!$U$5=20,AC121,IF(Arrangörslista!$U$5=21,AD121,IF(Arrangörslista!$U$5=22,AE121,IF(Arrangörslista!$U$5=23,AF121, IF(Arrangörslista!$U$5=24,AG121, IF(Arrangörslista!$U$5=25,AH121, IF(Arrangörslista!$U$5=26,AI121, IF(Arrangörslista!$U$5=27,AJ121, IF(Arrangörslista!$U$5=28,AK121, IF(Arrangörslista!$U$5=29,AL121, IF(Arrangörslista!$U$5=30,AM121, IF(Arrangörslista!$U$5=31,AN121, IF(Arrangörslista!$U$5=32,AO121, IF(Arrangörslista!$U$5=33,AP121, IF(Arrangörslista!$U$5=34,AQ121, IF(Arrangörslista!$U$5=35,AR121, IF(Arrangörslista!$U$5=36,AS121, IF(Arrangörslista!$U$5=37,AT121, IF(Arrangörslista!$U$5=38,AU121, IF(Arrangörslista!$U$5=39,AV121, IF(Arrangörslista!$U$5=40,AW121, IF(Arrangörslista!$U$5=41,AX121, IF(Arrangörslista!$U$5=42,AY121, IF(Arrangörslista!$U$5=43,AZ121, IF(Arrangörslista!$U$5=44,BA121, IF(Arrangörslista!$U$5=45,BB121, IF(Arrangörslista!$U$5=46,BC121, IF(Arrangörslista!$U$5=47,BD121, IF(Arrangörslista!$U$5=48,BE121, IF(Arrangörslista!$U$5=49,BF121, IF(Arrangörslista!$U$5=50,BG121, IF(Arrangörslista!$U$5=51,BH121, IF(Arrangörslista!$U$5=52,BI121, IF(Arrangörslista!$U$5=53,BJ121, IF(Arrangörslista!$U$5=54,BK121, IF(Arrangörslista!$U$5=55,BL121, IF(Arrangörslista!$U$5=56,BM121, IF(Arrangörslista!$U$5=57,BN121, IF(Arrangörslista!$U$5=58,BO121, IF(Arrangörslista!$U$5=59,BP121, IF(Arrangörslista!$U$5=60,BQ121,0))))))))))))))))))))))))))))))))))))))))))))))))))))))))))))
))</f>
        <v>0</v>
      </c>
      <c r="GV58" s="65" t="str">
        <f>IFERROR(IF(VLOOKUP(F58,Deltagarlista!$E$5:$I$64,5,FALSE)="Grön","Gr",IF(VLOOKUP(F58,Deltagarlista!$E$5:$I$64,5,FALSE)="Röd","R",IF(VLOOKUP(F58,Deltagarlista!$E$5:$I$64,5,FALSE)="Blå","B","Gu"))),"")</f>
        <v/>
      </c>
      <c r="GW58" s="62" t="str">
        <f t="shared" si="1"/>
        <v/>
      </c>
    </row>
    <row r="59" spans="1:205" ht="15.75" customHeight="1" x14ac:dyDescent="0.3">
      <c r="B59" s="23" t="str">
        <f>IF($BW$3&gt;55,56,"")</f>
        <v/>
      </c>
      <c r="C59" s="92" t="str">
        <f>IF(ISBLANK(Deltagarlista!C53),"",Deltagarlista!C53)</f>
        <v/>
      </c>
      <c r="D59" s="109" t="str">
        <f>CONCATENATE(IF(AND(Deltagarlista!H53="GM",Deltagarlista!$S$14=TRUE),"GM   ",""), IF(OR(Deltagarlista!$K$3=4,Deltagarlista!$K$3=2),Deltagarlista!I53,""))</f>
        <v/>
      </c>
      <c r="E59" s="8" t="str">
        <f>IF(ISBLANK(Deltagarlista!D53),"",Deltagarlista!D53)</f>
        <v/>
      </c>
      <c r="F59" s="8" t="str">
        <f>IF(ISBLANK(Deltagarlista!E53),"",Deltagarlista!E53)</f>
        <v/>
      </c>
      <c r="G59" s="95" t="str">
        <f>IF(ISBLANK(Deltagarlista!F53),"",Deltagarlista!F53)</f>
        <v/>
      </c>
      <c r="H59" s="72" t="str">
        <f>IF(ISBLANK(Deltagarlista!C53),"",BU59-EE59)</f>
        <v/>
      </c>
      <c r="I59" s="13" t="str">
        <f>IF(ISBLANK(Deltagarlista!C53),"",IF(AND(Deltagarlista!$K$3=2,Deltagarlista!$L$3&lt;37),SUM(SUM(BV59:EC59)-(ROUNDDOWN(Arrangörslista!$U$5/3,1))*($BW$3+1)),SUM(BV59:EC59)))</f>
        <v/>
      </c>
      <c r="J59" s="79" t="str">
        <f>IF(Deltagarlista!$K$3=4,IF(ISBLANK(Deltagarlista!$C53),"",IF(ISBLANK(Arrangörslista!C$8),"",IFERROR(VLOOKUP($F59,Arrangörslista!C$8:$AG$45,16,FALSE),IF(ISBLANK(Deltagarlista!$C53),"",IF(ISBLANK(Arrangörslista!C$8),"",IFERROR(VLOOKUP($F59,Arrangörslista!D$8:$AG$45,16,FALSE),"DNS")))))),IF(Deltagarlista!$K$3=2,
IF(ISBLANK(Deltagarlista!$C53),"",IF(ISBLANK(Arrangörslista!C$8),"",IF($GV59=J$64," DNS ",IFERROR(VLOOKUP($F59,Arrangörslista!C$8:$AG$45,16,FALSE),"DNS")))),IF(ISBLANK(Deltagarlista!$C53),"",IF(ISBLANK(Arrangörslista!C$8),"",IFERROR(VLOOKUP($F59,Arrangörslista!C$8:$AG$45,16,FALSE),"DNS")))))</f>
        <v/>
      </c>
      <c r="K59" s="5" t="str">
        <f>IF(Deltagarlista!$K$3=4,IF(ISBLANK(Deltagarlista!$C53),"",IF(ISBLANK(Arrangörslista!E$8),"",IFERROR(VLOOKUP($F59,Arrangörslista!E$8:$AG$45,16,FALSE),IF(ISBLANK(Deltagarlista!$C53),"",IF(ISBLANK(Arrangörslista!E$8),"",IFERROR(VLOOKUP($F59,Arrangörslista!F$8:$AG$45,16,FALSE),"DNS")))))),IF(Deltagarlista!$K$3=2,
IF(ISBLANK(Deltagarlista!$C53),"",IF(ISBLANK(Arrangörslista!D$8),"",IF($GV59=K$64," DNS ",IFERROR(VLOOKUP($F59,Arrangörslista!D$8:$AG$45,16,FALSE),"DNS")))),IF(ISBLANK(Deltagarlista!$C53),"",IF(ISBLANK(Arrangörslista!D$8),"",IFERROR(VLOOKUP($F59,Arrangörslista!D$8:$AG$45,16,FALSE),"DNS")))))</f>
        <v/>
      </c>
      <c r="L59" s="5" t="str">
        <f>IF(Deltagarlista!$K$3=4,IF(ISBLANK(Deltagarlista!$C53),"",IF(ISBLANK(Arrangörslista!G$8),"",IFERROR(VLOOKUP($F59,Arrangörslista!G$8:$AG$45,16,FALSE),IF(ISBLANK(Deltagarlista!$C53),"",IF(ISBLANK(Arrangörslista!G$8),"",IFERROR(VLOOKUP($F59,Arrangörslista!H$8:$AG$45,16,FALSE),"DNS")))))),IF(Deltagarlista!$K$3=2,
IF(ISBLANK(Deltagarlista!$C53),"",IF(ISBLANK(Arrangörslista!E$8),"",IF($GV59=L$64," DNS ",IFERROR(VLOOKUP($F59,Arrangörslista!E$8:$AG$45,16,FALSE),"DNS")))),IF(ISBLANK(Deltagarlista!$C53),"",IF(ISBLANK(Arrangörslista!E$8),"",IFERROR(VLOOKUP($F59,Arrangörslista!E$8:$AG$45,16,FALSE),"DNS")))))</f>
        <v/>
      </c>
      <c r="M59" s="5" t="str">
        <f>IF(Deltagarlista!$K$3=4,IF(ISBLANK(Deltagarlista!$C53),"",IF(ISBLANK(Arrangörslista!I$8),"",IFERROR(VLOOKUP($F59,Arrangörslista!I$8:$AG$45,16,FALSE),IF(ISBLANK(Deltagarlista!$C53),"",IF(ISBLANK(Arrangörslista!I$8),"",IFERROR(VLOOKUP($F59,Arrangörslista!J$8:$AG$45,16,FALSE),"DNS")))))),IF(Deltagarlista!$K$3=2,
IF(ISBLANK(Deltagarlista!$C53),"",IF(ISBLANK(Arrangörslista!F$8),"",IF($GV59=M$64," DNS ",IFERROR(VLOOKUP($F59,Arrangörslista!F$8:$AG$45,16,FALSE),"DNS")))),IF(ISBLANK(Deltagarlista!$C53),"",IF(ISBLANK(Arrangörslista!F$8),"",IFERROR(VLOOKUP($F59,Arrangörslista!F$8:$AG$45,16,FALSE),"DNS")))))</f>
        <v/>
      </c>
      <c r="N59" s="5" t="str">
        <f>IF(Deltagarlista!$K$3=4,IF(ISBLANK(Deltagarlista!$C53),"",IF(ISBLANK(Arrangörslista!K$8),"",IFERROR(VLOOKUP($F59,Arrangörslista!K$8:$AG$45,16,FALSE),IF(ISBLANK(Deltagarlista!$C53),"",IF(ISBLANK(Arrangörslista!K$8),"",IFERROR(VLOOKUP($F59,Arrangörslista!L$8:$AG$45,16,FALSE),"DNS")))))),IF(Deltagarlista!$K$3=2,
IF(ISBLANK(Deltagarlista!$C53),"",IF(ISBLANK(Arrangörslista!G$8),"",IF($GV59=N$64," DNS ",IFERROR(VLOOKUP($F59,Arrangörslista!G$8:$AG$45,16,FALSE),"DNS")))),IF(ISBLANK(Deltagarlista!$C53),"",IF(ISBLANK(Arrangörslista!G$8),"",IFERROR(VLOOKUP($F59,Arrangörslista!G$8:$AG$45,16,FALSE),"DNS")))))</f>
        <v/>
      </c>
      <c r="O59" s="5" t="str">
        <f>IF(Deltagarlista!$K$3=4,IF(ISBLANK(Deltagarlista!$C53),"",IF(ISBLANK(Arrangörslista!M$8),"",IFERROR(VLOOKUP($F59,Arrangörslista!M$8:$AG$45,16,FALSE),IF(ISBLANK(Deltagarlista!$C53),"",IF(ISBLANK(Arrangörslista!M$8),"",IFERROR(VLOOKUP($F59,Arrangörslista!N$8:$AG$45,16,FALSE),"DNS")))))),IF(Deltagarlista!$K$3=2,
IF(ISBLANK(Deltagarlista!$C53),"",IF(ISBLANK(Arrangörslista!H$8),"",IF($GV59=O$64," DNS ",IFERROR(VLOOKUP($F59,Arrangörslista!H$8:$AG$45,16,FALSE),"DNS")))),IF(ISBLANK(Deltagarlista!$C53),"",IF(ISBLANK(Arrangörslista!H$8),"",IFERROR(VLOOKUP($F59,Arrangörslista!H$8:$AG$45,16,FALSE),"DNS")))))</f>
        <v/>
      </c>
      <c r="P59" s="5" t="str">
        <f>IF(Deltagarlista!$K$3=4,IF(ISBLANK(Deltagarlista!$C53),"",IF(ISBLANK(Arrangörslista!O$8),"",IFERROR(VLOOKUP($F59,Arrangörslista!O$8:$AG$45,16,FALSE),IF(ISBLANK(Deltagarlista!$C53),"",IF(ISBLANK(Arrangörslista!O$8),"",IFERROR(VLOOKUP($F59,Arrangörslista!P$8:$AG$45,16,FALSE),"DNS")))))),IF(Deltagarlista!$K$3=2,
IF(ISBLANK(Deltagarlista!$C53),"",IF(ISBLANK(Arrangörslista!I$8),"",IF($GV59=P$64," DNS ",IFERROR(VLOOKUP($F59,Arrangörslista!I$8:$AG$45,16,FALSE),"DNS")))),IF(ISBLANK(Deltagarlista!$C53),"",IF(ISBLANK(Arrangörslista!I$8),"",IFERROR(VLOOKUP($F59,Arrangörslista!I$8:$AG$45,16,FALSE),"DNS")))))</f>
        <v/>
      </c>
      <c r="Q59" s="5" t="str">
        <f>IF(Deltagarlista!$K$3=4,IF(ISBLANK(Deltagarlista!$C53),"",IF(ISBLANK(Arrangörslista!Q$8),"",IFERROR(VLOOKUP($F59,Arrangörslista!Q$8:$AG$45,16,FALSE),IF(ISBLANK(Deltagarlista!$C53),"",IF(ISBLANK(Arrangörslista!Q$8),"",IFERROR(VLOOKUP($F59,Arrangörslista!C$53:$AG$90,16,FALSE),"DNS")))))),IF(Deltagarlista!$K$3=2,
IF(ISBLANK(Deltagarlista!$C53),"",IF(ISBLANK(Arrangörslista!J$8),"",IF($GV59=Q$64," DNS ",IFERROR(VLOOKUP($F59,Arrangörslista!J$8:$AG$45,16,FALSE),"DNS")))),IF(ISBLANK(Deltagarlista!$C53),"",IF(ISBLANK(Arrangörslista!J$8),"",IFERROR(VLOOKUP($F59,Arrangörslista!J$8:$AG$45,16,FALSE),"DNS")))))</f>
        <v/>
      </c>
      <c r="R59" s="5" t="str">
        <f>IF(Deltagarlista!$K$3=4,IF(ISBLANK(Deltagarlista!$C53),"",IF(ISBLANK(Arrangörslista!D$53),"",IFERROR(VLOOKUP($F59,Arrangörslista!D$53:$AG$90,16,FALSE),IF(ISBLANK(Deltagarlista!$C53),"",IF(ISBLANK(Arrangörslista!D$53),"",IFERROR(VLOOKUP($F59,Arrangörslista!E$53:$AG$90,16,FALSE),"DNS")))))),IF(Deltagarlista!$K$3=2,
IF(ISBLANK(Deltagarlista!$C53),"",IF(ISBLANK(Arrangörslista!K$8),"",IF($GV59=R$64," DNS ",IFERROR(VLOOKUP($F59,Arrangörslista!K$8:$AG$45,16,FALSE),"DNS")))),IF(ISBLANK(Deltagarlista!$C53),"",IF(ISBLANK(Arrangörslista!K$8),"",IFERROR(VLOOKUP($F59,Arrangörslista!K$8:$AG$45,16,FALSE),"DNS")))))</f>
        <v/>
      </c>
      <c r="S59" s="5" t="str">
        <f>IF(Deltagarlista!$K$3=4,IF(ISBLANK(Deltagarlista!$C53),"",IF(ISBLANK(Arrangörslista!F$53),"",IFERROR(VLOOKUP($F59,Arrangörslista!F$53:$AG$90,16,FALSE),IF(ISBLANK(Deltagarlista!$C53),"",IF(ISBLANK(Arrangörslista!F$53),"",IFERROR(VLOOKUP($F59,Arrangörslista!G$53:$AG$90,16,FALSE),"DNS")))))),IF(Deltagarlista!$K$3=2,
IF(ISBLANK(Deltagarlista!$C53),"",IF(ISBLANK(Arrangörslista!L$8),"",IF($GV59=S$64," DNS ",IFERROR(VLOOKUP($F59,Arrangörslista!L$8:$AG$45,16,FALSE),"DNS")))),IF(ISBLANK(Deltagarlista!$C53),"",IF(ISBLANK(Arrangörslista!L$8),"",IFERROR(VLOOKUP($F59,Arrangörslista!L$8:$AG$45,16,FALSE),"DNS")))))</f>
        <v/>
      </c>
      <c r="T59" s="5" t="str">
        <f>IF(Deltagarlista!$K$3=4,IF(ISBLANK(Deltagarlista!$C53),"",IF(ISBLANK(Arrangörslista!H$53),"",IFERROR(VLOOKUP($F59,Arrangörslista!H$53:$AG$90,16,FALSE),IF(ISBLANK(Deltagarlista!$C53),"",IF(ISBLANK(Arrangörslista!H$53),"",IFERROR(VLOOKUP($F59,Arrangörslista!I$53:$AG$90,16,FALSE),"DNS")))))),IF(Deltagarlista!$K$3=2,
IF(ISBLANK(Deltagarlista!$C53),"",IF(ISBLANK(Arrangörslista!M$8),"",IF($GV59=T$64," DNS ",IFERROR(VLOOKUP($F59,Arrangörslista!M$8:$AG$45,16,FALSE),"DNS")))),IF(ISBLANK(Deltagarlista!$C53),"",IF(ISBLANK(Arrangörslista!M$8),"",IFERROR(VLOOKUP($F59,Arrangörslista!M$8:$AG$45,16,FALSE),"DNS")))))</f>
        <v/>
      </c>
      <c r="U59" s="5" t="str">
        <f>IF(Deltagarlista!$K$3=4,IF(ISBLANK(Deltagarlista!$C53),"",IF(ISBLANK(Arrangörslista!J$53),"",IFERROR(VLOOKUP($F59,Arrangörslista!J$53:$AG$90,16,FALSE),IF(ISBLANK(Deltagarlista!$C53),"",IF(ISBLANK(Arrangörslista!J$53),"",IFERROR(VLOOKUP($F59,Arrangörslista!K$53:$AG$90,16,FALSE),"DNS")))))),IF(Deltagarlista!$K$3=2,
IF(ISBLANK(Deltagarlista!$C53),"",IF(ISBLANK(Arrangörslista!N$8),"",IF($GV59=U$64," DNS ",IFERROR(VLOOKUP($F59,Arrangörslista!N$8:$AG$45,16,FALSE),"DNS")))),IF(ISBLANK(Deltagarlista!$C53),"",IF(ISBLANK(Arrangörslista!N$8),"",IFERROR(VLOOKUP($F59,Arrangörslista!N$8:$AG$45,16,FALSE),"DNS")))))</f>
        <v/>
      </c>
      <c r="V59" s="5" t="str">
        <f>IF(Deltagarlista!$K$3=4,IF(ISBLANK(Deltagarlista!$C53),"",IF(ISBLANK(Arrangörslista!L$53),"",IFERROR(VLOOKUP($F59,Arrangörslista!L$53:$AG$90,16,FALSE),IF(ISBLANK(Deltagarlista!$C53),"",IF(ISBLANK(Arrangörslista!L$53),"",IFERROR(VLOOKUP($F59,Arrangörslista!M$53:$AG$90,16,FALSE),"DNS")))))),IF(Deltagarlista!$K$3=2,
IF(ISBLANK(Deltagarlista!$C53),"",IF(ISBLANK(Arrangörslista!O$8),"",IF($GV59=V$64," DNS ",IFERROR(VLOOKUP($F59,Arrangörslista!O$8:$AG$45,16,FALSE),"DNS")))),IF(ISBLANK(Deltagarlista!$C53),"",IF(ISBLANK(Arrangörslista!O$8),"",IFERROR(VLOOKUP($F59,Arrangörslista!O$8:$AG$45,16,FALSE),"DNS")))))</f>
        <v/>
      </c>
      <c r="W59" s="5" t="str">
        <f>IF(Deltagarlista!$K$3=4,IF(ISBLANK(Deltagarlista!$C53),"",IF(ISBLANK(Arrangörslista!N$53),"",IFERROR(VLOOKUP($F59,Arrangörslista!N$53:$AG$90,16,FALSE),IF(ISBLANK(Deltagarlista!$C53),"",IF(ISBLANK(Arrangörslista!N$53),"",IFERROR(VLOOKUP($F59,Arrangörslista!O$53:$AG$90,16,FALSE),"DNS")))))),IF(Deltagarlista!$K$3=2,
IF(ISBLANK(Deltagarlista!$C53),"",IF(ISBLANK(Arrangörslista!P$8),"",IF($GV59=W$64," DNS ",IFERROR(VLOOKUP($F59,Arrangörslista!P$8:$AG$45,16,FALSE),"DNS")))),IF(ISBLANK(Deltagarlista!$C53),"",IF(ISBLANK(Arrangörslista!P$8),"",IFERROR(VLOOKUP($F59,Arrangörslista!P$8:$AG$45,16,FALSE),"DNS")))))</f>
        <v/>
      </c>
      <c r="X59" s="5" t="str">
        <f>IF(Deltagarlista!$K$3=4,IF(ISBLANK(Deltagarlista!$C53),"",IF(ISBLANK(Arrangörslista!P$53),"",IFERROR(VLOOKUP($F59,Arrangörslista!P$53:$AG$90,16,FALSE),IF(ISBLANK(Deltagarlista!$C53),"",IF(ISBLANK(Arrangörslista!P$53),"",IFERROR(VLOOKUP($F59,Arrangörslista!Q$53:$AG$90,16,FALSE),"DNS")))))),IF(Deltagarlista!$K$3=2,
IF(ISBLANK(Deltagarlista!$C53),"",IF(ISBLANK(Arrangörslista!Q$8),"",IF($GV59=X$64," DNS ",IFERROR(VLOOKUP($F59,Arrangörslista!Q$8:$AG$45,16,FALSE),"DNS")))),IF(ISBLANK(Deltagarlista!$C53),"",IF(ISBLANK(Arrangörslista!Q$8),"",IFERROR(VLOOKUP($F59,Arrangörslista!Q$8:$AG$45,16,FALSE),"DNS")))))</f>
        <v/>
      </c>
      <c r="Y59" s="5" t="str">
        <f>IF(Deltagarlista!$K$3=4,IF(ISBLANK(Deltagarlista!$C53),"",IF(ISBLANK(Arrangörslista!C$98),"",IFERROR(VLOOKUP($F59,Arrangörslista!C$98:$AG$135,16,FALSE),IF(ISBLANK(Deltagarlista!$C53),"",IF(ISBLANK(Arrangörslista!C$98),"",IFERROR(VLOOKUP($F59,Arrangörslista!D$98:$AG$135,16,FALSE),"DNS")))))),IF(Deltagarlista!$K$3=2,
IF(ISBLANK(Deltagarlista!$C53),"",IF(ISBLANK(Arrangörslista!C$53),"",IF($GV59=Y$64," DNS ",IFERROR(VLOOKUP($F59,Arrangörslista!C$53:$AG$90,16,FALSE),"DNS")))),IF(ISBLANK(Deltagarlista!$C53),"",IF(ISBLANK(Arrangörslista!C$53),"",IFERROR(VLOOKUP($F59,Arrangörslista!C$53:$AG$90,16,FALSE),"DNS")))))</f>
        <v/>
      </c>
      <c r="Z59" s="5" t="str">
        <f>IF(Deltagarlista!$K$3=4,IF(ISBLANK(Deltagarlista!$C53),"",IF(ISBLANK(Arrangörslista!E$98),"",IFERROR(VLOOKUP($F59,Arrangörslista!E$98:$AG$135,16,FALSE),IF(ISBLANK(Deltagarlista!$C53),"",IF(ISBLANK(Arrangörslista!E$98),"",IFERROR(VLOOKUP($F59,Arrangörslista!F$98:$AG$135,16,FALSE),"DNS")))))),IF(Deltagarlista!$K$3=2,
IF(ISBLANK(Deltagarlista!$C53),"",IF(ISBLANK(Arrangörslista!D$53),"",IF($GV59=Z$64," DNS ",IFERROR(VLOOKUP($F59,Arrangörslista!D$53:$AG$90,16,FALSE),"DNS")))),IF(ISBLANK(Deltagarlista!$C53),"",IF(ISBLANK(Arrangörslista!D$53),"",IFERROR(VLOOKUP($F59,Arrangörslista!D$53:$AG$90,16,FALSE),"DNS")))))</f>
        <v/>
      </c>
      <c r="AA59" s="5" t="str">
        <f>IF(Deltagarlista!$K$3=4,IF(ISBLANK(Deltagarlista!$C53),"",IF(ISBLANK(Arrangörslista!G$98),"",IFERROR(VLOOKUP($F59,Arrangörslista!G$98:$AG$135,16,FALSE),IF(ISBLANK(Deltagarlista!$C53),"",IF(ISBLANK(Arrangörslista!G$98),"",IFERROR(VLOOKUP($F59,Arrangörslista!H$98:$AG$135,16,FALSE),"DNS")))))),IF(Deltagarlista!$K$3=2,
IF(ISBLANK(Deltagarlista!$C53),"",IF(ISBLANK(Arrangörslista!E$53),"",IF($GV59=AA$64," DNS ",IFERROR(VLOOKUP($F59,Arrangörslista!E$53:$AG$90,16,FALSE),"DNS")))),IF(ISBLANK(Deltagarlista!$C53),"",IF(ISBLANK(Arrangörslista!E$53),"",IFERROR(VLOOKUP($F59,Arrangörslista!E$53:$AG$90,16,FALSE),"DNS")))))</f>
        <v/>
      </c>
      <c r="AB59" s="5" t="str">
        <f>IF(Deltagarlista!$K$3=4,IF(ISBLANK(Deltagarlista!$C53),"",IF(ISBLANK(Arrangörslista!I$98),"",IFERROR(VLOOKUP($F59,Arrangörslista!I$98:$AG$135,16,FALSE),IF(ISBLANK(Deltagarlista!$C53),"",IF(ISBLANK(Arrangörslista!I$98),"",IFERROR(VLOOKUP($F59,Arrangörslista!J$98:$AG$135,16,FALSE),"DNS")))))),IF(Deltagarlista!$K$3=2,
IF(ISBLANK(Deltagarlista!$C53),"",IF(ISBLANK(Arrangörslista!F$53),"",IF($GV59=AB$64," DNS ",IFERROR(VLOOKUP($F59,Arrangörslista!F$53:$AG$90,16,FALSE),"DNS")))),IF(ISBLANK(Deltagarlista!$C53),"",IF(ISBLANK(Arrangörslista!F$53),"",IFERROR(VLOOKUP($F59,Arrangörslista!F$53:$AG$90,16,FALSE),"DNS")))))</f>
        <v/>
      </c>
      <c r="AC59" s="5" t="str">
        <f>IF(Deltagarlista!$K$3=4,IF(ISBLANK(Deltagarlista!$C53),"",IF(ISBLANK(Arrangörslista!K$98),"",IFERROR(VLOOKUP($F59,Arrangörslista!K$98:$AG$135,16,FALSE),IF(ISBLANK(Deltagarlista!$C53),"",IF(ISBLANK(Arrangörslista!K$98),"",IFERROR(VLOOKUP($F59,Arrangörslista!L$98:$AG$135,16,FALSE),"DNS")))))),IF(Deltagarlista!$K$3=2,
IF(ISBLANK(Deltagarlista!$C53),"",IF(ISBLANK(Arrangörslista!G$53),"",IF($GV59=AC$64," DNS ",IFERROR(VLOOKUP($F59,Arrangörslista!G$53:$AG$90,16,FALSE),"DNS")))),IF(ISBLANK(Deltagarlista!$C53),"",IF(ISBLANK(Arrangörslista!G$53),"",IFERROR(VLOOKUP($F59,Arrangörslista!G$53:$AG$90,16,FALSE),"DNS")))))</f>
        <v/>
      </c>
      <c r="AD59" s="5" t="str">
        <f>IF(Deltagarlista!$K$3=4,IF(ISBLANK(Deltagarlista!$C53),"",IF(ISBLANK(Arrangörslista!M$98),"",IFERROR(VLOOKUP($F59,Arrangörslista!M$98:$AG$135,16,FALSE),IF(ISBLANK(Deltagarlista!$C53),"",IF(ISBLANK(Arrangörslista!M$98),"",IFERROR(VLOOKUP($F59,Arrangörslista!N$98:$AG$135,16,FALSE),"DNS")))))),IF(Deltagarlista!$K$3=2,
IF(ISBLANK(Deltagarlista!$C53),"",IF(ISBLANK(Arrangörslista!H$53),"",IF($GV59=AD$64," DNS ",IFERROR(VLOOKUP($F59,Arrangörslista!H$53:$AG$90,16,FALSE),"DNS")))),IF(ISBLANK(Deltagarlista!$C53),"",IF(ISBLANK(Arrangörslista!H$53),"",IFERROR(VLOOKUP($F59,Arrangörslista!H$53:$AG$90,16,FALSE),"DNS")))))</f>
        <v/>
      </c>
      <c r="AE59" s="5" t="str">
        <f>IF(Deltagarlista!$K$3=4,IF(ISBLANK(Deltagarlista!$C53),"",IF(ISBLANK(Arrangörslista!O$98),"",IFERROR(VLOOKUP($F59,Arrangörslista!O$98:$AG$135,16,FALSE),IF(ISBLANK(Deltagarlista!$C53),"",IF(ISBLANK(Arrangörslista!O$98),"",IFERROR(VLOOKUP($F59,Arrangörslista!P$98:$AG$135,16,FALSE),"DNS")))))),IF(Deltagarlista!$K$3=2,
IF(ISBLANK(Deltagarlista!$C53),"",IF(ISBLANK(Arrangörslista!I$53),"",IF($GV59=AE$64," DNS ",IFERROR(VLOOKUP($F59,Arrangörslista!I$53:$AG$90,16,FALSE),"DNS")))),IF(ISBLANK(Deltagarlista!$C53),"",IF(ISBLANK(Arrangörslista!I$53),"",IFERROR(VLOOKUP($F59,Arrangörslista!I$53:$AG$90,16,FALSE),"DNS")))))</f>
        <v/>
      </c>
      <c r="AF59" s="5" t="str">
        <f>IF(Deltagarlista!$K$3=4,IF(ISBLANK(Deltagarlista!$C53),"",IF(ISBLANK(Arrangörslista!Q$98),"",IFERROR(VLOOKUP($F59,Arrangörslista!Q$98:$AG$135,16,FALSE),IF(ISBLANK(Deltagarlista!$C53),"",IF(ISBLANK(Arrangörslista!Q$98),"",IFERROR(VLOOKUP($F59,Arrangörslista!C$143:$AG$180,16,FALSE),"DNS")))))),IF(Deltagarlista!$K$3=2,
IF(ISBLANK(Deltagarlista!$C53),"",IF(ISBLANK(Arrangörslista!J$53),"",IF($GV59=AF$64," DNS ",IFERROR(VLOOKUP($F59,Arrangörslista!J$53:$AG$90,16,FALSE),"DNS")))),IF(ISBLANK(Deltagarlista!$C53),"",IF(ISBLANK(Arrangörslista!J$53),"",IFERROR(VLOOKUP($F59,Arrangörslista!J$53:$AG$90,16,FALSE),"DNS")))))</f>
        <v/>
      </c>
      <c r="AG59" s="5" t="str">
        <f>IF(Deltagarlista!$K$3=4,IF(ISBLANK(Deltagarlista!$C53),"",IF(ISBLANK(Arrangörslista!D$143),"",IFERROR(VLOOKUP($F59,Arrangörslista!D$143:$AG$180,16,FALSE),IF(ISBLANK(Deltagarlista!$C53),"",IF(ISBLANK(Arrangörslista!D$143),"",IFERROR(VLOOKUP($F59,Arrangörslista!E$143:$AG$180,16,FALSE),"DNS")))))),IF(Deltagarlista!$K$3=2,
IF(ISBLANK(Deltagarlista!$C53),"",IF(ISBLANK(Arrangörslista!K$53),"",IF($GV59=AG$64," DNS ",IFERROR(VLOOKUP($F59,Arrangörslista!K$53:$AG$90,16,FALSE),"DNS")))),IF(ISBLANK(Deltagarlista!$C53),"",IF(ISBLANK(Arrangörslista!K$53),"",IFERROR(VLOOKUP($F59,Arrangörslista!K$53:$AG$90,16,FALSE),"DNS")))))</f>
        <v/>
      </c>
      <c r="AH59" s="5" t="str">
        <f>IF(Deltagarlista!$K$3=4,IF(ISBLANK(Deltagarlista!$C53),"",IF(ISBLANK(Arrangörslista!F$143),"",IFERROR(VLOOKUP($F59,Arrangörslista!F$143:$AG$180,16,FALSE),IF(ISBLANK(Deltagarlista!$C53),"",IF(ISBLANK(Arrangörslista!F$143),"",IFERROR(VLOOKUP($F59,Arrangörslista!G$143:$AG$180,16,FALSE),"DNS")))))),IF(Deltagarlista!$K$3=2,
IF(ISBLANK(Deltagarlista!$C53),"",IF(ISBLANK(Arrangörslista!L$53),"",IF($GV59=AH$64," DNS ",IFERROR(VLOOKUP($F59,Arrangörslista!L$53:$AG$90,16,FALSE),"DNS")))),IF(ISBLANK(Deltagarlista!$C53),"",IF(ISBLANK(Arrangörslista!L$53),"",IFERROR(VLOOKUP($F59,Arrangörslista!L$53:$AG$90,16,FALSE),"DNS")))))</f>
        <v/>
      </c>
      <c r="AI59" s="5" t="str">
        <f>IF(Deltagarlista!$K$3=4,IF(ISBLANK(Deltagarlista!$C53),"",IF(ISBLANK(Arrangörslista!H$143),"",IFERROR(VLOOKUP($F59,Arrangörslista!H$143:$AG$180,16,FALSE),IF(ISBLANK(Deltagarlista!$C53),"",IF(ISBLANK(Arrangörslista!H$143),"",IFERROR(VLOOKUP($F59,Arrangörslista!I$143:$AG$180,16,FALSE),"DNS")))))),IF(Deltagarlista!$K$3=2,
IF(ISBLANK(Deltagarlista!$C53),"",IF(ISBLANK(Arrangörslista!M$53),"",IF($GV59=AI$64," DNS ",IFERROR(VLOOKUP($F59,Arrangörslista!M$53:$AG$90,16,FALSE),"DNS")))),IF(ISBLANK(Deltagarlista!$C53),"",IF(ISBLANK(Arrangörslista!M$53),"",IFERROR(VLOOKUP($F59,Arrangörslista!M$53:$AG$90,16,FALSE),"DNS")))))</f>
        <v/>
      </c>
      <c r="AJ59" s="5" t="str">
        <f>IF(Deltagarlista!$K$3=4,IF(ISBLANK(Deltagarlista!$C53),"",IF(ISBLANK(Arrangörslista!J$143),"",IFERROR(VLOOKUP($F59,Arrangörslista!J$143:$AG$180,16,FALSE),IF(ISBLANK(Deltagarlista!$C53),"",IF(ISBLANK(Arrangörslista!J$143),"",IFERROR(VLOOKUP($F59,Arrangörslista!K$143:$AG$180,16,FALSE),"DNS")))))),IF(Deltagarlista!$K$3=2,
IF(ISBLANK(Deltagarlista!$C53),"",IF(ISBLANK(Arrangörslista!N$53),"",IF($GV59=AJ$64," DNS ",IFERROR(VLOOKUP($F59,Arrangörslista!N$53:$AG$90,16,FALSE),"DNS")))),IF(ISBLANK(Deltagarlista!$C53),"",IF(ISBLANK(Arrangörslista!N$53),"",IFERROR(VLOOKUP($F59,Arrangörslista!N$53:$AG$90,16,FALSE),"DNS")))))</f>
        <v/>
      </c>
      <c r="AK59" s="5" t="str">
        <f>IF(Deltagarlista!$K$3=4,IF(ISBLANK(Deltagarlista!$C53),"",IF(ISBLANK(Arrangörslista!L$143),"",IFERROR(VLOOKUP($F59,Arrangörslista!L$143:$AG$180,16,FALSE),IF(ISBLANK(Deltagarlista!$C53),"",IF(ISBLANK(Arrangörslista!L$143),"",IFERROR(VLOOKUP($F59,Arrangörslista!M$143:$AG$180,16,FALSE),"DNS")))))),IF(Deltagarlista!$K$3=2,
IF(ISBLANK(Deltagarlista!$C53),"",IF(ISBLANK(Arrangörslista!O$53),"",IF($GV59=AK$64," DNS ",IFERROR(VLOOKUP($F59,Arrangörslista!O$53:$AG$90,16,FALSE),"DNS")))),IF(ISBLANK(Deltagarlista!$C53),"",IF(ISBLANK(Arrangörslista!O$53),"",IFERROR(VLOOKUP($F59,Arrangörslista!O$53:$AG$90,16,FALSE),"DNS")))))</f>
        <v/>
      </c>
      <c r="AL59" s="5" t="str">
        <f>IF(Deltagarlista!$K$3=4,IF(ISBLANK(Deltagarlista!$C53),"",IF(ISBLANK(Arrangörslista!N$143),"",IFERROR(VLOOKUP($F59,Arrangörslista!N$143:$AG$180,16,FALSE),IF(ISBLANK(Deltagarlista!$C53),"",IF(ISBLANK(Arrangörslista!N$143),"",IFERROR(VLOOKUP($F59,Arrangörslista!O$143:$AG$180,16,FALSE),"DNS")))))),IF(Deltagarlista!$K$3=2,
IF(ISBLANK(Deltagarlista!$C53),"",IF(ISBLANK(Arrangörslista!P$53),"",IF($GV59=AL$64," DNS ",IFERROR(VLOOKUP($F59,Arrangörslista!P$53:$AG$90,16,FALSE),"DNS")))),IF(ISBLANK(Deltagarlista!$C53),"",IF(ISBLANK(Arrangörslista!P$53),"",IFERROR(VLOOKUP($F59,Arrangörslista!P$53:$AG$90,16,FALSE),"DNS")))))</f>
        <v/>
      </c>
      <c r="AM59" s="5" t="str">
        <f>IF(Deltagarlista!$K$3=4,IF(ISBLANK(Deltagarlista!$C53),"",IF(ISBLANK(Arrangörslista!P$143),"",IFERROR(VLOOKUP($F59,Arrangörslista!P$143:$AG$180,16,FALSE),IF(ISBLANK(Deltagarlista!$C53),"",IF(ISBLANK(Arrangörslista!P$143),"",IFERROR(VLOOKUP($F59,Arrangörslista!Q$143:$AG$180,16,FALSE),"DNS")))))),IF(Deltagarlista!$K$3=2,
IF(ISBLANK(Deltagarlista!$C53),"",IF(ISBLANK(Arrangörslista!Q$53),"",IF($GV59=AM$64," DNS ",IFERROR(VLOOKUP($F59,Arrangörslista!Q$53:$AG$90,16,FALSE),"DNS")))),IF(ISBLANK(Deltagarlista!$C53),"",IF(ISBLANK(Arrangörslista!Q$53),"",IFERROR(VLOOKUP($F59,Arrangörslista!Q$53:$AG$90,16,FALSE),"DNS")))))</f>
        <v/>
      </c>
      <c r="AN59" s="5" t="str">
        <f>IF(Deltagarlista!$K$3=2,
IF(ISBLANK(Deltagarlista!$C53),"",IF(ISBLANK(Arrangörslista!C$98),"",IF($GV59=AN$64," DNS ",IFERROR(VLOOKUP($F59,Arrangörslista!C$98:$AG$135,16,FALSE), "DNS")))), IF(Deltagarlista!$K$3=1,IF(ISBLANK(Deltagarlista!$C53),"",IF(ISBLANK(Arrangörslista!C$98),"",IFERROR(VLOOKUP($F59,Arrangörslista!C$98:$AG$135,16,FALSE), "DNS"))),""))</f>
        <v/>
      </c>
      <c r="AO59" s="5" t="str">
        <f>IF(Deltagarlista!$K$3=2,
IF(ISBLANK(Deltagarlista!$C53),"",IF(ISBLANK(Arrangörslista!D$98),"",IF($GV59=AO$64," DNS ",IFERROR(VLOOKUP($F59,Arrangörslista!D$98:$AG$135,16,FALSE), "DNS")))), IF(Deltagarlista!$K$3=1,IF(ISBLANK(Deltagarlista!$C53),"",IF(ISBLANK(Arrangörslista!D$98),"",IFERROR(VLOOKUP($F59,Arrangörslista!D$98:$AG$135,16,FALSE), "DNS"))),""))</f>
        <v/>
      </c>
      <c r="AP59" s="5" t="str">
        <f>IF(Deltagarlista!$K$3=2,
IF(ISBLANK(Deltagarlista!$C53),"",IF(ISBLANK(Arrangörslista!E$98),"",IF($GV59=AP$64," DNS ",IFERROR(VLOOKUP($F59,Arrangörslista!E$98:$AG$135,16,FALSE), "DNS")))), IF(Deltagarlista!$K$3=1,IF(ISBLANK(Deltagarlista!$C53),"",IF(ISBLANK(Arrangörslista!E$98),"",IFERROR(VLOOKUP($F59,Arrangörslista!E$98:$AG$135,16,FALSE), "DNS"))),""))</f>
        <v/>
      </c>
      <c r="AQ59" s="5" t="str">
        <f>IF(Deltagarlista!$K$3=2,
IF(ISBLANK(Deltagarlista!$C53),"",IF(ISBLANK(Arrangörslista!F$98),"",IF($GV59=AQ$64," DNS ",IFERROR(VLOOKUP($F59,Arrangörslista!F$98:$AG$135,16,FALSE), "DNS")))), IF(Deltagarlista!$K$3=1,IF(ISBLANK(Deltagarlista!$C53),"",IF(ISBLANK(Arrangörslista!F$98),"",IFERROR(VLOOKUP($F59,Arrangörslista!F$98:$AG$135,16,FALSE), "DNS"))),""))</f>
        <v/>
      </c>
      <c r="AR59" s="5" t="str">
        <f>IF(Deltagarlista!$K$3=2,
IF(ISBLANK(Deltagarlista!$C53),"",IF(ISBLANK(Arrangörslista!G$98),"",IF($GV59=AR$64," DNS ",IFERROR(VLOOKUP($F59,Arrangörslista!G$98:$AG$135,16,FALSE), "DNS")))), IF(Deltagarlista!$K$3=1,IF(ISBLANK(Deltagarlista!$C53),"",IF(ISBLANK(Arrangörslista!G$98),"",IFERROR(VLOOKUP($F59,Arrangörslista!G$98:$AG$135,16,FALSE), "DNS"))),""))</f>
        <v/>
      </c>
      <c r="AS59" s="5" t="str">
        <f>IF(Deltagarlista!$K$3=2,
IF(ISBLANK(Deltagarlista!$C53),"",IF(ISBLANK(Arrangörslista!H$98),"",IF($GV59=AS$64," DNS ",IFERROR(VLOOKUP($F59,Arrangörslista!H$98:$AG$135,16,FALSE), "DNS")))), IF(Deltagarlista!$K$3=1,IF(ISBLANK(Deltagarlista!$C53),"",IF(ISBLANK(Arrangörslista!H$98),"",IFERROR(VLOOKUP($F59,Arrangörslista!H$98:$AG$135,16,FALSE), "DNS"))),""))</f>
        <v/>
      </c>
      <c r="AT59" s="5" t="str">
        <f>IF(Deltagarlista!$K$3=2,
IF(ISBLANK(Deltagarlista!$C53),"",IF(ISBLANK(Arrangörslista!I$98),"",IF($GV59=AT$64," DNS ",IFERROR(VLOOKUP($F59,Arrangörslista!I$98:$AG$135,16,FALSE), "DNS")))), IF(Deltagarlista!$K$3=1,IF(ISBLANK(Deltagarlista!$C53),"",IF(ISBLANK(Arrangörslista!I$98),"",IFERROR(VLOOKUP($F59,Arrangörslista!I$98:$AG$135,16,FALSE), "DNS"))),""))</f>
        <v/>
      </c>
      <c r="AU59" s="5" t="str">
        <f>IF(Deltagarlista!$K$3=2,
IF(ISBLANK(Deltagarlista!$C53),"",IF(ISBLANK(Arrangörslista!J$98),"",IF($GV59=AU$64," DNS ",IFERROR(VLOOKUP($F59,Arrangörslista!J$98:$AG$135,16,FALSE), "DNS")))), IF(Deltagarlista!$K$3=1,IF(ISBLANK(Deltagarlista!$C53),"",IF(ISBLANK(Arrangörslista!J$98),"",IFERROR(VLOOKUP($F59,Arrangörslista!J$98:$AG$135,16,FALSE), "DNS"))),""))</f>
        <v/>
      </c>
      <c r="AV59" s="5" t="str">
        <f>IF(Deltagarlista!$K$3=2,
IF(ISBLANK(Deltagarlista!$C53),"",IF(ISBLANK(Arrangörslista!K$98),"",IF($GV59=AV$64," DNS ",IFERROR(VLOOKUP($F59,Arrangörslista!K$98:$AG$135,16,FALSE), "DNS")))), IF(Deltagarlista!$K$3=1,IF(ISBLANK(Deltagarlista!$C53),"",IF(ISBLANK(Arrangörslista!K$98),"",IFERROR(VLOOKUP($F59,Arrangörslista!K$98:$AG$135,16,FALSE), "DNS"))),""))</f>
        <v/>
      </c>
      <c r="AW59" s="5" t="str">
        <f>IF(Deltagarlista!$K$3=2,
IF(ISBLANK(Deltagarlista!$C53),"",IF(ISBLANK(Arrangörslista!L$98),"",IF($GV59=AW$64," DNS ",IFERROR(VLOOKUP($F59,Arrangörslista!L$98:$AG$135,16,FALSE), "DNS")))), IF(Deltagarlista!$K$3=1,IF(ISBLANK(Deltagarlista!$C53),"",IF(ISBLANK(Arrangörslista!L$98),"",IFERROR(VLOOKUP($F59,Arrangörslista!L$98:$AG$135,16,FALSE), "DNS"))),""))</f>
        <v/>
      </c>
      <c r="AX59" s="5" t="str">
        <f>IF(Deltagarlista!$K$3=2,
IF(ISBLANK(Deltagarlista!$C53),"",IF(ISBLANK(Arrangörslista!M$98),"",IF($GV59=AX$64," DNS ",IFERROR(VLOOKUP($F59,Arrangörslista!M$98:$AG$135,16,FALSE), "DNS")))), IF(Deltagarlista!$K$3=1,IF(ISBLANK(Deltagarlista!$C53),"",IF(ISBLANK(Arrangörslista!M$98),"",IFERROR(VLOOKUP($F59,Arrangörslista!M$98:$AG$135,16,FALSE), "DNS"))),""))</f>
        <v/>
      </c>
      <c r="AY59" s="5" t="str">
        <f>IF(Deltagarlista!$K$3=2,
IF(ISBLANK(Deltagarlista!$C53),"",IF(ISBLANK(Arrangörslista!N$98),"",IF($GV59=AY$64," DNS ",IFERROR(VLOOKUP($F59,Arrangörslista!N$98:$AG$135,16,FALSE), "DNS")))), IF(Deltagarlista!$K$3=1,IF(ISBLANK(Deltagarlista!$C53),"",IF(ISBLANK(Arrangörslista!N$98),"",IFERROR(VLOOKUP($F59,Arrangörslista!N$98:$AG$135,16,FALSE), "DNS"))),""))</f>
        <v/>
      </c>
      <c r="AZ59" s="5" t="str">
        <f>IF(Deltagarlista!$K$3=2,
IF(ISBLANK(Deltagarlista!$C53),"",IF(ISBLANK(Arrangörslista!O$98),"",IF($GV59=AZ$64," DNS ",IFERROR(VLOOKUP($F59,Arrangörslista!O$98:$AG$135,16,FALSE), "DNS")))), IF(Deltagarlista!$K$3=1,IF(ISBLANK(Deltagarlista!$C53),"",IF(ISBLANK(Arrangörslista!O$98),"",IFERROR(VLOOKUP($F59,Arrangörslista!O$98:$AG$135,16,FALSE), "DNS"))),""))</f>
        <v/>
      </c>
      <c r="BA59" s="5" t="str">
        <f>IF(Deltagarlista!$K$3=2,
IF(ISBLANK(Deltagarlista!$C53),"",IF(ISBLANK(Arrangörslista!P$98),"",IF($GV59=BA$64," DNS ",IFERROR(VLOOKUP($F59,Arrangörslista!P$98:$AG$135,16,FALSE), "DNS")))), IF(Deltagarlista!$K$3=1,IF(ISBLANK(Deltagarlista!$C53),"",IF(ISBLANK(Arrangörslista!P$98),"",IFERROR(VLOOKUP($F59,Arrangörslista!P$98:$AG$135,16,FALSE), "DNS"))),""))</f>
        <v/>
      </c>
      <c r="BB59" s="5" t="str">
        <f>IF(Deltagarlista!$K$3=2,
IF(ISBLANK(Deltagarlista!$C53),"",IF(ISBLANK(Arrangörslista!Q$98),"",IF($GV59=BB$64," DNS ",IFERROR(VLOOKUP($F59,Arrangörslista!Q$98:$AG$135,16,FALSE), "DNS")))), IF(Deltagarlista!$K$3=1,IF(ISBLANK(Deltagarlista!$C53),"",IF(ISBLANK(Arrangörslista!Q$98),"",IFERROR(VLOOKUP($F59,Arrangörslista!Q$98:$AG$135,16,FALSE), "DNS"))),""))</f>
        <v/>
      </c>
      <c r="BC59" s="5" t="str">
        <f>IF(Deltagarlista!$K$3=2,
IF(ISBLANK(Deltagarlista!$C53),"",IF(ISBLANK(Arrangörslista!C$143),"",IF($GV59=BC$64," DNS ",IFERROR(VLOOKUP($F59,Arrangörslista!C$143:$AG$180,16,FALSE), "DNS")))), IF(Deltagarlista!$K$3=1,IF(ISBLANK(Deltagarlista!$C53),"",IF(ISBLANK(Arrangörslista!C$143),"",IFERROR(VLOOKUP($F59,Arrangörslista!C$143:$AG$180,16,FALSE), "DNS"))),""))</f>
        <v/>
      </c>
      <c r="BD59" s="5" t="str">
        <f>IF(Deltagarlista!$K$3=2,
IF(ISBLANK(Deltagarlista!$C53),"",IF(ISBLANK(Arrangörslista!D$143),"",IF($GV59=BD$64," DNS ",IFERROR(VLOOKUP($F59,Arrangörslista!D$143:$AG$180,16,FALSE), "DNS")))), IF(Deltagarlista!$K$3=1,IF(ISBLANK(Deltagarlista!$C53),"",IF(ISBLANK(Arrangörslista!D$143),"",IFERROR(VLOOKUP($F59,Arrangörslista!D$143:$AG$180,16,FALSE), "DNS"))),""))</f>
        <v/>
      </c>
      <c r="BE59" s="5" t="str">
        <f>IF(Deltagarlista!$K$3=2,
IF(ISBLANK(Deltagarlista!$C53),"",IF(ISBLANK(Arrangörslista!E$143),"",IF($GV59=BE$64," DNS ",IFERROR(VLOOKUP($F59,Arrangörslista!E$143:$AG$180,16,FALSE), "DNS")))), IF(Deltagarlista!$K$3=1,IF(ISBLANK(Deltagarlista!$C53),"",IF(ISBLANK(Arrangörslista!E$143),"",IFERROR(VLOOKUP($F59,Arrangörslista!E$143:$AG$180,16,FALSE), "DNS"))),""))</f>
        <v/>
      </c>
      <c r="BF59" s="5" t="str">
        <f>IF(Deltagarlista!$K$3=2,
IF(ISBLANK(Deltagarlista!$C53),"",IF(ISBLANK(Arrangörslista!F$143),"",IF($GV59=BF$64," DNS ",IFERROR(VLOOKUP($F59,Arrangörslista!F$143:$AG$180,16,FALSE), "DNS")))), IF(Deltagarlista!$K$3=1,IF(ISBLANK(Deltagarlista!$C53),"",IF(ISBLANK(Arrangörslista!F$143),"",IFERROR(VLOOKUP($F59,Arrangörslista!F$143:$AG$180,16,FALSE), "DNS"))),""))</f>
        <v/>
      </c>
      <c r="BG59" s="5" t="str">
        <f>IF(Deltagarlista!$K$3=2,
IF(ISBLANK(Deltagarlista!$C53),"",IF(ISBLANK(Arrangörslista!G$143),"",IF($GV59=BG$64," DNS ",IFERROR(VLOOKUP($F59,Arrangörslista!G$143:$AG$180,16,FALSE), "DNS")))), IF(Deltagarlista!$K$3=1,IF(ISBLANK(Deltagarlista!$C53),"",IF(ISBLANK(Arrangörslista!G$143),"",IFERROR(VLOOKUP($F59,Arrangörslista!G$143:$AG$180,16,FALSE), "DNS"))),""))</f>
        <v/>
      </c>
      <c r="BH59" s="5" t="str">
        <f>IF(Deltagarlista!$K$3=2,
IF(ISBLANK(Deltagarlista!$C53),"",IF(ISBLANK(Arrangörslista!H$143),"",IF($GV59=BH$64," DNS ",IFERROR(VLOOKUP($F59,Arrangörslista!H$143:$AG$180,16,FALSE), "DNS")))), IF(Deltagarlista!$K$3=1,IF(ISBLANK(Deltagarlista!$C53),"",IF(ISBLANK(Arrangörslista!H$143),"",IFERROR(VLOOKUP($F59,Arrangörslista!H$143:$AG$180,16,FALSE), "DNS"))),""))</f>
        <v/>
      </c>
      <c r="BI59" s="5" t="str">
        <f>IF(Deltagarlista!$K$3=2,
IF(ISBLANK(Deltagarlista!$C53),"",IF(ISBLANK(Arrangörslista!I$143),"",IF($GV59=BI$64," DNS ",IFERROR(VLOOKUP($F59,Arrangörslista!I$143:$AG$180,16,FALSE), "DNS")))), IF(Deltagarlista!$K$3=1,IF(ISBLANK(Deltagarlista!$C53),"",IF(ISBLANK(Arrangörslista!I$143),"",IFERROR(VLOOKUP($F59,Arrangörslista!I$143:$AG$180,16,FALSE), "DNS"))),""))</f>
        <v/>
      </c>
      <c r="BJ59" s="5" t="str">
        <f>IF(Deltagarlista!$K$3=2,
IF(ISBLANK(Deltagarlista!$C53),"",IF(ISBLANK(Arrangörslista!J$143),"",IF($GV59=BJ$64," DNS ",IFERROR(VLOOKUP($F59,Arrangörslista!J$143:$AG$180,16,FALSE), "DNS")))), IF(Deltagarlista!$K$3=1,IF(ISBLANK(Deltagarlista!$C53),"",IF(ISBLANK(Arrangörslista!J$143),"",IFERROR(VLOOKUP($F59,Arrangörslista!J$143:$AG$180,16,FALSE), "DNS"))),""))</f>
        <v/>
      </c>
      <c r="BK59" s="5" t="str">
        <f>IF(Deltagarlista!$K$3=2,
IF(ISBLANK(Deltagarlista!$C53),"",IF(ISBLANK(Arrangörslista!K$143),"",IF($GV59=BK$64," DNS ",IFERROR(VLOOKUP($F59,Arrangörslista!K$143:$AG$180,16,FALSE), "DNS")))), IF(Deltagarlista!$K$3=1,IF(ISBLANK(Deltagarlista!$C53),"",IF(ISBLANK(Arrangörslista!K$143),"",IFERROR(VLOOKUP($F59,Arrangörslista!K$143:$AG$180,16,FALSE), "DNS"))),""))</f>
        <v/>
      </c>
      <c r="BL59" s="5" t="str">
        <f>IF(Deltagarlista!$K$3=2,
IF(ISBLANK(Deltagarlista!$C53),"",IF(ISBLANK(Arrangörslista!L$143),"",IF($GV59=BL$64," DNS ",IFERROR(VLOOKUP($F59,Arrangörslista!L$143:$AG$180,16,FALSE), "DNS")))), IF(Deltagarlista!$K$3=1,IF(ISBLANK(Deltagarlista!$C53),"",IF(ISBLANK(Arrangörslista!L$143),"",IFERROR(VLOOKUP($F59,Arrangörslista!L$143:$AG$180,16,FALSE), "DNS"))),""))</f>
        <v/>
      </c>
      <c r="BM59" s="5" t="str">
        <f>IF(Deltagarlista!$K$3=2,
IF(ISBLANK(Deltagarlista!$C53),"",IF(ISBLANK(Arrangörslista!M$143),"",IF($GV59=BM$64," DNS ",IFERROR(VLOOKUP($F59,Arrangörslista!M$143:$AG$180,16,FALSE), "DNS")))), IF(Deltagarlista!$K$3=1,IF(ISBLANK(Deltagarlista!$C53),"",IF(ISBLANK(Arrangörslista!M$143),"",IFERROR(VLOOKUP($F59,Arrangörslista!M$143:$AG$180,16,FALSE), "DNS"))),""))</f>
        <v/>
      </c>
      <c r="BN59" s="5" t="str">
        <f>IF(Deltagarlista!$K$3=2,
IF(ISBLANK(Deltagarlista!$C53),"",IF(ISBLANK(Arrangörslista!N$143),"",IF($GV59=BN$64," DNS ",IFERROR(VLOOKUP($F59,Arrangörslista!N$143:$AG$180,16,FALSE), "DNS")))), IF(Deltagarlista!$K$3=1,IF(ISBLANK(Deltagarlista!$C53),"",IF(ISBLANK(Arrangörslista!N$143),"",IFERROR(VLOOKUP($F59,Arrangörslista!N$143:$AG$180,16,FALSE), "DNS"))),""))</f>
        <v/>
      </c>
      <c r="BO59" s="5" t="str">
        <f>IF(Deltagarlista!$K$3=2,
IF(ISBLANK(Deltagarlista!$C53),"",IF(ISBLANK(Arrangörslista!O$143),"",IF($GV59=BO$64," DNS ",IFERROR(VLOOKUP($F59,Arrangörslista!O$143:$AG$180,16,FALSE), "DNS")))), IF(Deltagarlista!$K$3=1,IF(ISBLANK(Deltagarlista!$C53),"",IF(ISBLANK(Arrangörslista!O$143),"",IFERROR(VLOOKUP($F59,Arrangörslista!O$143:$AG$180,16,FALSE), "DNS"))),""))</f>
        <v/>
      </c>
      <c r="BP59" s="5" t="str">
        <f>IF(Deltagarlista!$K$3=2,
IF(ISBLANK(Deltagarlista!$C53),"",IF(ISBLANK(Arrangörslista!P$143),"",IF($GV59=BP$64," DNS ",IFERROR(VLOOKUP($F59,Arrangörslista!P$143:$AG$180,16,FALSE), "DNS")))), IF(Deltagarlista!$K$3=1,IF(ISBLANK(Deltagarlista!$C53),"",IF(ISBLANK(Arrangörslista!P$143),"",IFERROR(VLOOKUP($F59,Arrangörslista!P$143:$AG$180,16,FALSE), "DNS"))),""))</f>
        <v/>
      </c>
      <c r="BQ59" s="80" t="str">
        <f>IF(Deltagarlista!$K$3=2,
IF(ISBLANK(Deltagarlista!$C53),"",IF(ISBLANK(Arrangörslista!Q$143),"",IF($GV59=BQ$64," DNS ",IFERROR(VLOOKUP($F59,Arrangörslista!Q$143:$AG$180,16,FALSE), "DNS")))), IF(Deltagarlista!$K$3=1,IF(ISBLANK(Deltagarlista!$C53),"",IF(ISBLANK(Arrangörslista!Q$143),"",IFERROR(VLOOKUP($F59,Arrangörslista!Q$143:$AG$180,16,FALSE), "DNS"))),""))</f>
        <v/>
      </c>
      <c r="BR59" s="48"/>
      <c r="BU59" s="71">
        <f>SUM(BV59:EC59)</f>
        <v>0</v>
      </c>
      <c r="BV59" s="61">
        <f>IF(J59="",0,IF(OR(J59="DNF",J59="OCS",J59="DSQ",J59="DNS",J59=" DNS "),$BW$3+1,J59))</f>
        <v>0</v>
      </c>
      <c r="BW59" s="61">
        <f>IF(K59="",0,IF(OR(K59="DNF",K59="OCS",K59="DSQ",K59="DNS",K59=" DNS "),$BW$3+1,K59))</f>
        <v>0</v>
      </c>
      <c r="BX59" s="61">
        <f>IF(L59="",0,IF(OR(L59="DNF",L59="OCS",L59="DSQ",L59="DNS",L59=" DNS "),$BW$3+1,L59))</f>
        <v>0</v>
      </c>
      <c r="BY59" s="61">
        <f>IF(M59="",0,IF(OR(M59="DNF",M59="OCS",M59="DSQ",M59="DNS",M59=" DNS "),$BW$3+1,M59))</f>
        <v>0</v>
      </c>
      <c r="BZ59" s="61">
        <f>IF(N59="",0,IF(OR(N59="DNF",N59="OCS",N59="DSQ",N59="DNS",N59=" DNS "),$BW$3+1,N59))</f>
        <v>0</v>
      </c>
      <c r="CA59" s="61">
        <f>IF(O59="",0,IF(OR(O59="DNF",O59="OCS",O59="DSQ",O59="DNS",O59=" DNS "),$BW$3+1,O59))</f>
        <v>0</v>
      </c>
      <c r="CB59" s="61">
        <f>IF(P59="",0,IF(OR(P59="DNF",P59="OCS",P59="DSQ",P59="DNS",P59=" DNS "),$BW$3+1,P59))</f>
        <v>0</v>
      </c>
      <c r="CC59" s="61">
        <f>IF(Q59="",0,IF(OR(Q59="DNF",Q59="OCS",Q59="DSQ",Q59="DNS",Q59=" DNS "),$BW$3+1,Q59))</f>
        <v>0</v>
      </c>
      <c r="CD59" s="61">
        <f>IF(R59="",0,IF(OR(R59="DNF",R59="OCS",R59="DSQ",R59="DNS",R59=" DNS "),$BW$3+1,R59))</f>
        <v>0</v>
      </c>
      <c r="CE59" s="61">
        <f>IF(S59="",0,IF(OR(S59="DNF",S59="OCS",S59="DSQ",S59="DNS",S59=" DNS "),$BW$3+1,S59))</f>
        <v>0</v>
      </c>
      <c r="CF59" s="61">
        <f>IF(T59="",0,IF(OR(T59="DNF",T59="OCS",T59="DSQ",T59="DNS",T59=" DNS "),$BW$3+1,T59))</f>
        <v>0</v>
      </c>
      <c r="CG59" s="61">
        <f>IF(U59="",0,IF(OR(U59="DNF",U59="OCS",U59="DSQ",U59="DNS",U59=" DNS "),$BW$3+1,U59))</f>
        <v>0</v>
      </c>
      <c r="CH59" s="61">
        <f>IF(V59="",0,IF(OR(V59="DNF",V59="OCS",V59="DSQ",V59="DNS",V59=" DNS "),$BW$3+1,V59))</f>
        <v>0</v>
      </c>
      <c r="CI59" s="61">
        <f>IF(W59="",0,IF(OR(W59="DNF",W59="OCS",W59="DSQ",W59="DNS",W59=" DNS "),$BW$3+1,W59))</f>
        <v>0</v>
      </c>
      <c r="CJ59" s="61">
        <f>IF(X59="",0,IF(OR(X59="DNF",X59="OCS",X59="DSQ",X59="DNS",X59=" DNS "),$BW$3+1,X59))</f>
        <v>0</v>
      </c>
      <c r="CK59" s="61">
        <f>IF(Y59="",0,IF(OR(Y59="DNF",Y59="OCS",Y59="DSQ",Y59="DNS",Y59=" DNS "),$BW$3+1,Y59))</f>
        <v>0</v>
      </c>
      <c r="CL59" s="61">
        <f>IF(Z59="",0,IF(OR(Z59="DNF",Z59="OCS",Z59="DSQ",Z59="DNS",Z59=" DNS "),$BW$3+1,Z59))</f>
        <v>0</v>
      </c>
      <c r="CM59" s="61">
        <f>IF(AA59="",0,IF(OR(AA59="DNF",AA59="OCS",AA59="DSQ",AA59="DNS",AA59=" DNS "),$BW$3+1,AA59))</f>
        <v>0</v>
      </c>
      <c r="CN59" s="61">
        <f>IF(AB59="",0,IF(OR(AB59="DNF",AB59="OCS",AB59="DSQ",AB59="DNS",AB59=" DNS "),$BW$3+1,AB59))</f>
        <v>0</v>
      </c>
      <c r="CO59" s="61">
        <f>IF(AC59="",0,IF(OR(AC59="DNF",AC59="OCS",AC59="DSQ",AC59="DNS",AC59=" DNS "),$BW$3+1,AC59))</f>
        <v>0</v>
      </c>
      <c r="CP59" s="61">
        <f>IF(AD59="",0,IF(OR(AD59="DNF",AD59="OCS",AD59="DSQ",AD59="DNS",AD59=" DNS "),$BW$3+1,AD59))</f>
        <v>0</v>
      </c>
      <c r="CQ59" s="61">
        <f>IF(AE59="",0,IF(OR(AE59="DNF",AE59="OCS",AE59="DSQ",AE59="DNS",AE59=" DNS "),$BW$3+1,AE59))</f>
        <v>0</v>
      </c>
      <c r="CR59" s="61">
        <f>IF(AF59="",0,IF(OR(AF59="DNF",AF59="OCS",AF59="DSQ",AF59="DNS",AF59=" DNS "),$BW$3+1,AF59))</f>
        <v>0</v>
      </c>
      <c r="CS59" s="61">
        <f>IF(AG59="",0,IF(OR(AG59="DNF",AG59="OCS",AG59="DSQ",AG59="DNS",AG59=" DNS "),$BW$3+1,AG59))</f>
        <v>0</v>
      </c>
      <c r="CT59" s="61">
        <f>IF(AH59="",0,IF(OR(AH59="DNF",AH59="OCS",AH59="DSQ",AH59="DNS",AH59=" DNS "),$BW$3+1,AH59))</f>
        <v>0</v>
      </c>
      <c r="CU59" s="61">
        <f>IF(AI59="",0,IF(OR(AI59="DNF",AI59="OCS",AI59="DSQ",AI59="DNS",AI59=" DNS "),$BW$3+1,AI59))</f>
        <v>0</v>
      </c>
      <c r="CV59" s="61">
        <f>IF(AJ59="",0,IF(OR(AJ59="DNF",AJ59="OCS",AJ59="DSQ",AJ59="DNS",AJ59=" DNS "),$BW$3+1,AJ59))</f>
        <v>0</v>
      </c>
      <c r="CW59" s="61">
        <f>IF(AK59="",0,IF(OR(AK59="DNF",AK59="OCS",AK59="DSQ",AK59="DNS",AK59=" DNS "),$BW$3+1,AK59))</f>
        <v>0</v>
      </c>
      <c r="CX59" s="61">
        <f>IF(AL59="",0,IF(OR(AL59="DNF",AL59="OCS",AL59="DSQ",AL59="DNS",AL59=" DNS "),$BW$3+1,AL59))</f>
        <v>0</v>
      </c>
      <c r="CY59" s="61">
        <f>IF(AM59="",0,IF(OR(AM59="DNF",AM59="OCS",AM59="DSQ",AM59="DNS",AM59=" DNS "),$BW$3+1,AM59))</f>
        <v>0</v>
      </c>
      <c r="CZ59" s="61">
        <f>IF(AN59="",0,IF(OR(AN59="DNF",AN59="OCS",AN59="DSQ",AN59="DNS",AN59=" DNS "),$BW$3+1,AN59))</f>
        <v>0</v>
      </c>
      <c r="DA59" s="61">
        <f>IF(AO59="",0,IF(OR(AO59="DNF",AO59="OCS",AO59="DSQ",AO59="DNS",AO59=" DNS "),$BW$3+1,AO59))</f>
        <v>0</v>
      </c>
      <c r="DB59" s="61">
        <f>IF(AP59="",0,IF(OR(AP59="DNF",AP59="OCS",AP59="DSQ",AP59="DNS",AP59=" DNS "),$BW$3+1,AP59))</f>
        <v>0</v>
      </c>
      <c r="DC59" s="61">
        <f>IF(AQ59="",0,IF(OR(AQ59="DNF",AQ59="OCS",AQ59="DSQ",AQ59="DNS",AQ59=" DNS "),$BW$3+1,AQ59))</f>
        <v>0</v>
      </c>
      <c r="DD59" s="61">
        <f>IF(AR59="",0,IF(OR(AR59="DNF",AR59="OCS",AR59="DSQ",AR59="DNS",AR59=" DNS "),$BW$3+1,AR59))</f>
        <v>0</v>
      </c>
      <c r="DE59" s="61">
        <f>IF(AS59="",0,IF(OR(AS59="DNF",AS59="OCS",AS59="DSQ",AS59="DNS",AS59=" DNS "),$BW$3+1,AS59))</f>
        <v>0</v>
      </c>
      <c r="DF59" s="61">
        <f>IF(AT59="",0,IF(OR(AT59="DNF",AT59="OCS",AT59="DSQ",AT59="DNS",AT59=" DNS "),$BW$3+1,AT59))</f>
        <v>0</v>
      </c>
      <c r="DG59" s="61">
        <f>IF(AU59="",0,IF(OR(AU59="DNF",AU59="OCS",AU59="DSQ",AU59="DNS",AU59=" DNS "),$BW$3+1,AU59))</f>
        <v>0</v>
      </c>
      <c r="DH59" s="61">
        <f>IF(AV59="",0,IF(OR(AV59="DNF",AV59="OCS",AV59="DSQ",AV59="DNS",AV59=" DNS "),$BW$3+1,AV59))</f>
        <v>0</v>
      </c>
      <c r="DI59" s="61">
        <f>IF(AW59="",0,IF(OR(AW59="DNF",AW59="OCS",AW59="DSQ",AW59="DNS",AW59=" DNS "),$BW$3+1,AW59))</f>
        <v>0</v>
      </c>
      <c r="DJ59" s="61">
        <f>IF(AX59="",0,IF(OR(AX59="DNF",AX59="OCS",AX59="DSQ",AX59="DNS",AX59=" DNS "),$BW$3+1,AX59))</f>
        <v>0</v>
      </c>
      <c r="DK59" s="61">
        <f>IF(AY59="",0,IF(OR(AY59="DNF",AY59="OCS",AY59="DSQ",AY59="DNS",AY59=" DNS "),$BW$3+1,AY59))</f>
        <v>0</v>
      </c>
      <c r="DL59" s="61">
        <f>IF(AZ59="",0,IF(OR(AZ59="DNF",AZ59="OCS",AZ59="DSQ",AZ59="DNS",AZ59=" DNS "),$BW$3+1,AZ59))</f>
        <v>0</v>
      </c>
      <c r="DM59" s="61">
        <f>IF(BA59="",0,IF(OR(BA59="DNF",BA59="OCS",BA59="DSQ",BA59="DNS",BA59=" DNS "),$BW$3+1,BA59))</f>
        <v>0</v>
      </c>
      <c r="DN59" s="61">
        <f>IF(BB59="",0,IF(OR(BB59="DNF",BB59="OCS",BB59="DSQ",BB59="DNS",BB59=" DNS "),$BW$3+1,BB59))</f>
        <v>0</v>
      </c>
      <c r="DO59" s="61">
        <f>IF(BC59="",0,IF(OR(BC59="DNF",BC59="OCS",BC59="DSQ",BC59="DNS",BC59=" DNS "),$BW$3+1,BC59))</f>
        <v>0</v>
      </c>
      <c r="DP59" s="61">
        <f>IF(BD59="",0,IF(OR(BD59="DNF",BD59="OCS",BD59="DSQ",BD59="DNS",BD59=" DNS "),$BW$3+1,BD59))</f>
        <v>0</v>
      </c>
      <c r="DQ59" s="61">
        <f>IF(BE59="",0,IF(OR(BE59="DNF",BE59="OCS",BE59="DSQ",BE59="DNS",BE59=" DNS "),$BW$3+1,BE59))</f>
        <v>0</v>
      </c>
      <c r="DR59" s="61">
        <f>IF(BF59="",0,IF(OR(BF59="DNF",BF59="OCS",BF59="DSQ",BF59="DNS",BF59=" DNS "),$BW$3+1,BF59))</f>
        <v>0</v>
      </c>
      <c r="DS59" s="61">
        <f>IF(BG59="",0,IF(OR(BG59="DNF",BG59="OCS",BG59="DSQ",BG59="DNS",BG59=" DNS "),$BW$3+1,BG59))</f>
        <v>0</v>
      </c>
      <c r="DT59" s="61">
        <f>IF(BH59="",0,IF(OR(BH59="DNF",BH59="OCS",BH59="DSQ",BH59="DNS",BH59=" DNS "),$BW$3+1,BH59))</f>
        <v>0</v>
      </c>
      <c r="DU59" s="61">
        <f>IF(BI59="",0,IF(OR(BI59="DNF",BI59="OCS",BI59="DSQ",BI59="DNS",BI59=" DNS "),$BW$3+1,BI59))</f>
        <v>0</v>
      </c>
      <c r="DV59" s="61">
        <f>IF(BJ59="",0,IF(OR(BJ59="DNF",BJ59="OCS",BJ59="DSQ",BJ59="DNS",BJ59=" DNS "),$BW$3+1,BJ59))</f>
        <v>0</v>
      </c>
      <c r="DW59" s="61">
        <f>IF(BK59="",0,IF(OR(BK59="DNF",BK59="OCS",BK59="DSQ",BK59="DNS",BK59=" DNS "),$BW$3+1,BK59))</f>
        <v>0</v>
      </c>
      <c r="DX59" s="61">
        <f>IF(BL59="",0,IF(OR(BL59="DNF",BL59="OCS",BL59="DSQ",BL59="DNS",BL59=" DNS "),$BW$3+1,BL59))</f>
        <v>0</v>
      </c>
      <c r="DY59" s="61">
        <f>IF(BM59="",0,IF(OR(BM59="DNF",BM59="OCS",BM59="DSQ",BM59="DNS",BM59=" DNS "),$BW$3+1,BM59))</f>
        <v>0</v>
      </c>
      <c r="DZ59" s="61">
        <f>IF(BN59="",0,IF(OR(BN59="DNF",BN59="OCS",BN59="DSQ",BN59="DNS",BN59=" DNS "),$BW$3+1,BN59))</f>
        <v>0</v>
      </c>
      <c r="EA59" s="61">
        <f>IF(BO59="",0,IF(OR(BO59="DNF",BO59="OCS",BO59="DSQ",BO59="DNS",BO59=" DNS "),$BW$3+1,BO59))</f>
        <v>0</v>
      </c>
      <c r="EB59" s="61">
        <f>IF(BP59="",0,IF(OR(BP59="DNF",BP59="OCS",BP59="DSQ",BP59="DNS",BP59=" DNS "),$BW$3+1,BP59))</f>
        <v>0</v>
      </c>
      <c r="EC59" s="61">
        <f>IF(BQ59="",0,IF(OR(BQ59="DNF",BQ59="OCS",BQ59="DSQ",BQ59="DNS",BQ59=" DNS "),$BW$3+1,BQ59))</f>
        <v>0</v>
      </c>
      <c r="EE59" s="61">
        <f xml:space="preserve">
IF(OR(Deltagarlista!$K$3=3,Deltagarlista!$K$3=4),
IF(Arrangörslista!$U$5&lt;8,0,
IF(Arrangörslista!$U$5&lt;16,SUM(LARGE(BV59:CJ59,1)),
IF(Arrangörslista!$U$5&lt;24,SUM(LARGE(BV59:CR59,{1;2})),
IF(Arrangörslista!$U$5&lt;32,SUM(LARGE(BV59:CZ59,{1;2;3})),
IF(Arrangörslista!$U$5&lt;40,SUM(LARGE(BV59:DH59,{1;2;3;4})),
IF(Arrangörslista!$U$5&lt;48,SUM(LARGE(BV59:DP59,{1;2;3;4;5})),
IF(Arrangörslista!$U$5&lt;56,SUM(LARGE(BV59:DX59,{1;2;3;4;5;6})),
IF(Arrangörslista!$U$5&lt;64,SUM(LARGE(BV59:EC59,{1;2;3;4;5;6;7})),0)))))))),
IF(Deltagarlista!$K$3=2,
IF(Arrangörslista!$U$5&lt;4,LARGE(BV59:BX59,1),
IF(Arrangörslista!$U$5&lt;7,SUM(LARGE(BV59:CA59,{1;2;3})),
IF(Arrangörslista!$U$5&lt;10,SUM(LARGE(BV59:CD59,{1;2;3;4})),
IF(Arrangörslista!$U$5&lt;13,SUM(LARGE(BV59:CG59,{1;2;3;4;5;6})),
IF(Arrangörslista!$U$5&lt;16,SUM(LARGE(BV59:CJ59,{1;2;3;4;5;6;7})),
IF(Arrangörslista!$U$5&lt;19,SUM(LARGE(BV59:CM59,{1;2;3;4;5;6;7;8;9})),
IF(Arrangörslista!$U$5&lt;22,SUM(LARGE(BV59:CP59,{1;2;3;4;5;6;7;8;9;10})),
IF(Arrangörslista!$U$5&lt;25,SUM(LARGE(BV59:CS59,{1;2;3;4;5;6;7;8;9;10;11;12})),
IF(Arrangörslista!$U$5&lt;28,SUM(LARGE(BV59:CV59,{1;2;3;4;5;6;7;8;9;10;11;12;13})),
IF(Arrangörslista!$U$5&lt;31,SUM(LARGE(BV59:CY59,{1;2;3;4;5;6;7;8;9;10;11;12;13;14;15})),
IF(Arrangörslista!$U$5&lt;34,SUM(LARGE(BV59:DB59,{1;2;3;4;5;6;7;8;9;10;11;12;13;14;15;16})),
IF(Arrangörslista!$U$5&lt;37,SUM(LARGE(BV59:DE59,{1;2;3;4;5;6;7;8;9;10;11;12;13;14;15;16;17;18})),
IF(Arrangörslista!$U$5&lt;40,SUM(LARGE(BV59:DH59,{1;2;3;4;5;6;7;8;9;10;11;12;13;14;15;16;17;18;19})),
IF(Arrangörslista!$U$5&lt;43,SUM(LARGE(BV59:DK59,{1;2;3;4;5;6;7;8;9;10;11;12;13;14;15;16;17;18;19;20;21})),
IF(Arrangörslista!$U$5&lt;46,SUM(LARGE(BV59:DN59,{1;2;3;4;5;6;7;8;9;10;11;12;13;14;15;16;17;18;19;20;21;22})),
IF(Arrangörslista!$U$5&lt;49,SUM(LARGE(BV59:DQ59,{1;2;3;4;5;6;7;8;9;10;11;12;13;14;15;16;17;18;19;20;21;22;23;24})),
IF(Arrangörslista!$U$5&lt;52,SUM(LARGE(BV59:DT59,{1;2;3;4;5;6;7;8;9;10;11;12;13;14;15;16;17;18;19;20;21;22;23;24;25})),
IF(Arrangörslista!$U$5&lt;55,SUM(LARGE(BV59:DW59,{1;2;3;4;5;6;7;8;9;10;11;12;13;14;15;16;17;18;19;20;21;22;23;24;25;26;27})),
IF(Arrangörslista!$U$5&lt;58,SUM(LARGE(BV59:DZ59,{1;2;3;4;5;6;7;8;9;10;11;12;13;14;15;16;17;18;19;20;21;22;23;24;25;26;27;28})),
IF(Arrangörslista!$U$5&lt;61,SUM(LARGE(BV59:EC59,{1;2;3;4;5;6;7;8;9;10;11;12;13;14;15;16;17;18;19;20;21;22;23;24;25;26;27;28;29;30})),0)))))))))))))))))))),
IF(Arrangörslista!$U$5&lt;4,0,
IF(Arrangörslista!$U$5&lt;8,SUM(LARGE(BV59:CB59,1)),
IF(Arrangörslista!$U$5&lt;12,SUM(LARGE(BV59:CF59,{1;2})),
IF(Arrangörslista!$U$5&lt;16,SUM(LARGE(BV59:CJ59,{1;2;3})),
IF(Arrangörslista!$U$5&lt;20,SUM(LARGE(BV59:CN59,{1;2;3;4})),
IF(Arrangörslista!$U$5&lt;24,SUM(LARGE(BV59:CR59,{1;2;3;4;5})),
IF(Arrangörslista!$U$5&lt;28,SUM(LARGE(BV59:CV59,{1;2;3;4;5;6})),
IF(Arrangörslista!$U$5&lt;32,SUM(LARGE(BV59:CZ59,{1;2;3;4;5;6;7})),
IF(Arrangörslista!$U$5&lt;36,SUM(LARGE(BV59:DD59,{1;2;3;4;5;6;7;8})),
IF(Arrangörslista!$U$5&lt;40,SUM(LARGE(BV59:DH59,{1;2;3;4;5;6;7;8;9})),
IF(Arrangörslista!$U$5&lt;44,SUM(LARGE(BV59:DL59,{1;2;3;4;5;6;7;8;9;10})),
IF(Arrangörslista!$U$5&lt;48,SUM(LARGE(BV59:DP59,{1;2;3;4;5;6;7;8;9;10;11})),
IF(Arrangörslista!$U$5&lt;52,SUM(LARGE(BV59:DT59,{1;2;3;4;5;6;7;8;9;10;11;12})),
IF(Arrangörslista!$U$5&lt;56,SUM(LARGE(BV59:DX59,{1;2;3;4;5;6;7;8;9;10;11;12;13})),
IF(Arrangörslista!$U$5&lt;60,SUM(LARGE(BV59:EB59,{1;2;3;4;5;6;7;8;9;10;11;12;13;14})),
IF(Arrangörslista!$U$5=60,SUM(LARGE(BV59:EC59,{1;2;3;4;5;6;7;8;9;10;11;12;13;14;15})),0))))))))))))))))))</f>
        <v>0</v>
      </c>
      <c r="EG59" s="67">
        <f>IF(F59="",,1)</f>
        <v>0</v>
      </c>
      <c r="EH59" s="61"/>
      <c r="EI59" s="61"/>
      <c r="EK59" s="62">
        <f>SMALL($J122:$BQ122,1)</f>
        <v>61</v>
      </c>
      <c r="EL59" s="62">
        <f>SMALL($J122:$BQ122,2)</f>
        <v>61</v>
      </c>
      <c r="EM59" s="62">
        <f>SMALL($J122:$BQ122,3)</f>
        <v>61</v>
      </c>
      <c r="EN59" s="62">
        <f>SMALL($J122:$BQ122,4)</f>
        <v>61</v>
      </c>
      <c r="EO59" s="62">
        <f>SMALL($J122:$BQ122,5)</f>
        <v>61</v>
      </c>
      <c r="EP59" s="62">
        <f>SMALL($J122:$BQ122,6)</f>
        <v>61</v>
      </c>
      <c r="EQ59" s="62">
        <f>SMALL($J122:$BQ122,7)</f>
        <v>61</v>
      </c>
      <c r="ER59" s="62">
        <f>SMALL($J122:$BQ122,8)</f>
        <v>61</v>
      </c>
      <c r="ES59" s="62">
        <f>SMALL($J122:$BQ122,9)</f>
        <v>61</v>
      </c>
      <c r="ET59" s="62">
        <f>SMALL($J122:$BQ122,10)</f>
        <v>61</v>
      </c>
      <c r="EU59" s="62">
        <f>SMALL($J122:$BQ122,11)</f>
        <v>61</v>
      </c>
      <c r="EV59" s="62">
        <f>SMALL($J122:$BQ122,12)</f>
        <v>61</v>
      </c>
      <c r="EW59" s="62">
        <f>SMALL($J122:$BQ122,13)</f>
        <v>61</v>
      </c>
      <c r="EX59" s="62">
        <f>SMALL($J122:$BQ122,14)</f>
        <v>61</v>
      </c>
      <c r="EY59" s="62">
        <f>SMALL($J122:$BQ122,15)</f>
        <v>61</v>
      </c>
      <c r="EZ59" s="62">
        <f>SMALL($J122:$BQ122,16)</f>
        <v>61</v>
      </c>
      <c r="FA59" s="62">
        <f>SMALL($J122:$BQ122,17)</f>
        <v>61</v>
      </c>
      <c r="FB59" s="62">
        <f>SMALL($J122:$BQ122,18)</f>
        <v>61</v>
      </c>
      <c r="FC59" s="62">
        <f>SMALL($J122:$BQ122,19)</f>
        <v>61</v>
      </c>
      <c r="FD59" s="62">
        <f>SMALL($J122:$BQ122,20)</f>
        <v>61</v>
      </c>
      <c r="FE59" s="62">
        <f>SMALL($J122:$BQ122,21)</f>
        <v>61</v>
      </c>
      <c r="FF59" s="62">
        <f>SMALL($J122:$BQ122,22)</f>
        <v>61</v>
      </c>
      <c r="FG59" s="62">
        <f>SMALL($J122:$BQ122,23)</f>
        <v>61</v>
      </c>
      <c r="FH59" s="62">
        <f>SMALL($J122:$BQ122,24)</f>
        <v>61</v>
      </c>
      <c r="FI59" s="62">
        <f>SMALL($J122:$BQ122,25)</f>
        <v>61</v>
      </c>
      <c r="FJ59" s="62">
        <f>SMALL($J122:$BQ122,26)</f>
        <v>61</v>
      </c>
      <c r="FK59" s="62">
        <f>SMALL($J122:$BQ122,27)</f>
        <v>61</v>
      </c>
      <c r="FL59" s="62">
        <f>SMALL($J122:$BQ122,28)</f>
        <v>61</v>
      </c>
      <c r="FM59" s="62">
        <f>SMALL($J122:$BQ122,29)</f>
        <v>61</v>
      </c>
      <c r="FN59" s="62">
        <f>SMALL($J122:$BQ122,30)</f>
        <v>61</v>
      </c>
      <c r="FO59" s="62">
        <f>SMALL($J122:$BQ122,31)</f>
        <v>61</v>
      </c>
      <c r="FP59" s="62">
        <f>SMALL($J122:$BQ122,32)</f>
        <v>61</v>
      </c>
      <c r="FQ59" s="62">
        <f>SMALL($J122:$BQ122,33)</f>
        <v>61</v>
      </c>
      <c r="FR59" s="62">
        <f>SMALL($J122:$BQ122,34)</f>
        <v>61</v>
      </c>
      <c r="FS59" s="62">
        <f>SMALL($J122:$BQ122,35)</f>
        <v>61</v>
      </c>
      <c r="FT59" s="62">
        <f>SMALL($J122:$BQ122,36)</f>
        <v>61</v>
      </c>
      <c r="FU59" s="62">
        <f>SMALL($J122:$BQ122,37)</f>
        <v>61</v>
      </c>
      <c r="FV59" s="62">
        <f>SMALL($J122:$BQ122,38)</f>
        <v>61</v>
      </c>
      <c r="FW59" s="62">
        <f>SMALL($J122:$BQ122,39)</f>
        <v>61</v>
      </c>
      <c r="FX59" s="62">
        <f>SMALL($J122:$BQ122,40)</f>
        <v>61</v>
      </c>
      <c r="FY59" s="62">
        <f>SMALL($J122:$BQ122,41)</f>
        <v>61</v>
      </c>
      <c r="FZ59" s="62">
        <f>SMALL($J122:$BQ122,42)</f>
        <v>61</v>
      </c>
      <c r="GA59" s="62">
        <f>SMALL($J122:$BQ122,43)</f>
        <v>61</v>
      </c>
      <c r="GB59" s="62">
        <f>SMALL($J122:$BQ122,44)</f>
        <v>61</v>
      </c>
      <c r="GC59" s="62">
        <f>SMALL($J122:$BQ122,45)</f>
        <v>61</v>
      </c>
      <c r="GD59" s="62">
        <f>SMALL($J122:$BQ122,46)</f>
        <v>61</v>
      </c>
      <c r="GE59" s="62">
        <f>SMALL($J122:$BQ122,47)</f>
        <v>61</v>
      </c>
      <c r="GF59" s="62">
        <f>SMALL($J122:$BQ122,48)</f>
        <v>61</v>
      </c>
      <c r="GG59" s="62">
        <f>SMALL($J122:$BQ122,49)</f>
        <v>61</v>
      </c>
      <c r="GH59" s="62">
        <f>SMALL($J122:$BQ122,50)</f>
        <v>61</v>
      </c>
      <c r="GI59" s="62">
        <f>SMALL($J122:$BQ122,51)</f>
        <v>61</v>
      </c>
      <c r="GJ59" s="62">
        <f>SMALL($J122:$BQ122,52)</f>
        <v>61</v>
      </c>
      <c r="GK59" s="62">
        <f>SMALL($J122:$BQ122,53)</f>
        <v>61</v>
      </c>
      <c r="GL59" s="62">
        <f>SMALL($J122:$BQ122,54)</f>
        <v>61</v>
      </c>
      <c r="GM59" s="62">
        <f>SMALL($J122:$BQ122,55)</f>
        <v>61</v>
      </c>
      <c r="GN59" s="62">
        <f>SMALL($J122:$BQ122,56)</f>
        <v>61</v>
      </c>
      <c r="GO59" s="62">
        <f>SMALL($J122:$BQ122,57)</f>
        <v>61</v>
      </c>
      <c r="GP59" s="62">
        <f>SMALL($J122:$BQ122,58)</f>
        <v>61</v>
      </c>
      <c r="GQ59" s="62">
        <f>SMALL($J122:$BQ122,59)</f>
        <v>61</v>
      </c>
      <c r="GR59" s="62">
        <f>SMALL($J122:$BQ122,60)</f>
        <v>61</v>
      </c>
      <c r="GT59" s="62">
        <f>IF(Deltagarlista!$K$3=2,
IF(GW59="1",
      IF(Arrangörslista!$U$5=1,J122,
IF(Arrangörslista!$U$5=2,K122,
IF(Arrangörslista!$U$5=3,L122,
IF(Arrangörslista!$U$5=4,M122,
IF(Arrangörslista!$U$5=5,N122,
IF(Arrangörslista!$U$5=6,O122,
IF(Arrangörslista!$U$5=7,P122,
IF(Arrangörslista!$U$5=8,Q122,
IF(Arrangörslista!$U$5=9,R122,
IF(Arrangörslista!$U$5=10,S122,
IF(Arrangörslista!$U$5=11,T122,
IF(Arrangörslista!$U$5=12,U122,
IF(Arrangörslista!$U$5=13,V122,
IF(Arrangörslista!$U$5=14,W122,
IF(Arrangörslista!$U$5=15,X122,
IF(Arrangörslista!$U$5=16,Y122,IF(Arrangörslista!$U$5=17,Z122,IF(Arrangörslista!$U$5=18,AA122,IF(Arrangörslista!$U$5=19,AB122,IF(Arrangörslista!$U$5=20,AC122,IF(Arrangörslista!$U$5=21,AD122,IF(Arrangörslista!$U$5=22,AE122,IF(Arrangörslista!$U$5=23,AF122, IF(Arrangörslista!$U$5=24,AG122, IF(Arrangörslista!$U$5=25,AH122, IF(Arrangörslista!$U$5=26,AI122, IF(Arrangörslista!$U$5=27,AJ122, IF(Arrangörslista!$U$5=28,AK122, IF(Arrangörslista!$U$5=29,AL122, IF(Arrangörslista!$U$5=30,AM122, IF(Arrangörslista!$U$5=31,AN122, IF(Arrangörslista!$U$5=32,AO122, IF(Arrangörslista!$U$5=33,AP122, IF(Arrangörslista!$U$5=34,AQ122, IF(Arrangörslista!$U$5=35,AR122, IF(Arrangörslista!$U$5=36,AS122, IF(Arrangörslista!$U$5=37,AT122, IF(Arrangörslista!$U$5=38,AU122, IF(Arrangörslista!$U$5=39,AV122, IF(Arrangörslista!$U$5=40,AW122, IF(Arrangörslista!$U$5=41,AX122, IF(Arrangörslista!$U$5=42,AY122, IF(Arrangörslista!$U$5=43,AZ122, IF(Arrangörslista!$U$5=44,BA122, IF(Arrangörslista!$U$5=45,BB122, IF(Arrangörslista!$U$5=46,BC122, IF(Arrangörslista!$U$5=47,BD122, IF(Arrangörslista!$U$5=48,BE122, IF(Arrangörslista!$U$5=49,BF122, IF(Arrangörslista!$U$5=50,BG122, IF(Arrangörslista!$U$5=51,BH122, IF(Arrangörslista!$U$5=52,BI122, IF(Arrangörslista!$U$5=53,BJ122, IF(Arrangörslista!$U$5=54,BK122, IF(Arrangörslista!$U$5=55,BL122, IF(Arrangörslista!$U$5=56,BM122, IF(Arrangörslista!$U$5=57,BN122, IF(Arrangörslista!$U$5=58,BO122, IF(Arrangörslista!$U$5=59,BP122, IF(Arrangörslista!$U$5=60,BQ122,0))))))))))))))))))))))))))))))))))))))))))))))))))))))))))))),IF(Deltagarlista!$K$3=4, IF(Arrangörslista!$U$5=1,J122,
IF(Arrangörslista!$U$5=2,J122,
IF(Arrangörslista!$U$5=3,K122,
IF(Arrangörslista!$U$5=4,K122,
IF(Arrangörslista!$U$5=5,L122,
IF(Arrangörslista!$U$5=6,L122,
IF(Arrangörslista!$U$5=7,M122,
IF(Arrangörslista!$U$5=8,M122,
IF(Arrangörslista!$U$5=9,N122,
IF(Arrangörslista!$U$5=10,N122,
IF(Arrangörslista!$U$5=11,O122,
IF(Arrangörslista!$U$5=12,O122,
IF(Arrangörslista!$U$5=13,P122,
IF(Arrangörslista!$U$5=14,P122,
IF(Arrangörslista!$U$5=15,Q122,
IF(Arrangörslista!$U$5=16,Q122,
IF(Arrangörslista!$U$5=17,R122,
IF(Arrangörslista!$U$5=18,R122,
IF(Arrangörslista!$U$5=19,S122,
IF(Arrangörslista!$U$5=20,S122,
IF(Arrangörslista!$U$5=21,T122,
IF(Arrangörslista!$U$5=22,T122,IF(Arrangörslista!$U$5=23,U122, IF(Arrangörslista!$U$5=24,U122, IF(Arrangörslista!$U$5=25,V122, IF(Arrangörslista!$U$5=26,V122, IF(Arrangörslista!$U$5=27,W122, IF(Arrangörslista!$U$5=28,W122, IF(Arrangörslista!$U$5=29,X122, IF(Arrangörslista!$U$5=30,X122, IF(Arrangörslista!$U$5=31,X122, IF(Arrangörslista!$U$5=32,Y122, IF(Arrangörslista!$U$5=33,AO122, IF(Arrangörslista!$U$5=34,Y122, IF(Arrangörslista!$U$5=35,Z122, IF(Arrangörslista!$U$5=36,AR122, IF(Arrangörslista!$U$5=37,Z122, IF(Arrangörslista!$U$5=38,AA122, IF(Arrangörslista!$U$5=39,AU122, IF(Arrangörslista!$U$5=40,AA122, IF(Arrangörslista!$U$5=41,AB122, IF(Arrangörslista!$U$5=42,AX122, IF(Arrangörslista!$U$5=43,AB122, IF(Arrangörslista!$U$5=44,AC122, IF(Arrangörslista!$U$5=45,BA122, IF(Arrangörslista!$U$5=46,AC122, IF(Arrangörslista!$U$5=47,AD122, IF(Arrangörslista!$U$5=48,BD122, IF(Arrangörslista!$U$5=49,AD122, IF(Arrangörslista!$U$5=50,AE122, IF(Arrangörslista!$U$5=51,BG122, IF(Arrangörslista!$U$5=52,AE122, IF(Arrangörslista!$U$5=53,AF122, IF(Arrangörslista!$U$5=54,BJ122, IF(Arrangörslista!$U$5=55,AF122, IF(Arrangörslista!$U$5=56,AG122, IF(Arrangörslista!$U$5=57,BM122, IF(Arrangörslista!$U$5=58,AG122, IF(Arrangörslista!$U$5=59,AH122, IF(Arrangörslista!$U$5=60,AH122,0)))))))))))))))))))))))))))))))))))))))))))))))))))))))))))),IF(Arrangörslista!$U$5=1,J122,
IF(Arrangörslista!$U$5=2,K122,
IF(Arrangörslista!$U$5=3,L122,
IF(Arrangörslista!$U$5=4,M122,
IF(Arrangörslista!$U$5=5,N122,
IF(Arrangörslista!$U$5=6,O122,
IF(Arrangörslista!$U$5=7,P122,
IF(Arrangörslista!$U$5=8,Q122,
IF(Arrangörslista!$U$5=9,R122,
IF(Arrangörslista!$U$5=10,S122,
IF(Arrangörslista!$U$5=11,T122,
IF(Arrangörslista!$U$5=12,U122,
IF(Arrangörslista!$U$5=13,V122,
IF(Arrangörslista!$U$5=14,W122,
IF(Arrangörslista!$U$5=15,X122,
IF(Arrangörslista!$U$5=16,Y122,IF(Arrangörslista!$U$5=17,Z122,IF(Arrangörslista!$U$5=18,AA122,IF(Arrangörslista!$U$5=19,AB122,IF(Arrangörslista!$U$5=20,AC122,IF(Arrangörslista!$U$5=21,AD122,IF(Arrangörslista!$U$5=22,AE122,IF(Arrangörslista!$U$5=23,AF122, IF(Arrangörslista!$U$5=24,AG122, IF(Arrangörslista!$U$5=25,AH122, IF(Arrangörslista!$U$5=26,AI122, IF(Arrangörslista!$U$5=27,AJ122, IF(Arrangörslista!$U$5=28,AK122, IF(Arrangörslista!$U$5=29,AL122, IF(Arrangörslista!$U$5=30,AM122, IF(Arrangörslista!$U$5=31,AN122, IF(Arrangörslista!$U$5=32,AO122, IF(Arrangörslista!$U$5=33,AP122, IF(Arrangörslista!$U$5=34,AQ122, IF(Arrangörslista!$U$5=35,AR122, IF(Arrangörslista!$U$5=36,AS122, IF(Arrangörslista!$U$5=37,AT122, IF(Arrangörslista!$U$5=38,AU122, IF(Arrangörslista!$U$5=39,AV122, IF(Arrangörslista!$U$5=40,AW122, IF(Arrangörslista!$U$5=41,AX122, IF(Arrangörslista!$U$5=42,AY122, IF(Arrangörslista!$U$5=43,AZ122, IF(Arrangörslista!$U$5=44,BA122, IF(Arrangörslista!$U$5=45,BB122, IF(Arrangörslista!$U$5=46,BC122, IF(Arrangörslista!$U$5=47,BD122, IF(Arrangörslista!$U$5=48,BE122, IF(Arrangörslista!$U$5=49,BF122, IF(Arrangörslista!$U$5=50,BG122, IF(Arrangörslista!$U$5=51,BH122, IF(Arrangörslista!$U$5=52,BI122, IF(Arrangörslista!$U$5=53,BJ122, IF(Arrangörslista!$U$5=54,BK122, IF(Arrangörslista!$U$5=55,BL122, IF(Arrangörslista!$U$5=56,BM122, IF(Arrangörslista!$U$5=57,BN122, IF(Arrangörslista!$U$5=58,BO122, IF(Arrangörslista!$U$5=59,BP122, IF(Arrangörslista!$U$5=60,BQ122,0))))))))))))))))))))))))))))))))))))))))))))))))))))))))))))
))</f>
        <v>0</v>
      </c>
      <c r="GV59" s="65" t="str">
        <f>IFERROR(IF(VLOOKUP(F59,Deltagarlista!$E$5:$I$64,5,FALSE)="Grön","Gr",IF(VLOOKUP(F59,Deltagarlista!$E$5:$I$64,5,FALSE)="Röd","R",IF(VLOOKUP(F59,Deltagarlista!$E$5:$I$64,5,FALSE)="Blå","B","Gu"))),"")</f>
        <v/>
      </c>
      <c r="GW59" s="62" t="str">
        <f t="shared" si="1"/>
        <v/>
      </c>
    </row>
    <row r="60" spans="1:205" ht="15.75" customHeight="1" x14ac:dyDescent="0.3">
      <c r="B60" s="23" t="str">
        <f>IF($BW$3&gt;56,57,"")</f>
        <v/>
      </c>
      <c r="C60" s="92" t="str">
        <f>IF(ISBLANK(Deltagarlista!C54),"",Deltagarlista!C54)</f>
        <v/>
      </c>
      <c r="D60" s="109" t="str">
        <f>CONCATENATE(IF(AND(Deltagarlista!H54="GM",Deltagarlista!$S$14=TRUE),"GM   ",""), IF(OR(Deltagarlista!$K$3=4,Deltagarlista!$K$3=2),Deltagarlista!I54,""))</f>
        <v/>
      </c>
      <c r="E60" s="8" t="str">
        <f>IF(ISBLANK(Deltagarlista!D54),"",Deltagarlista!D54)</f>
        <v/>
      </c>
      <c r="F60" s="8" t="str">
        <f>IF(ISBLANK(Deltagarlista!E54),"",Deltagarlista!E54)</f>
        <v/>
      </c>
      <c r="G60" s="95" t="str">
        <f>IF(ISBLANK(Deltagarlista!F54),"",Deltagarlista!F54)</f>
        <v/>
      </c>
      <c r="H60" s="72" t="str">
        <f>IF(ISBLANK(Deltagarlista!C54),"",BU60-EE60)</f>
        <v/>
      </c>
      <c r="I60" s="13" t="str">
        <f>IF(ISBLANK(Deltagarlista!C54),"",IF(AND(Deltagarlista!$K$3=2,Deltagarlista!$L$3&lt;37),SUM(SUM(BV60:EC60)-(ROUNDDOWN(Arrangörslista!$U$5/3,1))*($BW$3+1)),SUM(BV60:EC60)))</f>
        <v/>
      </c>
      <c r="J60" s="79" t="str">
        <f>IF(Deltagarlista!$K$3=4,IF(ISBLANK(Deltagarlista!$C54),"",IF(ISBLANK(Arrangörslista!C$8),"",IFERROR(VLOOKUP($F60,Arrangörslista!C$8:$AG$45,16,FALSE),IF(ISBLANK(Deltagarlista!$C54),"",IF(ISBLANK(Arrangörslista!C$8),"",IFERROR(VLOOKUP($F60,Arrangörslista!D$8:$AG$45,16,FALSE),"DNS")))))),IF(Deltagarlista!$K$3=2,
IF(ISBLANK(Deltagarlista!$C54),"",IF(ISBLANK(Arrangörslista!C$8),"",IF($GV60=J$64," DNS ",IFERROR(VLOOKUP($F60,Arrangörslista!C$8:$AG$45,16,FALSE),"DNS")))),IF(ISBLANK(Deltagarlista!$C54),"",IF(ISBLANK(Arrangörslista!C$8),"",IFERROR(VLOOKUP($F60,Arrangörslista!C$8:$AG$45,16,FALSE),"DNS")))))</f>
        <v/>
      </c>
      <c r="K60" s="5" t="str">
        <f>IF(Deltagarlista!$K$3=4,IF(ISBLANK(Deltagarlista!$C54),"",IF(ISBLANK(Arrangörslista!E$8),"",IFERROR(VLOOKUP($F60,Arrangörslista!E$8:$AG$45,16,FALSE),IF(ISBLANK(Deltagarlista!$C54),"",IF(ISBLANK(Arrangörslista!E$8),"",IFERROR(VLOOKUP($F60,Arrangörslista!F$8:$AG$45,16,FALSE),"DNS")))))),IF(Deltagarlista!$K$3=2,
IF(ISBLANK(Deltagarlista!$C54),"",IF(ISBLANK(Arrangörslista!D$8),"",IF($GV60=K$64," DNS ",IFERROR(VLOOKUP($F60,Arrangörslista!D$8:$AG$45,16,FALSE),"DNS")))),IF(ISBLANK(Deltagarlista!$C54),"",IF(ISBLANK(Arrangörslista!D$8),"",IFERROR(VLOOKUP($F60,Arrangörslista!D$8:$AG$45,16,FALSE),"DNS")))))</f>
        <v/>
      </c>
      <c r="L60" s="5" t="str">
        <f>IF(Deltagarlista!$K$3=4,IF(ISBLANK(Deltagarlista!$C54),"",IF(ISBLANK(Arrangörslista!G$8),"",IFERROR(VLOOKUP($F60,Arrangörslista!G$8:$AG$45,16,FALSE),IF(ISBLANK(Deltagarlista!$C54),"",IF(ISBLANK(Arrangörslista!G$8),"",IFERROR(VLOOKUP($F60,Arrangörslista!H$8:$AG$45,16,FALSE),"DNS")))))),IF(Deltagarlista!$K$3=2,
IF(ISBLANK(Deltagarlista!$C54),"",IF(ISBLANK(Arrangörslista!E$8),"",IF($GV60=L$64," DNS ",IFERROR(VLOOKUP($F60,Arrangörslista!E$8:$AG$45,16,FALSE),"DNS")))),IF(ISBLANK(Deltagarlista!$C54),"",IF(ISBLANK(Arrangörslista!E$8),"",IFERROR(VLOOKUP($F60,Arrangörslista!E$8:$AG$45,16,FALSE),"DNS")))))</f>
        <v/>
      </c>
      <c r="M60" s="5" t="str">
        <f>IF(Deltagarlista!$K$3=4,IF(ISBLANK(Deltagarlista!$C54),"",IF(ISBLANK(Arrangörslista!I$8),"",IFERROR(VLOOKUP($F60,Arrangörslista!I$8:$AG$45,16,FALSE),IF(ISBLANK(Deltagarlista!$C54),"",IF(ISBLANK(Arrangörslista!I$8),"",IFERROR(VLOOKUP($F60,Arrangörslista!J$8:$AG$45,16,FALSE),"DNS")))))),IF(Deltagarlista!$K$3=2,
IF(ISBLANK(Deltagarlista!$C54),"",IF(ISBLANK(Arrangörslista!F$8),"",IF($GV60=M$64," DNS ",IFERROR(VLOOKUP($F60,Arrangörslista!F$8:$AG$45,16,FALSE),"DNS")))),IF(ISBLANK(Deltagarlista!$C54),"",IF(ISBLANK(Arrangörslista!F$8),"",IFERROR(VLOOKUP($F60,Arrangörslista!F$8:$AG$45,16,FALSE),"DNS")))))</f>
        <v/>
      </c>
      <c r="N60" s="5" t="str">
        <f>IF(Deltagarlista!$K$3=4,IF(ISBLANK(Deltagarlista!$C54),"",IF(ISBLANK(Arrangörslista!K$8),"",IFERROR(VLOOKUP($F60,Arrangörslista!K$8:$AG$45,16,FALSE),IF(ISBLANK(Deltagarlista!$C54),"",IF(ISBLANK(Arrangörslista!K$8),"",IFERROR(VLOOKUP($F60,Arrangörslista!L$8:$AG$45,16,FALSE),"DNS")))))),IF(Deltagarlista!$K$3=2,
IF(ISBLANK(Deltagarlista!$C54),"",IF(ISBLANK(Arrangörslista!G$8),"",IF($GV60=N$64," DNS ",IFERROR(VLOOKUP($F60,Arrangörslista!G$8:$AG$45,16,FALSE),"DNS")))),IF(ISBLANK(Deltagarlista!$C54),"",IF(ISBLANK(Arrangörslista!G$8),"",IFERROR(VLOOKUP($F60,Arrangörslista!G$8:$AG$45,16,FALSE),"DNS")))))</f>
        <v/>
      </c>
      <c r="O60" s="5" t="str">
        <f>IF(Deltagarlista!$K$3=4,IF(ISBLANK(Deltagarlista!$C54),"",IF(ISBLANK(Arrangörslista!M$8),"",IFERROR(VLOOKUP($F60,Arrangörslista!M$8:$AG$45,16,FALSE),IF(ISBLANK(Deltagarlista!$C54),"",IF(ISBLANK(Arrangörslista!M$8),"",IFERROR(VLOOKUP($F60,Arrangörslista!N$8:$AG$45,16,FALSE),"DNS")))))),IF(Deltagarlista!$K$3=2,
IF(ISBLANK(Deltagarlista!$C54),"",IF(ISBLANK(Arrangörslista!H$8),"",IF($GV60=O$64," DNS ",IFERROR(VLOOKUP($F60,Arrangörslista!H$8:$AG$45,16,FALSE),"DNS")))),IF(ISBLANK(Deltagarlista!$C54),"",IF(ISBLANK(Arrangörslista!H$8),"",IFERROR(VLOOKUP($F60,Arrangörslista!H$8:$AG$45,16,FALSE),"DNS")))))</f>
        <v/>
      </c>
      <c r="P60" s="5" t="str">
        <f>IF(Deltagarlista!$K$3=4,IF(ISBLANK(Deltagarlista!$C54),"",IF(ISBLANK(Arrangörslista!O$8),"",IFERROR(VLOOKUP($F60,Arrangörslista!O$8:$AG$45,16,FALSE),IF(ISBLANK(Deltagarlista!$C54),"",IF(ISBLANK(Arrangörslista!O$8),"",IFERROR(VLOOKUP($F60,Arrangörslista!P$8:$AG$45,16,FALSE),"DNS")))))),IF(Deltagarlista!$K$3=2,
IF(ISBLANK(Deltagarlista!$C54),"",IF(ISBLANK(Arrangörslista!I$8),"",IF($GV60=P$64," DNS ",IFERROR(VLOOKUP($F60,Arrangörslista!I$8:$AG$45,16,FALSE),"DNS")))),IF(ISBLANK(Deltagarlista!$C54),"",IF(ISBLANK(Arrangörslista!I$8),"",IFERROR(VLOOKUP($F60,Arrangörslista!I$8:$AG$45,16,FALSE),"DNS")))))</f>
        <v/>
      </c>
      <c r="Q60" s="5" t="str">
        <f>IF(Deltagarlista!$K$3=4,IF(ISBLANK(Deltagarlista!$C54),"",IF(ISBLANK(Arrangörslista!Q$8),"",IFERROR(VLOOKUP($F60,Arrangörslista!Q$8:$AG$45,16,FALSE),IF(ISBLANK(Deltagarlista!$C54),"",IF(ISBLANK(Arrangörslista!Q$8),"",IFERROR(VLOOKUP($F60,Arrangörslista!C$53:$AG$90,16,FALSE),"DNS")))))),IF(Deltagarlista!$K$3=2,
IF(ISBLANK(Deltagarlista!$C54),"",IF(ISBLANK(Arrangörslista!J$8),"",IF($GV60=Q$64," DNS ",IFERROR(VLOOKUP($F60,Arrangörslista!J$8:$AG$45,16,FALSE),"DNS")))),IF(ISBLANK(Deltagarlista!$C54),"",IF(ISBLANK(Arrangörslista!J$8),"",IFERROR(VLOOKUP($F60,Arrangörslista!J$8:$AG$45,16,FALSE),"DNS")))))</f>
        <v/>
      </c>
      <c r="R60" s="5" t="str">
        <f>IF(Deltagarlista!$K$3=4,IF(ISBLANK(Deltagarlista!$C54),"",IF(ISBLANK(Arrangörslista!D$53),"",IFERROR(VLOOKUP($F60,Arrangörslista!D$53:$AG$90,16,FALSE),IF(ISBLANK(Deltagarlista!$C54),"",IF(ISBLANK(Arrangörslista!D$53),"",IFERROR(VLOOKUP($F60,Arrangörslista!E$53:$AG$90,16,FALSE),"DNS")))))),IF(Deltagarlista!$K$3=2,
IF(ISBLANK(Deltagarlista!$C54),"",IF(ISBLANK(Arrangörslista!K$8),"",IF($GV60=R$64," DNS ",IFERROR(VLOOKUP($F60,Arrangörslista!K$8:$AG$45,16,FALSE),"DNS")))),IF(ISBLANK(Deltagarlista!$C54),"",IF(ISBLANK(Arrangörslista!K$8),"",IFERROR(VLOOKUP($F60,Arrangörslista!K$8:$AG$45,16,FALSE),"DNS")))))</f>
        <v/>
      </c>
      <c r="S60" s="5" t="str">
        <f>IF(Deltagarlista!$K$3=4,IF(ISBLANK(Deltagarlista!$C54),"",IF(ISBLANK(Arrangörslista!F$53),"",IFERROR(VLOOKUP($F60,Arrangörslista!F$53:$AG$90,16,FALSE),IF(ISBLANK(Deltagarlista!$C54),"",IF(ISBLANK(Arrangörslista!F$53),"",IFERROR(VLOOKUP($F60,Arrangörslista!G$53:$AG$90,16,FALSE),"DNS")))))),IF(Deltagarlista!$K$3=2,
IF(ISBLANK(Deltagarlista!$C54),"",IF(ISBLANK(Arrangörslista!L$8),"",IF($GV60=S$64," DNS ",IFERROR(VLOOKUP($F60,Arrangörslista!L$8:$AG$45,16,FALSE),"DNS")))),IF(ISBLANK(Deltagarlista!$C54),"",IF(ISBLANK(Arrangörslista!L$8),"",IFERROR(VLOOKUP($F60,Arrangörslista!L$8:$AG$45,16,FALSE),"DNS")))))</f>
        <v/>
      </c>
      <c r="T60" s="5" t="str">
        <f>IF(Deltagarlista!$K$3=4,IF(ISBLANK(Deltagarlista!$C54),"",IF(ISBLANK(Arrangörslista!H$53),"",IFERROR(VLOOKUP($F60,Arrangörslista!H$53:$AG$90,16,FALSE),IF(ISBLANK(Deltagarlista!$C54),"",IF(ISBLANK(Arrangörslista!H$53),"",IFERROR(VLOOKUP($F60,Arrangörslista!I$53:$AG$90,16,FALSE),"DNS")))))),IF(Deltagarlista!$K$3=2,
IF(ISBLANK(Deltagarlista!$C54),"",IF(ISBLANK(Arrangörslista!M$8),"",IF($GV60=T$64," DNS ",IFERROR(VLOOKUP($F60,Arrangörslista!M$8:$AG$45,16,FALSE),"DNS")))),IF(ISBLANK(Deltagarlista!$C54),"",IF(ISBLANK(Arrangörslista!M$8),"",IFERROR(VLOOKUP($F60,Arrangörslista!M$8:$AG$45,16,FALSE),"DNS")))))</f>
        <v/>
      </c>
      <c r="U60" s="5" t="str">
        <f>IF(Deltagarlista!$K$3=4,IF(ISBLANK(Deltagarlista!$C54),"",IF(ISBLANK(Arrangörslista!J$53),"",IFERROR(VLOOKUP($F60,Arrangörslista!J$53:$AG$90,16,FALSE),IF(ISBLANK(Deltagarlista!$C54),"",IF(ISBLANK(Arrangörslista!J$53),"",IFERROR(VLOOKUP($F60,Arrangörslista!K$53:$AG$90,16,FALSE),"DNS")))))),IF(Deltagarlista!$K$3=2,
IF(ISBLANK(Deltagarlista!$C54),"",IF(ISBLANK(Arrangörslista!N$8),"",IF($GV60=U$64," DNS ",IFERROR(VLOOKUP($F60,Arrangörslista!N$8:$AG$45,16,FALSE),"DNS")))),IF(ISBLANK(Deltagarlista!$C54),"",IF(ISBLANK(Arrangörslista!N$8),"",IFERROR(VLOOKUP($F60,Arrangörslista!N$8:$AG$45,16,FALSE),"DNS")))))</f>
        <v/>
      </c>
      <c r="V60" s="5" t="str">
        <f>IF(Deltagarlista!$K$3=4,IF(ISBLANK(Deltagarlista!$C54),"",IF(ISBLANK(Arrangörslista!L$53),"",IFERROR(VLOOKUP($F60,Arrangörslista!L$53:$AG$90,16,FALSE),IF(ISBLANK(Deltagarlista!$C54),"",IF(ISBLANK(Arrangörslista!L$53),"",IFERROR(VLOOKUP($F60,Arrangörslista!M$53:$AG$90,16,FALSE),"DNS")))))),IF(Deltagarlista!$K$3=2,
IF(ISBLANK(Deltagarlista!$C54),"",IF(ISBLANK(Arrangörslista!O$8),"",IF($GV60=V$64," DNS ",IFERROR(VLOOKUP($F60,Arrangörslista!O$8:$AG$45,16,FALSE),"DNS")))),IF(ISBLANK(Deltagarlista!$C54),"",IF(ISBLANK(Arrangörslista!O$8),"",IFERROR(VLOOKUP($F60,Arrangörslista!O$8:$AG$45,16,FALSE),"DNS")))))</f>
        <v/>
      </c>
      <c r="W60" s="5" t="str">
        <f>IF(Deltagarlista!$K$3=4,IF(ISBLANK(Deltagarlista!$C54),"",IF(ISBLANK(Arrangörslista!N$53),"",IFERROR(VLOOKUP($F60,Arrangörslista!N$53:$AG$90,16,FALSE),IF(ISBLANK(Deltagarlista!$C54),"",IF(ISBLANK(Arrangörslista!N$53),"",IFERROR(VLOOKUP($F60,Arrangörslista!O$53:$AG$90,16,FALSE),"DNS")))))),IF(Deltagarlista!$K$3=2,
IF(ISBLANK(Deltagarlista!$C54),"",IF(ISBLANK(Arrangörslista!P$8),"",IF($GV60=W$64," DNS ",IFERROR(VLOOKUP($F60,Arrangörslista!P$8:$AG$45,16,FALSE),"DNS")))),IF(ISBLANK(Deltagarlista!$C54),"",IF(ISBLANK(Arrangörslista!P$8),"",IFERROR(VLOOKUP($F60,Arrangörslista!P$8:$AG$45,16,FALSE),"DNS")))))</f>
        <v/>
      </c>
      <c r="X60" s="5" t="str">
        <f>IF(Deltagarlista!$K$3=4,IF(ISBLANK(Deltagarlista!$C54),"",IF(ISBLANK(Arrangörslista!P$53),"",IFERROR(VLOOKUP($F60,Arrangörslista!P$53:$AG$90,16,FALSE),IF(ISBLANK(Deltagarlista!$C54),"",IF(ISBLANK(Arrangörslista!P$53),"",IFERROR(VLOOKUP($F60,Arrangörslista!Q$53:$AG$90,16,FALSE),"DNS")))))),IF(Deltagarlista!$K$3=2,
IF(ISBLANK(Deltagarlista!$C54),"",IF(ISBLANK(Arrangörslista!Q$8),"",IF($GV60=X$64," DNS ",IFERROR(VLOOKUP($F60,Arrangörslista!Q$8:$AG$45,16,FALSE),"DNS")))),IF(ISBLANK(Deltagarlista!$C54),"",IF(ISBLANK(Arrangörslista!Q$8),"",IFERROR(VLOOKUP($F60,Arrangörslista!Q$8:$AG$45,16,FALSE),"DNS")))))</f>
        <v/>
      </c>
      <c r="Y60" s="5" t="str">
        <f>IF(Deltagarlista!$K$3=4,IF(ISBLANK(Deltagarlista!$C54),"",IF(ISBLANK(Arrangörslista!C$98),"",IFERROR(VLOOKUP($F60,Arrangörslista!C$98:$AG$135,16,FALSE),IF(ISBLANK(Deltagarlista!$C54),"",IF(ISBLANK(Arrangörslista!C$98),"",IFERROR(VLOOKUP($F60,Arrangörslista!D$98:$AG$135,16,FALSE),"DNS")))))),IF(Deltagarlista!$K$3=2,
IF(ISBLANK(Deltagarlista!$C54),"",IF(ISBLANK(Arrangörslista!C$53),"",IF($GV60=Y$64," DNS ",IFERROR(VLOOKUP($F60,Arrangörslista!C$53:$AG$90,16,FALSE),"DNS")))),IF(ISBLANK(Deltagarlista!$C54),"",IF(ISBLANK(Arrangörslista!C$53),"",IFERROR(VLOOKUP($F60,Arrangörslista!C$53:$AG$90,16,FALSE),"DNS")))))</f>
        <v/>
      </c>
      <c r="Z60" s="5" t="str">
        <f>IF(Deltagarlista!$K$3=4,IF(ISBLANK(Deltagarlista!$C54),"",IF(ISBLANK(Arrangörslista!E$98),"",IFERROR(VLOOKUP($F60,Arrangörslista!E$98:$AG$135,16,FALSE),IF(ISBLANK(Deltagarlista!$C54),"",IF(ISBLANK(Arrangörslista!E$98),"",IFERROR(VLOOKUP($F60,Arrangörslista!F$98:$AG$135,16,FALSE),"DNS")))))),IF(Deltagarlista!$K$3=2,
IF(ISBLANK(Deltagarlista!$C54),"",IF(ISBLANK(Arrangörslista!D$53),"",IF($GV60=Z$64," DNS ",IFERROR(VLOOKUP($F60,Arrangörslista!D$53:$AG$90,16,FALSE),"DNS")))),IF(ISBLANK(Deltagarlista!$C54),"",IF(ISBLANK(Arrangörslista!D$53),"",IFERROR(VLOOKUP($F60,Arrangörslista!D$53:$AG$90,16,FALSE),"DNS")))))</f>
        <v/>
      </c>
      <c r="AA60" s="5" t="str">
        <f>IF(Deltagarlista!$K$3=4,IF(ISBLANK(Deltagarlista!$C54),"",IF(ISBLANK(Arrangörslista!G$98),"",IFERROR(VLOOKUP($F60,Arrangörslista!G$98:$AG$135,16,FALSE),IF(ISBLANK(Deltagarlista!$C54),"",IF(ISBLANK(Arrangörslista!G$98),"",IFERROR(VLOOKUP($F60,Arrangörslista!H$98:$AG$135,16,FALSE),"DNS")))))),IF(Deltagarlista!$K$3=2,
IF(ISBLANK(Deltagarlista!$C54),"",IF(ISBLANK(Arrangörslista!E$53),"",IF($GV60=AA$64," DNS ",IFERROR(VLOOKUP($F60,Arrangörslista!E$53:$AG$90,16,FALSE),"DNS")))),IF(ISBLANK(Deltagarlista!$C54),"",IF(ISBLANK(Arrangörslista!E$53),"",IFERROR(VLOOKUP($F60,Arrangörslista!E$53:$AG$90,16,FALSE),"DNS")))))</f>
        <v/>
      </c>
      <c r="AB60" s="5" t="str">
        <f>IF(Deltagarlista!$K$3=4,IF(ISBLANK(Deltagarlista!$C54),"",IF(ISBLANK(Arrangörslista!I$98),"",IFERROR(VLOOKUP($F60,Arrangörslista!I$98:$AG$135,16,FALSE),IF(ISBLANK(Deltagarlista!$C54),"",IF(ISBLANK(Arrangörslista!I$98),"",IFERROR(VLOOKUP($F60,Arrangörslista!J$98:$AG$135,16,FALSE),"DNS")))))),IF(Deltagarlista!$K$3=2,
IF(ISBLANK(Deltagarlista!$C54),"",IF(ISBLANK(Arrangörslista!F$53),"",IF($GV60=AB$64," DNS ",IFERROR(VLOOKUP($F60,Arrangörslista!F$53:$AG$90,16,FALSE),"DNS")))),IF(ISBLANK(Deltagarlista!$C54),"",IF(ISBLANK(Arrangörslista!F$53),"",IFERROR(VLOOKUP($F60,Arrangörslista!F$53:$AG$90,16,FALSE),"DNS")))))</f>
        <v/>
      </c>
      <c r="AC60" s="5" t="str">
        <f>IF(Deltagarlista!$K$3=4,IF(ISBLANK(Deltagarlista!$C54),"",IF(ISBLANK(Arrangörslista!K$98),"",IFERROR(VLOOKUP($F60,Arrangörslista!K$98:$AG$135,16,FALSE),IF(ISBLANK(Deltagarlista!$C54),"",IF(ISBLANK(Arrangörslista!K$98),"",IFERROR(VLOOKUP($F60,Arrangörslista!L$98:$AG$135,16,FALSE),"DNS")))))),IF(Deltagarlista!$K$3=2,
IF(ISBLANK(Deltagarlista!$C54),"",IF(ISBLANK(Arrangörslista!G$53),"",IF($GV60=AC$64," DNS ",IFERROR(VLOOKUP($F60,Arrangörslista!G$53:$AG$90,16,FALSE),"DNS")))),IF(ISBLANK(Deltagarlista!$C54),"",IF(ISBLANK(Arrangörslista!G$53),"",IFERROR(VLOOKUP($F60,Arrangörslista!G$53:$AG$90,16,FALSE),"DNS")))))</f>
        <v/>
      </c>
      <c r="AD60" s="5" t="str">
        <f>IF(Deltagarlista!$K$3=4,IF(ISBLANK(Deltagarlista!$C54),"",IF(ISBLANK(Arrangörslista!M$98),"",IFERROR(VLOOKUP($F60,Arrangörslista!M$98:$AG$135,16,FALSE),IF(ISBLANK(Deltagarlista!$C54),"",IF(ISBLANK(Arrangörslista!M$98),"",IFERROR(VLOOKUP($F60,Arrangörslista!N$98:$AG$135,16,FALSE),"DNS")))))),IF(Deltagarlista!$K$3=2,
IF(ISBLANK(Deltagarlista!$C54),"",IF(ISBLANK(Arrangörslista!H$53),"",IF($GV60=AD$64," DNS ",IFERROR(VLOOKUP($F60,Arrangörslista!H$53:$AG$90,16,FALSE),"DNS")))),IF(ISBLANK(Deltagarlista!$C54),"",IF(ISBLANK(Arrangörslista!H$53),"",IFERROR(VLOOKUP($F60,Arrangörslista!H$53:$AG$90,16,FALSE),"DNS")))))</f>
        <v/>
      </c>
      <c r="AE60" s="5" t="str">
        <f>IF(Deltagarlista!$K$3=4,IF(ISBLANK(Deltagarlista!$C54),"",IF(ISBLANK(Arrangörslista!O$98),"",IFERROR(VLOOKUP($F60,Arrangörslista!O$98:$AG$135,16,FALSE),IF(ISBLANK(Deltagarlista!$C54),"",IF(ISBLANK(Arrangörslista!O$98),"",IFERROR(VLOOKUP($F60,Arrangörslista!P$98:$AG$135,16,FALSE),"DNS")))))),IF(Deltagarlista!$K$3=2,
IF(ISBLANK(Deltagarlista!$C54),"",IF(ISBLANK(Arrangörslista!I$53),"",IF($GV60=AE$64," DNS ",IFERROR(VLOOKUP($F60,Arrangörslista!I$53:$AG$90,16,FALSE),"DNS")))),IF(ISBLANK(Deltagarlista!$C54),"",IF(ISBLANK(Arrangörslista!I$53),"",IFERROR(VLOOKUP($F60,Arrangörslista!I$53:$AG$90,16,FALSE),"DNS")))))</f>
        <v/>
      </c>
      <c r="AF60" s="5" t="str">
        <f>IF(Deltagarlista!$K$3=4,IF(ISBLANK(Deltagarlista!$C54),"",IF(ISBLANK(Arrangörslista!Q$98),"",IFERROR(VLOOKUP($F60,Arrangörslista!Q$98:$AG$135,16,FALSE),IF(ISBLANK(Deltagarlista!$C54),"",IF(ISBLANK(Arrangörslista!Q$98),"",IFERROR(VLOOKUP($F60,Arrangörslista!C$143:$AG$180,16,FALSE),"DNS")))))),IF(Deltagarlista!$K$3=2,
IF(ISBLANK(Deltagarlista!$C54),"",IF(ISBLANK(Arrangörslista!J$53),"",IF($GV60=AF$64," DNS ",IFERROR(VLOOKUP($F60,Arrangörslista!J$53:$AG$90,16,FALSE),"DNS")))),IF(ISBLANK(Deltagarlista!$C54),"",IF(ISBLANK(Arrangörslista!J$53),"",IFERROR(VLOOKUP($F60,Arrangörslista!J$53:$AG$90,16,FALSE),"DNS")))))</f>
        <v/>
      </c>
      <c r="AG60" s="5" t="str">
        <f>IF(Deltagarlista!$K$3=4,IF(ISBLANK(Deltagarlista!$C54),"",IF(ISBLANK(Arrangörslista!D$143),"",IFERROR(VLOOKUP($F60,Arrangörslista!D$143:$AG$180,16,FALSE),IF(ISBLANK(Deltagarlista!$C54),"",IF(ISBLANK(Arrangörslista!D$143),"",IFERROR(VLOOKUP($F60,Arrangörslista!E$143:$AG$180,16,FALSE),"DNS")))))),IF(Deltagarlista!$K$3=2,
IF(ISBLANK(Deltagarlista!$C54),"",IF(ISBLANK(Arrangörslista!K$53),"",IF($GV60=AG$64," DNS ",IFERROR(VLOOKUP($F60,Arrangörslista!K$53:$AG$90,16,FALSE),"DNS")))),IF(ISBLANK(Deltagarlista!$C54),"",IF(ISBLANK(Arrangörslista!K$53),"",IFERROR(VLOOKUP($F60,Arrangörslista!K$53:$AG$90,16,FALSE),"DNS")))))</f>
        <v/>
      </c>
      <c r="AH60" s="5" t="str">
        <f>IF(Deltagarlista!$K$3=4,IF(ISBLANK(Deltagarlista!$C54),"",IF(ISBLANK(Arrangörslista!F$143),"",IFERROR(VLOOKUP($F60,Arrangörslista!F$143:$AG$180,16,FALSE),IF(ISBLANK(Deltagarlista!$C54),"",IF(ISBLANK(Arrangörslista!F$143),"",IFERROR(VLOOKUP($F60,Arrangörslista!G$143:$AG$180,16,FALSE),"DNS")))))),IF(Deltagarlista!$K$3=2,
IF(ISBLANK(Deltagarlista!$C54),"",IF(ISBLANK(Arrangörslista!L$53),"",IF($GV60=AH$64," DNS ",IFERROR(VLOOKUP($F60,Arrangörslista!L$53:$AG$90,16,FALSE),"DNS")))),IF(ISBLANK(Deltagarlista!$C54),"",IF(ISBLANK(Arrangörslista!L$53),"",IFERROR(VLOOKUP($F60,Arrangörslista!L$53:$AG$90,16,FALSE),"DNS")))))</f>
        <v/>
      </c>
      <c r="AI60" s="5" t="str">
        <f>IF(Deltagarlista!$K$3=4,IF(ISBLANK(Deltagarlista!$C54),"",IF(ISBLANK(Arrangörslista!H$143),"",IFERROR(VLOOKUP($F60,Arrangörslista!H$143:$AG$180,16,FALSE),IF(ISBLANK(Deltagarlista!$C54),"",IF(ISBLANK(Arrangörslista!H$143),"",IFERROR(VLOOKUP($F60,Arrangörslista!I$143:$AG$180,16,FALSE),"DNS")))))),IF(Deltagarlista!$K$3=2,
IF(ISBLANK(Deltagarlista!$C54),"",IF(ISBLANK(Arrangörslista!M$53),"",IF($GV60=AI$64," DNS ",IFERROR(VLOOKUP($F60,Arrangörslista!M$53:$AG$90,16,FALSE),"DNS")))),IF(ISBLANK(Deltagarlista!$C54),"",IF(ISBLANK(Arrangörslista!M$53),"",IFERROR(VLOOKUP($F60,Arrangörslista!M$53:$AG$90,16,FALSE),"DNS")))))</f>
        <v/>
      </c>
      <c r="AJ60" s="5" t="str">
        <f>IF(Deltagarlista!$K$3=4,IF(ISBLANK(Deltagarlista!$C54),"",IF(ISBLANK(Arrangörslista!J$143),"",IFERROR(VLOOKUP($F60,Arrangörslista!J$143:$AG$180,16,FALSE),IF(ISBLANK(Deltagarlista!$C54),"",IF(ISBLANK(Arrangörslista!J$143),"",IFERROR(VLOOKUP($F60,Arrangörslista!K$143:$AG$180,16,FALSE),"DNS")))))),IF(Deltagarlista!$K$3=2,
IF(ISBLANK(Deltagarlista!$C54),"",IF(ISBLANK(Arrangörslista!N$53),"",IF($GV60=AJ$64," DNS ",IFERROR(VLOOKUP($F60,Arrangörslista!N$53:$AG$90,16,FALSE),"DNS")))),IF(ISBLANK(Deltagarlista!$C54),"",IF(ISBLANK(Arrangörslista!N$53),"",IFERROR(VLOOKUP($F60,Arrangörslista!N$53:$AG$90,16,FALSE),"DNS")))))</f>
        <v/>
      </c>
      <c r="AK60" s="5" t="str">
        <f>IF(Deltagarlista!$K$3=4,IF(ISBLANK(Deltagarlista!$C54),"",IF(ISBLANK(Arrangörslista!L$143),"",IFERROR(VLOOKUP($F60,Arrangörslista!L$143:$AG$180,16,FALSE),IF(ISBLANK(Deltagarlista!$C54),"",IF(ISBLANK(Arrangörslista!L$143),"",IFERROR(VLOOKUP($F60,Arrangörslista!M$143:$AG$180,16,FALSE),"DNS")))))),IF(Deltagarlista!$K$3=2,
IF(ISBLANK(Deltagarlista!$C54),"",IF(ISBLANK(Arrangörslista!O$53),"",IF($GV60=AK$64," DNS ",IFERROR(VLOOKUP($F60,Arrangörslista!O$53:$AG$90,16,FALSE),"DNS")))),IF(ISBLANK(Deltagarlista!$C54),"",IF(ISBLANK(Arrangörslista!O$53),"",IFERROR(VLOOKUP($F60,Arrangörslista!O$53:$AG$90,16,FALSE),"DNS")))))</f>
        <v/>
      </c>
      <c r="AL60" s="5" t="str">
        <f>IF(Deltagarlista!$K$3=4,IF(ISBLANK(Deltagarlista!$C54),"",IF(ISBLANK(Arrangörslista!N$143),"",IFERROR(VLOOKUP($F60,Arrangörslista!N$143:$AG$180,16,FALSE),IF(ISBLANK(Deltagarlista!$C54),"",IF(ISBLANK(Arrangörslista!N$143),"",IFERROR(VLOOKUP($F60,Arrangörslista!O$143:$AG$180,16,FALSE),"DNS")))))),IF(Deltagarlista!$K$3=2,
IF(ISBLANK(Deltagarlista!$C54),"",IF(ISBLANK(Arrangörslista!P$53),"",IF($GV60=AL$64," DNS ",IFERROR(VLOOKUP($F60,Arrangörslista!P$53:$AG$90,16,FALSE),"DNS")))),IF(ISBLANK(Deltagarlista!$C54),"",IF(ISBLANK(Arrangörslista!P$53),"",IFERROR(VLOOKUP($F60,Arrangörslista!P$53:$AG$90,16,FALSE),"DNS")))))</f>
        <v/>
      </c>
      <c r="AM60" s="5" t="str">
        <f>IF(Deltagarlista!$K$3=4,IF(ISBLANK(Deltagarlista!$C54),"",IF(ISBLANK(Arrangörslista!P$143),"",IFERROR(VLOOKUP($F60,Arrangörslista!P$143:$AG$180,16,FALSE),IF(ISBLANK(Deltagarlista!$C54),"",IF(ISBLANK(Arrangörslista!P$143),"",IFERROR(VLOOKUP($F60,Arrangörslista!Q$143:$AG$180,16,FALSE),"DNS")))))),IF(Deltagarlista!$K$3=2,
IF(ISBLANK(Deltagarlista!$C54),"",IF(ISBLANK(Arrangörslista!Q$53),"",IF($GV60=AM$64," DNS ",IFERROR(VLOOKUP($F60,Arrangörslista!Q$53:$AG$90,16,FALSE),"DNS")))),IF(ISBLANK(Deltagarlista!$C54),"",IF(ISBLANK(Arrangörslista!Q$53),"",IFERROR(VLOOKUP($F60,Arrangörslista!Q$53:$AG$90,16,FALSE),"DNS")))))</f>
        <v/>
      </c>
      <c r="AN60" s="5" t="str">
        <f>IF(Deltagarlista!$K$3=2,
IF(ISBLANK(Deltagarlista!$C54),"",IF(ISBLANK(Arrangörslista!C$98),"",IF($GV60=AN$64," DNS ",IFERROR(VLOOKUP($F60,Arrangörslista!C$98:$AG$135,16,FALSE), "DNS")))), IF(Deltagarlista!$K$3=1,IF(ISBLANK(Deltagarlista!$C54),"",IF(ISBLANK(Arrangörslista!C$98),"",IFERROR(VLOOKUP($F60,Arrangörslista!C$98:$AG$135,16,FALSE), "DNS"))),""))</f>
        <v/>
      </c>
      <c r="AO60" s="5" t="str">
        <f>IF(Deltagarlista!$K$3=2,
IF(ISBLANK(Deltagarlista!$C54),"",IF(ISBLANK(Arrangörslista!D$98),"",IF($GV60=AO$64," DNS ",IFERROR(VLOOKUP($F60,Arrangörslista!D$98:$AG$135,16,FALSE), "DNS")))), IF(Deltagarlista!$K$3=1,IF(ISBLANK(Deltagarlista!$C54),"",IF(ISBLANK(Arrangörslista!D$98),"",IFERROR(VLOOKUP($F60,Arrangörslista!D$98:$AG$135,16,FALSE), "DNS"))),""))</f>
        <v/>
      </c>
      <c r="AP60" s="5" t="str">
        <f>IF(Deltagarlista!$K$3=2,
IF(ISBLANK(Deltagarlista!$C54),"",IF(ISBLANK(Arrangörslista!E$98),"",IF($GV60=AP$64," DNS ",IFERROR(VLOOKUP($F60,Arrangörslista!E$98:$AG$135,16,FALSE), "DNS")))), IF(Deltagarlista!$K$3=1,IF(ISBLANK(Deltagarlista!$C54),"",IF(ISBLANK(Arrangörslista!E$98),"",IFERROR(VLOOKUP($F60,Arrangörslista!E$98:$AG$135,16,FALSE), "DNS"))),""))</f>
        <v/>
      </c>
      <c r="AQ60" s="5" t="str">
        <f>IF(Deltagarlista!$K$3=2,
IF(ISBLANK(Deltagarlista!$C54),"",IF(ISBLANK(Arrangörslista!F$98),"",IF($GV60=AQ$64," DNS ",IFERROR(VLOOKUP($F60,Arrangörslista!F$98:$AG$135,16,FALSE), "DNS")))), IF(Deltagarlista!$K$3=1,IF(ISBLANK(Deltagarlista!$C54),"",IF(ISBLANK(Arrangörslista!F$98),"",IFERROR(VLOOKUP($F60,Arrangörslista!F$98:$AG$135,16,FALSE), "DNS"))),""))</f>
        <v/>
      </c>
      <c r="AR60" s="5" t="str">
        <f>IF(Deltagarlista!$K$3=2,
IF(ISBLANK(Deltagarlista!$C54),"",IF(ISBLANK(Arrangörslista!G$98),"",IF($GV60=AR$64," DNS ",IFERROR(VLOOKUP($F60,Arrangörslista!G$98:$AG$135,16,FALSE), "DNS")))), IF(Deltagarlista!$K$3=1,IF(ISBLANK(Deltagarlista!$C54),"",IF(ISBLANK(Arrangörslista!G$98),"",IFERROR(VLOOKUP($F60,Arrangörslista!G$98:$AG$135,16,FALSE), "DNS"))),""))</f>
        <v/>
      </c>
      <c r="AS60" s="5" t="str">
        <f>IF(Deltagarlista!$K$3=2,
IF(ISBLANK(Deltagarlista!$C54),"",IF(ISBLANK(Arrangörslista!H$98),"",IF($GV60=AS$64," DNS ",IFERROR(VLOOKUP($F60,Arrangörslista!H$98:$AG$135,16,FALSE), "DNS")))), IF(Deltagarlista!$K$3=1,IF(ISBLANK(Deltagarlista!$C54),"",IF(ISBLANK(Arrangörslista!H$98),"",IFERROR(VLOOKUP($F60,Arrangörslista!H$98:$AG$135,16,FALSE), "DNS"))),""))</f>
        <v/>
      </c>
      <c r="AT60" s="5" t="str">
        <f>IF(Deltagarlista!$K$3=2,
IF(ISBLANK(Deltagarlista!$C54),"",IF(ISBLANK(Arrangörslista!I$98),"",IF($GV60=AT$64," DNS ",IFERROR(VLOOKUP($F60,Arrangörslista!I$98:$AG$135,16,FALSE), "DNS")))), IF(Deltagarlista!$K$3=1,IF(ISBLANK(Deltagarlista!$C54),"",IF(ISBLANK(Arrangörslista!I$98),"",IFERROR(VLOOKUP($F60,Arrangörslista!I$98:$AG$135,16,FALSE), "DNS"))),""))</f>
        <v/>
      </c>
      <c r="AU60" s="5" t="str">
        <f>IF(Deltagarlista!$K$3=2,
IF(ISBLANK(Deltagarlista!$C54),"",IF(ISBLANK(Arrangörslista!J$98),"",IF($GV60=AU$64," DNS ",IFERROR(VLOOKUP($F60,Arrangörslista!J$98:$AG$135,16,FALSE), "DNS")))), IF(Deltagarlista!$K$3=1,IF(ISBLANK(Deltagarlista!$C54),"",IF(ISBLANK(Arrangörslista!J$98),"",IFERROR(VLOOKUP($F60,Arrangörslista!J$98:$AG$135,16,FALSE), "DNS"))),""))</f>
        <v/>
      </c>
      <c r="AV60" s="5" t="str">
        <f>IF(Deltagarlista!$K$3=2,
IF(ISBLANK(Deltagarlista!$C54),"",IF(ISBLANK(Arrangörslista!K$98),"",IF($GV60=AV$64," DNS ",IFERROR(VLOOKUP($F60,Arrangörslista!K$98:$AG$135,16,FALSE), "DNS")))), IF(Deltagarlista!$K$3=1,IF(ISBLANK(Deltagarlista!$C54),"",IF(ISBLANK(Arrangörslista!K$98),"",IFERROR(VLOOKUP($F60,Arrangörslista!K$98:$AG$135,16,FALSE), "DNS"))),""))</f>
        <v/>
      </c>
      <c r="AW60" s="5" t="str">
        <f>IF(Deltagarlista!$K$3=2,
IF(ISBLANK(Deltagarlista!$C54),"",IF(ISBLANK(Arrangörslista!L$98),"",IF($GV60=AW$64," DNS ",IFERROR(VLOOKUP($F60,Arrangörslista!L$98:$AG$135,16,FALSE), "DNS")))), IF(Deltagarlista!$K$3=1,IF(ISBLANK(Deltagarlista!$C54),"",IF(ISBLANK(Arrangörslista!L$98),"",IFERROR(VLOOKUP($F60,Arrangörslista!L$98:$AG$135,16,FALSE), "DNS"))),""))</f>
        <v/>
      </c>
      <c r="AX60" s="5" t="str">
        <f>IF(Deltagarlista!$K$3=2,
IF(ISBLANK(Deltagarlista!$C54),"",IF(ISBLANK(Arrangörslista!M$98),"",IF($GV60=AX$64," DNS ",IFERROR(VLOOKUP($F60,Arrangörslista!M$98:$AG$135,16,FALSE), "DNS")))), IF(Deltagarlista!$K$3=1,IF(ISBLANK(Deltagarlista!$C54),"",IF(ISBLANK(Arrangörslista!M$98),"",IFERROR(VLOOKUP($F60,Arrangörslista!M$98:$AG$135,16,FALSE), "DNS"))),""))</f>
        <v/>
      </c>
      <c r="AY60" s="5" t="str">
        <f>IF(Deltagarlista!$K$3=2,
IF(ISBLANK(Deltagarlista!$C54),"",IF(ISBLANK(Arrangörslista!N$98),"",IF($GV60=AY$64," DNS ",IFERROR(VLOOKUP($F60,Arrangörslista!N$98:$AG$135,16,FALSE), "DNS")))), IF(Deltagarlista!$K$3=1,IF(ISBLANK(Deltagarlista!$C54),"",IF(ISBLANK(Arrangörslista!N$98),"",IFERROR(VLOOKUP($F60,Arrangörslista!N$98:$AG$135,16,FALSE), "DNS"))),""))</f>
        <v/>
      </c>
      <c r="AZ60" s="5" t="str">
        <f>IF(Deltagarlista!$K$3=2,
IF(ISBLANK(Deltagarlista!$C54),"",IF(ISBLANK(Arrangörslista!O$98),"",IF($GV60=AZ$64," DNS ",IFERROR(VLOOKUP($F60,Arrangörslista!O$98:$AG$135,16,FALSE), "DNS")))), IF(Deltagarlista!$K$3=1,IF(ISBLANK(Deltagarlista!$C54),"",IF(ISBLANK(Arrangörslista!O$98),"",IFERROR(VLOOKUP($F60,Arrangörslista!O$98:$AG$135,16,FALSE), "DNS"))),""))</f>
        <v/>
      </c>
      <c r="BA60" s="5" t="str">
        <f>IF(Deltagarlista!$K$3=2,
IF(ISBLANK(Deltagarlista!$C54),"",IF(ISBLANK(Arrangörslista!P$98),"",IF($GV60=BA$64," DNS ",IFERROR(VLOOKUP($F60,Arrangörslista!P$98:$AG$135,16,FALSE), "DNS")))), IF(Deltagarlista!$K$3=1,IF(ISBLANK(Deltagarlista!$C54),"",IF(ISBLANK(Arrangörslista!P$98),"",IFERROR(VLOOKUP($F60,Arrangörslista!P$98:$AG$135,16,FALSE), "DNS"))),""))</f>
        <v/>
      </c>
      <c r="BB60" s="5" t="str">
        <f>IF(Deltagarlista!$K$3=2,
IF(ISBLANK(Deltagarlista!$C54),"",IF(ISBLANK(Arrangörslista!Q$98),"",IF($GV60=BB$64," DNS ",IFERROR(VLOOKUP($F60,Arrangörslista!Q$98:$AG$135,16,FALSE), "DNS")))), IF(Deltagarlista!$K$3=1,IF(ISBLANK(Deltagarlista!$C54),"",IF(ISBLANK(Arrangörslista!Q$98),"",IFERROR(VLOOKUP($F60,Arrangörslista!Q$98:$AG$135,16,FALSE), "DNS"))),""))</f>
        <v/>
      </c>
      <c r="BC60" s="5" t="str">
        <f>IF(Deltagarlista!$K$3=2,
IF(ISBLANK(Deltagarlista!$C54),"",IF(ISBLANK(Arrangörslista!C$143),"",IF($GV60=BC$64," DNS ",IFERROR(VLOOKUP($F60,Arrangörslista!C$143:$AG$180,16,FALSE), "DNS")))), IF(Deltagarlista!$K$3=1,IF(ISBLANK(Deltagarlista!$C54),"",IF(ISBLANK(Arrangörslista!C$143),"",IFERROR(VLOOKUP($F60,Arrangörslista!C$143:$AG$180,16,FALSE), "DNS"))),""))</f>
        <v/>
      </c>
      <c r="BD60" s="5" t="str">
        <f>IF(Deltagarlista!$K$3=2,
IF(ISBLANK(Deltagarlista!$C54),"",IF(ISBLANK(Arrangörslista!D$143),"",IF($GV60=BD$64," DNS ",IFERROR(VLOOKUP($F60,Arrangörslista!D$143:$AG$180,16,FALSE), "DNS")))), IF(Deltagarlista!$K$3=1,IF(ISBLANK(Deltagarlista!$C54),"",IF(ISBLANK(Arrangörslista!D$143),"",IFERROR(VLOOKUP($F60,Arrangörslista!D$143:$AG$180,16,FALSE), "DNS"))),""))</f>
        <v/>
      </c>
      <c r="BE60" s="5" t="str">
        <f>IF(Deltagarlista!$K$3=2,
IF(ISBLANK(Deltagarlista!$C54),"",IF(ISBLANK(Arrangörslista!E$143),"",IF($GV60=BE$64," DNS ",IFERROR(VLOOKUP($F60,Arrangörslista!E$143:$AG$180,16,FALSE), "DNS")))), IF(Deltagarlista!$K$3=1,IF(ISBLANK(Deltagarlista!$C54),"",IF(ISBLANK(Arrangörslista!E$143),"",IFERROR(VLOOKUP($F60,Arrangörslista!E$143:$AG$180,16,FALSE), "DNS"))),""))</f>
        <v/>
      </c>
      <c r="BF60" s="5" t="str">
        <f>IF(Deltagarlista!$K$3=2,
IF(ISBLANK(Deltagarlista!$C54),"",IF(ISBLANK(Arrangörslista!F$143),"",IF($GV60=BF$64," DNS ",IFERROR(VLOOKUP($F60,Arrangörslista!F$143:$AG$180,16,FALSE), "DNS")))), IF(Deltagarlista!$K$3=1,IF(ISBLANK(Deltagarlista!$C54),"",IF(ISBLANK(Arrangörslista!F$143),"",IFERROR(VLOOKUP($F60,Arrangörslista!F$143:$AG$180,16,FALSE), "DNS"))),""))</f>
        <v/>
      </c>
      <c r="BG60" s="5" t="str">
        <f>IF(Deltagarlista!$K$3=2,
IF(ISBLANK(Deltagarlista!$C54),"",IF(ISBLANK(Arrangörslista!G$143),"",IF($GV60=BG$64," DNS ",IFERROR(VLOOKUP($F60,Arrangörslista!G$143:$AG$180,16,FALSE), "DNS")))), IF(Deltagarlista!$K$3=1,IF(ISBLANK(Deltagarlista!$C54),"",IF(ISBLANK(Arrangörslista!G$143),"",IFERROR(VLOOKUP($F60,Arrangörslista!G$143:$AG$180,16,FALSE), "DNS"))),""))</f>
        <v/>
      </c>
      <c r="BH60" s="5" t="str">
        <f>IF(Deltagarlista!$K$3=2,
IF(ISBLANK(Deltagarlista!$C54),"",IF(ISBLANK(Arrangörslista!H$143),"",IF($GV60=BH$64," DNS ",IFERROR(VLOOKUP($F60,Arrangörslista!H$143:$AG$180,16,FALSE), "DNS")))), IF(Deltagarlista!$K$3=1,IF(ISBLANK(Deltagarlista!$C54),"",IF(ISBLANK(Arrangörslista!H$143),"",IFERROR(VLOOKUP($F60,Arrangörslista!H$143:$AG$180,16,FALSE), "DNS"))),""))</f>
        <v/>
      </c>
      <c r="BI60" s="5" t="str">
        <f>IF(Deltagarlista!$K$3=2,
IF(ISBLANK(Deltagarlista!$C54),"",IF(ISBLANK(Arrangörslista!I$143),"",IF($GV60=BI$64," DNS ",IFERROR(VLOOKUP($F60,Arrangörslista!I$143:$AG$180,16,FALSE), "DNS")))), IF(Deltagarlista!$K$3=1,IF(ISBLANK(Deltagarlista!$C54),"",IF(ISBLANK(Arrangörslista!I$143),"",IFERROR(VLOOKUP($F60,Arrangörslista!I$143:$AG$180,16,FALSE), "DNS"))),""))</f>
        <v/>
      </c>
      <c r="BJ60" s="5" t="str">
        <f>IF(Deltagarlista!$K$3=2,
IF(ISBLANK(Deltagarlista!$C54),"",IF(ISBLANK(Arrangörslista!J$143),"",IF($GV60=BJ$64," DNS ",IFERROR(VLOOKUP($F60,Arrangörslista!J$143:$AG$180,16,FALSE), "DNS")))), IF(Deltagarlista!$K$3=1,IF(ISBLANK(Deltagarlista!$C54),"",IF(ISBLANK(Arrangörslista!J$143),"",IFERROR(VLOOKUP($F60,Arrangörslista!J$143:$AG$180,16,FALSE), "DNS"))),""))</f>
        <v/>
      </c>
      <c r="BK60" s="5" t="str">
        <f>IF(Deltagarlista!$K$3=2,
IF(ISBLANK(Deltagarlista!$C54),"",IF(ISBLANK(Arrangörslista!K$143),"",IF($GV60=BK$64," DNS ",IFERROR(VLOOKUP($F60,Arrangörslista!K$143:$AG$180,16,FALSE), "DNS")))), IF(Deltagarlista!$K$3=1,IF(ISBLANK(Deltagarlista!$C54),"",IF(ISBLANK(Arrangörslista!K$143),"",IFERROR(VLOOKUP($F60,Arrangörslista!K$143:$AG$180,16,FALSE), "DNS"))),""))</f>
        <v/>
      </c>
      <c r="BL60" s="5" t="str">
        <f>IF(Deltagarlista!$K$3=2,
IF(ISBLANK(Deltagarlista!$C54),"",IF(ISBLANK(Arrangörslista!L$143),"",IF($GV60=BL$64," DNS ",IFERROR(VLOOKUP($F60,Arrangörslista!L$143:$AG$180,16,FALSE), "DNS")))), IF(Deltagarlista!$K$3=1,IF(ISBLANK(Deltagarlista!$C54),"",IF(ISBLANK(Arrangörslista!L$143),"",IFERROR(VLOOKUP($F60,Arrangörslista!L$143:$AG$180,16,FALSE), "DNS"))),""))</f>
        <v/>
      </c>
      <c r="BM60" s="5" t="str">
        <f>IF(Deltagarlista!$K$3=2,
IF(ISBLANK(Deltagarlista!$C54),"",IF(ISBLANK(Arrangörslista!M$143),"",IF($GV60=BM$64," DNS ",IFERROR(VLOOKUP($F60,Arrangörslista!M$143:$AG$180,16,FALSE), "DNS")))), IF(Deltagarlista!$K$3=1,IF(ISBLANK(Deltagarlista!$C54),"",IF(ISBLANK(Arrangörslista!M$143),"",IFERROR(VLOOKUP($F60,Arrangörslista!M$143:$AG$180,16,FALSE), "DNS"))),""))</f>
        <v/>
      </c>
      <c r="BN60" s="5" t="str">
        <f>IF(Deltagarlista!$K$3=2,
IF(ISBLANK(Deltagarlista!$C54),"",IF(ISBLANK(Arrangörslista!N$143),"",IF($GV60=BN$64," DNS ",IFERROR(VLOOKUP($F60,Arrangörslista!N$143:$AG$180,16,FALSE), "DNS")))), IF(Deltagarlista!$K$3=1,IF(ISBLANK(Deltagarlista!$C54),"",IF(ISBLANK(Arrangörslista!N$143),"",IFERROR(VLOOKUP($F60,Arrangörslista!N$143:$AG$180,16,FALSE), "DNS"))),""))</f>
        <v/>
      </c>
      <c r="BO60" s="5" t="str">
        <f>IF(Deltagarlista!$K$3=2,
IF(ISBLANK(Deltagarlista!$C54),"",IF(ISBLANK(Arrangörslista!O$143),"",IF($GV60=BO$64," DNS ",IFERROR(VLOOKUP($F60,Arrangörslista!O$143:$AG$180,16,FALSE), "DNS")))), IF(Deltagarlista!$K$3=1,IF(ISBLANK(Deltagarlista!$C54),"",IF(ISBLANK(Arrangörslista!O$143),"",IFERROR(VLOOKUP($F60,Arrangörslista!O$143:$AG$180,16,FALSE), "DNS"))),""))</f>
        <v/>
      </c>
      <c r="BP60" s="5" t="str">
        <f>IF(Deltagarlista!$K$3=2,
IF(ISBLANK(Deltagarlista!$C54),"",IF(ISBLANK(Arrangörslista!P$143),"",IF($GV60=BP$64," DNS ",IFERROR(VLOOKUP($F60,Arrangörslista!P$143:$AG$180,16,FALSE), "DNS")))), IF(Deltagarlista!$K$3=1,IF(ISBLANK(Deltagarlista!$C54),"",IF(ISBLANK(Arrangörslista!P$143),"",IFERROR(VLOOKUP($F60,Arrangörslista!P$143:$AG$180,16,FALSE), "DNS"))),""))</f>
        <v/>
      </c>
      <c r="BQ60" s="80" t="str">
        <f>IF(Deltagarlista!$K$3=2,
IF(ISBLANK(Deltagarlista!$C54),"",IF(ISBLANK(Arrangörslista!Q$143),"",IF($GV60=BQ$64," DNS ",IFERROR(VLOOKUP($F60,Arrangörslista!Q$143:$AG$180,16,FALSE), "DNS")))), IF(Deltagarlista!$K$3=1,IF(ISBLANK(Deltagarlista!$C54),"",IF(ISBLANK(Arrangörslista!Q$143),"",IFERROR(VLOOKUP($F60,Arrangörslista!Q$143:$AG$180,16,FALSE), "DNS"))),""))</f>
        <v/>
      </c>
      <c r="BR60" s="48"/>
      <c r="BU60" s="71">
        <f>SUM(BV60:EC60)</f>
        <v>0</v>
      </c>
      <c r="BV60" s="61">
        <f>IF(J60="",0,IF(OR(J60="DNF",J60="OCS",J60="DSQ",J60="DNS",J60=" DNS "),$BW$3+1,J60))</f>
        <v>0</v>
      </c>
      <c r="BW60" s="61">
        <f>IF(K60="",0,IF(OR(K60="DNF",K60="OCS",K60="DSQ",K60="DNS",K60=" DNS "),$BW$3+1,K60))</f>
        <v>0</v>
      </c>
      <c r="BX60" s="61">
        <f>IF(L60="",0,IF(OR(L60="DNF",L60="OCS",L60="DSQ",L60="DNS",L60=" DNS "),$BW$3+1,L60))</f>
        <v>0</v>
      </c>
      <c r="BY60" s="61">
        <f>IF(M60="",0,IF(OR(M60="DNF",M60="OCS",M60="DSQ",M60="DNS",M60=" DNS "),$BW$3+1,M60))</f>
        <v>0</v>
      </c>
      <c r="BZ60" s="61">
        <f>IF(N60="",0,IF(OR(N60="DNF",N60="OCS",N60="DSQ",N60="DNS",N60=" DNS "),$BW$3+1,N60))</f>
        <v>0</v>
      </c>
      <c r="CA60" s="61">
        <f>IF(O60="",0,IF(OR(O60="DNF",O60="OCS",O60="DSQ",O60="DNS",O60=" DNS "),$BW$3+1,O60))</f>
        <v>0</v>
      </c>
      <c r="CB60" s="61">
        <f>IF(P60="",0,IF(OR(P60="DNF",P60="OCS",P60="DSQ",P60="DNS",P60=" DNS "),$BW$3+1,P60))</f>
        <v>0</v>
      </c>
      <c r="CC60" s="61">
        <f>IF(Q60="",0,IF(OR(Q60="DNF",Q60="OCS",Q60="DSQ",Q60="DNS",Q60=" DNS "),$BW$3+1,Q60))</f>
        <v>0</v>
      </c>
      <c r="CD60" s="61">
        <f>IF(R60="",0,IF(OR(R60="DNF",R60="OCS",R60="DSQ",R60="DNS",R60=" DNS "),$BW$3+1,R60))</f>
        <v>0</v>
      </c>
      <c r="CE60" s="61">
        <f>IF(S60="",0,IF(OR(S60="DNF",S60="OCS",S60="DSQ",S60="DNS",S60=" DNS "),$BW$3+1,S60))</f>
        <v>0</v>
      </c>
      <c r="CF60" s="61">
        <f>IF(T60="",0,IF(OR(T60="DNF",T60="OCS",T60="DSQ",T60="DNS",T60=" DNS "),$BW$3+1,T60))</f>
        <v>0</v>
      </c>
      <c r="CG60" s="61">
        <f>IF(U60="",0,IF(OR(U60="DNF",U60="OCS",U60="DSQ",U60="DNS",U60=" DNS "),$BW$3+1,U60))</f>
        <v>0</v>
      </c>
      <c r="CH60" s="61">
        <f>IF(V60="",0,IF(OR(V60="DNF",V60="OCS",V60="DSQ",V60="DNS",V60=" DNS "),$BW$3+1,V60))</f>
        <v>0</v>
      </c>
      <c r="CI60" s="61">
        <f>IF(W60="",0,IF(OR(W60="DNF",W60="OCS",W60="DSQ",W60="DNS",W60=" DNS "),$BW$3+1,W60))</f>
        <v>0</v>
      </c>
      <c r="CJ60" s="61">
        <f>IF(X60="",0,IF(OR(X60="DNF",X60="OCS",X60="DSQ",X60="DNS",X60=" DNS "),$BW$3+1,X60))</f>
        <v>0</v>
      </c>
      <c r="CK60" s="61">
        <f>IF(Y60="",0,IF(OR(Y60="DNF",Y60="OCS",Y60="DSQ",Y60="DNS",Y60=" DNS "),$BW$3+1,Y60))</f>
        <v>0</v>
      </c>
      <c r="CL60" s="61">
        <f>IF(Z60="",0,IF(OR(Z60="DNF",Z60="OCS",Z60="DSQ",Z60="DNS",Z60=" DNS "),$BW$3+1,Z60))</f>
        <v>0</v>
      </c>
      <c r="CM60" s="61">
        <f>IF(AA60="",0,IF(OR(AA60="DNF",AA60="OCS",AA60="DSQ",AA60="DNS",AA60=" DNS "),$BW$3+1,AA60))</f>
        <v>0</v>
      </c>
      <c r="CN60" s="61">
        <f>IF(AB60="",0,IF(OR(AB60="DNF",AB60="OCS",AB60="DSQ",AB60="DNS",AB60=" DNS "),$BW$3+1,AB60))</f>
        <v>0</v>
      </c>
      <c r="CO60" s="61">
        <f>IF(AC60="",0,IF(OR(AC60="DNF",AC60="OCS",AC60="DSQ",AC60="DNS",AC60=" DNS "),$BW$3+1,AC60))</f>
        <v>0</v>
      </c>
      <c r="CP60" s="61">
        <f>IF(AD60="",0,IF(OR(AD60="DNF",AD60="OCS",AD60="DSQ",AD60="DNS",AD60=" DNS "),$BW$3+1,AD60))</f>
        <v>0</v>
      </c>
      <c r="CQ60" s="61">
        <f>IF(AE60="",0,IF(OR(AE60="DNF",AE60="OCS",AE60="DSQ",AE60="DNS",AE60=" DNS "),$BW$3+1,AE60))</f>
        <v>0</v>
      </c>
      <c r="CR60" s="61">
        <f>IF(AF60="",0,IF(OR(AF60="DNF",AF60="OCS",AF60="DSQ",AF60="DNS",AF60=" DNS "),$BW$3+1,AF60))</f>
        <v>0</v>
      </c>
      <c r="CS60" s="61">
        <f>IF(AG60="",0,IF(OR(AG60="DNF",AG60="OCS",AG60="DSQ",AG60="DNS",AG60=" DNS "),$BW$3+1,AG60))</f>
        <v>0</v>
      </c>
      <c r="CT60" s="61">
        <f>IF(AH60="",0,IF(OR(AH60="DNF",AH60="OCS",AH60="DSQ",AH60="DNS",AH60=" DNS "),$BW$3+1,AH60))</f>
        <v>0</v>
      </c>
      <c r="CU60" s="61">
        <f>IF(AI60="",0,IF(OR(AI60="DNF",AI60="OCS",AI60="DSQ",AI60="DNS",AI60=" DNS "),$BW$3+1,AI60))</f>
        <v>0</v>
      </c>
      <c r="CV60" s="61">
        <f>IF(AJ60="",0,IF(OR(AJ60="DNF",AJ60="OCS",AJ60="DSQ",AJ60="DNS",AJ60=" DNS "),$BW$3+1,AJ60))</f>
        <v>0</v>
      </c>
      <c r="CW60" s="61">
        <f>IF(AK60="",0,IF(OR(AK60="DNF",AK60="OCS",AK60="DSQ",AK60="DNS",AK60=" DNS "),$BW$3+1,AK60))</f>
        <v>0</v>
      </c>
      <c r="CX60" s="61">
        <f>IF(AL60="",0,IF(OR(AL60="DNF",AL60="OCS",AL60="DSQ",AL60="DNS",AL60=" DNS "),$BW$3+1,AL60))</f>
        <v>0</v>
      </c>
      <c r="CY60" s="61">
        <f>IF(AM60="",0,IF(OR(AM60="DNF",AM60="OCS",AM60="DSQ",AM60="DNS",AM60=" DNS "),$BW$3+1,AM60))</f>
        <v>0</v>
      </c>
      <c r="CZ60" s="61">
        <f>IF(AN60="",0,IF(OR(AN60="DNF",AN60="OCS",AN60="DSQ",AN60="DNS",AN60=" DNS "),$BW$3+1,AN60))</f>
        <v>0</v>
      </c>
      <c r="DA60" s="61">
        <f>IF(AO60="",0,IF(OR(AO60="DNF",AO60="OCS",AO60="DSQ",AO60="DNS",AO60=" DNS "),$BW$3+1,AO60))</f>
        <v>0</v>
      </c>
      <c r="DB60" s="61">
        <f>IF(AP60="",0,IF(OR(AP60="DNF",AP60="OCS",AP60="DSQ",AP60="DNS",AP60=" DNS "),$BW$3+1,AP60))</f>
        <v>0</v>
      </c>
      <c r="DC60" s="61">
        <f>IF(AQ60="",0,IF(OR(AQ60="DNF",AQ60="OCS",AQ60="DSQ",AQ60="DNS",AQ60=" DNS "),$BW$3+1,AQ60))</f>
        <v>0</v>
      </c>
      <c r="DD60" s="61">
        <f>IF(AR60="",0,IF(OR(AR60="DNF",AR60="OCS",AR60="DSQ",AR60="DNS",AR60=" DNS "),$BW$3+1,AR60))</f>
        <v>0</v>
      </c>
      <c r="DE60" s="61">
        <f>IF(AS60="",0,IF(OR(AS60="DNF",AS60="OCS",AS60="DSQ",AS60="DNS",AS60=" DNS "),$BW$3+1,AS60))</f>
        <v>0</v>
      </c>
      <c r="DF60" s="61">
        <f>IF(AT60="",0,IF(OR(AT60="DNF",AT60="OCS",AT60="DSQ",AT60="DNS",AT60=" DNS "),$BW$3+1,AT60))</f>
        <v>0</v>
      </c>
      <c r="DG60" s="61">
        <f>IF(AU60="",0,IF(OR(AU60="DNF",AU60="OCS",AU60="DSQ",AU60="DNS",AU60=" DNS "),$BW$3+1,AU60))</f>
        <v>0</v>
      </c>
      <c r="DH60" s="61">
        <f>IF(AV60="",0,IF(OR(AV60="DNF",AV60="OCS",AV60="DSQ",AV60="DNS",AV60=" DNS "),$BW$3+1,AV60))</f>
        <v>0</v>
      </c>
      <c r="DI60" s="61">
        <f>IF(AW60="",0,IF(OR(AW60="DNF",AW60="OCS",AW60="DSQ",AW60="DNS",AW60=" DNS "),$BW$3+1,AW60))</f>
        <v>0</v>
      </c>
      <c r="DJ60" s="61">
        <f>IF(AX60="",0,IF(OR(AX60="DNF",AX60="OCS",AX60="DSQ",AX60="DNS",AX60=" DNS "),$BW$3+1,AX60))</f>
        <v>0</v>
      </c>
      <c r="DK60" s="61">
        <f>IF(AY60="",0,IF(OR(AY60="DNF",AY60="OCS",AY60="DSQ",AY60="DNS",AY60=" DNS "),$BW$3+1,AY60))</f>
        <v>0</v>
      </c>
      <c r="DL60" s="61">
        <f>IF(AZ60="",0,IF(OR(AZ60="DNF",AZ60="OCS",AZ60="DSQ",AZ60="DNS",AZ60=" DNS "),$BW$3+1,AZ60))</f>
        <v>0</v>
      </c>
      <c r="DM60" s="61">
        <f>IF(BA60="",0,IF(OR(BA60="DNF",BA60="OCS",BA60="DSQ",BA60="DNS",BA60=" DNS "),$BW$3+1,BA60))</f>
        <v>0</v>
      </c>
      <c r="DN60" s="61">
        <f>IF(BB60="",0,IF(OR(BB60="DNF",BB60="OCS",BB60="DSQ",BB60="DNS",BB60=" DNS "),$BW$3+1,BB60))</f>
        <v>0</v>
      </c>
      <c r="DO60" s="61">
        <f>IF(BC60="",0,IF(OR(BC60="DNF",BC60="OCS",BC60="DSQ",BC60="DNS",BC60=" DNS "),$BW$3+1,BC60))</f>
        <v>0</v>
      </c>
      <c r="DP60" s="61">
        <f>IF(BD60="",0,IF(OR(BD60="DNF",BD60="OCS",BD60="DSQ",BD60="DNS",BD60=" DNS "),$BW$3+1,BD60))</f>
        <v>0</v>
      </c>
      <c r="DQ60" s="61">
        <f>IF(BE60="",0,IF(OR(BE60="DNF",BE60="OCS",BE60="DSQ",BE60="DNS",BE60=" DNS "),$BW$3+1,BE60))</f>
        <v>0</v>
      </c>
      <c r="DR60" s="61">
        <f>IF(BF60="",0,IF(OR(BF60="DNF",BF60="OCS",BF60="DSQ",BF60="DNS",BF60=" DNS "),$BW$3+1,BF60))</f>
        <v>0</v>
      </c>
      <c r="DS60" s="61">
        <f>IF(BG60="",0,IF(OR(BG60="DNF",BG60="OCS",BG60="DSQ",BG60="DNS",BG60=" DNS "),$BW$3+1,BG60))</f>
        <v>0</v>
      </c>
      <c r="DT60" s="61">
        <f>IF(BH60="",0,IF(OR(BH60="DNF",BH60="OCS",BH60="DSQ",BH60="DNS",BH60=" DNS "),$BW$3+1,BH60))</f>
        <v>0</v>
      </c>
      <c r="DU60" s="61">
        <f>IF(BI60="",0,IF(OR(BI60="DNF",BI60="OCS",BI60="DSQ",BI60="DNS",BI60=" DNS "),$BW$3+1,BI60))</f>
        <v>0</v>
      </c>
      <c r="DV60" s="61">
        <f>IF(BJ60="",0,IF(OR(BJ60="DNF",BJ60="OCS",BJ60="DSQ",BJ60="DNS",BJ60=" DNS "),$BW$3+1,BJ60))</f>
        <v>0</v>
      </c>
      <c r="DW60" s="61">
        <f>IF(BK60="",0,IF(OR(BK60="DNF",BK60="OCS",BK60="DSQ",BK60="DNS",BK60=" DNS "),$BW$3+1,BK60))</f>
        <v>0</v>
      </c>
      <c r="DX60" s="61">
        <f>IF(BL60="",0,IF(OR(BL60="DNF",BL60="OCS",BL60="DSQ",BL60="DNS",BL60=" DNS "),$BW$3+1,BL60))</f>
        <v>0</v>
      </c>
      <c r="DY60" s="61">
        <f>IF(BM60="",0,IF(OR(BM60="DNF",BM60="OCS",BM60="DSQ",BM60="DNS",BM60=" DNS "),$BW$3+1,BM60))</f>
        <v>0</v>
      </c>
      <c r="DZ60" s="61">
        <f>IF(BN60="",0,IF(OR(BN60="DNF",BN60="OCS",BN60="DSQ",BN60="DNS",BN60=" DNS "),$BW$3+1,BN60))</f>
        <v>0</v>
      </c>
      <c r="EA60" s="61">
        <f>IF(BO60="",0,IF(OR(BO60="DNF",BO60="OCS",BO60="DSQ",BO60="DNS",BO60=" DNS "),$BW$3+1,BO60))</f>
        <v>0</v>
      </c>
      <c r="EB60" s="61">
        <f>IF(BP60="",0,IF(OR(BP60="DNF",BP60="OCS",BP60="DSQ",BP60="DNS",BP60=" DNS "),$BW$3+1,BP60))</f>
        <v>0</v>
      </c>
      <c r="EC60" s="61">
        <f>IF(BQ60="",0,IF(OR(BQ60="DNF",BQ60="OCS",BQ60="DSQ",BQ60="DNS",BQ60=" DNS "),$BW$3+1,BQ60))</f>
        <v>0</v>
      </c>
      <c r="EE60" s="61">
        <f xml:space="preserve">
IF(OR(Deltagarlista!$K$3=3,Deltagarlista!$K$3=4),
IF(Arrangörslista!$U$5&lt;8,0,
IF(Arrangörslista!$U$5&lt;16,SUM(LARGE(BV60:CJ60,1)),
IF(Arrangörslista!$U$5&lt;24,SUM(LARGE(BV60:CR60,{1;2})),
IF(Arrangörslista!$U$5&lt;32,SUM(LARGE(BV60:CZ60,{1;2;3})),
IF(Arrangörslista!$U$5&lt;40,SUM(LARGE(BV60:DH60,{1;2;3;4})),
IF(Arrangörslista!$U$5&lt;48,SUM(LARGE(BV60:DP60,{1;2;3;4;5})),
IF(Arrangörslista!$U$5&lt;56,SUM(LARGE(BV60:DX60,{1;2;3;4;5;6})),
IF(Arrangörslista!$U$5&lt;64,SUM(LARGE(BV60:EC60,{1;2;3;4;5;6;7})),0)))))))),
IF(Deltagarlista!$K$3=2,
IF(Arrangörslista!$U$5&lt;4,LARGE(BV60:BX60,1),
IF(Arrangörslista!$U$5&lt;7,SUM(LARGE(BV60:CA60,{1;2;3})),
IF(Arrangörslista!$U$5&lt;10,SUM(LARGE(BV60:CD60,{1;2;3;4})),
IF(Arrangörslista!$U$5&lt;13,SUM(LARGE(BV60:CG60,{1;2;3;4;5;6})),
IF(Arrangörslista!$U$5&lt;16,SUM(LARGE(BV60:CJ60,{1;2;3;4;5;6;7})),
IF(Arrangörslista!$U$5&lt;19,SUM(LARGE(BV60:CM60,{1;2;3;4;5;6;7;8;9})),
IF(Arrangörslista!$U$5&lt;22,SUM(LARGE(BV60:CP60,{1;2;3;4;5;6;7;8;9;10})),
IF(Arrangörslista!$U$5&lt;25,SUM(LARGE(BV60:CS60,{1;2;3;4;5;6;7;8;9;10;11;12})),
IF(Arrangörslista!$U$5&lt;28,SUM(LARGE(BV60:CV60,{1;2;3;4;5;6;7;8;9;10;11;12;13})),
IF(Arrangörslista!$U$5&lt;31,SUM(LARGE(BV60:CY60,{1;2;3;4;5;6;7;8;9;10;11;12;13;14;15})),
IF(Arrangörslista!$U$5&lt;34,SUM(LARGE(BV60:DB60,{1;2;3;4;5;6;7;8;9;10;11;12;13;14;15;16})),
IF(Arrangörslista!$U$5&lt;37,SUM(LARGE(BV60:DE60,{1;2;3;4;5;6;7;8;9;10;11;12;13;14;15;16;17;18})),
IF(Arrangörslista!$U$5&lt;40,SUM(LARGE(BV60:DH60,{1;2;3;4;5;6;7;8;9;10;11;12;13;14;15;16;17;18;19})),
IF(Arrangörslista!$U$5&lt;43,SUM(LARGE(BV60:DK60,{1;2;3;4;5;6;7;8;9;10;11;12;13;14;15;16;17;18;19;20;21})),
IF(Arrangörslista!$U$5&lt;46,SUM(LARGE(BV60:DN60,{1;2;3;4;5;6;7;8;9;10;11;12;13;14;15;16;17;18;19;20;21;22})),
IF(Arrangörslista!$U$5&lt;49,SUM(LARGE(BV60:DQ60,{1;2;3;4;5;6;7;8;9;10;11;12;13;14;15;16;17;18;19;20;21;22;23;24})),
IF(Arrangörslista!$U$5&lt;52,SUM(LARGE(BV60:DT60,{1;2;3;4;5;6;7;8;9;10;11;12;13;14;15;16;17;18;19;20;21;22;23;24;25})),
IF(Arrangörslista!$U$5&lt;55,SUM(LARGE(BV60:DW60,{1;2;3;4;5;6;7;8;9;10;11;12;13;14;15;16;17;18;19;20;21;22;23;24;25;26;27})),
IF(Arrangörslista!$U$5&lt;58,SUM(LARGE(BV60:DZ60,{1;2;3;4;5;6;7;8;9;10;11;12;13;14;15;16;17;18;19;20;21;22;23;24;25;26;27;28})),
IF(Arrangörslista!$U$5&lt;61,SUM(LARGE(BV60:EC60,{1;2;3;4;5;6;7;8;9;10;11;12;13;14;15;16;17;18;19;20;21;22;23;24;25;26;27;28;29;30})),0)))))))))))))))))))),
IF(Arrangörslista!$U$5&lt;4,0,
IF(Arrangörslista!$U$5&lt;8,SUM(LARGE(BV60:CB60,1)),
IF(Arrangörslista!$U$5&lt;12,SUM(LARGE(BV60:CF60,{1;2})),
IF(Arrangörslista!$U$5&lt;16,SUM(LARGE(BV60:CJ60,{1;2;3})),
IF(Arrangörslista!$U$5&lt;20,SUM(LARGE(BV60:CN60,{1;2;3;4})),
IF(Arrangörslista!$U$5&lt;24,SUM(LARGE(BV60:CR60,{1;2;3;4;5})),
IF(Arrangörslista!$U$5&lt;28,SUM(LARGE(BV60:CV60,{1;2;3;4;5;6})),
IF(Arrangörslista!$U$5&lt;32,SUM(LARGE(BV60:CZ60,{1;2;3;4;5;6;7})),
IF(Arrangörslista!$U$5&lt;36,SUM(LARGE(BV60:DD60,{1;2;3;4;5;6;7;8})),
IF(Arrangörslista!$U$5&lt;40,SUM(LARGE(BV60:DH60,{1;2;3;4;5;6;7;8;9})),
IF(Arrangörslista!$U$5&lt;44,SUM(LARGE(BV60:DL60,{1;2;3;4;5;6;7;8;9;10})),
IF(Arrangörslista!$U$5&lt;48,SUM(LARGE(BV60:DP60,{1;2;3;4;5;6;7;8;9;10;11})),
IF(Arrangörslista!$U$5&lt;52,SUM(LARGE(BV60:DT60,{1;2;3;4;5;6;7;8;9;10;11;12})),
IF(Arrangörslista!$U$5&lt;56,SUM(LARGE(BV60:DX60,{1;2;3;4;5;6;7;8;9;10;11;12;13})),
IF(Arrangörslista!$U$5&lt;60,SUM(LARGE(BV60:EB60,{1;2;3;4;5;6;7;8;9;10;11;12;13;14})),
IF(Arrangörslista!$U$5=60,SUM(LARGE(BV60:EC60,{1;2;3;4;5;6;7;8;9;10;11;12;13;14;15})),0))))))))))))))))))</f>
        <v>0</v>
      </c>
      <c r="EG60" s="67">
        <f>IF(F60="",,1)</f>
        <v>0</v>
      </c>
      <c r="EH60" s="61"/>
      <c r="EI60" s="61"/>
      <c r="EK60" s="62">
        <f>SMALL($J123:$BQ123,1)</f>
        <v>61</v>
      </c>
      <c r="EL60" s="62">
        <f>SMALL($J123:$BQ123,2)</f>
        <v>61</v>
      </c>
      <c r="EM60" s="62">
        <f>SMALL($J123:$BQ123,3)</f>
        <v>61</v>
      </c>
      <c r="EN60" s="62">
        <f>SMALL($J123:$BQ123,4)</f>
        <v>61</v>
      </c>
      <c r="EO60" s="62">
        <f>SMALL($J123:$BQ123,5)</f>
        <v>61</v>
      </c>
      <c r="EP60" s="62">
        <f>SMALL($J123:$BQ123,6)</f>
        <v>61</v>
      </c>
      <c r="EQ60" s="62">
        <f>SMALL($J123:$BQ123,7)</f>
        <v>61</v>
      </c>
      <c r="ER60" s="62">
        <f>SMALL($J123:$BQ123,8)</f>
        <v>61</v>
      </c>
      <c r="ES60" s="62">
        <f>SMALL($J123:$BQ123,9)</f>
        <v>61</v>
      </c>
      <c r="ET60" s="62">
        <f>SMALL($J123:$BQ123,10)</f>
        <v>61</v>
      </c>
      <c r="EU60" s="62">
        <f>SMALL($J123:$BQ123,11)</f>
        <v>61</v>
      </c>
      <c r="EV60" s="62">
        <f>SMALL($J123:$BQ123,12)</f>
        <v>61</v>
      </c>
      <c r="EW60" s="62">
        <f>SMALL($J123:$BQ123,13)</f>
        <v>61</v>
      </c>
      <c r="EX60" s="62">
        <f>SMALL($J123:$BQ123,14)</f>
        <v>61</v>
      </c>
      <c r="EY60" s="62">
        <f>SMALL($J123:$BQ123,15)</f>
        <v>61</v>
      </c>
      <c r="EZ60" s="62">
        <f>SMALL($J123:$BQ123,16)</f>
        <v>61</v>
      </c>
      <c r="FA60" s="62">
        <f>SMALL($J123:$BQ123,17)</f>
        <v>61</v>
      </c>
      <c r="FB60" s="62">
        <f>SMALL($J123:$BQ123,18)</f>
        <v>61</v>
      </c>
      <c r="FC60" s="62">
        <f>SMALL($J123:$BQ123,19)</f>
        <v>61</v>
      </c>
      <c r="FD60" s="62">
        <f>SMALL($J123:$BQ123,20)</f>
        <v>61</v>
      </c>
      <c r="FE60" s="62">
        <f>SMALL($J123:$BQ123,21)</f>
        <v>61</v>
      </c>
      <c r="FF60" s="62">
        <f>SMALL($J123:$BQ123,22)</f>
        <v>61</v>
      </c>
      <c r="FG60" s="62">
        <f>SMALL($J123:$BQ123,23)</f>
        <v>61</v>
      </c>
      <c r="FH60" s="62">
        <f>SMALL($J123:$BQ123,24)</f>
        <v>61</v>
      </c>
      <c r="FI60" s="62">
        <f>SMALL($J123:$BQ123,25)</f>
        <v>61</v>
      </c>
      <c r="FJ60" s="62">
        <f>SMALL($J123:$BQ123,26)</f>
        <v>61</v>
      </c>
      <c r="FK60" s="62">
        <f>SMALL($J123:$BQ123,27)</f>
        <v>61</v>
      </c>
      <c r="FL60" s="62">
        <f>SMALL($J123:$BQ123,28)</f>
        <v>61</v>
      </c>
      <c r="FM60" s="62">
        <f>SMALL($J123:$BQ123,29)</f>
        <v>61</v>
      </c>
      <c r="FN60" s="62">
        <f>SMALL($J123:$BQ123,30)</f>
        <v>61</v>
      </c>
      <c r="FO60" s="62">
        <f>SMALL($J123:$BQ123,31)</f>
        <v>61</v>
      </c>
      <c r="FP60" s="62">
        <f>SMALL($J123:$BQ123,32)</f>
        <v>61</v>
      </c>
      <c r="FQ60" s="62">
        <f>SMALL($J123:$BQ123,33)</f>
        <v>61</v>
      </c>
      <c r="FR60" s="62">
        <f>SMALL($J123:$BQ123,34)</f>
        <v>61</v>
      </c>
      <c r="FS60" s="62">
        <f>SMALL($J123:$BQ123,35)</f>
        <v>61</v>
      </c>
      <c r="FT60" s="62">
        <f>SMALL($J123:$BQ123,36)</f>
        <v>61</v>
      </c>
      <c r="FU60" s="62">
        <f>SMALL($J123:$BQ123,37)</f>
        <v>61</v>
      </c>
      <c r="FV60" s="62">
        <f>SMALL($J123:$BQ123,38)</f>
        <v>61</v>
      </c>
      <c r="FW60" s="62">
        <f>SMALL($J123:$BQ123,39)</f>
        <v>61</v>
      </c>
      <c r="FX60" s="62">
        <f>SMALL($J123:$BQ123,40)</f>
        <v>61</v>
      </c>
      <c r="FY60" s="62">
        <f>SMALL($J123:$BQ123,41)</f>
        <v>61</v>
      </c>
      <c r="FZ60" s="62">
        <f>SMALL($J123:$BQ123,42)</f>
        <v>61</v>
      </c>
      <c r="GA60" s="62">
        <f>SMALL($J123:$BQ123,43)</f>
        <v>61</v>
      </c>
      <c r="GB60" s="62">
        <f>SMALL($J123:$BQ123,44)</f>
        <v>61</v>
      </c>
      <c r="GC60" s="62">
        <f>SMALL($J123:$BQ123,45)</f>
        <v>61</v>
      </c>
      <c r="GD60" s="62">
        <f>SMALL($J123:$BQ123,46)</f>
        <v>61</v>
      </c>
      <c r="GE60" s="62">
        <f>SMALL($J123:$BQ123,47)</f>
        <v>61</v>
      </c>
      <c r="GF60" s="62">
        <f>SMALL($J123:$BQ123,48)</f>
        <v>61</v>
      </c>
      <c r="GG60" s="62">
        <f>SMALL($J123:$BQ123,49)</f>
        <v>61</v>
      </c>
      <c r="GH60" s="62">
        <f>SMALL($J123:$BQ123,50)</f>
        <v>61</v>
      </c>
      <c r="GI60" s="62">
        <f>SMALL($J123:$BQ123,51)</f>
        <v>61</v>
      </c>
      <c r="GJ60" s="62">
        <f>SMALL($J123:$BQ123,52)</f>
        <v>61</v>
      </c>
      <c r="GK60" s="62">
        <f>SMALL($J123:$BQ123,53)</f>
        <v>61</v>
      </c>
      <c r="GL60" s="62">
        <f>SMALL($J123:$BQ123,54)</f>
        <v>61</v>
      </c>
      <c r="GM60" s="62">
        <f>SMALL($J123:$BQ123,55)</f>
        <v>61</v>
      </c>
      <c r="GN60" s="62">
        <f>SMALL($J123:$BQ123,56)</f>
        <v>61</v>
      </c>
      <c r="GO60" s="62">
        <f>SMALL($J123:$BQ123,57)</f>
        <v>61</v>
      </c>
      <c r="GP60" s="62">
        <f>SMALL($J123:$BQ123,58)</f>
        <v>61</v>
      </c>
      <c r="GQ60" s="62">
        <f>SMALL($J123:$BQ123,59)</f>
        <v>61</v>
      </c>
      <c r="GR60" s="62">
        <f>SMALL($J123:$BQ123,60)</f>
        <v>61</v>
      </c>
      <c r="GT60" s="62">
        <f>IF(Deltagarlista!$K$3=2,
IF(GW60="1",
      IF(Arrangörslista!$U$5=1,J123,
IF(Arrangörslista!$U$5=2,K123,
IF(Arrangörslista!$U$5=3,L123,
IF(Arrangörslista!$U$5=4,M123,
IF(Arrangörslista!$U$5=5,N123,
IF(Arrangörslista!$U$5=6,O123,
IF(Arrangörslista!$U$5=7,P123,
IF(Arrangörslista!$U$5=8,Q123,
IF(Arrangörslista!$U$5=9,R123,
IF(Arrangörslista!$U$5=10,S123,
IF(Arrangörslista!$U$5=11,T123,
IF(Arrangörslista!$U$5=12,U123,
IF(Arrangörslista!$U$5=13,V123,
IF(Arrangörslista!$U$5=14,W123,
IF(Arrangörslista!$U$5=15,X123,
IF(Arrangörslista!$U$5=16,Y123,IF(Arrangörslista!$U$5=17,Z123,IF(Arrangörslista!$U$5=18,AA123,IF(Arrangörslista!$U$5=19,AB123,IF(Arrangörslista!$U$5=20,AC123,IF(Arrangörslista!$U$5=21,AD123,IF(Arrangörslista!$U$5=22,AE123,IF(Arrangörslista!$U$5=23,AF123, IF(Arrangörslista!$U$5=24,AG123, IF(Arrangörslista!$U$5=25,AH123, IF(Arrangörslista!$U$5=26,AI123, IF(Arrangörslista!$U$5=27,AJ123, IF(Arrangörslista!$U$5=28,AK123, IF(Arrangörslista!$U$5=29,AL123, IF(Arrangörslista!$U$5=30,AM123, IF(Arrangörslista!$U$5=31,AN123, IF(Arrangörslista!$U$5=32,AO123, IF(Arrangörslista!$U$5=33,AP123, IF(Arrangörslista!$U$5=34,AQ123, IF(Arrangörslista!$U$5=35,AR123, IF(Arrangörslista!$U$5=36,AS123, IF(Arrangörslista!$U$5=37,AT123, IF(Arrangörslista!$U$5=38,AU123, IF(Arrangörslista!$U$5=39,AV123, IF(Arrangörslista!$U$5=40,AW123, IF(Arrangörslista!$U$5=41,AX123, IF(Arrangörslista!$U$5=42,AY123, IF(Arrangörslista!$U$5=43,AZ123, IF(Arrangörslista!$U$5=44,BA123, IF(Arrangörslista!$U$5=45,BB123, IF(Arrangörslista!$U$5=46,BC123, IF(Arrangörslista!$U$5=47,BD123, IF(Arrangörslista!$U$5=48,BE123, IF(Arrangörslista!$U$5=49,BF123, IF(Arrangörslista!$U$5=50,BG123, IF(Arrangörslista!$U$5=51,BH123, IF(Arrangörslista!$U$5=52,BI123, IF(Arrangörslista!$U$5=53,BJ123, IF(Arrangörslista!$U$5=54,BK123, IF(Arrangörslista!$U$5=55,BL123, IF(Arrangörslista!$U$5=56,BM123, IF(Arrangörslista!$U$5=57,BN123, IF(Arrangörslista!$U$5=58,BO123, IF(Arrangörslista!$U$5=59,BP123, IF(Arrangörslista!$U$5=60,BQ123,0))))))))))))))))))))))))))))))))))))))))))))))))))))))))))))),IF(Deltagarlista!$K$3=4, IF(Arrangörslista!$U$5=1,J123,
IF(Arrangörslista!$U$5=2,J123,
IF(Arrangörslista!$U$5=3,K123,
IF(Arrangörslista!$U$5=4,K123,
IF(Arrangörslista!$U$5=5,L123,
IF(Arrangörslista!$U$5=6,L123,
IF(Arrangörslista!$U$5=7,M123,
IF(Arrangörslista!$U$5=8,M123,
IF(Arrangörslista!$U$5=9,N123,
IF(Arrangörslista!$U$5=10,N123,
IF(Arrangörslista!$U$5=11,O123,
IF(Arrangörslista!$U$5=12,O123,
IF(Arrangörslista!$U$5=13,P123,
IF(Arrangörslista!$U$5=14,P123,
IF(Arrangörslista!$U$5=15,Q123,
IF(Arrangörslista!$U$5=16,Q123,
IF(Arrangörslista!$U$5=17,R123,
IF(Arrangörslista!$U$5=18,R123,
IF(Arrangörslista!$U$5=19,S123,
IF(Arrangörslista!$U$5=20,S123,
IF(Arrangörslista!$U$5=21,T123,
IF(Arrangörslista!$U$5=22,T123,IF(Arrangörslista!$U$5=23,U123, IF(Arrangörslista!$U$5=24,U123, IF(Arrangörslista!$U$5=25,V123, IF(Arrangörslista!$U$5=26,V123, IF(Arrangörslista!$U$5=27,W123, IF(Arrangörslista!$U$5=28,W123, IF(Arrangörslista!$U$5=29,X123, IF(Arrangörslista!$U$5=30,X123, IF(Arrangörslista!$U$5=31,X123, IF(Arrangörslista!$U$5=32,Y123, IF(Arrangörslista!$U$5=33,AO123, IF(Arrangörslista!$U$5=34,Y123, IF(Arrangörslista!$U$5=35,Z123, IF(Arrangörslista!$U$5=36,AR123, IF(Arrangörslista!$U$5=37,Z123, IF(Arrangörslista!$U$5=38,AA123, IF(Arrangörslista!$U$5=39,AU123, IF(Arrangörslista!$U$5=40,AA123, IF(Arrangörslista!$U$5=41,AB123, IF(Arrangörslista!$U$5=42,AX123, IF(Arrangörslista!$U$5=43,AB123, IF(Arrangörslista!$U$5=44,AC123, IF(Arrangörslista!$U$5=45,BA123, IF(Arrangörslista!$U$5=46,AC123, IF(Arrangörslista!$U$5=47,AD123, IF(Arrangörslista!$U$5=48,BD123, IF(Arrangörslista!$U$5=49,AD123, IF(Arrangörslista!$U$5=50,AE123, IF(Arrangörslista!$U$5=51,BG123, IF(Arrangörslista!$U$5=52,AE123, IF(Arrangörslista!$U$5=53,AF123, IF(Arrangörslista!$U$5=54,BJ123, IF(Arrangörslista!$U$5=55,AF123, IF(Arrangörslista!$U$5=56,AG123, IF(Arrangörslista!$U$5=57,BM123, IF(Arrangörslista!$U$5=58,AG123, IF(Arrangörslista!$U$5=59,AH123, IF(Arrangörslista!$U$5=60,AH123,0)))))))))))))))))))))))))))))))))))))))))))))))))))))))))))),IF(Arrangörslista!$U$5=1,J123,
IF(Arrangörslista!$U$5=2,K123,
IF(Arrangörslista!$U$5=3,L123,
IF(Arrangörslista!$U$5=4,M123,
IF(Arrangörslista!$U$5=5,N123,
IF(Arrangörslista!$U$5=6,O123,
IF(Arrangörslista!$U$5=7,P123,
IF(Arrangörslista!$U$5=8,Q123,
IF(Arrangörslista!$U$5=9,R123,
IF(Arrangörslista!$U$5=10,S123,
IF(Arrangörslista!$U$5=11,T123,
IF(Arrangörslista!$U$5=12,U123,
IF(Arrangörslista!$U$5=13,V123,
IF(Arrangörslista!$U$5=14,W123,
IF(Arrangörslista!$U$5=15,X123,
IF(Arrangörslista!$U$5=16,Y123,IF(Arrangörslista!$U$5=17,Z123,IF(Arrangörslista!$U$5=18,AA123,IF(Arrangörslista!$U$5=19,AB123,IF(Arrangörslista!$U$5=20,AC123,IF(Arrangörslista!$U$5=21,AD123,IF(Arrangörslista!$U$5=22,AE123,IF(Arrangörslista!$U$5=23,AF123, IF(Arrangörslista!$U$5=24,AG123, IF(Arrangörslista!$U$5=25,AH123, IF(Arrangörslista!$U$5=26,AI123, IF(Arrangörslista!$U$5=27,AJ123, IF(Arrangörslista!$U$5=28,AK123, IF(Arrangörslista!$U$5=29,AL123, IF(Arrangörslista!$U$5=30,AM123, IF(Arrangörslista!$U$5=31,AN123, IF(Arrangörslista!$U$5=32,AO123, IF(Arrangörslista!$U$5=33,AP123, IF(Arrangörslista!$U$5=34,AQ123, IF(Arrangörslista!$U$5=35,AR123, IF(Arrangörslista!$U$5=36,AS123, IF(Arrangörslista!$U$5=37,AT123, IF(Arrangörslista!$U$5=38,AU123, IF(Arrangörslista!$U$5=39,AV123, IF(Arrangörslista!$U$5=40,AW123, IF(Arrangörslista!$U$5=41,AX123, IF(Arrangörslista!$U$5=42,AY123, IF(Arrangörslista!$U$5=43,AZ123, IF(Arrangörslista!$U$5=44,BA123, IF(Arrangörslista!$U$5=45,BB123, IF(Arrangörslista!$U$5=46,BC123, IF(Arrangörslista!$U$5=47,BD123, IF(Arrangörslista!$U$5=48,BE123, IF(Arrangörslista!$U$5=49,BF123, IF(Arrangörslista!$U$5=50,BG123, IF(Arrangörslista!$U$5=51,BH123, IF(Arrangörslista!$U$5=52,BI123, IF(Arrangörslista!$U$5=53,BJ123, IF(Arrangörslista!$U$5=54,BK123, IF(Arrangörslista!$U$5=55,BL123, IF(Arrangörslista!$U$5=56,BM123, IF(Arrangörslista!$U$5=57,BN123, IF(Arrangörslista!$U$5=58,BO123, IF(Arrangörslista!$U$5=59,BP123, IF(Arrangörslista!$U$5=60,BQ123,0))))))))))))))))))))))))))))))))))))))))))))))))))))))))))))
))</f>
        <v>0</v>
      </c>
      <c r="GV60" s="65" t="str">
        <f>IFERROR(IF(VLOOKUP(F60,Deltagarlista!$E$5:$I$64,5,FALSE)="Grön","Gr",IF(VLOOKUP(F60,Deltagarlista!$E$5:$I$64,5,FALSE)="Röd","R",IF(VLOOKUP(F60,Deltagarlista!$E$5:$I$64,5,FALSE)="Blå","B","Gu"))),"")</f>
        <v/>
      </c>
      <c r="GW60" s="62" t="str">
        <f t="shared" si="1"/>
        <v/>
      </c>
    </row>
    <row r="61" spans="1:205" ht="15.75" customHeight="1" x14ac:dyDescent="0.3">
      <c r="B61" s="23" t="str">
        <f>IF($BW$3&gt;57,58,"")</f>
        <v/>
      </c>
      <c r="C61" s="92" t="str">
        <f>IF(ISBLANK(Deltagarlista!C58),"",Deltagarlista!C58)</f>
        <v/>
      </c>
      <c r="D61" s="109" t="str">
        <f>CONCATENATE(IF(AND(Deltagarlista!H58="GM",Deltagarlista!$S$14=TRUE),"GM   ",""),  IF(OR(Deltagarlista!$K$3=4,Deltagarlista!$K$3=2),Deltagarlista!I58,""))</f>
        <v/>
      </c>
      <c r="E61" s="8" t="str">
        <f>IF(ISBLANK(Deltagarlista!D58),"",Deltagarlista!D58)</f>
        <v/>
      </c>
      <c r="F61" s="8" t="str">
        <f>IF(ISBLANK(Deltagarlista!E58),"",Deltagarlista!E58)</f>
        <v/>
      </c>
      <c r="G61" s="95" t="str">
        <f>IF(ISBLANK(Deltagarlista!F58),"",Deltagarlista!F58)</f>
        <v/>
      </c>
      <c r="H61" s="72" t="str">
        <f>IF(ISBLANK(Deltagarlista!C58),"",BU61-EE61)</f>
        <v/>
      </c>
      <c r="I61" s="13" t="str">
        <f>IF(ISBLANK(Deltagarlista!C58),"",IF(AND(Deltagarlista!$K$3=2,Deltagarlista!$L$3&lt;37),SUM(SUM(BV61:EC61)-(ROUNDDOWN(Arrangörslista!$U$5/3,1))*($BW$3+1)),SUM(BV61:EC61)))</f>
        <v/>
      </c>
      <c r="J61" s="79" t="str">
        <f>IF(Deltagarlista!$K$3=4,IF(ISBLANK(Deltagarlista!$C58),"",IF(ISBLANK(Arrangörslista!C$8),"",IFERROR(VLOOKUP($F61,Arrangörslista!C$8:$AG$45,16,FALSE),IF(ISBLANK(Deltagarlista!$C58),"",IF(ISBLANK(Arrangörslista!C$8),"",IFERROR(VLOOKUP($F61,Arrangörslista!D$8:$AG$45,16,FALSE),"DNS")))))),IF(Deltagarlista!$K$3=2,
IF(ISBLANK(Deltagarlista!$C58),"",IF(ISBLANK(Arrangörslista!C$8),"",IF($GV61=J$64," DNS ",IFERROR(VLOOKUP($F61,Arrangörslista!C$8:$AG$45,16,FALSE),"DNS")))),IF(ISBLANK(Deltagarlista!$C58),"",IF(ISBLANK(Arrangörslista!C$8),"",IFERROR(VLOOKUP($F61,Arrangörslista!C$8:$AG$45,16,FALSE),"DNS")))))</f>
        <v/>
      </c>
      <c r="K61" s="5" t="str">
        <f>IF(Deltagarlista!$K$3=4,IF(ISBLANK(Deltagarlista!$C58),"",IF(ISBLANK(Arrangörslista!E$8),"",IFERROR(VLOOKUP($F61,Arrangörslista!E$8:$AG$45,16,FALSE),IF(ISBLANK(Deltagarlista!$C58),"",IF(ISBLANK(Arrangörslista!E$8),"",IFERROR(VLOOKUP($F61,Arrangörslista!F$8:$AG$45,16,FALSE),"DNS")))))),IF(Deltagarlista!$K$3=2,
IF(ISBLANK(Deltagarlista!$C58),"",IF(ISBLANK(Arrangörslista!D$8),"",IF($GV61=K$64," DNS ",IFERROR(VLOOKUP($F61,Arrangörslista!D$8:$AG$45,16,FALSE),"DNS")))),IF(ISBLANK(Deltagarlista!$C58),"",IF(ISBLANK(Arrangörslista!D$8),"",IFERROR(VLOOKUP($F61,Arrangörslista!D$8:$AG$45,16,FALSE),"DNS")))))</f>
        <v/>
      </c>
      <c r="L61" s="5" t="str">
        <f>IF(Deltagarlista!$K$3=4,IF(ISBLANK(Deltagarlista!$C58),"",IF(ISBLANK(Arrangörslista!G$8),"",IFERROR(VLOOKUP($F61,Arrangörslista!G$8:$AG$45,16,FALSE),IF(ISBLANK(Deltagarlista!$C58),"",IF(ISBLANK(Arrangörslista!G$8),"",IFERROR(VLOOKUP($F61,Arrangörslista!H$8:$AG$45,16,FALSE),"DNS")))))),IF(Deltagarlista!$K$3=2,
IF(ISBLANK(Deltagarlista!$C58),"",IF(ISBLANK(Arrangörslista!E$8),"",IF($GV61=L$64," DNS ",IFERROR(VLOOKUP($F61,Arrangörslista!E$8:$AG$45,16,FALSE),"DNS")))),IF(ISBLANK(Deltagarlista!$C58),"",IF(ISBLANK(Arrangörslista!E$8),"",IFERROR(VLOOKUP($F61,Arrangörslista!E$8:$AG$45,16,FALSE),"DNS")))))</f>
        <v/>
      </c>
      <c r="M61" s="5" t="str">
        <f>IF(Deltagarlista!$K$3=4,IF(ISBLANK(Deltagarlista!$C58),"",IF(ISBLANK(Arrangörslista!I$8),"",IFERROR(VLOOKUP($F61,Arrangörslista!I$8:$AG$45,16,FALSE),IF(ISBLANK(Deltagarlista!$C58),"",IF(ISBLANK(Arrangörslista!I$8),"",IFERROR(VLOOKUP($F61,Arrangörslista!J$8:$AG$45,16,FALSE),"DNS")))))),IF(Deltagarlista!$K$3=2,
IF(ISBLANK(Deltagarlista!$C58),"",IF(ISBLANK(Arrangörslista!F$8),"",IF($GV61=M$64," DNS ",IFERROR(VLOOKUP($F61,Arrangörslista!F$8:$AG$45,16,FALSE),"DNS")))),IF(ISBLANK(Deltagarlista!$C58),"",IF(ISBLANK(Arrangörslista!F$8),"",IFERROR(VLOOKUP($F61,Arrangörslista!F$8:$AG$45,16,FALSE),"DNS")))))</f>
        <v/>
      </c>
      <c r="N61" s="5" t="str">
        <f>IF(Deltagarlista!$K$3=4,IF(ISBLANK(Deltagarlista!$C58),"",IF(ISBLANK(Arrangörslista!K$8),"",IFERROR(VLOOKUP($F61,Arrangörslista!K$8:$AG$45,16,FALSE),IF(ISBLANK(Deltagarlista!$C58),"",IF(ISBLANK(Arrangörslista!K$8),"",IFERROR(VLOOKUP($F61,Arrangörslista!L$8:$AG$45,16,FALSE),"DNS")))))),IF(Deltagarlista!$K$3=2,
IF(ISBLANK(Deltagarlista!$C58),"",IF(ISBLANK(Arrangörslista!G$8),"",IF($GV61=N$64," DNS ",IFERROR(VLOOKUP($F61,Arrangörslista!G$8:$AG$45,16,FALSE),"DNS")))),IF(ISBLANK(Deltagarlista!$C58),"",IF(ISBLANK(Arrangörslista!G$8),"",IFERROR(VLOOKUP($F61,Arrangörslista!G$8:$AG$45,16,FALSE),"DNS")))))</f>
        <v/>
      </c>
      <c r="O61" s="5" t="str">
        <f>IF(Deltagarlista!$K$3=4,IF(ISBLANK(Deltagarlista!$C58),"",IF(ISBLANK(Arrangörslista!M$8),"",IFERROR(VLOOKUP($F61,Arrangörslista!M$8:$AG$45,16,FALSE),IF(ISBLANK(Deltagarlista!$C58),"",IF(ISBLANK(Arrangörslista!M$8),"",IFERROR(VLOOKUP($F61,Arrangörslista!N$8:$AG$45,16,FALSE),"DNS")))))),IF(Deltagarlista!$K$3=2,
IF(ISBLANK(Deltagarlista!$C58),"",IF(ISBLANK(Arrangörslista!H$8),"",IF($GV61=O$64," DNS ",IFERROR(VLOOKUP($F61,Arrangörslista!H$8:$AG$45,16,FALSE),"DNS")))),IF(ISBLANK(Deltagarlista!$C58),"",IF(ISBLANK(Arrangörslista!H$8),"",IFERROR(VLOOKUP($F61,Arrangörslista!H$8:$AG$45,16,FALSE),"DNS")))))</f>
        <v/>
      </c>
      <c r="P61" s="5" t="str">
        <f>IF(Deltagarlista!$K$3=4,IF(ISBLANK(Deltagarlista!$C58),"",IF(ISBLANK(Arrangörslista!O$8),"",IFERROR(VLOOKUP($F61,Arrangörslista!O$8:$AG$45,16,FALSE),IF(ISBLANK(Deltagarlista!$C58),"",IF(ISBLANK(Arrangörslista!O$8),"",IFERROR(VLOOKUP($F61,Arrangörslista!P$8:$AG$45,16,FALSE),"DNS")))))),IF(Deltagarlista!$K$3=2,
IF(ISBLANK(Deltagarlista!$C58),"",IF(ISBLANK(Arrangörslista!I$8),"",IF($GV61=P$64," DNS ",IFERROR(VLOOKUP($F61,Arrangörslista!I$8:$AG$45,16,FALSE),"DNS")))),IF(ISBLANK(Deltagarlista!$C58),"",IF(ISBLANK(Arrangörslista!I$8),"",IFERROR(VLOOKUP($F61,Arrangörslista!I$8:$AG$45,16,FALSE),"DNS")))))</f>
        <v/>
      </c>
      <c r="Q61" s="5" t="str">
        <f>IF(Deltagarlista!$K$3=4,IF(ISBLANK(Deltagarlista!$C58),"",IF(ISBLANK(Arrangörslista!Q$8),"",IFERROR(VLOOKUP($F61,Arrangörslista!Q$8:$AG$45,16,FALSE),IF(ISBLANK(Deltagarlista!$C58),"",IF(ISBLANK(Arrangörslista!Q$8),"",IFERROR(VLOOKUP($F61,Arrangörslista!C$53:$AG$90,16,FALSE),"DNS")))))),IF(Deltagarlista!$K$3=2,
IF(ISBLANK(Deltagarlista!$C58),"",IF(ISBLANK(Arrangörslista!J$8),"",IF($GV61=Q$64," DNS ",IFERROR(VLOOKUP($F61,Arrangörslista!J$8:$AG$45,16,FALSE),"DNS")))),IF(ISBLANK(Deltagarlista!$C58),"",IF(ISBLANK(Arrangörslista!J$8),"",IFERROR(VLOOKUP($F61,Arrangörslista!J$8:$AG$45,16,FALSE),"DNS")))))</f>
        <v/>
      </c>
      <c r="R61" s="5" t="str">
        <f>IF(Deltagarlista!$K$3=4,IF(ISBLANK(Deltagarlista!$C58),"",IF(ISBLANK(Arrangörslista!D$53),"",IFERROR(VLOOKUP($F61,Arrangörslista!D$53:$AG$90,16,FALSE),IF(ISBLANK(Deltagarlista!$C58),"",IF(ISBLANK(Arrangörslista!D$53),"",IFERROR(VLOOKUP($F61,Arrangörslista!E$53:$AG$90,16,FALSE),"DNS")))))),IF(Deltagarlista!$K$3=2,
IF(ISBLANK(Deltagarlista!$C58),"",IF(ISBLANK(Arrangörslista!K$8),"",IF($GV61=R$64," DNS ",IFERROR(VLOOKUP($F61,Arrangörslista!K$8:$AG$45,16,FALSE),"DNS")))),IF(ISBLANK(Deltagarlista!$C58),"",IF(ISBLANK(Arrangörslista!K$8),"",IFERROR(VLOOKUP($F61,Arrangörslista!K$8:$AG$45,16,FALSE),"DNS")))))</f>
        <v/>
      </c>
      <c r="S61" s="5" t="str">
        <f>IF(Deltagarlista!$K$3=4,IF(ISBLANK(Deltagarlista!$C58),"",IF(ISBLANK(Arrangörslista!F$53),"",IFERROR(VLOOKUP($F61,Arrangörslista!F$53:$AG$90,16,FALSE),IF(ISBLANK(Deltagarlista!$C58),"",IF(ISBLANK(Arrangörslista!F$53),"",IFERROR(VLOOKUP($F61,Arrangörslista!G$53:$AG$90,16,FALSE),"DNS")))))),IF(Deltagarlista!$K$3=2,
IF(ISBLANK(Deltagarlista!$C58),"",IF(ISBLANK(Arrangörslista!L$8),"",IF($GV61=S$64," DNS ",IFERROR(VLOOKUP($F61,Arrangörslista!L$8:$AG$45,16,FALSE),"DNS")))),IF(ISBLANK(Deltagarlista!$C58),"",IF(ISBLANK(Arrangörslista!L$8),"",IFERROR(VLOOKUP($F61,Arrangörslista!L$8:$AG$45,16,FALSE),"DNS")))))</f>
        <v/>
      </c>
      <c r="T61" s="5" t="str">
        <f>IF(Deltagarlista!$K$3=4,IF(ISBLANK(Deltagarlista!$C58),"",IF(ISBLANK(Arrangörslista!H$53),"",IFERROR(VLOOKUP($F61,Arrangörslista!H$53:$AG$90,16,FALSE),IF(ISBLANK(Deltagarlista!$C58),"",IF(ISBLANK(Arrangörslista!H$53),"",IFERROR(VLOOKUP($F61,Arrangörslista!I$53:$AG$90,16,FALSE),"DNS")))))),IF(Deltagarlista!$K$3=2,
IF(ISBLANK(Deltagarlista!$C58),"",IF(ISBLANK(Arrangörslista!M$8),"",IF($GV61=T$64," DNS ",IFERROR(VLOOKUP($F61,Arrangörslista!M$8:$AG$45,16,FALSE),"DNS")))),IF(ISBLANK(Deltagarlista!$C58),"",IF(ISBLANK(Arrangörslista!M$8),"",IFERROR(VLOOKUP($F61,Arrangörslista!M$8:$AG$45,16,FALSE),"DNS")))))</f>
        <v/>
      </c>
      <c r="U61" s="5" t="str">
        <f>IF(Deltagarlista!$K$3=4,IF(ISBLANK(Deltagarlista!$C58),"",IF(ISBLANK(Arrangörslista!J$53),"",IFERROR(VLOOKUP($F61,Arrangörslista!J$53:$AG$90,16,FALSE),IF(ISBLANK(Deltagarlista!$C58),"",IF(ISBLANK(Arrangörslista!J$53),"",IFERROR(VLOOKUP($F61,Arrangörslista!K$53:$AG$90,16,FALSE),"DNS")))))),IF(Deltagarlista!$K$3=2,
IF(ISBLANK(Deltagarlista!$C58),"",IF(ISBLANK(Arrangörslista!N$8),"",IF($GV61=U$64," DNS ",IFERROR(VLOOKUP($F61,Arrangörslista!N$8:$AG$45,16,FALSE),"DNS")))),IF(ISBLANK(Deltagarlista!$C58),"",IF(ISBLANK(Arrangörslista!N$8),"",IFERROR(VLOOKUP($F61,Arrangörslista!N$8:$AG$45,16,FALSE),"DNS")))))</f>
        <v/>
      </c>
      <c r="V61" s="5" t="str">
        <f>IF(Deltagarlista!$K$3=4,IF(ISBLANK(Deltagarlista!$C58),"",IF(ISBLANK(Arrangörslista!L$53),"",IFERROR(VLOOKUP($F61,Arrangörslista!L$53:$AG$90,16,FALSE),IF(ISBLANK(Deltagarlista!$C58),"",IF(ISBLANK(Arrangörslista!L$53),"",IFERROR(VLOOKUP($F61,Arrangörslista!M$53:$AG$90,16,FALSE),"DNS")))))),IF(Deltagarlista!$K$3=2,
IF(ISBLANK(Deltagarlista!$C58),"",IF(ISBLANK(Arrangörslista!O$8),"",IF($GV61=V$64," DNS ",IFERROR(VLOOKUP($F61,Arrangörslista!O$8:$AG$45,16,FALSE),"DNS")))),IF(ISBLANK(Deltagarlista!$C58),"",IF(ISBLANK(Arrangörslista!O$8),"",IFERROR(VLOOKUP($F61,Arrangörslista!O$8:$AG$45,16,FALSE),"DNS")))))</f>
        <v/>
      </c>
      <c r="W61" s="5" t="str">
        <f>IF(Deltagarlista!$K$3=4,IF(ISBLANK(Deltagarlista!$C58),"",IF(ISBLANK(Arrangörslista!N$53),"",IFERROR(VLOOKUP($F61,Arrangörslista!N$53:$AG$90,16,FALSE),IF(ISBLANK(Deltagarlista!$C58),"",IF(ISBLANK(Arrangörslista!N$53),"",IFERROR(VLOOKUP($F61,Arrangörslista!O$53:$AG$90,16,FALSE),"DNS")))))),IF(Deltagarlista!$K$3=2,
IF(ISBLANK(Deltagarlista!$C58),"",IF(ISBLANK(Arrangörslista!P$8),"",IF($GV61=W$64," DNS ",IFERROR(VLOOKUP($F61,Arrangörslista!P$8:$AG$45,16,FALSE),"DNS")))),IF(ISBLANK(Deltagarlista!$C58),"",IF(ISBLANK(Arrangörslista!P$8),"",IFERROR(VLOOKUP($F61,Arrangörslista!P$8:$AG$45,16,FALSE),"DNS")))))</f>
        <v/>
      </c>
      <c r="X61" s="5" t="str">
        <f>IF(Deltagarlista!$K$3=4,IF(ISBLANK(Deltagarlista!$C58),"",IF(ISBLANK(Arrangörslista!P$53),"",IFERROR(VLOOKUP($F61,Arrangörslista!P$53:$AG$90,16,FALSE),IF(ISBLANK(Deltagarlista!$C58),"",IF(ISBLANK(Arrangörslista!P$53),"",IFERROR(VLOOKUP($F61,Arrangörslista!Q$53:$AG$90,16,FALSE),"DNS")))))),IF(Deltagarlista!$K$3=2,
IF(ISBLANK(Deltagarlista!$C58),"",IF(ISBLANK(Arrangörslista!Q$8),"",IF($GV61=X$64," DNS ",IFERROR(VLOOKUP($F61,Arrangörslista!Q$8:$AG$45,16,FALSE),"DNS")))),IF(ISBLANK(Deltagarlista!$C58),"",IF(ISBLANK(Arrangörslista!Q$8),"",IFERROR(VLOOKUP($F61,Arrangörslista!Q$8:$AG$45,16,FALSE),"DNS")))))</f>
        <v/>
      </c>
      <c r="Y61" s="5" t="str">
        <f>IF(Deltagarlista!$K$3=4,IF(ISBLANK(Deltagarlista!$C58),"",IF(ISBLANK(Arrangörslista!C$98),"",IFERROR(VLOOKUP($F61,Arrangörslista!C$98:$AG$135,16,FALSE),IF(ISBLANK(Deltagarlista!$C58),"",IF(ISBLANK(Arrangörslista!C$98),"",IFERROR(VLOOKUP($F61,Arrangörslista!D$98:$AG$135,16,FALSE),"DNS")))))),IF(Deltagarlista!$K$3=2,
IF(ISBLANK(Deltagarlista!$C58),"",IF(ISBLANK(Arrangörslista!C$53),"",IF($GV61=Y$64," DNS ",IFERROR(VLOOKUP($F61,Arrangörslista!C$53:$AG$90,16,FALSE),"DNS")))),IF(ISBLANK(Deltagarlista!$C58),"",IF(ISBLANK(Arrangörslista!C$53),"",IFERROR(VLOOKUP($F61,Arrangörslista!C$53:$AG$90,16,FALSE),"DNS")))))</f>
        <v/>
      </c>
      <c r="Z61" s="5" t="str">
        <f>IF(Deltagarlista!$K$3=4,IF(ISBLANK(Deltagarlista!$C58),"",IF(ISBLANK(Arrangörslista!E$98),"",IFERROR(VLOOKUP($F61,Arrangörslista!E$98:$AG$135,16,FALSE),IF(ISBLANK(Deltagarlista!$C58),"",IF(ISBLANK(Arrangörslista!E$98),"",IFERROR(VLOOKUP($F61,Arrangörslista!F$98:$AG$135,16,FALSE),"DNS")))))),IF(Deltagarlista!$K$3=2,
IF(ISBLANK(Deltagarlista!$C58),"",IF(ISBLANK(Arrangörslista!D$53),"",IF($GV61=Z$64," DNS ",IFERROR(VLOOKUP($F61,Arrangörslista!D$53:$AG$90,16,FALSE),"DNS")))),IF(ISBLANK(Deltagarlista!$C58),"",IF(ISBLANK(Arrangörslista!D$53),"",IFERROR(VLOOKUP($F61,Arrangörslista!D$53:$AG$90,16,FALSE),"DNS")))))</f>
        <v/>
      </c>
      <c r="AA61" s="5" t="str">
        <f>IF(Deltagarlista!$K$3=4,IF(ISBLANK(Deltagarlista!$C58),"",IF(ISBLANK(Arrangörslista!G$98),"",IFERROR(VLOOKUP($F61,Arrangörslista!G$98:$AG$135,16,FALSE),IF(ISBLANK(Deltagarlista!$C58),"",IF(ISBLANK(Arrangörslista!G$98),"",IFERROR(VLOOKUP($F61,Arrangörslista!H$98:$AG$135,16,FALSE),"DNS")))))),IF(Deltagarlista!$K$3=2,
IF(ISBLANK(Deltagarlista!$C58),"",IF(ISBLANK(Arrangörslista!E$53),"",IF($GV61=AA$64," DNS ",IFERROR(VLOOKUP($F61,Arrangörslista!E$53:$AG$90,16,FALSE),"DNS")))),IF(ISBLANK(Deltagarlista!$C58),"",IF(ISBLANK(Arrangörslista!E$53),"",IFERROR(VLOOKUP($F61,Arrangörslista!E$53:$AG$90,16,FALSE),"DNS")))))</f>
        <v/>
      </c>
      <c r="AB61" s="5" t="str">
        <f>IF(Deltagarlista!$K$3=4,IF(ISBLANK(Deltagarlista!$C58),"",IF(ISBLANK(Arrangörslista!I$98),"",IFERROR(VLOOKUP($F61,Arrangörslista!I$98:$AG$135,16,FALSE),IF(ISBLANK(Deltagarlista!$C58),"",IF(ISBLANK(Arrangörslista!I$98),"",IFERROR(VLOOKUP($F61,Arrangörslista!J$98:$AG$135,16,FALSE),"DNS")))))),IF(Deltagarlista!$K$3=2,
IF(ISBLANK(Deltagarlista!$C58),"",IF(ISBLANK(Arrangörslista!F$53),"",IF($GV61=AB$64," DNS ",IFERROR(VLOOKUP($F61,Arrangörslista!F$53:$AG$90,16,FALSE),"DNS")))),IF(ISBLANK(Deltagarlista!$C58),"",IF(ISBLANK(Arrangörslista!F$53),"",IFERROR(VLOOKUP($F61,Arrangörslista!F$53:$AG$90,16,FALSE),"DNS")))))</f>
        <v/>
      </c>
      <c r="AC61" s="5" t="str">
        <f>IF(Deltagarlista!$K$3=4,IF(ISBLANK(Deltagarlista!$C58),"",IF(ISBLANK(Arrangörslista!K$98),"",IFERROR(VLOOKUP($F61,Arrangörslista!K$98:$AG$135,16,FALSE),IF(ISBLANK(Deltagarlista!$C58),"",IF(ISBLANK(Arrangörslista!K$98),"",IFERROR(VLOOKUP($F61,Arrangörslista!L$98:$AG$135,16,FALSE),"DNS")))))),IF(Deltagarlista!$K$3=2,
IF(ISBLANK(Deltagarlista!$C58),"",IF(ISBLANK(Arrangörslista!G$53),"",IF($GV61=AC$64," DNS ",IFERROR(VLOOKUP($F61,Arrangörslista!G$53:$AG$90,16,FALSE),"DNS")))),IF(ISBLANK(Deltagarlista!$C58),"",IF(ISBLANK(Arrangörslista!G$53),"",IFERROR(VLOOKUP($F61,Arrangörslista!G$53:$AG$90,16,FALSE),"DNS")))))</f>
        <v/>
      </c>
      <c r="AD61" s="5" t="str">
        <f>IF(Deltagarlista!$K$3=4,IF(ISBLANK(Deltagarlista!$C58),"",IF(ISBLANK(Arrangörslista!M$98),"",IFERROR(VLOOKUP($F61,Arrangörslista!M$98:$AG$135,16,FALSE),IF(ISBLANK(Deltagarlista!$C58),"",IF(ISBLANK(Arrangörslista!M$98),"",IFERROR(VLOOKUP($F61,Arrangörslista!N$98:$AG$135,16,FALSE),"DNS")))))),IF(Deltagarlista!$K$3=2,
IF(ISBLANK(Deltagarlista!$C58),"",IF(ISBLANK(Arrangörslista!H$53),"",IF($GV61=AD$64," DNS ",IFERROR(VLOOKUP($F61,Arrangörslista!H$53:$AG$90,16,FALSE),"DNS")))),IF(ISBLANK(Deltagarlista!$C58),"",IF(ISBLANK(Arrangörslista!H$53),"",IFERROR(VLOOKUP($F61,Arrangörslista!H$53:$AG$90,16,FALSE),"DNS")))))</f>
        <v/>
      </c>
      <c r="AE61" s="5" t="str">
        <f>IF(Deltagarlista!$K$3=4,IF(ISBLANK(Deltagarlista!$C58),"",IF(ISBLANK(Arrangörslista!O$98),"",IFERROR(VLOOKUP($F61,Arrangörslista!O$98:$AG$135,16,FALSE),IF(ISBLANK(Deltagarlista!$C58),"",IF(ISBLANK(Arrangörslista!O$98),"",IFERROR(VLOOKUP($F61,Arrangörslista!P$98:$AG$135,16,FALSE),"DNS")))))),IF(Deltagarlista!$K$3=2,
IF(ISBLANK(Deltagarlista!$C58),"",IF(ISBLANK(Arrangörslista!I$53),"",IF($GV61=AE$64," DNS ",IFERROR(VLOOKUP($F61,Arrangörslista!I$53:$AG$90,16,FALSE),"DNS")))),IF(ISBLANK(Deltagarlista!$C58),"",IF(ISBLANK(Arrangörslista!I$53),"",IFERROR(VLOOKUP($F61,Arrangörslista!I$53:$AG$90,16,FALSE),"DNS")))))</f>
        <v/>
      </c>
      <c r="AF61" s="5" t="str">
        <f>IF(Deltagarlista!$K$3=4,IF(ISBLANK(Deltagarlista!$C58),"",IF(ISBLANK(Arrangörslista!Q$98),"",IFERROR(VLOOKUP($F61,Arrangörslista!Q$98:$AG$135,16,FALSE),IF(ISBLANK(Deltagarlista!$C58),"",IF(ISBLANK(Arrangörslista!Q$98),"",IFERROR(VLOOKUP($F61,Arrangörslista!C$143:$AG$180,16,FALSE),"DNS")))))),IF(Deltagarlista!$K$3=2,
IF(ISBLANK(Deltagarlista!$C58),"",IF(ISBLANK(Arrangörslista!J$53),"",IF($GV61=AF$64," DNS ",IFERROR(VLOOKUP($F61,Arrangörslista!J$53:$AG$90,16,FALSE),"DNS")))),IF(ISBLANK(Deltagarlista!$C58),"",IF(ISBLANK(Arrangörslista!J$53),"",IFERROR(VLOOKUP($F61,Arrangörslista!J$53:$AG$90,16,FALSE),"DNS")))))</f>
        <v/>
      </c>
      <c r="AG61" s="5" t="str">
        <f>IF(Deltagarlista!$K$3=4,IF(ISBLANK(Deltagarlista!$C58),"",IF(ISBLANK(Arrangörslista!D$143),"",IFERROR(VLOOKUP($F61,Arrangörslista!D$143:$AG$180,16,FALSE),IF(ISBLANK(Deltagarlista!$C58),"",IF(ISBLANK(Arrangörslista!D$143),"",IFERROR(VLOOKUP($F61,Arrangörslista!E$143:$AG$180,16,FALSE),"DNS")))))),IF(Deltagarlista!$K$3=2,
IF(ISBLANK(Deltagarlista!$C58),"",IF(ISBLANK(Arrangörslista!K$53),"",IF($GV61=AG$64," DNS ",IFERROR(VLOOKUP($F61,Arrangörslista!K$53:$AG$90,16,FALSE),"DNS")))),IF(ISBLANK(Deltagarlista!$C58),"",IF(ISBLANK(Arrangörslista!K$53),"",IFERROR(VLOOKUP($F61,Arrangörslista!K$53:$AG$90,16,FALSE),"DNS")))))</f>
        <v/>
      </c>
      <c r="AH61" s="5" t="str">
        <f>IF(Deltagarlista!$K$3=4,IF(ISBLANK(Deltagarlista!$C58),"",IF(ISBLANK(Arrangörslista!F$143),"",IFERROR(VLOOKUP($F61,Arrangörslista!F$143:$AG$180,16,FALSE),IF(ISBLANK(Deltagarlista!$C58),"",IF(ISBLANK(Arrangörslista!F$143),"",IFERROR(VLOOKUP($F61,Arrangörslista!G$143:$AG$180,16,FALSE),"DNS")))))),IF(Deltagarlista!$K$3=2,
IF(ISBLANK(Deltagarlista!$C58),"",IF(ISBLANK(Arrangörslista!L$53),"",IF($GV61=AH$64," DNS ",IFERROR(VLOOKUP($F61,Arrangörslista!L$53:$AG$90,16,FALSE),"DNS")))),IF(ISBLANK(Deltagarlista!$C58),"",IF(ISBLANK(Arrangörslista!L$53),"",IFERROR(VLOOKUP($F61,Arrangörslista!L$53:$AG$90,16,FALSE),"DNS")))))</f>
        <v/>
      </c>
      <c r="AI61" s="5" t="str">
        <f>IF(Deltagarlista!$K$3=4,IF(ISBLANK(Deltagarlista!$C58),"",IF(ISBLANK(Arrangörslista!H$143),"",IFERROR(VLOOKUP($F61,Arrangörslista!H$143:$AG$180,16,FALSE),IF(ISBLANK(Deltagarlista!$C58),"",IF(ISBLANK(Arrangörslista!H$143),"",IFERROR(VLOOKUP($F61,Arrangörslista!I$143:$AG$180,16,FALSE),"DNS")))))),IF(Deltagarlista!$K$3=2,
IF(ISBLANK(Deltagarlista!$C58),"",IF(ISBLANK(Arrangörslista!M$53),"",IF($GV61=AI$64," DNS ",IFERROR(VLOOKUP($F61,Arrangörslista!M$53:$AG$90,16,FALSE),"DNS")))),IF(ISBLANK(Deltagarlista!$C58),"",IF(ISBLANK(Arrangörslista!M$53),"",IFERROR(VLOOKUP($F61,Arrangörslista!M$53:$AG$90,16,FALSE),"DNS")))))</f>
        <v/>
      </c>
      <c r="AJ61" s="5" t="str">
        <f>IF(Deltagarlista!$K$3=4,IF(ISBLANK(Deltagarlista!$C58),"",IF(ISBLANK(Arrangörslista!J$143),"",IFERROR(VLOOKUP($F61,Arrangörslista!J$143:$AG$180,16,FALSE),IF(ISBLANK(Deltagarlista!$C58),"",IF(ISBLANK(Arrangörslista!J$143),"",IFERROR(VLOOKUP($F61,Arrangörslista!K$143:$AG$180,16,FALSE),"DNS")))))),IF(Deltagarlista!$K$3=2,
IF(ISBLANK(Deltagarlista!$C58),"",IF(ISBLANK(Arrangörslista!N$53),"",IF($GV61=AJ$64," DNS ",IFERROR(VLOOKUP($F61,Arrangörslista!N$53:$AG$90,16,FALSE),"DNS")))),IF(ISBLANK(Deltagarlista!$C58),"",IF(ISBLANK(Arrangörslista!N$53),"",IFERROR(VLOOKUP($F61,Arrangörslista!N$53:$AG$90,16,FALSE),"DNS")))))</f>
        <v/>
      </c>
      <c r="AK61" s="5" t="str">
        <f>IF(Deltagarlista!$K$3=4,IF(ISBLANK(Deltagarlista!$C58),"",IF(ISBLANK(Arrangörslista!L$143),"",IFERROR(VLOOKUP($F61,Arrangörslista!L$143:$AG$180,16,FALSE),IF(ISBLANK(Deltagarlista!$C58),"",IF(ISBLANK(Arrangörslista!L$143),"",IFERROR(VLOOKUP($F61,Arrangörslista!M$143:$AG$180,16,FALSE),"DNS")))))),IF(Deltagarlista!$K$3=2,
IF(ISBLANK(Deltagarlista!$C58),"",IF(ISBLANK(Arrangörslista!O$53),"",IF($GV61=AK$64," DNS ",IFERROR(VLOOKUP($F61,Arrangörslista!O$53:$AG$90,16,FALSE),"DNS")))),IF(ISBLANK(Deltagarlista!$C58),"",IF(ISBLANK(Arrangörslista!O$53),"",IFERROR(VLOOKUP($F61,Arrangörslista!O$53:$AG$90,16,FALSE),"DNS")))))</f>
        <v/>
      </c>
      <c r="AL61" s="5" t="str">
        <f>IF(Deltagarlista!$K$3=4,IF(ISBLANK(Deltagarlista!$C58),"",IF(ISBLANK(Arrangörslista!N$143),"",IFERROR(VLOOKUP($F61,Arrangörslista!N$143:$AG$180,16,FALSE),IF(ISBLANK(Deltagarlista!$C58),"",IF(ISBLANK(Arrangörslista!N$143),"",IFERROR(VLOOKUP($F61,Arrangörslista!O$143:$AG$180,16,FALSE),"DNS")))))),IF(Deltagarlista!$K$3=2,
IF(ISBLANK(Deltagarlista!$C58),"",IF(ISBLANK(Arrangörslista!P$53),"",IF($GV61=AL$64," DNS ",IFERROR(VLOOKUP($F61,Arrangörslista!P$53:$AG$90,16,FALSE),"DNS")))),IF(ISBLANK(Deltagarlista!$C58),"",IF(ISBLANK(Arrangörslista!P$53),"",IFERROR(VLOOKUP($F61,Arrangörslista!P$53:$AG$90,16,FALSE),"DNS")))))</f>
        <v/>
      </c>
      <c r="AM61" s="5" t="str">
        <f>IF(Deltagarlista!$K$3=4,IF(ISBLANK(Deltagarlista!$C58),"",IF(ISBLANK(Arrangörslista!P$143),"",IFERROR(VLOOKUP($F61,Arrangörslista!P$143:$AG$180,16,FALSE),IF(ISBLANK(Deltagarlista!$C58),"",IF(ISBLANK(Arrangörslista!P$143),"",IFERROR(VLOOKUP($F61,Arrangörslista!Q$143:$AG$180,16,FALSE),"DNS")))))),IF(Deltagarlista!$K$3=2,
IF(ISBLANK(Deltagarlista!$C58),"",IF(ISBLANK(Arrangörslista!Q$53),"",IF($GV61=AM$64," DNS ",IFERROR(VLOOKUP($F61,Arrangörslista!Q$53:$AG$90,16,FALSE),"DNS")))),IF(ISBLANK(Deltagarlista!$C58),"",IF(ISBLANK(Arrangörslista!Q$53),"",IFERROR(VLOOKUP($F61,Arrangörslista!Q$53:$AG$90,16,FALSE),"DNS")))))</f>
        <v/>
      </c>
      <c r="AN61" s="5" t="str">
        <f>IF(Deltagarlista!$K$3=2,
IF(ISBLANK(Deltagarlista!$C58),"",IF(ISBLANK(Arrangörslista!C$98),"",IF($GV61=AN$64," DNS ",IFERROR(VLOOKUP($F61,Arrangörslista!C$98:$AG$135,16,FALSE), "DNS")))), IF(Deltagarlista!$K$3=1,IF(ISBLANK(Deltagarlista!$C58),"",IF(ISBLANK(Arrangörslista!C$98),"",IFERROR(VLOOKUP($F61,Arrangörslista!C$98:$AG$135,16,FALSE), "DNS"))),""))</f>
        <v/>
      </c>
      <c r="AO61" s="5" t="str">
        <f>IF(Deltagarlista!$K$3=2,
IF(ISBLANK(Deltagarlista!$C58),"",IF(ISBLANK(Arrangörslista!D$98),"",IF($GV61=AO$64," DNS ",IFERROR(VLOOKUP($F61,Arrangörslista!D$98:$AG$135,16,FALSE), "DNS")))), IF(Deltagarlista!$K$3=1,IF(ISBLANK(Deltagarlista!$C58),"",IF(ISBLANK(Arrangörslista!D$98),"",IFERROR(VLOOKUP($F61,Arrangörslista!D$98:$AG$135,16,FALSE), "DNS"))),""))</f>
        <v/>
      </c>
      <c r="AP61" s="5" t="str">
        <f>IF(Deltagarlista!$K$3=2,
IF(ISBLANK(Deltagarlista!$C58),"",IF(ISBLANK(Arrangörslista!E$98),"",IF($GV61=AP$64," DNS ",IFERROR(VLOOKUP($F61,Arrangörslista!E$98:$AG$135,16,FALSE), "DNS")))), IF(Deltagarlista!$K$3=1,IF(ISBLANK(Deltagarlista!$C58),"",IF(ISBLANK(Arrangörslista!E$98),"",IFERROR(VLOOKUP($F61,Arrangörslista!E$98:$AG$135,16,FALSE), "DNS"))),""))</f>
        <v/>
      </c>
      <c r="AQ61" s="5" t="str">
        <f>IF(Deltagarlista!$K$3=2,
IF(ISBLANK(Deltagarlista!$C58),"",IF(ISBLANK(Arrangörslista!F$98),"",IF($GV61=AQ$64," DNS ",IFERROR(VLOOKUP($F61,Arrangörslista!F$98:$AG$135,16,FALSE), "DNS")))), IF(Deltagarlista!$K$3=1,IF(ISBLANK(Deltagarlista!$C58),"",IF(ISBLANK(Arrangörslista!F$98),"",IFERROR(VLOOKUP($F61,Arrangörslista!F$98:$AG$135,16,FALSE), "DNS"))),""))</f>
        <v/>
      </c>
      <c r="AR61" s="5" t="str">
        <f>IF(Deltagarlista!$K$3=2,
IF(ISBLANK(Deltagarlista!$C58),"",IF(ISBLANK(Arrangörslista!G$98),"",IF($GV61=AR$64," DNS ",IFERROR(VLOOKUP($F61,Arrangörslista!G$98:$AG$135,16,FALSE), "DNS")))), IF(Deltagarlista!$K$3=1,IF(ISBLANK(Deltagarlista!$C58),"",IF(ISBLANK(Arrangörslista!G$98),"",IFERROR(VLOOKUP($F61,Arrangörslista!G$98:$AG$135,16,FALSE), "DNS"))),""))</f>
        <v/>
      </c>
      <c r="AS61" s="5" t="str">
        <f>IF(Deltagarlista!$K$3=2,
IF(ISBLANK(Deltagarlista!$C58),"",IF(ISBLANK(Arrangörslista!H$98),"",IF($GV61=AS$64," DNS ",IFERROR(VLOOKUP($F61,Arrangörslista!H$98:$AG$135,16,FALSE), "DNS")))), IF(Deltagarlista!$K$3=1,IF(ISBLANK(Deltagarlista!$C58),"",IF(ISBLANK(Arrangörslista!H$98),"",IFERROR(VLOOKUP($F61,Arrangörslista!H$98:$AG$135,16,FALSE), "DNS"))),""))</f>
        <v/>
      </c>
      <c r="AT61" s="5" t="str">
        <f>IF(Deltagarlista!$K$3=2,
IF(ISBLANK(Deltagarlista!$C58),"",IF(ISBLANK(Arrangörslista!I$98),"",IF($GV61=AT$64," DNS ",IFERROR(VLOOKUP($F61,Arrangörslista!I$98:$AG$135,16,FALSE), "DNS")))), IF(Deltagarlista!$K$3=1,IF(ISBLANK(Deltagarlista!$C58),"",IF(ISBLANK(Arrangörslista!I$98),"",IFERROR(VLOOKUP($F61,Arrangörslista!I$98:$AG$135,16,FALSE), "DNS"))),""))</f>
        <v/>
      </c>
      <c r="AU61" s="5" t="str">
        <f>IF(Deltagarlista!$K$3=2,
IF(ISBLANK(Deltagarlista!$C58),"",IF(ISBLANK(Arrangörslista!J$98),"",IF($GV61=AU$64," DNS ",IFERROR(VLOOKUP($F61,Arrangörslista!J$98:$AG$135,16,FALSE), "DNS")))), IF(Deltagarlista!$K$3=1,IF(ISBLANK(Deltagarlista!$C58),"",IF(ISBLANK(Arrangörslista!J$98),"",IFERROR(VLOOKUP($F61,Arrangörslista!J$98:$AG$135,16,FALSE), "DNS"))),""))</f>
        <v/>
      </c>
      <c r="AV61" s="5" t="str">
        <f>IF(Deltagarlista!$K$3=2,
IF(ISBLANK(Deltagarlista!$C58),"",IF(ISBLANK(Arrangörslista!K$98),"",IF($GV61=AV$64," DNS ",IFERROR(VLOOKUP($F61,Arrangörslista!K$98:$AG$135,16,FALSE), "DNS")))), IF(Deltagarlista!$K$3=1,IF(ISBLANK(Deltagarlista!$C58),"",IF(ISBLANK(Arrangörslista!K$98),"",IFERROR(VLOOKUP($F61,Arrangörslista!K$98:$AG$135,16,FALSE), "DNS"))),""))</f>
        <v/>
      </c>
      <c r="AW61" s="5" t="str">
        <f>IF(Deltagarlista!$K$3=2,
IF(ISBLANK(Deltagarlista!$C58),"",IF(ISBLANK(Arrangörslista!L$98),"",IF($GV61=AW$64," DNS ",IFERROR(VLOOKUP($F61,Arrangörslista!L$98:$AG$135,16,FALSE), "DNS")))), IF(Deltagarlista!$K$3=1,IF(ISBLANK(Deltagarlista!$C58),"",IF(ISBLANK(Arrangörslista!L$98),"",IFERROR(VLOOKUP($F61,Arrangörslista!L$98:$AG$135,16,FALSE), "DNS"))),""))</f>
        <v/>
      </c>
      <c r="AX61" s="5" t="str">
        <f>IF(Deltagarlista!$K$3=2,
IF(ISBLANK(Deltagarlista!$C58),"",IF(ISBLANK(Arrangörslista!M$98),"",IF($GV61=AX$64," DNS ",IFERROR(VLOOKUP($F61,Arrangörslista!M$98:$AG$135,16,FALSE), "DNS")))), IF(Deltagarlista!$K$3=1,IF(ISBLANK(Deltagarlista!$C58),"",IF(ISBLANK(Arrangörslista!M$98),"",IFERROR(VLOOKUP($F61,Arrangörslista!M$98:$AG$135,16,FALSE), "DNS"))),""))</f>
        <v/>
      </c>
      <c r="AY61" s="5" t="str">
        <f>IF(Deltagarlista!$K$3=2,
IF(ISBLANK(Deltagarlista!$C58),"",IF(ISBLANK(Arrangörslista!N$98),"",IF($GV61=AY$64," DNS ",IFERROR(VLOOKUP($F61,Arrangörslista!N$98:$AG$135,16,FALSE), "DNS")))), IF(Deltagarlista!$K$3=1,IF(ISBLANK(Deltagarlista!$C58),"",IF(ISBLANK(Arrangörslista!N$98),"",IFERROR(VLOOKUP($F61,Arrangörslista!N$98:$AG$135,16,FALSE), "DNS"))),""))</f>
        <v/>
      </c>
      <c r="AZ61" s="5" t="str">
        <f>IF(Deltagarlista!$K$3=2,
IF(ISBLANK(Deltagarlista!$C58),"",IF(ISBLANK(Arrangörslista!O$98),"",IF($GV61=AZ$64," DNS ",IFERROR(VLOOKUP($F61,Arrangörslista!O$98:$AG$135,16,FALSE), "DNS")))), IF(Deltagarlista!$K$3=1,IF(ISBLANK(Deltagarlista!$C58),"",IF(ISBLANK(Arrangörslista!O$98),"",IFERROR(VLOOKUP($F61,Arrangörslista!O$98:$AG$135,16,FALSE), "DNS"))),""))</f>
        <v/>
      </c>
      <c r="BA61" s="5" t="str">
        <f>IF(Deltagarlista!$K$3=2,
IF(ISBLANK(Deltagarlista!$C58),"",IF(ISBLANK(Arrangörslista!P$98),"",IF($GV61=BA$64," DNS ",IFERROR(VLOOKUP($F61,Arrangörslista!P$98:$AG$135,16,FALSE), "DNS")))), IF(Deltagarlista!$K$3=1,IF(ISBLANK(Deltagarlista!$C58),"",IF(ISBLANK(Arrangörslista!P$98),"",IFERROR(VLOOKUP($F61,Arrangörslista!P$98:$AG$135,16,FALSE), "DNS"))),""))</f>
        <v/>
      </c>
      <c r="BB61" s="5" t="str">
        <f>IF(Deltagarlista!$K$3=2,
IF(ISBLANK(Deltagarlista!$C58),"",IF(ISBLANK(Arrangörslista!Q$98),"",IF($GV61=BB$64," DNS ",IFERROR(VLOOKUP($F61,Arrangörslista!Q$98:$AG$135,16,FALSE), "DNS")))), IF(Deltagarlista!$K$3=1,IF(ISBLANK(Deltagarlista!$C58),"",IF(ISBLANK(Arrangörslista!Q$98),"",IFERROR(VLOOKUP($F61,Arrangörslista!Q$98:$AG$135,16,FALSE), "DNS"))),""))</f>
        <v/>
      </c>
      <c r="BC61" s="5" t="str">
        <f>IF(Deltagarlista!$K$3=2,
IF(ISBLANK(Deltagarlista!$C58),"",IF(ISBLANK(Arrangörslista!C$143),"",IF($GV61=BC$64," DNS ",IFERROR(VLOOKUP($F61,Arrangörslista!C$143:$AG$180,16,FALSE), "DNS")))), IF(Deltagarlista!$K$3=1,IF(ISBLANK(Deltagarlista!$C58),"",IF(ISBLANK(Arrangörslista!C$143),"",IFERROR(VLOOKUP($F61,Arrangörslista!C$143:$AG$180,16,FALSE), "DNS"))),""))</f>
        <v/>
      </c>
      <c r="BD61" s="5" t="str">
        <f>IF(Deltagarlista!$K$3=2,
IF(ISBLANK(Deltagarlista!$C58),"",IF(ISBLANK(Arrangörslista!D$143),"",IF($GV61=BD$64," DNS ",IFERROR(VLOOKUP($F61,Arrangörslista!D$143:$AG$180,16,FALSE), "DNS")))), IF(Deltagarlista!$K$3=1,IF(ISBLANK(Deltagarlista!$C58),"",IF(ISBLANK(Arrangörslista!D$143),"",IFERROR(VLOOKUP($F61,Arrangörslista!D$143:$AG$180,16,FALSE), "DNS"))),""))</f>
        <v/>
      </c>
      <c r="BE61" s="5" t="str">
        <f>IF(Deltagarlista!$K$3=2,
IF(ISBLANK(Deltagarlista!$C58),"",IF(ISBLANK(Arrangörslista!E$143),"",IF($GV61=BE$64," DNS ",IFERROR(VLOOKUP($F61,Arrangörslista!E$143:$AG$180,16,FALSE), "DNS")))), IF(Deltagarlista!$K$3=1,IF(ISBLANK(Deltagarlista!$C58),"",IF(ISBLANK(Arrangörslista!E$143),"",IFERROR(VLOOKUP($F61,Arrangörslista!E$143:$AG$180,16,FALSE), "DNS"))),""))</f>
        <v/>
      </c>
      <c r="BF61" s="5" t="str">
        <f>IF(Deltagarlista!$K$3=2,
IF(ISBLANK(Deltagarlista!$C58),"",IF(ISBLANK(Arrangörslista!F$143),"",IF($GV61=BF$64," DNS ",IFERROR(VLOOKUP($F61,Arrangörslista!F$143:$AG$180,16,FALSE), "DNS")))), IF(Deltagarlista!$K$3=1,IF(ISBLANK(Deltagarlista!$C58),"",IF(ISBLANK(Arrangörslista!F$143),"",IFERROR(VLOOKUP($F61,Arrangörslista!F$143:$AG$180,16,FALSE), "DNS"))),""))</f>
        <v/>
      </c>
      <c r="BG61" s="5" t="str">
        <f>IF(Deltagarlista!$K$3=2,
IF(ISBLANK(Deltagarlista!$C58),"",IF(ISBLANK(Arrangörslista!G$143),"",IF($GV61=BG$64," DNS ",IFERROR(VLOOKUP($F61,Arrangörslista!G$143:$AG$180,16,FALSE), "DNS")))), IF(Deltagarlista!$K$3=1,IF(ISBLANK(Deltagarlista!$C58),"",IF(ISBLANK(Arrangörslista!G$143),"",IFERROR(VLOOKUP($F61,Arrangörslista!G$143:$AG$180,16,FALSE), "DNS"))),""))</f>
        <v/>
      </c>
      <c r="BH61" s="5" t="str">
        <f>IF(Deltagarlista!$K$3=2,
IF(ISBLANK(Deltagarlista!$C58),"",IF(ISBLANK(Arrangörslista!H$143),"",IF($GV61=BH$64," DNS ",IFERROR(VLOOKUP($F61,Arrangörslista!H$143:$AG$180,16,FALSE), "DNS")))), IF(Deltagarlista!$K$3=1,IF(ISBLANK(Deltagarlista!$C58),"",IF(ISBLANK(Arrangörslista!H$143),"",IFERROR(VLOOKUP($F61,Arrangörslista!H$143:$AG$180,16,FALSE), "DNS"))),""))</f>
        <v/>
      </c>
      <c r="BI61" s="5" t="str">
        <f>IF(Deltagarlista!$K$3=2,
IF(ISBLANK(Deltagarlista!$C58),"",IF(ISBLANK(Arrangörslista!I$143),"",IF($GV61=BI$64," DNS ",IFERROR(VLOOKUP($F61,Arrangörslista!I$143:$AG$180,16,FALSE), "DNS")))), IF(Deltagarlista!$K$3=1,IF(ISBLANK(Deltagarlista!$C58),"",IF(ISBLANK(Arrangörslista!I$143),"",IFERROR(VLOOKUP($F61,Arrangörslista!I$143:$AG$180,16,FALSE), "DNS"))),""))</f>
        <v/>
      </c>
      <c r="BJ61" s="5" t="str">
        <f>IF(Deltagarlista!$K$3=2,
IF(ISBLANK(Deltagarlista!$C58),"",IF(ISBLANK(Arrangörslista!J$143),"",IF($GV61=BJ$64," DNS ",IFERROR(VLOOKUP($F61,Arrangörslista!J$143:$AG$180,16,FALSE), "DNS")))), IF(Deltagarlista!$K$3=1,IF(ISBLANK(Deltagarlista!$C58),"",IF(ISBLANK(Arrangörslista!J$143),"",IFERROR(VLOOKUP($F61,Arrangörslista!J$143:$AG$180,16,FALSE), "DNS"))),""))</f>
        <v/>
      </c>
      <c r="BK61" s="5" t="str">
        <f>IF(Deltagarlista!$K$3=2,
IF(ISBLANK(Deltagarlista!$C58),"",IF(ISBLANK(Arrangörslista!K$143),"",IF($GV61=BK$64," DNS ",IFERROR(VLOOKUP($F61,Arrangörslista!K$143:$AG$180,16,FALSE), "DNS")))), IF(Deltagarlista!$K$3=1,IF(ISBLANK(Deltagarlista!$C58),"",IF(ISBLANK(Arrangörslista!K$143),"",IFERROR(VLOOKUP($F61,Arrangörslista!K$143:$AG$180,16,FALSE), "DNS"))),""))</f>
        <v/>
      </c>
      <c r="BL61" s="5" t="str">
        <f>IF(Deltagarlista!$K$3=2,
IF(ISBLANK(Deltagarlista!$C58),"",IF(ISBLANK(Arrangörslista!L$143),"",IF($GV61=BL$64," DNS ",IFERROR(VLOOKUP($F61,Arrangörslista!L$143:$AG$180,16,FALSE), "DNS")))), IF(Deltagarlista!$K$3=1,IF(ISBLANK(Deltagarlista!$C58),"",IF(ISBLANK(Arrangörslista!L$143),"",IFERROR(VLOOKUP($F61,Arrangörslista!L$143:$AG$180,16,FALSE), "DNS"))),""))</f>
        <v/>
      </c>
      <c r="BM61" s="5" t="str">
        <f>IF(Deltagarlista!$K$3=2,
IF(ISBLANK(Deltagarlista!$C58),"",IF(ISBLANK(Arrangörslista!M$143),"",IF($GV61=BM$64," DNS ",IFERROR(VLOOKUP($F61,Arrangörslista!M$143:$AG$180,16,FALSE), "DNS")))), IF(Deltagarlista!$K$3=1,IF(ISBLANK(Deltagarlista!$C58),"",IF(ISBLANK(Arrangörslista!M$143),"",IFERROR(VLOOKUP($F61,Arrangörslista!M$143:$AG$180,16,FALSE), "DNS"))),""))</f>
        <v/>
      </c>
      <c r="BN61" s="5" t="str">
        <f>IF(Deltagarlista!$K$3=2,
IF(ISBLANK(Deltagarlista!$C58),"",IF(ISBLANK(Arrangörslista!N$143),"",IF($GV61=BN$64," DNS ",IFERROR(VLOOKUP($F61,Arrangörslista!N$143:$AG$180,16,FALSE), "DNS")))), IF(Deltagarlista!$K$3=1,IF(ISBLANK(Deltagarlista!$C58),"",IF(ISBLANK(Arrangörslista!N$143),"",IFERROR(VLOOKUP($F61,Arrangörslista!N$143:$AG$180,16,FALSE), "DNS"))),""))</f>
        <v/>
      </c>
      <c r="BO61" s="5" t="str">
        <f>IF(Deltagarlista!$K$3=2,
IF(ISBLANK(Deltagarlista!$C58),"",IF(ISBLANK(Arrangörslista!O$143),"",IF($GV61=BO$64," DNS ",IFERROR(VLOOKUP($F61,Arrangörslista!O$143:$AG$180,16,FALSE), "DNS")))), IF(Deltagarlista!$K$3=1,IF(ISBLANK(Deltagarlista!$C58),"",IF(ISBLANK(Arrangörslista!O$143),"",IFERROR(VLOOKUP($F61,Arrangörslista!O$143:$AG$180,16,FALSE), "DNS"))),""))</f>
        <v/>
      </c>
      <c r="BP61" s="5" t="str">
        <f>IF(Deltagarlista!$K$3=2,
IF(ISBLANK(Deltagarlista!$C58),"",IF(ISBLANK(Arrangörslista!P$143),"",IF($GV61=BP$64," DNS ",IFERROR(VLOOKUP($F61,Arrangörslista!P$143:$AG$180,16,FALSE), "DNS")))), IF(Deltagarlista!$K$3=1,IF(ISBLANK(Deltagarlista!$C58),"",IF(ISBLANK(Arrangörslista!P$143),"",IFERROR(VLOOKUP($F61,Arrangörslista!P$143:$AG$180,16,FALSE), "DNS"))),""))</f>
        <v/>
      </c>
      <c r="BQ61" s="80" t="str">
        <f>IF(Deltagarlista!$K$3=2,
IF(ISBLANK(Deltagarlista!$C58),"",IF(ISBLANK(Arrangörslista!Q$143),"",IF($GV61=BQ$64," DNS ",IFERROR(VLOOKUP($F61,Arrangörslista!Q$143:$AG$180,16,FALSE), "DNS")))), IF(Deltagarlista!$K$3=1,IF(ISBLANK(Deltagarlista!$C58),"",IF(ISBLANK(Arrangörslista!Q$143),"",IFERROR(VLOOKUP($F61,Arrangörslista!Q$143:$AG$180,16,FALSE), "DNS"))),""))</f>
        <v/>
      </c>
      <c r="BR61" s="48"/>
      <c r="BU61" s="71">
        <f>SUM(BV61:EC61)</f>
        <v>0</v>
      </c>
      <c r="BV61" s="61">
        <f>IF(J61="",0,IF(OR(J61="DNF",J61="OCS",J61="DSQ",J61="DNS",J61=" DNS "),$BW$3+1,J61))</f>
        <v>0</v>
      </c>
      <c r="BW61" s="61">
        <f>IF(K61="",0,IF(OR(K61="DNF",K61="OCS",K61="DSQ",K61="DNS",K61=" DNS "),$BW$3+1,K61))</f>
        <v>0</v>
      </c>
      <c r="BX61" s="61">
        <f>IF(L61="",0,IF(OR(L61="DNF",L61="OCS",L61="DSQ",L61="DNS",L61=" DNS "),$BW$3+1,L61))</f>
        <v>0</v>
      </c>
      <c r="BY61" s="61">
        <f>IF(M61="",0,IF(OR(M61="DNF",M61="OCS",M61="DSQ",M61="DNS",M61=" DNS "),$BW$3+1,M61))</f>
        <v>0</v>
      </c>
      <c r="BZ61" s="61">
        <f>IF(N61="",0,IF(OR(N61="DNF",N61="OCS",N61="DSQ",N61="DNS",N61=" DNS "),$BW$3+1,N61))</f>
        <v>0</v>
      </c>
      <c r="CA61" s="61">
        <f>IF(O61="",0,IF(OR(O61="DNF",O61="OCS",O61="DSQ",O61="DNS",O61=" DNS "),$BW$3+1,O61))</f>
        <v>0</v>
      </c>
      <c r="CB61" s="61">
        <f>IF(P61="",0,IF(OR(P61="DNF",P61="OCS",P61="DSQ",P61="DNS",P61=" DNS "),$BW$3+1,P61))</f>
        <v>0</v>
      </c>
      <c r="CC61" s="61">
        <f>IF(Q61="",0,IF(OR(Q61="DNF",Q61="OCS",Q61="DSQ",Q61="DNS",Q61=" DNS "),$BW$3+1,Q61))</f>
        <v>0</v>
      </c>
      <c r="CD61" s="61">
        <f>IF(R61="",0,IF(OR(R61="DNF",R61="OCS",R61="DSQ",R61="DNS",R61=" DNS "),$BW$3+1,R61))</f>
        <v>0</v>
      </c>
      <c r="CE61" s="61">
        <f>IF(S61="",0,IF(OR(S61="DNF",S61="OCS",S61="DSQ",S61="DNS",S61=" DNS "),$BW$3+1,S61))</f>
        <v>0</v>
      </c>
      <c r="CF61" s="61">
        <f>IF(T61="",0,IF(OR(T61="DNF",T61="OCS",T61="DSQ",T61="DNS",T61=" DNS "),$BW$3+1,T61))</f>
        <v>0</v>
      </c>
      <c r="CG61" s="61">
        <f>IF(U61="",0,IF(OR(U61="DNF",U61="OCS",U61="DSQ",U61="DNS",U61=" DNS "),$BW$3+1,U61))</f>
        <v>0</v>
      </c>
      <c r="CH61" s="61">
        <f>IF(V61="",0,IF(OR(V61="DNF",V61="OCS",V61="DSQ",V61="DNS",V61=" DNS "),$BW$3+1,V61))</f>
        <v>0</v>
      </c>
      <c r="CI61" s="61">
        <f>IF(W61="",0,IF(OR(W61="DNF",W61="OCS",W61="DSQ",W61="DNS",W61=" DNS "),$BW$3+1,W61))</f>
        <v>0</v>
      </c>
      <c r="CJ61" s="61">
        <f>IF(X61="",0,IF(OR(X61="DNF",X61="OCS",X61="DSQ",X61="DNS",X61=" DNS "),$BW$3+1,X61))</f>
        <v>0</v>
      </c>
      <c r="CK61" s="61">
        <f>IF(Y61="",0,IF(OR(Y61="DNF",Y61="OCS",Y61="DSQ",Y61="DNS",Y61=" DNS "),$BW$3+1,Y61))</f>
        <v>0</v>
      </c>
      <c r="CL61" s="61">
        <f>IF(Z61="",0,IF(OR(Z61="DNF",Z61="OCS",Z61="DSQ",Z61="DNS",Z61=" DNS "),$BW$3+1,Z61))</f>
        <v>0</v>
      </c>
      <c r="CM61" s="61">
        <f>IF(AA61="",0,IF(OR(AA61="DNF",AA61="OCS",AA61="DSQ",AA61="DNS",AA61=" DNS "),$BW$3+1,AA61))</f>
        <v>0</v>
      </c>
      <c r="CN61" s="61">
        <f>IF(AB61="",0,IF(OR(AB61="DNF",AB61="OCS",AB61="DSQ",AB61="DNS",AB61=" DNS "),$BW$3+1,AB61))</f>
        <v>0</v>
      </c>
      <c r="CO61" s="61">
        <f>IF(AC61="",0,IF(OR(AC61="DNF",AC61="OCS",AC61="DSQ",AC61="DNS",AC61=" DNS "),$BW$3+1,AC61))</f>
        <v>0</v>
      </c>
      <c r="CP61" s="61">
        <f>IF(AD61="",0,IF(OR(AD61="DNF",AD61="OCS",AD61="DSQ",AD61="DNS",AD61=" DNS "),$BW$3+1,AD61))</f>
        <v>0</v>
      </c>
      <c r="CQ61" s="61">
        <f>IF(AE61="",0,IF(OR(AE61="DNF",AE61="OCS",AE61="DSQ",AE61="DNS",AE61=" DNS "),$BW$3+1,AE61))</f>
        <v>0</v>
      </c>
      <c r="CR61" s="61">
        <f>IF(AF61="",0,IF(OR(AF61="DNF",AF61="OCS",AF61="DSQ",AF61="DNS",AF61=" DNS "),$BW$3+1,AF61))</f>
        <v>0</v>
      </c>
      <c r="CS61" s="61">
        <f>IF(AG61="",0,IF(OR(AG61="DNF",AG61="OCS",AG61="DSQ",AG61="DNS",AG61=" DNS "),$BW$3+1,AG61))</f>
        <v>0</v>
      </c>
      <c r="CT61" s="61">
        <f>IF(AH61="",0,IF(OR(AH61="DNF",AH61="OCS",AH61="DSQ",AH61="DNS",AH61=" DNS "),$BW$3+1,AH61))</f>
        <v>0</v>
      </c>
      <c r="CU61" s="61">
        <f>IF(AI61="",0,IF(OR(AI61="DNF",AI61="OCS",AI61="DSQ",AI61="DNS",AI61=" DNS "),$BW$3+1,AI61))</f>
        <v>0</v>
      </c>
      <c r="CV61" s="61">
        <f>IF(AJ61="",0,IF(OR(AJ61="DNF",AJ61="OCS",AJ61="DSQ",AJ61="DNS",AJ61=" DNS "),$BW$3+1,AJ61))</f>
        <v>0</v>
      </c>
      <c r="CW61" s="61">
        <f>IF(AK61="",0,IF(OR(AK61="DNF",AK61="OCS",AK61="DSQ",AK61="DNS",AK61=" DNS "),$BW$3+1,AK61))</f>
        <v>0</v>
      </c>
      <c r="CX61" s="61">
        <f>IF(AL61="",0,IF(OR(AL61="DNF",AL61="OCS",AL61="DSQ",AL61="DNS",AL61=" DNS "),$BW$3+1,AL61))</f>
        <v>0</v>
      </c>
      <c r="CY61" s="61">
        <f>IF(AM61="",0,IF(OR(AM61="DNF",AM61="OCS",AM61="DSQ",AM61="DNS",AM61=" DNS "),$BW$3+1,AM61))</f>
        <v>0</v>
      </c>
      <c r="CZ61" s="61">
        <f>IF(AN61="",0,IF(OR(AN61="DNF",AN61="OCS",AN61="DSQ",AN61="DNS",AN61=" DNS "),$BW$3+1,AN61))</f>
        <v>0</v>
      </c>
      <c r="DA61" s="61">
        <f>IF(AO61="",0,IF(OR(AO61="DNF",AO61="OCS",AO61="DSQ",AO61="DNS",AO61=" DNS "),$BW$3+1,AO61))</f>
        <v>0</v>
      </c>
      <c r="DB61" s="61">
        <f>IF(AP61="",0,IF(OR(AP61="DNF",AP61="OCS",AP61="DSQ",AP61="DNS",AP61=" DNS "),$BW$3+1,AP61))</f>
        <v>0</v>
      </c>
      <c r="DC61" s="61">
        <f>IF(AQ61="",0,IF(OR(AQ61="DNF",AQ61="OCS",AQ61="DSQ",AQ61="DNS",AQ61=" DNS "),$BW$3+1,AQ61))</f>
        <v>0</v>
      </c>
      <c r="DD61" s="61">
        <f>IF(AR61="",0,IF(OR(AR61="DNF",AR61="OCS",AR61="DSQ",AR61="DNS",AR61=" DNS "),$BW$3+1,AR61))</f>
        <v>0</v>
      </c>
      <c r="DE61" s="61">
        <f>IF(AS61="",0,IF(OR(AS61="DNF",AS61="OCS",AS61="DSQ",AS61="DNS",AS61=" DNS "),$BW$3+1,AS61))</f>
        <v>0</v>
      </c>
      <c r="DF61" s="61">
        <f>IF(AT61="",0,IF(OR(AT61="DNF",AT61="OCS",AT61="DSQ",AT61="DNS",AT61=" DNS "),$BW$3+1,AT61))</f>
        <v>0</v>
      </c>
      <c r="DG61" s="61">
        <f>IF(AU61="",0,IF(OR(AU61="DNF",AU61="OCS",AU61="DSQ",AU61="DNS",AU61=" DNS "),$BW$3+1,AU61))</f>
        <v>0</v>
      </c>
      <c r="DH61" s="61">
        <f>IF(AV61="",0,IF(OR(AV61="DNF",AV61="OCS",AV61="DSQ",AV61="DNS",AV61=" DNS "),$BW$3+1,AV61))</f>
        <v>0</v>
      </c>
      <c r="DI61" s="61">
        <f>IF(AW61="",0,IF(OR(AW61="DNF",AW61="OCS",AW61="DSQ",AW61="DNS",AW61=" DNS "),$BW$3+1,AW61))</f>
        <v>0</v>
      </c>
      <c r="DJ61" s="61">
        <f>IF(AX61="",0,IF(OR(AX61="DNF",AX61="OCS",AX61="DSQ",AX61="DNS",AX61=" DNS "),$BW$3+1,AX61))</f>
        <v>0</v>
      </c>
      <c r="DK61" s="61">
        <f>IF(AY61="",0,IF(OR(AY61="DNF",AY61="OCS",AY61="DSQ",AY61="DNS",AY61=" DNS "),$BW$3+1,AY61))</f>
        <v>0</v>
      </c>
      <c r="DL61" s="61">
        <f>IF(AZ61="",0,IF(OR(AZ61="DNF",AZ61="OCS",AZ61="DSQ",AZ61="DNS",AZ61=" DNS "),$BW$3+1,AZ61))</f>
        <v>0</v>
      </c>
      <c r="DM61" s="61">
        <f>IF(BA61="",0,IF(OR(BA61="DNF",BA61="OCS",BA61="DSQ",BA61="DNS",BA61=" DNS "),$BW$3+1,BA61))</f>
        <v>0</v>
      </c>
      <c r="DN61" s="61">
        <f>IF(BB61="",0,IF(OR(BB61="DNF",BB61="OCS",BB61="DSQ",BB61="DNS",BB61=" DNS "),$BW$3+1,BB61))</f>
        <v>0</v>
      </c>
      <c r="DO61" s="61">
        <f>IF(BC61="",0,IF(OR(BC61="DNF",BC61="OCS",BC61="DSQ",BC61="DNS",BC61=" DNS "),$BW$3+1,BC61))</f>
        <v>0</v>
      </c>
      <c r="DP61" s="61">
        <f>IF(BD61="",0,IF(OR(BD61="DNF",BD61="OCS",BD61="DSQ",BD61="DNS",BD61=" DNS "),$BW$3+1,BD61))</f>
        <v>0</v>
      </c>
      <c r="DQ61" s="61">
        <f>IF(BE61="",0,IF(OR(BE61="DNF",BE61="OCS",BE61="DSQ",BE61="DNS",BE61=" DNS "),$BW$3+1,BE61))</f>
        <v>0</v>
      </c>
      <c r="DR61" s="61">
        <f>IF(BF61="",0,IF(OR(BF61="DNF",BF61="OCS",BF61="DSQ",BF61="DNS",BF61=" DNS "),$BW$3+1,BF61))</f>
        <v>0</v>
      </c>
      <c r="DS61" s="61">
        <f>IF(BG61="",0,IF(OR(BG61="DNF",BG61="OCS",BG61="DSQ",BG61="DNS",BG61=" DNS "),$BW$3+1,BG61))</f>
        <v>0</v>
      </c>
      <c r="DT61" s="61">
        <f>IF(BH61="",0,IF(OR(BH61="DNF",BH61="OCS",BH61="DSQ",BH61="DNS",BH61=" DNS "),$BW$3+1,BH61))</f>
        <v>0</v>
      </c>
      <c r="DU61" s="61">
        <f>IF(BI61="",0,IF(OR(BI61="DNF",BI61="OCS",BI61="DSQ",BI61="DNS",BI61=" DNS "),$BW$3+1,BI61))</f>
        <v>0</v>
      </c>
      <c r="DV61" s="61">
        <f>IF(BJ61="",0,IF(OR(BJ61="DNF",BJ61="OCS",BJ61="DSQ",BJ61="DNS",BJ61=" DNS "),$BW$3+1,BJ61))</f>
        <v>0</v>
      </c>
      <c r="DW61" s="61">
        <f>IF(BK61="",0,IF(OR(BK61="DNF",BK61="OCS",BK61="DSQ",BK61="DNS",BK61=" DNS "),$BW$3+1,BK61))</f>
        <v>0</v>
      </c>
      <c r="DX61" s="61">
        <f>IF(BL61="",0,IF(OR(BL61="DNF",BL61="OCS",BL61="DSQ",BL61="DNS",BL61=" DNS "),$BW$3+1,BL61))</f>
        <v>0</v>
      </c>
      <c r="DY61" s="61">
        <f>IF(BM61="",0,IF(OR(BM61="DNF",BM61="OCS",BM61="DSQ",BM61="DNS",BM61=" DNS "),$BW$3+1,BM61))</f>
        <v>0</v>
      </c>
      <c r="DZ61" s="61">
        <f>IF(BN61="",0,IF(OR(BN61="DNF",BN61="OCS",BN61="DSQ",BN61="DNS",BN61=" DNS "),$BW$3+1,BN61))</f>
        <v>0</v>
      </c>
      <c r="EA61" s="61">
        <f>IF(BO61="",0,IF(OR(BO61="DNF",BO61="OCS",BO61="DSQ",BO61="DNS",BO61=" DNS "),$BW$3+1,BO61))</f>
        <v>0</v>
      </c>
      <c r="EB61" s="61">
        <f>IF(BP61="",0,IF(OR(BP61="DNF",BP61="OCS",BP61="DSQ",BP61="DNS",BP61=" DNS "),$BW$3+1,BP61))</f>
        <v>0</v>
      </c>
      <c r="EC61" s="61">
        <f>IF(BQ61="",0,IF(OR(BQ61="DNF",BQ61="OCS",BQ61="DSQ",BQ61="DNS",BQ61=" DNS "),$BW$3+1,BQ61))</f>
        <v>0</v>
      </c>
      <c r="EE61" s="61">
        <f xml:space="preserve">
IF(OR(Deltagarlista!$K$3=3,Deltagarlista!$K$3=4),
IF(Arrangörslista!$U$5&lt;8,0,
IF(Arrangörslista!$U$5&lt;16,SUM(LARGE(BV61:CJ61,1)),
IF(Arrangörslista!$U$5&lt;24,SUM(LARGE(BV61:CR61,{1;2})),
IF(Arrangörslista!$U$5&lt;32,SUM(LARGE(BV61:CZ61,{1;2;3})),
IF(Arrangörslista!$U$5&lt;40,SUM(LARGE(BV61:DH61,{1;2;3;4})),
IF(Arrangörslista!$U$5&lt;48,SUM(LARGE(BV61:DP61,{1;2;3;4;5})),
IF(Arrangörslista!$U$5&lt;56,SUM(LARGE(BV61:DX61,{1;2;3;4;5;6})),
IF(Arrangörslista!$U$5&lt;64,SUM(LARGE(BV61:EC61,{1;2;3;4;5;6;7})),0)))))))),
IF(Deltagarlista!$K$3=2,
IF(Arrangörslista!$U$5&lt;4,LARGE(BV61:BX61,1),
IF(Arrangörslista!$U$5&lt;7,SUM(LARGE(BV61:CA61,{1;2;3})),
IF(Arrangörslista!$U$5&lt;10,SUM(LARGE(BV61:CD61,{1;2;3;4})),
IF(Arrangörslista!$U$5&lt;13,SUM(LARGE(BV61:CG61,{1;2;3;4;5;6})),
IF(Arrangörslista!$U$5&lt;16,SUM(LARGE(BV61:CJ61,{1;2;3;4;5;6;7})),
IF(Arrangörslista!$U$5&lt;19,SUM(LARGE(BV61:CM61,{1;2;3;4;5;6;7;8;9})),
IF(Arrangörslista!$U$5&lt;22,SUM(LARGE(BV61:CP61,{1;2;3;4;5;6;7;8;9;10})),
IF(Arrangörslista!$U$5&lt;25,SUM(LARGE(BV61:CS61,{1;2;3;4;5;6;7;8;9;10;11;12})),
IF(Arrangörslista!$U$5&lt;28,SUM(LARGE(BV61:CV61,{1;2;3;4;5;6;7;8;9;10;11;12;13})),
IF(Arrangörslista!$U$5&lt;31,SUM(LARGE(BV61:CY61,{1;2;3;4;5;6;7;8;9;10;11;12;13;14;15})),
IF(Arrangörslista!$U$5&lt;34,SUM(LARGE(BV61:DB61,{1;2;3;4;5;6;7;8;9;10;11;12;13;14;15;16})),
IF(Arrangörslista!$U$5&lt;37,SUM(LARGE(BV61:DE61,{1;2;3;4;5;6;7;8;9;10;11;12;13;14;15;16;17;18})),
IF(Arrangörslista!$U$5&lt;40,SUM(LARGE(BV61:DH61,{1;2;3;4;5;6;7;8;9;10;11;12;13;14;15;16;17;18;19})),
IF(Arrangörslista!$U$5&lt;43,SUM(LARGE(BV61:DK61,{1;2;3;4;5;6;7;8;9;10;11;12;13;14;15;16;17;18;19;20;21})),
IF(Arrangörslista!$U$5&lt;46,SUM(LARGE(BV61:DN61,{1;2;3;4;5;6;7;8;9;10;11;12;13;14;15;16;17;18;19;20;21;22})),
IF(Arrangörslista!$U$5&lt;49,SUM(LARGE(BV61:DQ61,{1;2;3;4;5;6;7;8;9;10;11;12;13;14;15;16;17;18;19;20;21;22;23;24})),
IF(Arrangörslista!$U$5&lt;52,SUM(LARGE(BV61:DT61,{1;2;3;4;5;6;7;8;9;10;11;12;13;14;15;16;17;18;19;20;21;22;23;24;25})),
IF(Arrangörslista!$U$5&lt;55,SUM(LARGE(BV61:DW61,{1;2;3;4;5;6;7;8;9;10;11;12;13;14;15;16;17;18;19;20;21;22;23;24;25;26;27})),
IF(Arrangörslista!$U$5&lt;58,SUM(LARGE(BV61:DZ61,{1;2;3;4;5;6;7;8;9;10;11;12;13;14;15;16;17;18;19;20;21;22;23;24;25;26;27;28})),
IF(Arrangörslista!$U$5&lt;61,SUM(LARGE(BV61:EC61,{1;2;3;4;5;6;7;8;9;10;11;12;13;14;15;16;17;18;19;20;21;22;23;24;25;26;27;28;29;30})),0)))))))))))))))))))),
IF(Arrangörslista!$U$5&lt;4,0,
IF(Arrangörslista!$U$5&lt;8,SUM(LARGE(BV61:CB61,1)),
IF(Arrangörslista!$U$5&lt;12,SUM(LARGE(BV61:CF61,{1;2})),
IF(Arrangörslista!$U$5&lt;16,SUM(LARGE(BV61:CJ61,{1;2;3})),
IF(Arrangörslista!$U$5&lt;20,SUM(LARGE(BV61:CN61,{1;2;3;4})),
IF(Arrangörslista!$U$5&lt;24,SUM(LARGE(BV61:CR61,{1;2;3;4;5})),
IF(Arrangörslista!$U$5&lt;28,SUM(LARGE(BV61:CV61,{1;2;3;4;5;6})),
IF(Arrangörslista!$U$5&lt;32,SUM(LARGE(BV61:CZ61,{1;2;3;4;5;6;7})),
IF(Arrangörslista!$U$5&lt;36,SUM(LARGE(BV61:DD61,{1;2;3;4;5;6;7;8})),
IF(Arrangörslista!$U$5&lt;40,SUM(LARGE(BV61:DH61,{1;2;3;4;5;6;7;8;9})),
IF(Arrangörslista!$U$5&lt;44,SUM(LARGE(BV61:DL61,{1;2;3;4;5;6;7;8;9;10})),
IF(Arrangörslista!$U$5&lt;48,SUM(LARGE(BV61:DP61,{1;2;3;4;5;6;7;8;9;10;11})),
IF(Arrangörslista!$U$5&lt;52,SUM(LARGE(BV61:DT61,{1;2;3;4;5;6;7;8;9;10;11;12})),
IF(Arrangörslista!$U$5&lt;56,SUM(LARGE(BV61:DX61,{1;2;3;4;5;6;7;8;9;10;11;12;13})),
IF(Arrangörslista!$U$5&lt;60,SUM(LARGE(BV61:EB61,{1;2;3;4;5;6;7;8;9;10;11;12;13;14})),
IF(Arrangörslista!$U$5=60,SUM(LARGE(BV61:EC61,{1;2;3;4;5;6;7;8;9;10;11;12;13;14;15})),0))))))))))))))))))</f>
        <v>0</v>
      </c>
      <c r="EG61" s="67">
        <f>IF(F61="",,1)</f>
        <v>0</v>
      </c>
      <c r="EH61" s="61"/>
      <c r="EI61" s="61"/>
      <c r="EK61" s="62">
        <f>SMALL($J124:$BQ124,1)</f>
        <v>61</v>
      </c>
      <c r="EL61" s="62">
        <f>SMALL($J124:$BQ124,2)</f>
        <v>61</v>
      </c>
      <c r="EM61" s="62">
        <f>SMALL($J124:$BQ124,3)</f>
        <v>61</v>
      </c>
      <c r="EN61" s="62">
        <f>SMALL($J124:$BQ124,4)</f>
        <v>61</v>
      </c>
      <c r="EO61" s="62">
        <f>SMALL($J124:$BQ124,5)</f>
        <v>61</v>
      </c>
      <c r="EP61" s="62">
        <f>SMALL($J124:$BQ124,6)</f>
        <v>61</v>
      </c>
      <c r="EQ61" s="62">
        <f>SMALL($J124:$BQ124,7)</f>
        <v>61</v>
      </c>
      <c r="ER61" s="62">
        <f>SMALL($J124:$BQ124,8)</f>
        <v>61</v>
      </c>
      <c r="ES61" s="62">
        <f>SMALL($J124:$BQ124,9)</f>
        <v>61</v>
      </c>
      <c r="ET61" s="62">
        <f>SMALL($J124:$BQ124,10)</f>
        <v>61</v>
      </c>
      <c r="EU61" s="62">
        <f>SMALL($J124:$BQ124,11)</f>
        <v>61</v>
      </c>
      <c r="EV61" s="62">
        <f>SMALL($J124:$BQ124,12)</f>
        <v>61</v>
      </c>
      <c r="EW61" s="62">
        <f>SMALL($J124:$BQ124,13)</f>
        <v>61</v>
      </c>
      <c r="EX61" s="62">
        <f>SMALL($J124:$BQ124,14)</f>
        <v>61</v>
      </c>
      <c r="EY61" s="62">
        <f>SMALL($J124:$BQ124,15)</f>
        <v>61</v>
      </c>
      <c r="EZ61" s="62">
        <f>SMALL($J124:$BQ124,16)</f>
        <v>61</v>
      </c>
      <c r="FA61" s="62">
        <f>SMALL($J124:$BQ124,17)</f>
        <v>61</v>
      </c>
      <c r="FB61" s="62">
        <f>SMALL($J124:$BQ124,18)</f>
        <v>61</v>
      </c>
      <c r="FC61" s="62">
        <f>SMALL($J124:$BQ124,19)</f>
        <v>61</v>
      </c>
      <c r="FD61" s="62">
        <f>SMALL($J124:$BQ124,20)</f>
        <v>61</v>
      </c>
      <c r="FE61" s="62">
        <f>SMALL($J124:$BQ124,21)</f>
        <v>61</v>
      </c>
      <c r="FF61" s="62">
        <f>SMALL($J124:$BQ124,22)</f>
        <v>61</v>
      </c>
      <c r="FG61" s="62">
        <f>SMALL($J124:$BQ124,23)</f>
        <v>61</v>
      </c>
      <c r="FH61" s="62">
        <f>SMALL($J124:$BQ124,24)</f>
        <v>61</v>
      </c>
      <c r="FI61" s="62">
        <f>SMALL($J124:$BQ124,25)</f>
        <v>61</v>
      </c>
      <c r="FJ61" s="62">
        <f>SMALL($J124:$BQ124,26)</f>
        <v>61</v>
      </c>
      <c r="FK61" s="62">
        <f>SMALL($J124:$BQ124,27)</f>
        <v>61</v>
      </c>
      <c r="FL61" s="62">
        <f>SMALL($J124:$BQ124,28)</f>
        <v>61</v>
      </c>
      <c r="FM61" s="62">
        <f>SMALL($J124:$BQ124,29)</f>
        <v>61</v>
      </c>
      <c r="FN61" s="62">
        <f>SMALL($J124:$BQ124,30)</f>
        <v>61</v>
      </c>
      <c r="FO61" s="62">
        <f>SMALL($J124:$BQ124,31)</f>
        <v>61</v>
      </c>
      <c r="FP61" s="62">
        <f>SMALL($J124:$BQ124,32)</f>
        <v>61</v>
      </c>
      <c r="FQ61" s="62">
        <f>SMALL($J124:$BQ124,33)</f>
        <v>61</v>
      </c>
      <c r="FR61" s="62">
        <f>SMALL($J124:$BQ124,34)</f>
        <v>61</v>
      </c>
      <c r="FS61" s="62">
        <f>SMALL($J124:$BQ124,35)</f>
        <v>61</v>
      </c>
      <c r="FT61" s="62">
        <f>SMALL($J124:$BQ124,36)</f>
        <v>61</v>
      </c>
      <c r="FU61" s="62">
        <f>SMALL($J124:$BQ124,37)</f>
        <v>61</v>
      </c>
      <c r="FV61" s="62">
        <f>SMALL($J124:$BQ124,38)</f>
        <v>61</v>
      </c>
      <c r="FW61" s="62">
        <f>SMALL($J124:$BQ124,39)</f>
        <v>61</v>
      </c>
      <c r="FX61" s="62">
        <f>SMALL($J124:$BQ124,40)</f>
        <v>61</v>
      </c>
      <c r="FY61" s="62">
        <f>SMALL($J124:$BQ124,41)</f>
        <v>61</v>
      </c>
      <c r="FZ61" s="62">
        <f>SMALL($J124:$BQ124,42)</f>
        <v>61</v>
      </c>
      <c r="GA61" s="62">
        <f>SMALL($J124:$BQ124,43)</f>
        <v>61</v>
      </c>
      <c r="GB61" s="62">
        <f>SMALL($J124:$BQ124,44)</f>
        <v>61</v>
      </c>
      <c r="GC61" s="62">
        <f>SMALL($J124:$BQ124,45)</f>
        <v>61</v>
      </c>
      <c r="GD61" s="62">
        <f>SMALL($J124:$BQ124,46)</f>
        <v>61</v>
      </c>
      <c r="GE61" s="62">
        <f>SMALL($J124:$BQ124,47)</f>
        <v>61</v>
      </c>
      <c r="GF61" s="62">
        <f>SMALL($J124:$BQ124,48)</f>
        <v>61</v>
      </c>
      <c r="GG61" s="62">
        <f>SMALL($J124:$BQ124,49)</f>
        <v>61</v>
      </c>
      <c r="GH61" s="62">
        <f>SMALL($J124:$BQ124,50)</f>
        <v>61</v>
      </c>
      <c r="GI61" s="62">
        <f>SMALL($J124:$BQ124,51)</f>
        <v>61</v>
      </c>
      <c r="GJ61" s="62">
        <f>SMALL($J124:$BQ124,52)</f>
        <v>61</v>
      </c>
      <c r="GK61" s="62">
        <f>SMALL($J124:$BQ124,53)</f>
        <v>61</v>
      </c>
      <c r="GL61" s="62">
        <f>SMALL($J124:$BQ124,54)</f>
        <v>61</v>
      </c>
      <c r="GM61" s="62">
        <f>SMALL($J124:$BQ124,55)</f>
        <v>61</v>
      </c>
      <c r="GN61" s="62">
        <f>SMALL($J124:$BQ124,56)</f>
        <v>61</v>
      </c>
      <c r="GO61" s="62">
        <f>SMALL($J124:$BQ124,57)</f>
        <v>61</v>
      </c>
      <c r="GP61" s="62">
        <f>SMALL($J124:$BQ124,58)</f>
        <v>61</v>
      </c>
      <c r="GQ61" s="62">
        <f>SMALL($J124:$BQ124,59)</f>
        <v>61</v>
      </c>
      <c r="GR61" s="62">
        <f>SMALL($J124:$BQ124,60)</f>
        <v>61</v>
      </c>
      <c r="GT61" s="62">
        <f>IF(Deltagarlista!$K$3=2,
IF(GW61="1",
      IF(Arrangörslista!$U$5=1,J124,
IF(Arrangörslista!$U$5=2,K124,
IF(Arrangörslista!$U$5=3,L124,
IF(Arrangörslista!$U$5=4,M124,
IF(Arrangörslista!$U$5=5,N124,
IF(Arrangörslista!$U$5=6,O124,
IF(Arrangörslista!$U$5=7,P124,
IF(Arrangörslista!$U$5=8,Q124,
IF(Arrangörslista!$U$5=9,R124,
IF(Arrangörslista!$U$5=10,S124,
IF(Arrangörslista!$U$5=11,T124,
IF(Arrangörslista!$U$5=12,U124,
IF(Arrangörslista!$U$5=13,V124,
IF(Arrangörslista!$U$5=14,W124,
IF(Arrangörslista!$U$5=15,X124,
IF(Arrangörslista!$U$5=16,Y124,IF(Arrangörslista!$U$5=17,Z124,IF(Arrangörslista!$U$5=18,AA124,IF(Arrangörslista!$U$5=19,AB124,IF(Arrangörslista!$U$5=20,AC124,IF(Arrangörslista!$U$5=21,AD124,IF(Arrangörslista!$U$5=22,AE124,IF(Arrangörslista!$U$5=23,AF124, IF(Arrangörslista!$U$5=24,AG124, IF(Arrangörslista!$U$5=25,AH124, IF(Arrangörslista!$U$5=26,AI124, IF(Arrangörslista!$U$5=27,AJ124, IF(Arrangörslista!$U$5=28,AK124, IF(Arrangörslista!$U$5=29,AL124, IF(Arrangörslista!$U$5=30,AM124, IF(Arrangörslista!$U$5=31,AN124, IF(Arrangörslista!$U$5=32,AO124, IF(Arrangörslista!$U$5=33,AP124, IF(Arrangörslista!$U$5=34,AQ124, IF(Arrangörslista!$U$5=35,AR124, IF(Arrangörslista!$U$5=36,AS124, IF(Arrangörslista!$U$5=37,AT124, IF(Arrangörslista!$U$5=38,AU124, IF(Arrangörslista!$U$5=39,AV124, IF(Arrangörslista!$U$5=40,AW124, IF(Arrangörslista!$U$5=41,AX124, IF(Arrangörslista!$U$5=42,AY124, IF(Arrangörslista!$U$5=43,AZ124, IF(Arrangörslista!$U$5=44,BA124, IF(Arrangörslista!$U$5=45,BB124, IF(Arrangörslista!$U$5=46,BC124, IF(Arrangörslista!$U$5=47,BD124, IF(Arrangörslista!$U$5=48,BE124, IF(Arrangörslista!$U$5=49,BF124, IF(Arrangörslista!$U$5=50,BG124, IF(Arrangörslista!$U$5=51,BH124, IF(Arrangörslista!$U$5=52,BI124, IF(Arrangörslista!$U$5=53,BJ124, IF(Arrangörslista!$U$5=54,BK124, IF(Arrangörslista!$U$5=55,BL124, IF(Arrangörslista!$U$5=56,BM124, IF(Arrangörslista!$U$5=57,BN124, IF(Arrangörslista!$U$5=58,BO124, IF(Arrangörslista!$U$5=59,BP124, IF(Arrangörslista!$U$5=60,BQ124,0))))))))))))))))))))))))))))))))))))))))))))))))))))))))))))),IF(Deltagarlista!$K$3=4, IF(Arrangörslista!$U$5=1,J124,
IF(Arrangörslista!$U$5=2,J124,
IF(Arrangörslista!$U$5=3,K124,
IF(Arrangörslista!$U$5=4,K124,
IF(Arrangörslista!$U$5=5,L124,
IF(Arrangörslista!$U$5=6,L124,
IF(Arrangörslista!$U$5=7,M124,
IF(Arrangörslista!$U$5=8,M124,
IF(Arrangörslista!$U$5=9,N124,
IF(Arrangörslista!$U$5=10,N124,
IF(Arrangörslista!$U$5=11,O124,
IF(Arrangörslista!$U$5=12,O124,
IF(Arrangörslista!$U$5=13,P124,
IF(Arrangörslista!$U$5=14,P124,
IF(Arrangörslista!$U$5=15,Q124,
IF(Arrangörslista!$U$5=16,Q124,
IF(Arrangörslista!$U$5=17,R124,
IF(Arrangörslista!$U$5=18,R124,
IF(Arrangörslista!$U$5=19,S124,
IF(Arrangörslista!$U$5=20,S124,
IF(Arrangörslista!$U$5=21,T124,
IF(Arrangörslista!$U$5=22,T124,IF(Arrangörslista!$U$5=23,U124, IF(Arrangörslista!$U$5=24,U124, IF(Arrangörslista!$U$5=25,V124, IF(Arrangörslista!$U$5=26,V124, IF(Arrangörslista!$U$5=27,W124, IF(Arrangörslista!$U$5=28,W124, IF(Arrangörslista!$U$5=29,X124, IF(Arrangörslista!$U$5=30,X124, IF(Arrangörslista!$U$5=31,X124, IF(Arrangörslista!$U$5=32,Y124, IF(Arrangörslista!$U$5=33,AO124, IF(Arrangörslista!$U$5=34,Y124, IF(Arrangörslista!$U$5=35,Z124, IF(Arrangörslista!$U$5=36,AR124, IF(Arrangörslista!$U$5=37,Z124, IF(Arrangörslista!$U$5=38,AA124, IF(Arrangörslista!$U$5=39,AU124, IF(Arrangörslista!$U$5=40,AA124, IF(Arrangörslista!$U$5=41,AB124, IF(Arrangörslista!$U$5=42,AX124, IF(Arrangörslista!$U$5=43,AB124, IF(Arrangörslista!$U$5=44,AC124, IF(Arrangörslista!$U$5=45,BA124, IF(Arrangörslista!$U$5=46,AC124, IF(Arrangörslista!$U$5=47,AD124, IF(Arrangörslista!$U$5=48,BD124, IF(Arrangörslista!$U$5=49,AD124, IF(Arrangörslista!$U$5=50,AE124, IF(Arrangörslista!$U$5=51,BG124, IF(Arrangörslista!$U$5=52,AE124, IF(Arrangörslista!$U$5=53,AF124, IF(Arrangörslista!$U$5=54,BJ124, IF(Arrangörslista!$U$5=55,AF124, IF(Arrangörslista!$U$5=56,AG124, IF(Arrangörslista!$U$5=57,BM124, IF(Arrangörslista!$U$5=58,AG124, IF(Arrangörslista!$U$5=59,AH124, IF(Arrangörslista!$U$5=60,AH124,0)))))))))))))))))))))))))))))))))))))))))))))))))))))))))))),IF(Arrangörslista!$U$5=1,J124,
IF(Arrangörslista!$U$5=2,K124,
IF(Arrangörslista!$U$5=3,L124,
IF(Arrangörslista!$U$5=4,M124,
IF(Arrangörslista!$U$5=5,N124,
IF(Arrangörslista!$U$5=6,O124,
IF(Arrangörslista!$U$5=7,P124,
IF(Arrangörslista!$U$5=8,Q124,
IF(Arrangörslista!$U$5=9,R124,
IF(Arrangörslista!$U$5=10,S124,
IF(Arrangörslista!$U$5=11,T124,
IF(Arrangörslista!$U$5=12,U124,
IF(Arrangörslista!$U$5=13,V124,
IF(Arrangörslista!$U$5=14,W124,
IF(Arrangörslista!$U$5=15,X124,
IF(Arrangörslista!$U$5=16,Y124,IF(Arrangörslista!$U$5=17,Z124,IF(Arrangörslista!$U$5=18,AA124,IF(Arrangörslista!$U$5=19,AB124,IF(Arrangörslista!$U$5=20,AC124,IF(Arrangörslista!$U$5=21,AD124,IF(Arrangörslista!$U$5=22,AE124,IF(Arrangörslista!$U$5=23,AF124, IF(Arrangörslista!$U$5=24,AG124, IF(Arrangörslista!$U$5=25,AH124, IF(Arrangörslista!$U$5=26,AI124, IF(Arrangörslista!$U$5=27,AJ124, IF(Arrangörslista!$U$5=28,AK124, IF(Arrangörslista!$U$5=29,AL124, IF(Arrangörslista!$U$5=30,AM124, IF(Arrangörslista!$U$5=31,AN124, IF(Arrangörslista!$U$5=32,AO124, IF(Arrangörslista!$U$5=33,AP124, IF(Arrangörslista!$U$5=34,AQ124, IF(Arrangörslista!$U$5=35,AR124, IF(Arrangörslista!$U$5=36,AS124, IF(Arrangörslista!$U$5=37,AT124, IF(Arrangörslista!$U$5=38,AU124, IF(Arrangörslista!$U$5=39,AV124, IF(Arrangörslista!$U$5=40,AW124, IF(Arrangörslista!$U$5=41,AX124, IF(Arrangörslista!$U$5=42,AY124, IF(Arrangörslista!$U$5=43,AZ124, IF(Arrangörslista!$U$5=44,BA124, IF(Arrangörslista!$U$5=45,BB124, IF(Arrangörslista!$U$5=46,BC124, IF(Arrangörslista!$U$5=47,BD124, IF(Arrangörslista!$U$5=48,BE124, IF(Arrangörslista!$U$5=49,BF124, IF(Arrangörslista!$U$5=50,BG124, IF(Arrangörslista!$U$5=51,BH124, IF(Arrangörslista!$U$5=52,BI124, IF(Arrangörslista!$U$5=53,BJ124, IF(Arrangörslista!$U$5=54,BK124, IF(Arrangörslista!$U$5=55,BL124, IF(Arrangörslista!$U$5=56,BM124, IF(Arrangörslista!$U$5=57,BN124, IF(Arrangörslista!$U$5=58,BO124, IF(Arrangörslista!$U$5=59,BP124, IF(Arrangörslista!$U$5=60,BQ124,0))))))))))))))))))))))))))))))))))))))))))))))))))))))))))))
))</f>
        <v>0</v>
      </c>
      <c r="GV61" s="65" t="str">
        <f>IFERROR(IF(VLOOKUP(F61,Deltagarlista!$E$5:$I$64,5,FALSE)="Grön","Gr",IF(VLOOKUP(F61,Deltagarlista!$E$5:$I$64,5,FALSE)="Röd","R",IF(VLOOKUP(F61,Deltagarlista!$E$5:$I$64,5,FALSE)="Blå","B","Gu"))),"")</f>
        <v/>
      </c>
      <c r="GW61" s="62" t="str">
        <f t="shared" si="1"/>
        <v/>
      </c>
    </row>
    <row r="62" spans="1:205" ht="15.75" customHeight="1" x14ac:dyDescent="0.3">
      <c r="B62" s="23" t="str">
        <f>IF($BW$3&gt;58,59,"")</f>
        <v/>
      </c>
      <c r="C62" s="92" t="str">
        <f>IF(ISBLANK(Deltagarlista!C57),"",Deltagarlista!C57)</f>
        <v/>
      </c>
      <c r="D62" s="109" t="str">
        <f>CONCATENATE(IF(AND(Deltagarlista!H57="GM",Deltagarlista!$S$14=TRUE),"GM   ",""),  IF(OR(Deltagarlista!$K$3=4,Deltagarlista!$K$3=2),Deltagarlista!I57,""))</f>
        <v/>
      </c>
      <c r="E62" s="8" t="str">
        <f>IF(ISBLANK(Deltagarlista!D57),"",Deltagarlista!D57)</f>
        <v/>
      </c>
      <c r="F62" s="8" t="str">
        <f>IF(ISBLANK(Deltagarlista!E57),"",Deltagarlista!E57)</f>
        <v/>
      </c>
      <c r="G62" s="95" t="str">
        <f>IF(ISBLANK(Deltagarlista!F57),"",Deltagarlista!F57)</f>
        <v/>
      </c>
      <c r="H62" s="72" t="str">
        <f>IF(ISBLANK(Deltagarlista!C57),"",BU62-EE62)</f>
        <v/>
      </c>
      <c r="I62" s="13" t="str">
        <f>IF(ISBLANK(Deltagarlista!C57),"",IF(AND(Deltagarlista!$K$3=2,Deltagarlista!$L$3&lt;37),SUM(SUM(BV62:EC62)-(ROUNDDOWN(Arrangörslista!$U$5/3,1))*($BW$3+1)),SUM(BV62:EC62)))</f>
        <v/>
      </c>
      <c r="J62" s="79" t="str">
        <f>IF(Deltagarlista!$K$3=4,IF(ISBLANK(Deltagarlista!$C57),"",IF(ISBLANK(Arrangörslista!C$8),"",IFERROR(VLOOKUP($F62,Arrangörslista!C$8:$AG$45,16,FALSE),IF(ISBLANK(Deltagarlista!$C57),"",IF(ISBLANK(Arrangörslista!C$8),"",IFERROR(VLOOKUP($F62,Arrangörslista!D$8:$AG$45,16,FALSE),"DNS")))))),IF(Deltagarlista!$K$3=2,
IF(ISBLANK(Deltagarlista!$C57),"",IF(ISBLANK(Arrangörslista!C$8),"",IF($GV62=J$64," DNS ",IFERROR(VLOOKUP($F62,Arrangörslista!C$8:$AG$45,16,FALSE),"DNS")))),IF(ISBLANK(Deltagarlista!$C57),"",IF(ISBLANK(Arrangörslista!C$8),"",IFERROR(VLOOKUP($F62,Arrangörslista!C$8:$AG$45,16,FALSE),"DNS")))))</f>
        <v/>
      </c>
      <c r="K62" s="5" t="str">
        <f>IF(Deltagarlista!$K$3=4,IF(ISBLANK(Deltagarlista!$C57),"",IF(ISBLANK(Arrangörslista!E$8),"",IFERROR(VLOOKUP($F62,Arrangörslista!E$8:$AG$45,16,FALSE),IF(ISBLANK(Deltagarlista!$C57),"",IF(ISBLANK(Arrangörslista!E$8),"",IFERROR(VLOOKUP($F62,Arrangörslista!F$8:$AG$45,16,FALSE),"DNS")))))),IF(Deltagarlista!$K$3=2,
IF(ISBLANK(Deltagarlista!$C57),"",IF(ISBLANK(Arrangörslista!D$8),"",IF($GV62=K$64," DNS ",IFERROR(VLOOKUP($F62,Arrangörslista!D$8:$AG$45,16,FALSE),"DNS")))),IF(ISBLANK(Deltagarlista!$C57),"",IF(ISBLANK(Arrangörslista!D$8),"",IFERROR(VLOOKUP($F62,Arrangörslista!D$8:$AG$45,16,FALSE),"DNS")))))</f>
        <v/>
      </c>
      <c r="L62" s="5" t="str">
        <f>IF(Deltagarlista!$K$3=4,IF(ISBLANK(Deltagarlista!$C57),"",IF(ISBLANK(Arrangörslista!G$8),"",IFERROR(VLOOKUP($F62,Arrangörslista!G$8:$AG$45,16,FALSE),IF(ISBLANK(Deltagarlista!$C57),"",IF(ISBLANK(Arrangörslista!G$8),"",IFERROR(VLOOKUP($F62,Arrangörslista!H$8:$AG$45,16,FALSE),"DNS")))))),IF(Deltagarlista!$K$3=2,
IF(ISBLANK(Deltagarlista!$C57),"",IF(ISBLANK(Arrangörslista!E$8),"",IF($GV62=L$64," DNS ",IFERROR(VLOOKUP($F62,Arrangörslista!E$8:$AG$45,16,FALSE),"DNS")))),IF(ISBLANK(Deltagarlista!$C57),"",IF(ISBLANK(Arrangörslista!E$8),"",IFERROR(VLOOKUP($F62,Arrangörslista!E$8:$AG$45,16,FALSE),"DNS")))))</f>
        <v/>
      </c>
      <c r="M62" s="5" t="str">
        <f>IF(Deltagarlista!$K$3=4,IF(ISBLANK(Deltagarlista!$C57),"",IF(ISBLANK(Arrangörslista!I$8),"",IFERROR(VLOOKUP($F62,Arrangörslista!I$8:$AG$45,16,FALSE),IF(ISBLANK(Deltagarlista!$C57),"",IF(ISBLANK(Arrangörslista!I$8),"",IFERROR(VLOOKUP($F62,Arrangörslista!J$8:$AG$45,16,FALSE),"DNS")))))),IF(Deltagarlista!$K$3=2,
IF(ISBLANK(Deltagarlista!$C57),"",IF(ISBLANK(Arrangörslista!F$8),"",IF($GV62=M$64," DNS ",IFERROR(VLOOKUP($F62,Arrangörslista!F$8:$AG$45,16,FALSE),"DNS")))),IF(ISBLANK(Deltagarlista!$C57),"",IF(ISBLANK(Arrangörslista!F$8),"",IFERROR(VLOOKUP($F62,Arrangörslista!F$8:$AG$45,16,FALSE),"DNS")))))</f>
        <v/>
      </c>
      <c r="N62" s="5" t="str">
        <f>IF(Deltagarlista!$K$3=4,IF(ISBLANK(Deltagarlista!$C57),"",IF(ISBLANK(Arrangörslista!K$8),"",IFERROR(VLOOKUP($F62,Arrangörslista!K$8:$AG$45,16,FALSE),IF(ISBLANK(Deltagarlista!$C57),"",IF(ISBLANK(Arrangörslista!K$8),"",IFERROR(VLOOKUP($F62,Arrangörslista!L$8:$AG$45,16,FALSE),"DNS")))))),IF(Deltagarlista!$K$3=2,
IF(ISBLANK(Deltagarlista!$C57),"",IF(ISBLANK(Arrangörslista!G$8),"",IF($GV62=N$64," DNS ",IFERROR(VLOOKUP($F62,Arrangörslista!G$8:$AG$45,16,FALSE),"DNS")))),IF(ISBLANK(Deltagarlista!$C57),"",IF(ISBLANK(Arrangörslista!G$8),"",IFERROR(VLOOKUP($F62,Arrangörslista!G$8:$AG$45,16,FALSE),"DNS")))))</f>
        <v/>
      </c>
      <c r="O62" s="5" t="str">
        <f>IF(Deltagarlista!$K$3=4,IF(ISBLANK(Deltagarlista!$C57),"",IF(ISBLANK(Arrangörslista!M$8),"",IFERROR(VLOOKUP($F62,Arrangörslista!M$8:$AG$45,16,FALSE),IF(ISBLANK(Deltagarlista!$C57),"",IF(ISBLANK(Arrangörslista!M$8),"",IFERROR(VLOOKUP($F62,Arrangörslista!N$8:$AG$45,16,FALSE),"DNS")))))),IF(Deltagarlista!$K$3=2,
IF(ISBLANK(Deltagarlista!$C57),"",IF(ISBLANK(Arrangörslista!H$8),"",IF($GV62=O$64," DNS ",IFERROR(VLOOKUP($F62,Arrangörslista!H$8:$AG$45,16,FALSE),"DNS")))),IF(ISBLANK(Deltagarlista!$C57),"",IF(ISBLANK(Arrangörslista!H$8),"",IFERROR(VLOOKUP($F62,Arrangörslista!H$8:$AG$45,16,FALSE),"DNS")))))</f>
        <v/>
      </c>
      <c r="P62" s="5" t="str">
        <f>IF(Deltagarlista!$K$3=4,IF(ISBLANK(Deltagarlista!$C57),"",IF(ISBLANK(Arrangörslista!O$8),"",IFERROR(VLOOKUP($F62,Arrangörslista!O$8:$AG$45,16,FALSE),IF(ISBLANK(Deltagarlista!$C57),"",IF(ISBLANK(Arrangörslista!O$8),"",IFERROR(VLOOKUP($F62,Arrangörslista!P$8:$AG$45,16,FALSE),"DNS")))))),IF(Deltagarlista!$K$3=2,
IF(ISBLANK(Deltagarlista!$C57),"",IF(ISBLANK(Arrangörslista!I$8),"",IF($GV62=P$64," DNS ",IFERROR(VLOOKUP($F62,Arrangörslista!I$8:$AG$45,16,FALSE),"DNS")))),IF(ISBLANK(Deltagarlista!$C57),"",IF(ISBLANK(Arrangörslista!I$8),"",IFERROR(VLOOKUP($F62,Arrangörslista!I$8:$AG$45,16,FALSE),"DNS")))))</f>
        <v/>
      </c>
      <c r="Q62" s="5" t="str">
        <f>IF(Deltagarlista!$K$3=4,IF(ISBLANK(Deltagarlista!$C57),"",IF(ISBLANK(Arrangörslista!Q$8),"",IFERROR(VLOOKUP($F62,Arrangörslista!Q$8:$AG$45,16,FALSE),IF(ISBLANK(Deltagarlista!$C57),"",IF(ISBLANK(Arrangörslista!Q$8),"",IFERROR(VLOOKUP($F62,Arrangörslista!C$53:$AG$90,16,FALSE),"DNS")))))),IF(Deltagarlista!$K$3=2,
IF(ISBLANK(Deltagarlista!$C57),"",IF(ISBLANK(Arrangörslista!J$8),"",IF($GV62=Q$64," DNS ",IFERROR(VLOOKUP($F62,Arrangörslista!J$8:$AG$45,16,FALSE),"DNS")))),IF(ISBLANK(Deltagarlista!$C57),"",IF(ISBLANK(Arrangörslista!J$8),"",IFERROR(VLOOKUP($F62,Arrangörslista!J$8:$AG$45,16,FALSE),"DNS")))))</f>
        <v/>
      </c>
      <c r="R62" s="5" t="str">
        <f>IF(Deltagarlista!$K$3=4,IF(ISBLANK(Deltagarlista!$C57),"",IF(ISBLANK(Arrangörslista!D$53),"",IFERROR(VLOOKUP($F62,Arrangörslista!D$53:$AG$90,16,FALSE),IF(ISBLANK(Deltagarlista!$C57),"",IF(ISBLANK(Arrangörslista!D$53),"",IFERROR(VLOOKUP($F62,Arrangörslista!E$53:$AG$90,16,FALSE),"DNS")))))),IF(Deltagarlista!$K$3=2,
IF(ISBLANK(Deltagarlista!$C57),"",IF(ISBLANK(Arrangörslista!K$8),"",IF($GV62=R$64," DNS ",IFERROR(VLOOKUP($F62,Arrangörslista!K$8:$AG$45,16,FALSE),"DNS")))),IF(ISBLANK(Deltagarlista!$C57),"",IF(ISBLANK(Arrangörslista!K$8),"",IFERROR(VLOOKUP($F62,Arrangörslista!K$8:$AG$45,16,FALSE),"DNS")))))</f>
        <v/>
      </c>
      <c r="S62" s="5" t="str">
        <f>IF(Deltagarlista!$K$3=4,IF(ISBLANK(Deltagarlista!$C57),"",IF(ISBLANK(Arrangörslista!F$53),"",IFERROR(VLOOKUP($F62,Arrangörslista!F$53:$AG$90,16,FALSE),IF(ISBLANK(Deltagarlista!$C57),"",IF(ISBLANK(Arrangörslista!F$53),"",IFERROR(VLOOKUP($F62,Arrangörslista!G$53:$AG$90,16,FALSE),"DNS")))))),IF(Deltagarlista!$K$3=2,
IF(ISBLANK(Deltagarlista!$C57),"",IF(ISBLANK(Arrangörslista!L$8),"",IF($GV62=S$64," DNS ",IFERROR(VLOOKUP($F62,Arrangörslista!L$8:$AG$45,16,FALSE),"DNS")))),IF(ISBLANK(Deltagarlista!$C57),"",IF(ISBLANK(Arrangörslista!L$8),"",IFERROR(VLOOKUP($F62,Arrangörslista!L$8:$AG$45,16,FALSE),"DNS")))))</f>
        <v/>
      </c>
      <c r="T62" s="5" t="str">
        <f>IF(Deltagarlista!$K$3=4,IF(ISBLANK(Deltagarlista!$C57),"",IF(ISBLANK(Arrangörslista!H$53),"",IFERROR(VLOOKUP($F62,Arrangörslista!H$53:$AG$90,16,FALSE),IF(ISBLANK(Deltagarlista!$C57),"",IF(ISBLANK(Arrangörslista!H$53),"",IFERROR(VLOOKUP($F62,Arrangörslista!I$53:$AG$90,16,FALSE),"DNS")))))),IF(Deltagarlista!$K$3=2,
IF(ISBLANK(Deltagarlista!$C57),"",IF(ISBLANK(Arrangörslista!M$8),"",IF($GV62=T$64," DNS ",IFERROR(VLOOKUP($F62,Arrangörslista!M$8:$AG$45,16,FALSE),"DNS")))),IF(ISBLANK(Deltagarlista!$C57),"",IF(ISBLANK(Arrangörslista!M$8),"",IFERROR(VLOOKUP($F62,Arrangörslista!M$8:$AG$45,16,FALSE),"DNS")))))</f>
        <v/>
      </c>
      <c r="U62" s="5" t="str">
        <f>IF(Deltagarlista!$K$3=4,IF(ISBLANK(Deltagarlista!$C57),"",IF(ISBLANK(Arrangörslista!J$53),"",IFERROR(VLOOKUP($F62,Arrangörslista!J$53:$AG$90,16,FALSE),IF(ISBLANK(Deltagarlista!$C57),"",IF(ISBLANK(Arrangörslista!J$53),"",IFERROR(VLOOKUP($F62,Arrangörslista!K$53:$AG$90,16,FALSE),"DNS")))))),IF(Deltagarlista!$K$3=2,
IF(ISBLANK(Deltagarlista!$C57),"",IF(ISBLANK(Arrangörslista!N$8),"",IF($GV62=U$64," DNS ",IFERROR(VLOOKUP($F62,Arrangörslista!N$8:$AG$45,16,FALSE),"DNS")))),IF(ISBLANK(Deltagarlista!$C57),"",IF(ISBLANK(Arrangörslista!N$8),"",IFERROR(VLOOKUP($F62,Arrangörslista!N$8:$AG$45,16,FALSE),"DNS")))))</f>
        <v/>
      </c>
      <c r="V62" s="5" t="str">
        <f>IF(Deltagarlista!$K$3=4,IF(ISBLANK(Deltagarlista!$C57),"",IF(ISBLANK(Arrangörslista!L$53),"",IFERROR(VLOOKUP($F62,Arrangörslista!L$53:$AG$90,16,FALSE),IF(ISBLANK(Deltagarlista!$C57),"",IF(ISBLANK(Arrangörslista!L$53),"",IFERROR(VLOOKUP($F62,Arrangörslista!M$53:$AG$90,16,FALSE),"DNS")))))),IF(Deltagarlista!$K$3=2,
IF(ISBLANK(Deltagarlista!$C57),"",IF(ISBLANK(Arrangörslista!O$8),"",IF($GV62=V$64," DNS ",IFERROR(VLOOKUP($F62,Arrangörslista!O$8:$AG$45,16,FALSE),"DNS")))),IF(ISBLANK(Deltagarlista!$C57),"",IF(ISBLANK(Arrangörslista!O$8),"",IFERROR(VLOOKUP($F62,Arrangörslista!O$8:$AG$45,16,FALSE),"DNS")))))</f>
        <v/>
      </c>
      <c r="W62" s="5" t="str">
        <f>IF(Deltagarlista!$K$3=4,IF(ISBLANK(Deltagarlista!$C57),"",IF(ISBLANK(Arrangörslista!N$53),"",IFERROR(VLOOKUP($F62,Arrangörslista!N$53:$AG$90,16,FALSE),IF(ISBLANK(Deltagarlista!$C57),"",IF(ISBLANK(Arrangörslista!N$53),"",IFERROR(VLOOKUP($F62,Arrangörslista!O$53:$AG$90,16,FALSE),"DNS")))))),IF(Deltagarlista!$K$3=2,
IF(ISBLANK(Deltagarlista!$C57),"",IF(ISBLANK(Arrangörslista!P$8),"",IF($GV62=W$64," DNS ",IFERROR(VLOOKUP($F62,Arrangörslista!P$8:$AG$45,16,FALSE),"DNS")))),IF(ISBLANK(Deltagarlista!$C57),"",IF(ISBLANK(Arrangörslista!P$8),"",IFERROR(VLOOKUP($F62,Arrangörslista!P$8:$AG$45,16,FALSE),"DNS")))))</f>
        <v/>
      </c>
      <c r="X62" s="5" t="str">
        <f>IF(Deltagarlista!$K$3=4,IF(ISBLANK(Deltagarlista!$C57),"",IF(ISBLANK(Arrangörslista!P$53),"",IFERROR(VLOOKUP($F62,Arrangörslista!P$53:$AG$90,16,FALSE),IF(ISBLANK(Deltagarlista!$C57),"",IF(ISBLANK(Arrangörslista!P$53),"",IFERROR(VLOOKUP($F62,Arrangörslista!Q$53:$AG$90,16,FALSE),"DNS")))))),IF(Deltagarlista!$K$3=2,
IF(ISBLANK(Deltagarlista!$C57),"",IF(ISBLANK(Arrangörslista!Q$8),"",IF($GV62=X$64," DNS ",IFERROR(VLOOKUP($F62,Arrangörslista!Q$8:$AG$45,16,FALSE),"DNS")))),IF(ISBLANK(Deltagarlista!$C57),"",IF(ISBLANK(Arrangörslista!Q$8),"",IFERROR(VLOOKUP($F62,Arrangörslista!Q$8:$AG$45,16,FALSE),"DNS")))))</f>
        <v/>
      </c>
      <c r="Y62" s="5" t="str">
        <f>IF(Deltagarlista!$K$3=4,IF(ISBLANK(Deltagarlista!$C57),"",IF(ISBLANK(Arrangörslista!C$98),"",IFERROR(VLOOKUP($F62,Arrangörslista!C$98:$AG$135,16,FALSE),IF(ISBLANK(Deltagarlista!$C57),"",IF(ISBLANK(Arrangörslista!C$98),"",IFERROR(VLOOKUP($F62,Arrangörslista!D$98:$AG$135,16,FALSE),"DNS")))))),IF(Deltagarlista!$K$3=2,
IF(ISBLANK(Deltagarlista!$C57),"",IF(ISBLANK(Arrangörslista!C$53),"",IF($GV62=Y$64," DNS ",IFERROR(VLOOKUP($F62,Arrangörslista!C$53:$AG$90,16,FALSE),"DNS")))),IF(ISBLANK(Deltagarlista!$C57),"",IF(ISBLANK(Arrangörslista!C$53),"",IFERROR(VLOOKUP($F62,Arrangörslista!C$53:$AG$90,16,FALSE),"DNS")))))</f>
        <v/>
      </c>
      <c r="Z62" s="5" t="str">
        <f>IF(Deltagarlista!$K$3=4,IF(ISBLANK(Deltagarlista!$C57),"",IF(ISBLANK(Arrangörslista!E$98),"",IFERROR(VLOOKUP($F62,Arrangörslista!E$98:$AG$135,16,FALSE),IF(ISBLANK(Deltagarlista!$C57),"",IF(ISBLANK(Arrangörslista!E$98),"",IFERROR(VLOOKUP($F62,Arrangörslista!F$98:$AG$135,16,FALSE),"DNS")))))),IF(Deltagarlista!$K$3=2,
IF(ISBLANK(Deltagarlista!$C57),"",IF(ISBLANK(Arrangörslista!D$53),"",IF($GV62=Z$64," DNS ",IFERROR(VLOOKUP($F62,Arrangörslista!D$53:$AG$90,16,FALSE),"DNS")))),IF(ISBLANK(Deltagarlista!$C57),"",IF(ISBLANK(Arrangörslista!D$53),"",IFERROR(VLOOKUP($F62,Arrangörslista!D$53:$AG$90,16,FALSE),"DNS")))))</f>
        <v/>
      </c>
      <c r="AA62" s="5" t="str">
        <f>IF(Deltagarlista!$K$3=4,IF(ISBLANK(Deltagarlista!$C57),"",IF(ISBLANK(Arrangörslista!G$98),"",IFERROR(VLOOKUP($F62,Arrangörslista!G$98:$AG$135,16,FALSE),IF(ISBLANK(Deltagarlista!$C57),"",IF(ISBLANK(Arrangörslista!G$98),"",IFERROR(VLOOKUP($F62,Arrangörslista!H$98:$AG$135,16,FALSE),"DNS")))))),IF(Deltagarlista!$K$3=2,
IF(ISBLANK(Deltagarlista!$C57),"",IF(ISBLANK(Arrangörslista!E$53),"",IF($GV62=AA$64," DNS ",IFERROR(VLOOKUP($F62,Arrangörslista!E$53:$AG$90,16,FALSE),"DNS")))),IF(ISBLANK(Deltagarlista!$C57),"",IF(ISBLANK(Arrangörslista!E$53),"",IFERROR(VLOOKUP($F62,Arrangörslista!E$53:$AG$90,16,FALSE),"DNS")))))</f>
        <v/>
      </c>
      <c r="AB62" s="5" t="str">
        <f>IF(Deltagarlista!$K$3=4,IF(ISBLANK(Deltagarlista!$C57),"",IF(ISBLANK(Arrangörslista!I$98),"",IFERROR(VLOOKUP($F62,Arrangörslista!I$98:$AG$135,16,FALSE),IF(ISBLANK(Deltagarlista!$C57),"",IF(ISBLANK(Arrangörslista!I$98),"",IFERROR(VLOOKUP($F62,Arrangörslista!J$98:$AG$135,16,FALSE),"DNS")))))),IF(Deltagarlista!$K$3=2,
IF(ISBLANK(Deltagarlista!$C57),"",IF(ISBLANK(Arrangörslista!F$53),"",IF($GV62=AB$64," DNS ",IFERROR(VLOOKUP($F62,Arrangörslista!F$53:$AG$90,16,FALSE),"DNS")))),IF(ISBLANK(Deltagarlista!$C57),"",IF(ISBLANK(Arrangörslista!F$53),"",IFERROR(VLOOKUP($F62,Arrangörslista!F$53:$AG$90,16,FALSE),"DNS")))))</f>
        <v/>
      </c>
      <c r="AC62" s="5" t="str">
        <f>IF(Deltagarlista!$K$3=4,IF(ISBLANK(Deltagarlista!$C57),"",IF(ISBLANK(Arrangörslista!K$98),"",IFERROR(VLOOKUP($F62,Arrangörslista!K$98:$AG$135,16,FALSE),IF(ISBLANK(Deltagarlista!$C57),"",IF(ISBLANK(Arrangörslista!K$98),"",IFERROR(VLOOKUP($F62,Arrangörslista!L$98:$AG$135,16,FALSE),"DNS")))))),IF(Deltagarlista!$K$3=2,
IF(ISBLANK(Deltagarlista!$C57),"",IF(ISBLANK(Arrangörslista!G$53),"",IF($GV62=AC$64," DNS ",IFERROR(VLOOKUP($F62,Arrangörslista!G$53:$AG$90,16,FALSE),"DNS")))),IF(ISBLANK(Deltagarlista!$C57),"",IF(ISBLANK(Arrangörslista!G$53),"",IFERROR(VLOOKUP($F62,Arrangörslista!G$53:$AG$90,16,FALSE),"DNS")))))</f>
        <v/>
      </c>
      <c r="AD62" s="5" t="str">
        <f>IF(Deltagarlista!$K$3=4,IF(ISBLANK(Deltagarlista!$C57),"",IF(ISBLANK(Arrangörslista!M$98),"",IFERROR(VLOOKUP($F62,Arrangörslista!M$98:$AG$135,16,FALSE),IF(ISBLANK(Deltagarlista!$C57),"",IF(ISBLANK(Arrangörslista!M$98),"",IFERROR(VLOOKUP($F62,Arrangörslista!N$98:$AG$135,16,FALSE),"DNS")))))),IF(Deltagarlista!$K$3=2,
IF(ISBLANK(Deltagarlista!$C57),"",IF(ISBLANK(Arrangörslista!H$53),"",IF($GV62=AD$64," DNS ",IFERROR(VLOOKUP($F62,Arrangörslista!H$53:$AG$90,16,FALSE),"DNS")))),IF(ISBLANK(Deltagarlista!$C57),"",IF(ISBLANK(Arrangörslista!H$53),"",IFERROR(VLOOKUP($F62,Arrangörslista!H$53:$AG$90,16,FALSE),"DNS")))))</f>
        <v/>
      </c>
      <c r="AE62" s="5" t="str">
        <f>IF(Deltagarlista!$K$3=4,IF(ISBLANK(Deltagarlista!$C57),"",IF(ISBLANK(Arrangörslista!O$98),"",IFERROR(VLOOKUP($F62,Arrangörslista!O$98:$AG$135,16,FALSE),IF(ISBLANK(Deltagarlista!$C57),"",IF(ISBLANK(Arrangörslista!O$98),"",IFERROR(VLOOKUP($F62,Arrangörslista!P$98:$AG$135,16,FALSE),"DNS")))))),IF(Deltagarlista!$K$3=2,
IF(ISBLANK(Deltagarlista!$C57),"",IF(ISBLANK(Arrangörslista!I$53),"",IF($GV62=AE$64," DNS ",IFERROR(VLOOKUP($F62,Arrangörslista!I$53:$AG$90,16,FALSE),"DNS")))),IF(ISBLANK(Deltagarlista!$C57),"",IF(ISBLANK(Arrangörslista!I$53),"",IFERROR(VLOOKUP($F62,Arrangörslista!I$53:$AG$90,16,FALSE),"DNS")))))</f>
        <v/>
      </c>
      <c r="AF62" s="5" t="str">
        <f>IF(Deltagarlista!$K$3=4,IF(ISBLANK(Deltagarlista!$C57),"",IF(ISBLANK(Arrangörslista!Q$98),"",IFERROR(VLOOKUP($F62,Arrangörslista!Q$98:$AG$135,16,FALSE),IF(ISBLANK(Deltagarlista!$C57),"",IF(ISBLANK(Arrangörslista!Q$98),"",IFERROR(VLOOKUP($F62,Arrangörslista!C$143:$AG$180,16,FALSE),"DNS")))))),IF(Deltagarlista!$K$3=2,
IF(ISBLANK(Deltagarlista!$C57),"",IF(ISBLANK(Arrangörslista!J$53),"",IF($GV62=AF$64," DNS ",IFERROR(VLOOKUP($F62,Arrangörslista!J$53:$AG$90,16,FALSE),"DNS")))),IF(ISBLANK(Deltagarlista!$C57),"",IF(ISBLANK(Arrangörslista!J$53),"",IFERROR(VLOOKUP($F62,Arrangörslista!J$53:$AG$90,16,FALSE),"DNS")))))</f>
        <v/>
      </c>
      <c r="AG62" s="5" t="str">
        <f>IF(Deltagarlista!$K$3=4,IF(ISBLANK(Deltagarlista!$C57),"",IF(ISBLANK(Arrangörslista!D$143),"",IFERROR(VLOOKUP($F62,Arrangörslista!D$143:$AG$180,16,FALSE),IF(ISBLANK(Deltagarlista!$C57),"",IF(ISBLANK(Arrangörslista!D$143),"",IFERROR(VLOOKUP($F62,Arrangörslista!E$143:$AG$180,16,FALSE),"DNS")))))),IF(Deltagarlista!$K$3=2,
IF(ISBLANK(Deltagarlista!$C57),"",IF(ISBLANK(Arrangörslista!K$53),"",IF($GV62=AG$64," DNS ",IFERROR(VLOOKUP($F62,Arrangörslista!K$53:$AG$90,16,FALSE),"DNS")))),IF(ISBLANK(Deltagarlista!$C57),"",IF(ISBLANK(Arrangörslista!K$53),"",IFERROR(VLOOKUP($F62,Arrangörslista!K$53:$AG$90,16,FALSE),"DNS")))))</f>
        <v/>
      </c>
      <c r="AH62" s="5" t="str">
        <f>IF(Deltagarlista!$K$3=4,IF(ISBLANK(Deltagarlista!$C57),"",IF(ISBLANK(Arrangörslista!F$143),"",IFERROR(VLOOKUP($F62,Arrangörslista!F$143:$AG$180,16,FALSE),IF(ISBLANK(Deltagarlista!$C57),"",IF(ISBLANK(Arrangörslista!F$143),"",IFERROR(VLOOKUP($F62,Arrangörslista!G$143:$AG$180,16,FALSE),"DNS")))))),IF(Deltagarlista!$K$3=2,
IF(ISBLANK(Deltagarlista!$C57),"",IF(ISBLANK(Arrangörslista!L$53),"",IF($GV62=AH$64," DNS ",IFERROR(VLOOKUP($F62,Arrangörslista!L$53:$AG$90,16,FALSE),"DNS")))),IF(ISBLANK(Deltagarlista!$C57),"",IF(ISBLANK(Arrangörslista!L$53),"",IFERROR(VLOOKUP($F62,Arrangörslista!L$53:$AG$90,16,FALSE),"DNS")))))</f>
        <v/>
      </c>
      <c r="AI62" s="5" t="str">
        <f>IF(Deltagarlista!$K$3=4,IF(ISBLANK(Deltagarlista!$C57),"",IF(ISBLANK(Arrangörslista!H$143),"",IFERROR(VLOOKUP($F62,Arrangörslista!H$143:$AG$180,16,FALSE),IF(ISBLANK(Deltagarlista!$C57),"",IF(ISBLANK(Arrangörslista!H$143),"",IFERROR(VLOOKUP($F62,Arrangörslista!I$143:$AG$180,16,FALSE),"DNS")))))),IF(Deltagarlista!$K$3=2,
IF(ISBLANK(Deltagarlista!$C57),"",IF(ISBLANK(Arrangörslista!M$53),"",IF($GV62=AI$64," DNS ",IFERROR(VLOOKUP($F62,Arrangörslista!M$53:$AG$90,16,FALSE),"DNS")))),IF(ISBLANK(Deltagarlista!$C57),"",IF(ISBLANK(Arrangörslista!M$53),"",IFERROR(VLOOKUP($F62,Arrangörslista!M$53:$AG$90,16,FALSE),"DNS")))))</f>
        <v/>
      </c>
      <c r="AJ62" s="5" t="str">
        <f>IF(Deltagarlista!$K$3=4,IF(ISBLANK(Deltagarlista!$C57),"",IF(ISBLANK(Arrangörslista!J$143),"",IFERROR(VLOOKUP($F62,Arrangörslista!J$143:$AG$180,16,FALSE),IF(ISBLANK(Deltagarlista!$C57),"",IF(ISBLANK(Arrangörslista!J$143),"",IFERROR(VLOOKUP($F62,Arrangörslista!K$143:$AG$180,16,FALSE),"DNS")))))),IF(Deltagarlista!$K$3=2,
IF(ISBLANK(Deltagarlista!$C57),"",IF(ISBLANK(Arrangörslista!N$53),"",IF($GV62=AJ$64," DNS ",IFERROR(VLOOKUP($F62,Arrangörslista!N$53:$AG$90,16,FALSE),"DNS")))),IF(ISBLANK(Deltagarlista!$C57),"",IF(ISBLANK(Arrangörslista!N$53),"",IFERROR(VLOOKUP($F62,Arrangörslista!N$53:$AG$90,16,FALSE),"DNS")))))</f>
        <v/>
      </c>
      <c r="AK62" s="5" t="str">
        <f>IF(Deltagarlista!$K$3=4,IF(ISBLANK(Deltagarlista!$C57),"",IF(ISBLANK(Arrangörslista!L$143),"",IFERROR(VLOOKUP($F62,Arrangörslista!L$143:$AG$180,16,FALSE),IF(ISBLANK(Deltagarlista!$C57),"",IF(ISBLANK(Arrangörslista!L$143),"",IFERROR(VLOOKUP($F62,Arrangörslista!M$143:$AG$180,16,FALSE),"DNS")))))),IF(Deltagarlista!$K$3=2,
IF(ISBLANK(Deltagarlista!$C57),"",IF(ISBLANK(Arrangörslista!O$53),"",IF($GV62=AK$64," DNS ",IFERROR(VLOOKUP($F62,Arrangörslista!O$53:$AG$90,16,FALSE),"DNS")))),IF(ISBLANK(Deltagarlista!$C57),"",IF(ISBLANK(Arrangörslista!O$53),"",IFERROR(VLOOKUP($F62,Arrangörslista!O$53:$AG$90,16,FALSE),"DNS")))))</f>
        <v/>
      </c>
      <c r="AL62" s="5" t="str">
        <f>IF(Deltagarlista!$K$3=4,IF(ISBLANK(Deltagarlista!$C57),"",IF(ISBLANK(Arrangörslista!N$143),"",IFERROR(VLOOKUP($F62,Arrangörslista!N$143:$AG$180,16,FALSE),IF(ISBLANK(Deltagarlista!$C57),"",IF(ISBLANK(Arrangörslista!N$143),"",IFERROR(VLOOKUP($F62,Arrangörslista!O$143:$AG$180,16,FALSE),"DNS")))))),IF(Deltagarlista!$K$3=2,
IF(ISBLANK(Deltagarlista!$C57),"",IF(ISBLANK(Arrangörslista!P$53),"",IF($GV62=AL$64," DNS ",IFERROR(VLOOKUP($F62,Arrangörslista!P$53:$AG$90,16,FALSE),"DNS")))),IF(ISBLANK(Deltagarlista!$C57),"",IF(ISBLANK(Arrangörslista!P$53),"",IFERROR(VLOOKUP($F62,Arrangörslista!P$53:$AG$90,16,FALSE),"DNS")))))</f>
        <v/>
      </c>
      <c r="AM62" s="5" t="str">
        <f>IF(Deltagarlista!$K$3=4,IF(ISBLANK(Deltagarlista!$C57),"",IF(ISBLANK(Arrangörslista!P$143),"",IFERROR(VLOOKUP($F62,Arrangörslista!P$143:$AG$180,16,FALSE),IF(ISBLANK(Deltagarlista!$C57),"",IF(ISBLANK(Arrangörslista!P$143),"",IFERROR(VLOOKUP($F62,Arrangörslista!Q$143:$AG$180,16,FALSE),"DNS")))))),IF(Deltagarlista!$K$3=2,
IF(ISBLANK(Deltagarlista!$C57),"",IF(ISBLANK(Arrangörslista!Q$53),"",IF($GV62=AM$64," DNS ",IFERROR(VLOOKUP($F62,Arrangörslista!Q$53:$AG$90,16,FALSE),"DNS")))),IF(ISBLANK(Deltagarlista!$C57),"",IF(ISBLANK(Arrangörslista!Q$53),"",IFERROR(VLOOKUP($F62,Arrangörslista!Q$53:$AG$90,16,FALSE),"DNS")))))</f>
        <v/>
      </c>
      <c r="AN62" s="5" t="str">
        <f>IF(Deltagarlista!$K$3=2,
IF(ISBLANK(Deltagarlista!$C57),"",IF(ISBLANK(Arrangörslista!C$98),"",IF($GV62=AN$64," DNS ",IFERROR(VLOOKUP($F62,Arrangörslista!C$98:$AG$135,16,FALSE), "DNS")))), IF(Deltagarlista!$K$3=1,IF(ISBLANK(Deltagarlista!$C57),"",IF(ISBLANK(Arrangörslista!C$98),"",IFERROR(VLOOKUP($F62,Arrangörslista!C$98:$AG$135,16,FALSE), "DNS"))),""))</f>
        <v/>
      </c>
      <c r="AO62" s="5" t="str">
        <f>IF(Deltagarlista!$K$3=2,
IF(ISBLANK(Deltagarlista!$C57),"",IF(ISBLANK(Arrangörslista!D$98),"",IF($GV62=AO$64," DNS ",IFERROR(VLOOKUP($F62,Arrangörslista!D$98:$AG$135,16,FALSE), "DNS")))), IF(Deltagarlista!$K$3=1,IF(ISBLANK(Deltagarlista!$C57),"",IF(ISBLANK(Arrangörslista!D$98),"",IFERROR(VLOOKUP($F62,Arrangörslista!D$98:$AG$135,16,FALSE), "DNS"))),""))</f>
        <v/>
      </c>
      <c r="AP62" s="5" t="str">
        <f>IF(Deltagarlista!$K$3=2,
IF(ISBLANK(Deltagarlista!$C57),"",IF(ISBLANK(Arrangörslista!E$98),"",IF($GV62=AP$64," DNS ",IFERROR(VLOOKUP($F62,Arrangörslista!E$98:$AG$135,16,FALSE), "DNS")))), IF(Deltagarlista!$K$3=1,IF(ISBLANK(Deltagarlista!$C57),"",IF(ISBLANK(Arrangörslista!E$98),"",IFERROR(VLOOKUP($F62,Arrangörslista!E$98:$AG$135,16,FALSE), "DNS"))),""))</f>
        <v/>
      </c>
      <c r="AQ62" s="5" t="str">
        <f>IF(Deltagarlista!$K$3=2,
IF(ISBLANK(Deltagarlista!$C57),"",IF(ISBLANK(Arrangörslista!F$98),"",IF($GV62=AQ$64," DNS ",IFERROR(VLOOKUP($F62,Arrangörslista!F$98:$AG$135,16,FALSE), "DNS")))), IF(Deltagarlista!$K$3=1,IF(ISBLANK(Deltagarlista!$C57),"",IF(ISBLANK(Arrangörslista!F$98),"",IFERROR(VLOOKUP($F62,Arrangörslista!F$98:$AG$135,16,FALSE), "DNS"))),""))</f>
        <v/>
      </c>
      <c r="AR62" s="5" t="str">
        <f>IF(Deltagarlista!$K$3=2,
IF(ISBLANK(Deltagarlista!$C57),"",IF(ISBLANK(Arrangörslista!G$98),"",IF($GV62=AR$64," DNS ",IFERROR(VLOOKUP($F62,Arrangörslista!G$98:$AG$135,16,FALSE), "DNS")))), IF(Deltagarlista!$K$3=1,IF(ISBLANK(Deltagarlista!$C57),"",IF(ISBLANK(Arrangörslista!G$98),"",IFERROR(VLOOKUP($F62,Arrangörslista!G$98:$AG$135,16,FALSE), "DNS"))),""))</f>
        <v/>
      </c>
      <c r="AS62" s="5" t="str">
        <f>IF(Deltagarlista!$K$3=2,
IF(ISBLANK(Deltagarlista!$C57),"",IF(ISBLANK(Arrangörslista!H$98),"",IF($GV62=AS$64," DNS ",IFERROR(VLOOKUP($F62,Arrangörslista!H$98:$AG$135,16,FALSE), "DNS")))), IF(Deltagarlista!$K$3=1,IF(ISBLANK(Deltagarlista!$C57),"",IF(ISBLANK(Arrangörslista!H$98),"",IFERROR(VLOOKUP($F62,Arrangörslista!H$98:$AG$135,16,FALSE), "DNS"))),""))</f>
        <v/>
      </c>
      <c r="AT62" s="5" t="str">
        <f>IF(Deltagarlista!$K$3=2,
IF(ISBLANK(Deltagarlista!$C57),"",IF(ISBLANK(Arrangörslista!I$98),"",IF($GV62=AT$64," DNS ",IFERROR(VLOOKUP($F62,Arrangörslista!I$98:$AG$135,16,FALSE), "DNS")))), IF(Deltagarlista!$K$3=1,IF(ISBLANK(Deltagarlista!$C57),"",IF(ISBLANK(Arrangörslista!I$98),"",IFERROR(VLOOKUP($F62,Arrangörslista!I$98:$AG$135,16,FALSE), "DNS"))),""))</f>
        <v/>
      </c>
      <c r="AU62" s="5" t="str">
        <f>IF(Deltagarlista!$K$3=2,
IF(ISBLANK(Deltagarlista!$C57),"",IF(ISBLANK(Arrangörslista!J$98),"",IF($GV62=AU$64," DNS ",IFERROR(VLOOKUP($F62,Arrangörslista!J$98:$AG$135,16,FALSE), "DNS")))), IF(Deltagarlista!$K$3=1,IF(ISBLANK(Deltagarlista!$C57),"",IF(ISBLANK(Arrangörslista!J$98),"",IFERROR(VLOOKUP($F62,Arrangörslista!J$98:$AG$135,16,FALSE), "DNS"))),""))</f>
        <v/>
      </c>
      <c r="AV62" s="5" t="str">
        <f>IF(Deltagarlista!$K$3=2,
IF(ISBLANK(Deltagarlista!$C57),"",IF(ISBLANK(Arrangörslista!K$98),"",IF($GV62=AV$64," DNS ",IFERROR(VLOOKUP($F62,Arrangörslista!K$98:$AG$135,16,FALSE), "DNS")))), IF(Deltagarlista!$K$3=1,IF(ISBLANK(Deltagarlista!$C57),"",IF(ISBLANK(Arrangörslista!K$98),"",IFERROR(VLOOKUP($F62,Arrangörslista!K$98:$AG$135,16,FALSE), "DNS"))),""))</f>
        <v/>
      </c>
      <c r="AW62" s="5" t="str">
        <f>IF(Deltagarlista!$K$3=2,
IF(ISBLANK(Deltagarlista!$C57),"",IF(ISBLANK(Arrangörslista!L$98),"",IF($GV62=AW$64," DNS ",IFERROR(VLOOKUP($F62,Arrangörslista!L$98:$AG$135,16,FALSE), "DNS")))), IF(Deltagarlista!$K$3=1,IF(ISBLANK(Deltagarlista!$C57),"",IF(ISBLANK(Arrangörslista!L$98),"",IFERROR(VLOOKUP($F62,Arrangörslista!L$98:$AG$135,16,FALSE), "DNS"))),""))</f>
        <v/>
      </c>
      <c r="AX62" s="5" t="str">
        <f>IF(Deltagarlista!$K$3=2,
IF(ISBLANK(Deltagarlista!$C57),"",IF(ISBLANK(Arrangörslista!M$98),"",IF($GV62=AX$64," DNS ",IFERROR(VLOOKUP($F62,Arrangörslista!M$98:$AG$135,16,FALSE), "DNS")))), IF(Deltagarlista!$K$3=1,IF(ISBLANK(Deltagarlista!$C57),"",IF(ISBLANK(Arrangörslista!M$98),"",IFERROR(VLOOKUP($F62,Arrangörslista!M$98:$AG$135,16,FALSE), "DNS"))),""))</f>
        <v/>
      </c>
      <c r="AY62" s="5" t="str">
        <f>IF(Deltagarlista!$K$3=2,
IF(ISBLANK(Deltagarlista!$C57),"",IF(ISBLANK(Arrangörslista!N$98),"",IF($GV62=AY$64," DNS ",IFERROR(VLOOKUP($F62,Arrangörslista!N$98:$AG$135,16,FALSE), "DNS")))), IF(Deltagarlista!$K$3=1,IF(ISBLANK(Deltagarlista!$C57),"",IF(ISBLANK(Arrangörslista!N$98),"",IFERROR(VLOOKUP($F62,Arrangörslista!N$98:$AG$135,16,FALSE), "DNS"))),""))</f>
        <v/>
      </c>
      <c r="AZ62" s="5" t="str">
        <f>IF(Deltagarlista!$K$3=2,
IF(ISBLANK(Deltagarlista!$C57),"",IF(ISBLANK(Arrangörslista!O$98),"",IF($GV62=AZ$64," DNS ",IFERROR(VLOOKUP($F62,Arrangörslista!O$98:$AG$135,16,FALSE), "DNS")))), IF(Deltagarlista!$K$3=1,IF(ISBLANK(Deltagarlista!$C57),"",IF(ISBLANK(Arrangörslista!O$98),"",IFERROR(VLOOKUP($F62,Arrangörslista!O$98:$AG$135,16,FALSE), "DNS"))),""))</f>
        <v/>
      </c>
      <c r="BA62" s="5" t="str">
        <f>IF(Deltagarlista!$K$3=2,
IF(ISBLANK(Deltagarlista!$C57),"",IF(ISBLANK(Arrangörslista!P$98),"",IF($GV62=BA$64," DNS ",IFERROR(VLOOKUP($F62,Arrangörslista!P$98:$AG$135,16,FALSE), "DNS")))), IF(Deltagarlista!$K$3=1,IF(ISBLANK(Deltagarlista!$C57),"",IF(ISBLANK(Arrangörslista!P$98),"",IFERROR(VLOOKUP($F62,Arrangörslista!P$98:$AG$135,16,FALSE), "DNS"))),""))</f>
        <v/>
      </c>
      <c r="BB62" s="5" t="str">
        <f>IF(Deltagarlista!$K$3=2,
IF(ISBLANK(Deltagarlista!$C57),"",IF(ISBLANK(Arrangörslista!Q$98),"",IF($GV62=BB$64," DNS ",IFERROR(VLOOKUP($F62,Arrangörslista!Q$98:$AG$135,16,FALSE), "DNS")))), IF(Deltagarlista!$K$3=1,IF(ISBLANK(Deltagarlista!$C57),"",IF(ISBLANK(Arrangörslista!Q$98),"",IFERROR(VLOOKUP($F62,Arrangörslista!Q$98:$AG$135,16,FALSE), "DNS"))),""))</f>
        <v/>
      </c>
      <c r="BC62" s="5" t="str">
        <f>IF(Deltagarlista!$K$3=2,
IF(ISBLANK(Deltagarlista!$C57),"",IF(ISBLANK(Arrangörslista!C$143),"",IF($GV62=BC$64," DNS ",IFERROR(VLOOKUP($F62,Arrangörslista!C$143:$AG$180,16,FALSE), "DNS")))), IF(Deltagarlista!$K$3=1,IF(ISBLANK(Deltagarlista!$C57),"",IF(ISBLANK(Arrangörslista!C$143),"",IFERROR(VLOOKUP($F62,Arrangörslista!C$143:$AG$180,16,FALSE), "DNS"))),""))</f>
        <v/>
      </c>
      <c r="BD62" s="5" t="str">
        <f>IF(Deltagarlista!$K$3=2,
IF(ISBLANK(Deltagarlista!$C57),"",IF(ISBLANK(Arrangörslista!D$143),"",IF($GV62=BD$64," DNS ",IFERROR(VLOOKUP($F62,Arrangörslista!D$143:$AG$180,16,FALSE), "DNS")))), IF(Deltagarlista!$K$3=1,IF(ISBLANK(Deltagarlista!$C57),"",IF(ISBLANK(Arrangörslista!D$143),"",IFERROR(VLOOKUP($F62,Arrangörslista!D$143:$AG$180,16,FALSE), "DNS"))),""))</f>
        <v/>
      </c>
      <c r="BE62" s="5" t="str">
        <f>IF(Deltagarlista!$K$3=2,
IF(ISBLANK(Deltagarlista!$C57),"",IF(ISBLANK(Arrangörslista!E$143),"",IF($GV62=BE$64," DNS ",IFERROR(VLOOKUP($F62,Arrangörslista!E$143:$AG$180,16,FALSE), "DNS")))), IF(Deltagarlista!$K$3=1,IF(ISBLANK(Deltagarlista!$C57),"",IF(ISBLANK(Arrangörslista!E$143),"",IFERROR(VLOOKUP($F62,Arrangörslista!E$143:$AG$180,16,FALSE), "DNS"))),""))</f>
        <v/>
      </c>
      <c r="BF62" s="5" t="str">
        <f>IF(Deltagarlista!$K$3=2,
IF(ISBLANK(Deltagarlista!$C57),"",IF(ISBLANK(Arrangörslista!F$143),"",IF($GV62=BF$64," DNS ",IFERROR(VLOOKUP($F62,Arrangörslista!F$143:$AG$180,16,FALSE), "DNS")))), IF(Deltagarlista!$K$3=1,IF(ISBLANK(Deltagarlista!$C57),"",IF(ISBLANK(Arrangörslista!F$143),"",IFERROR(VLOOKUP($F62,Arrangörslista!F$143:$AG$180,16,FALSE), "DNS"))),""))</f>
        <v/>
      </c>
      <c r="BG62" s="5" t="str">
        <f>IF(Deltagarlista!$K$3=2,
IF(ISBLANK(Deltagarlista!$C57),"",IF(ISBLANK(Arrangörslista!G$143),"",IF($GV62=BG$64," DNS ",IFERROR(VLOOKUP($F62,Arrangörslista!G$143:$AG$180,16,FALSE), "DNS")))), IF(Deltagarlista!$K$3=1,IF(ISBLANK(Deltagarlista!$C57),"",IF(ISBLANK(Arrangörslista!G$143),"",IFERROR(VLOOKUP($F62,Arrangörslista!G$143:$AG$180,16,FALSE), "DNS"))),""))</f>
        <v/>
      </c>
      <c r="BH62" s="5" t="str">
        <f>IF(Deltagarlista!$K$3=2,
IF(ISBLANK(Deltagarlista!$C57),"",IF(ISBLANK(Arrangörslista!H$143),"",IF($GV62=BH$64," DNS ",IFERROR(VLOOKUP($F62,Arrangörslista!H$143:$AG$180,16,FALSE), "DNS")))), IF(Deltagarlista!$K$3=1,IF(ISBLANK(Deltagarlista!$C57),"",IF(ISBLANK(Arrangörslista!H$143),"",IFERROR(VLOOKUP($F62,Arrangörslista!H$143:$AG$180,16,FALSE), "DNS"))),""))</f>
        <v/>
      </c>
      <c r="BI62" s="5" t="str">
        <f>IF(Deltagarlista!$K$3=2,
IF(ISBLANK(Deltagarlista!$C57),"",IF(ISBLANK(Arrangörslista!I$143),"",IF($GV62=BI$64," DNS ",IFERROR(VLOOKUP($F62,Arrangörslista!I$143:$AG$180,16,FALSE), "DNS")))), IF(Deltagarlista!$K$3=1,IF(ISBLANK(Deltagarlista!$C57),"",IF(ISBLANK(Arrangörslista!I$143),"",IFERROR(VLOOKUP($F62,Arrangörslista!I$143:$AG$180,16,FALSE), "DNS"))),""))</f>
        <v/>
      </c>
      <c r="BJ62" s="5" t="str">
        <f>IF(Deltagarlista!$K$3=2,
IF(ISBLANK(Deltagarlista!$C57),"",IF(ISBLANK(Arrangörslista!J$143),"",IF($GV62=BJ$64," DNS ",IFERROR(VLOOKUP($F62,Arrangörslista!J$143:$AG$180,16,FALSE), "DNS")))), IF(Deltagarlista!$K$3=1,IF(ISBLANK(Deltagarlista!$C57),"",IF(ISBLANK(Arrangörslista!J$143),"",IFERROR(VLOOKUP($F62,Arrangörslista!J$143:$AG$180,16,FALSE), "DNS"))),""))</f>
        <v/>
      </c>
      <c r="BK62" s="5" t="str">
        <f>IF(Deltagarlista!$K$3=2,
IF(ISBLANK(Deltagarlista!$C57),"",IF(ISBLANK(Arrangörslista!K$143),"",IF($GV62=BK$64," DNS ",IFERROR(VLOOKUP($F62,Arrangörslista!K$143:$AG$180,16,FALSE), "DNS")))), IF(Deltagarlista!$K$3=1,IF(ISBLANK(Deltagarlista!$C57),"",IF(ISBLANK(Arrangörslista!K$143),"",IFERROR(VLOOKUP($F62,Arrangörslista!K$143:$AG$180,16,FALSE), "DNS"))),""))</f>
        <v/>
      </c>
      <c r="BL62" s="5" t="str">
        <f>IF(Deltagarlista!$K$3=2,
IF(ISBLANK(Deltagarlista!$C57),"",IF(ISBLANK(Arrangörslista!L$143),"",IF($GV62=BL$64," DNS ",IFERROR(VLOOKUP($F62,Arrangörslista!L$143:$AG$180,16,FALSE), "DNS")))), IF(Deltagarlista!$K$3=1,IF(ISBLANK(Deltagarlista!$C57),"",IF(ISBLANK(Arrangörslista!L$143),"",IFERROR(VLOOKUP($F62,Arrangörslista!L$143:$AG$180,16,FALSE), "DNS"))),""))</f>
        <v/>
      </c>
      <c r="BM62" s="5" t="str">
        <f>IF(Deltagarlista!$K$3=2,
IF(ISBLANK(Deltagarlista!$C57),"",IF(ISBLANK(Arrangörslista!M$143),"",IF($GV62=BM$64," DNS ",IFERROR(VLOOKUP($F62,Arrangörslista!M$143:$AG$180,16,FALSE), "DNS")))), IF(Deltagarlista!$K$3=1,IF(ISBLANK(Deltagarlista!$C57),"",IF(ISBLANK(Arrangörslista!M$143),"",IFERROR(VLOOKUP($F62,Arrangörslista!M$143:$AG$180,16,FALSE), "DNS"))),""))</f>
        <v/>
      </c>
      <c r="BN62" s="5" t="str">
        <f>IF(Deltagarlista!$K$3=2,
IF(ISBLANK(Deltagarlista!$C57),"",IF(ISBLANK(Arrangörslista!N$143),"",IF($GV62=BN$64," DNS ",IFERROR(VLOOKUP($F62,Arrangörslista!N$143:$AG$180,16,FALSE), "DNS")))), IF(Deltagarlista!$K$3=1,IF(ISBLANK(Deltagarlista!$C57),"",IF(ISBLANK(Arrangörslista!N$143),"",IFERROR(VLOOKUP($F62,Arrangörslista!N$143:$AG$180,16,FALSE), "DNS"))),""))</f>
        <v/>
      </c>
      <c r="BO62" s="5" t="str">
        <f>IF(Deltagarlista!$K$3=2,
IF(ISBLANK(Deltagarlista!$C57),"",IF(ISBLANK(Arrangörslista!O$143),"",IF($GV62=BO$64," DNS ",IFERROR(VLOOKUP($F62,Arrangörslista!O$143:$AG$180,16,FALSE), "DNS")))), IF(Deltagarlista!$K$3=1,IF(ISBLANK(Deltagarlista!$C57),"",IF(ISBLANK(Arrangörslista!O$143),"",IFERROR(VLOOKUP($F62,Arrangörslista!O$143:$AG$180,16,FALSE), "DNS"))),""))</f>
        <v/>
      </c>
      <c r="BP62" s="5" t="str">
        <f>IF(Deltagarlista!$K$3=2,
IF(ISBLANK(Deltagarlista!$C57),"",IF(ISBLANK(Arrangörslista!P$143),"",IF($GV62=BP$64," DNS ",IFERROR(VLOOKUP($F62,Arrangörslista!P$143:$AG$180,16,FALSE), "DNS")))), IF(Deltagarlista!$K$3=1,IF(ISBLANK(Deltagarlista!$C57),"",IF(ISBLANK(Arrangörslista!P$143),"",IFERROR(VLOOKUP($F62,Arrangörslista!P$143:$AG$180,16,FALSE), "DNS"))),""))</f>
        <v/>
      </c>
      <c r="BQ62" s="80" t="str">
        <f>IF(Deltagarlista!$K$3=2,
IF(ISBLANK(Deltagarlista!$C57),"",IF(ISBLANK(Arrangörslista!Q$143),"",IF($GV62=BQ$64," DNS ",IFERROR(VLOOKUP($F62,Arrangörslista!Q$143:$AG$180,16,FALSE), "DNS")))), IF(Deltagarlista!$K$3=1,IF(ISBLANK(Deltagarlista!$C57),"",IF(ISBLANK(Arrangörslista!Q$143),"",IFERROR(VLOOKUP($F62,Arrangörslista!Q$143:$AG$180,16,FALSE), "DNS"))),""))</f>
        <v/>
      </c>
      <c r="BR62" s="48"/>
      <c r="BU62" s="71">
        <f>SUM(BV62:EC62)</f>
        <v>0</v>
      </c>
      <c r="BV62" s="61">
        <f>IF(J62="",0,IF(OR(J62="DNF",J62="OCS",J62="DSQ",J62="DNS",J62=" DNS "),$BW$3+1,J62))</f>
        <v>0</v>
      </c>
      <c r="BW62" s="61">
        <f>IF(K62="",0,IF(OR(K62="DNF",K62="OCS",K62="DSQ",K62="DNS",K62=" DNS "),$BW$3+1,K62))</f>
        <v>0</v>
      </c>
      <c r="BX62" s="61">
        <f>IF(L62="",0,IF(OR(L62="DNF",L62="OCS",L62="DSQ",L62="DNS",L62=" DNS "),$BW$3+1,L62))</f>
        <v>0</v>
      </c>
      <c r="BY62" s="61">
        <f>IF(M62="",0,IF(OR(M62="DNF",M62="OCS",M62="DSQ",M62="DNS",M62=" DNS "),$BW$3+1,M62))</f>
        <v>0</v>
      </c>
      <c r="BZ62" s="61">
        <f>IF(N62="",0,IF(OR(N62="DNF",N62="OCS",N62="DSQ",N62="DNS",N62=" DNS "),$BW$3+1,N62))</f>
        <v>0</v>
      </c>
      <c r="CA62" s="61">
        <f>IF(O62="",0,IF(OR(O62="DNF",O62="OCS",O62="DSQ",O62="DNS",O62=" DNS "),$BW$3+1,O62))</f>
        <v>0</v>
      </c>
      <c r="CB62" s="61">
        <f>IF(P62="",0,IF(OR(P62="DNF",P62="OCS",P62="DSQ",P62="DNS",P62=" DNS "),$BW$3+1,P62))</f>
        <v>0</v>
      </c>
      <c r="CC62" s="61">
        <f>IF(Q62="",0,IF(OR(Q62="DNF",Q62="OCS",Q62="DSQ",Q62="DNS",Q62=" DNS "),$BW$3+1,Q62))</f>
        <v>0</v>
      </c>
      <c r="CD62" s="61">
        <f>IF(R62="",0,IF(OR(R62="DNF",R62="OCS",R62="DSQ",R62="DNS",R62=" DNS "),$BW$3+1,R62))</f>
        <v>0</v>
      </c>
      <c r="CE62" s="61">
        <f>IF(S62="",0,IF(OR(S62="DNF",S62="OCS",S62="DSQ",S62="DNS",S62=" DNS "),$BW$3+1,S62))</f>
        <v>0</v>
      </c>
      <c r="CF62" s="61">
        <f>IF(T62="",0,IF(OR(T62="DNF",T62="OCS",T62="DSQ",T62="DNS",T62=" DNS "),$BW$3+1,T62))</f>
        <v>0</v>
      </c>
      <c r="CG62" s="61">
        <f>IF(U62="",0,IF(OR(U62="DNF",U62="OCS",U62="DSQ",U62="DNS",U62=" DNS "),$BW$3+1,U62))</f>
        <v>0</v>
      </c>
      <c r="CH62" s="61">
        <f>IF(V62="",0,IF(OR(V62="DNF",V62="OCS",V62="DSQ",V62="DNS",V62=" DNS "),$BW$3+1,V62))</f>
        <v>0</v>
      </c>
      <c r="CI62" s="61">
        <f>IF(W62="",0,IF(OR(W62="DNF",W62="OCS",W62="DSQ",W62="DNS",W62=" DNS "),$BW$3+1,W62))</f>
        <v>0</v>
      </c>
      <c r="CJ62" s="61">
        <f>IF(X62="",0,IF(OR(X62="DNF",X62="OCS",X62="DSQ",X62="DNS",X62=" DNS "),$BW$3+1,X62))</f>
        <v>0</v>
      </c>
      <c r="CK62" s="61">
        <f>IF(Y62="",0,IF(OR(Y62="DNF",Y62="OCS",Y62="DSQ",Y62="DNS",Y62=" DNS "),$BW$3+1,Y62))</f>
        <v>0</v>
      </c>
      <c r="CL62" s="61">
        <f>IF(Z62="",0,IF(OR(Z62="DNF",Z62="OCS",Z62="DSQ",Z62="DNS",Z62=" DNS "),$BW$3+1,Z62))</f>
        <v>0</v>
      </c>
      <c r="CM62" s="61">
        <f>IF(AA62="",0,IF(OR(AA62="DNF",AA62="OCS",AA62="DSQ",AA62="DNS",AA62=" DNS "),$BW$3+1,AA62))</f>
        <v>0</v>
      </c>
      <c r="CN62" s="61">
        <f>IF(AB62="",0,IF(OR(AB62="DNF",AB62="OCS",AB62="DSQ",AB62="DNS",AB62=" DNS "),$BW$3+1,AB62))</f>
        <v>0</v>
      </c>
      <c r="CO62" s="61">
        <f>IF(AC62="",0,IF(OR(AC62="DNF",AC62="OCS",AC62="DSQ",AC62="DNS",AC62=" DNS "),$BW$3+1,AC62))</f>
        <v>0</v>
      </c>
      <c r="CP62" s="61">
        <f>IF(AD62="",0,IF(OR(AD62="DNF",AD62="OCS",AD62="DSQ",AD62="DNS",AD62=" DNS "),$BW$3+1,AD62))</f>
        <v>0</v>
      </c>
      <c r="CQ62" s="61">
        <f>IF(AE62="",0,IF(OR(AE62="DNF",AE62="OCS",AE62="DSQ",AE62="DNS",AE62=" DNS "),$BW$3+1,AE62))</f>
        <v>0</v>
      </c>
      <c r="CR62" s="61">
        <f>IF(AF62="",0,IF(OR(AF62="DNF",AF62="OCS",AF62="DSQ",AF62="DNS",AF62=" DNS "),$BW$3+1,AF62))</f>
        <v>0</v>
      </c>
      <c r="CS62" s="61">
        <f>IF(AG62="",0,IF(OR(AG62="DNF",AG62="OCS",AG62="DSQ",AG62="DNS",AG62=" DNS "),$BW$3+1,AG62))</f>
        <v>0</v>
      </c>
      <c r="CT62" s="61">
        <f>IF(AH62="",0,IF(OR(AH62="DNF",AH62="OCS",AH62="DSQ",AH62="DNS",AH62=" DNS "),$BW$3+1,AH62))</f>
        <v>0</v>
      </c>
      <c r="CU62" s="61">
        <f>IF(AI62="",0,IF(OR(AI62="DNF",AI62="OCS",AI62="DSQ",AI62="DNS",AI62=" DNS "),$BW$3+1,AI62))</f>
        <v>0</v>
      </c>
      <c r="CV62" s="61">
        <f>IF(AJ62="",0,IF(OR(AJ62="DNF",AJ62="OCS",AJ62="DSQ",AJ62="DNS",AJ62=" DNS "),$BW$3+1,AJ62))</f>
        <v>0</v>
      </c>
      <c r="CW62" s="61">
        <f>IF(AK62="",0,IF(OR(AK62="DNF",AK62="OCS",AK62="DSQ",AK62="DNS",AK62=" DNS "),$BW$3+1,AK62))</f>
        <v>0</v>
      </c>
      <c r="CX62" s="61">
        <f>IF(AL62="",0,IF(OR(AL62="DNF",AL62="OCS",AL62="DSQ",AL62="DNS",AL62=" DNS "),$BW$3+1,AL62))</f>
        <v>0</v>
      </c>
      <c r="CY62" s="61">
        <f>IF(AM62="",0,IF(OR(AM62="DNF",AM62="OCS",AM62="DSQ",AM62="DNS",AM62=" DNS "),$BW$3+1,AM62))</f>
        <v>0</v>
      </c>
      <c r="CZ62" s="61">
        <f>IF(AN62="",0,IF(OR(AN62="DNF",AN62="OCS",AN62="DSQ",AN62="DNS",AN62=" DNS "),$BW$3+1,AN62))</f>
        <v>0</v>
      </c>
      <c r="DA62" s="61">
        <f>IF(AO62="",0,IF(OR(AO62="DNF",AO62="OCS",AO62="DSQ",AO62="DNS",AO62=" DNS "),$BW$3+1,AO62))</f>
        <v>0</v>
      </c>
      <c r="DB62" s="61">
        <f>IF(AP62="",0,IF(OR(AP62="DNF",AP62="OCS",AP62="DSQ",AP62="DNS",AP62=" DNS "),$BW$3+1,AP62))</f>
        <v>0</v>
      </c>
      <c r="DC62" s="61">
        <f>IF(AQ62="",0,IF(OR(AQ62="DNF",AQ62="OCS",AQ62="DSQ",AQ62="DNS",AQ62=" DNS "),$BW$3+1,AQ62))</f>
        <v>0</v>
      </c>
      <c r="DD62" s="61">
        <f>IF(AR62="",0,IF(OR(AR62="DNF",AR62="OCS",AR62="DSQ",AR62="DNS",AR62=" DNS "),$BW$3+1,AR62))</f>
        <v>0</v>
      </c>
      <c r="DE62" s="61">
        <f>IF(AS62="",0,IF(OR(AS62="DNF",AS62="OCS",AS62="DSQ",AS62="DNS",AS62=" DNS "),$BW$3+1,AS62))</f>
        <v>0</v>
      </c>
      <c r="DF62" s="61">
        <f>IF(AT62="",0,IF(OR(AT62="DNF",AT62="OCS",AT62="DSQ",AT62="DNS",AT62=" DNS "),$BW$3+1,AT62))</f>
        <v>0</v>
      </c>
      <c r="DG62" s="61">
        <f>IF(AU62="",0,IF(OR(AU62="DNF",AU62="OCS",AU62="DSQ",AU62="DNS",AU62=" DNS "),$BW$3+1,AU62))</f>
        <v>0</v>
      </c>
      <c r="DH62" s="61">
        <f>IF(AV62="",0,IF(OR(AV62="DNF",AV62="OCS",AV62="DSQ",AV62="DNS",AV62=" DNS "),$BW$3+1,AV62))</f>
        <v>0</v>
      </c>
      <c r="DI62" s="61">
        <f>IF(AW62="",0,IF(OR(AW62="DNF",AW62="OCS",AW62="DSQ",AW62="DNS",AW62=" DNS "),$BW$3+1,AW62))</f>
        <v>0</v>
      </c>
      <c r="DJ62" s="61">
        <f>IF(AX62="",0,IF(OR(AX62="DNF",AX62="OCS",AX62="DSQ",AX62="DNS",AX62=" DNS "),$BW$3+1,AX62))</f>
        <v>0</v>
      </c>
      <c r="DK62" s="61">
        <f>IF(AY62="",0,IF(OR(AY62="DNF",AY62="OCS",AY62="DSQ",AY62="DNS",AY62=" DNS "),$BW$3+1,AY62))</f>
        <v>0</v>
      </c>
      <c r="DL62" s="61">
        <f>IF(AZ62="",0,IF(OR(AZ62="DNF",AZ62="OCS",AZ62="DSQ",AZ62="DNS",AZ62=" DNS "),$BW$3+1,AZ62))</f>
        <v>0</v>
      </c>
      <c r="DM62" s="61">
        <f>IF(BA62="",0,IF(OR(BA62="DNF",BA62="OCS",BA62="DSQ",BA62="DNS",BA62=" DNS "),$BW$3+1,BA62))</f>
        <v>0</v>
      </c>
      <c r="DN62" s="61">
        <f>IF(BB62="",0,IF(OR(BB62="DNF",BB62="OCS",BB62="DSQ",BB62="DNS",BB62=" DNS "),$BW$3+1,BB62))</f>
        <v>0</v>
      </c>
      <c r="DO62" s="61">
        <f>IF(BC62="",0,IF(OR(BC62="DNF",BC62="OCS",BC62="DSQ",BC62="DNS",BC62=" DNS "),$BW$3+1,BC62))</f>
        <v>0</v>
      </c>
      <c r="DP62" s="61">
        <f>IF(BD62="",0,IF(OR(BD62="DNF",BD62="OCS",BD62="DSQ",BD62="DNS",BD62=" DNS "),$BW$3+1,BD62))</f>
        <v>0</v>
      </c>
      <c r="DQ62" s="61">
        <f>IF(BE62="",0,IF(OR(BE62="DNF",BE62="OCS",BE62="DSQ",BE62="DNS",BE62=" DNS "),$BW$3+1,BE62))</f>
        <v>0</v>
      </c>
      <c r="DR62" s="61">
        <f>IF(BF62="",0,IF(OR(BF62="DNF",BF62="OCS",BF62="DSQ",BF62="DNS",BF62=" DNS "),$BW$3+1,BF62))</f>
        <v>0</v>
      </c>
      <c r="DS62" s="61">
        <f>IF(BG62="",0,IF(OR(BG62="DNF",BG62="OCS",BG62="DSQ",BG62="DNS",BG62=" DNS "),$BW$3+1,BG62))</f>
        <v>0</v>
      </c>
      <c r="DT62" s="61">
        <f>IF(BH62="",0,IF(OR(BH62="DNF",BH62="OCS",BH62="DSQ",BH62="DNS",BH62=" DNS "),$BW$3+1,BH62))</f>
        <v>0</v>
      </c>
      <c r="DU62" s="61">
        <f>IF(BI62="",0,IF(OR(BI62="DNF",BI62="OCS",BI62="DSQ",BI62="DNS",BI62=" DNS "),$BW$3+1,BI62))</f>
        <v>0</v>
      </c>
      <c r="DV62" s="61">
        <f>IF(BJ62="",0,IF(OR(BJ62="DNF",BJ62="OCS",BJ62="DSQ",BJ62="DNS",BJ62=" DNS "),$BW$3+1,BJ62))</f>
        <v>0</v>
      </c>
      <c r="DW62" s="61">
        <f>IF(BK62="",0,IF(OR(BK62="DNF",BK62="OCS",BK62="DSQ",BK62="DNS",BK62=" DNS "),$BW$3+1,BK62))</f>
        <v>0</v>
      </c>
      <c r="DX62" s="61">
        <f>IF(BL62="",0,IF(OR(BL62="DNF",BL62="OCS",BL62="DSQ",BL62="DNS",BL62=" DNS "),$BW$3+1,BL62))</f>
        <v>0</v>
      </c>
      <c r="DY62" s="61">
        <f>IF(BM62="",0,IF(OR(BM62="DNF",BM62="OCS",BM62="DSQ",BM62="DNS",BM62=" DNS "),$BW$3+1,BM62))</f>
        <v>0</v>
      </c>
      <c r="DZ62" s="61">
        <f>IF(BN62="",0,IF(OR(BN62="DNF",BN62="OCS",BN62="DSQ",BN62="DNS",BN62=" DNS "),$BW$3+1,BN62))</f>
        <v>0</v>
      </c>
      <c r="EA62" s="61">
        <f>IF(BO62="",0,IF(OR(BO62="DNF",BO62="OCS",BO62="DSQ",BO62="DNS",BO62=" DNS "),$BW$3+1,BO62))</f>
        <v>0</v>
      </c>
      <c r="EB62" s="61">
        <f>IF(BP62="",0,IF(OR(BP62="DNF",BP62="OCS",BP62="DSQ",BP62="DNS",BP62=" DNS "),$BW$3+1,BP62))</f>
        <v>0</v>
      </c>
      <c r="EC62" s="61">
        <f>IF(BQ62="",0,IF(OR(BQ62="DNF",BQ62="OCS",BQ62="DSQ",BQ62="DNS",BQ62=" DNS "),$BW$3+1,BQ62))</f>
        <v>0</v>
      </c>
      <c r="EE62" s="61">
        <f xml:space="preserve">
IF(OR(Deltagarlista!$K$3=3,Deltagarlista!$K$3=4),
IF(Arrangörslista!$U$5&lt;8,0,
IF(Arrangörslista!$U$5&lt;16,SUM(LARGE(BV62:CJ62,1)),
IF(Arrangörslista!$U$5&lt;24,SUM(LARGE(BV62:CR62,{1;2})),
IF(Arrangörslista!$U$5&lt;32,SUM(LARGE(BV62:CZ62,{1;2;3})),
IF(Arrangörslista!$U$5&lt;40,SUM(LARGE(BV62:DH62,{1;2;3;4})),
IF(Arrangörslista!$U$5&lt;48,SUM(LARGE(BV62:DP62,{1;2;3;4;5})),
IF(Arrangörslista!$U$5&lt;56,SUM(LARGE(BV62:DX62,{1;2;3;4;5;6})),
IF(Arrangörslista!$U$5&lt;64,SUM(LARGE(BV62:EC62,{1;2;3;4;5;6;7})),0)))))))),
IF(Deltagarlista!$K$3=2,
IF(Arrangörslista!$U$5&lt;4,LARGE(BV62:BX62,1),
IF(Arrangörslista!$U$5&lt;7,SUM(LARGE(BV62:CA62,{1;2;3})),
IF(Arrangörslista!$U$5&lt;10,SUM(LARGE(BV62:CD62,{1;2;3;4})),
IF(Arrangörslista!$U$5&lt;13,SUM(LARGE(BV62:CG62,{1;2;3;4;5;6})),
IF(Arrangörslista!$U$5&lt;16,SUM(LARGE(BV62:CJ62,{1;2;3;4;5;6;7})),
IF(Arrangörslista!$U$5&lt;19,SUM(LARGE(BV62:CM62,{1;2;3;4;5;6;7;8;9})),
IF(Arrangörslista!$U$5&lt;22,SUM(LARGE(BV62:CP62,{1;2;3;4;5;6;7;8;9;10})),
IF(Arrangörslista!$U$5&lt;25,SUM(LARGE(BV62:CS62,{1;2;3;4;5;6;7;8;9;10;11;12})),
IF(Arrangörslista!$U$5&lt;28,SUM(LARGE(BV62:CV62,{1;2;3;4;5;6;7;8;9;10;11;12;13})),
IF(Arrangörslista!$U$5&lt;31,SUM(LARGE(BV62:CY62,{1;2;3;4;5;6;7;8;9;10;11;12;13;14;15})),
IF(Arrangörslista!$U$5&lt;34,SUM(LARGE(BV62:DB62,{1;2;3;4;5;6;7;8;9;10;11;12;13;14;15;16})),
IF(Arrangörslista!$U$5&lt;37,SUM(LARGE(BV62:DE62,{1;2;3;4;5;6;7;8;9;10;11;12;13;14;15;16;17;18})),
IF(Arrangörslista!$U$5&lt;40,SUM(LARGE(BV62:DH62,{1;2;3;4;5;6;7;8;9;10;11;12;13;14;15;16;17;18;19})),
IF(Arrangörslista!$U$5&lt;43,SUM(LARGE(BV62:DK62,{1;2;3;4;5;6;7;8;9;10;11;12;13;14;15;16;17;18;19;20;21})),
IF(Arrangörslista!$U$5&lt;46,SUM(LARGE(BV62:DN62,{1;2;3;4;5;6;7;8;9;10;11;12;13;14;15;16;17;18;19;20;21;22})),
IF(Arrangörslista!$U$5&lt;49,SUM(LARGE(BV62:DQ62,{1;2;3;4;5;6;7;8;9;10;11;12;13;14;15;16;17;18;19;20;21;22;23;24})),
IF(Arrangörslista!$U$5&lt;52,SUM(LARGE(BV62:DT62,{1;2;3;4;5;6;7;8;9;10;11;12;13;14;15;16;17;18;19;20;21;22;23;24;25})),
IF(Arrangörslista!$U$5&lt;55,SUM(LARGE(BV62:DW62,{1;2;3;4;5;6;7;8;9;10;11;12;13;14;15;16;17;18;19;20;21;22;23;24;25;26;27})),
IF(Arrangörslista!$U$5&lt;58,SUM(LARGE(BV62:DZ62,{1;2;3;4;5;6;7;8;9;10;11;12;13;14;15;16;17;18;19;20;21;22;23;24;25;26;27;28})),
IF(Arrangörslista!$U$5&lt;61,SUM(LARGE(BV62:EC62,{1;2;3;4;5;6;7;8;9;10;11;12;13;14;15;16;17;18;19;20;21;22;23;24;25;26;27;28;29;30})),0)))))))))))))))))))),
IF(Arrangörslista!$U$5&lt;4,0,
IF(Arrangörslista!$U$5&lt;8,SUM(LARGE(BV62:CB62,1)),
IF(Arrangörslista!$U$5&lt;12,SUM(LARGE(BV62:CF62,{1;2})),
IF(Arrangörslista!$U$5&lt;16,SUM(LARGE(BV62:CJ62,{1;2;3})),
IF(Arrangörslista!$U$5&lt;20,SUM(LARGE(BV62:CN62,{1;2;3;4})),
IF(Arrangörslista!$U$5&lt;24,SUM(LARGE(BV62:CR62,{1;2;3;4;5})),
IF(Arrangörslista!$U$5&lt;28,SUM(LARGE(BV62:CV62,{1;2;3;4;5;6})),
IF(Arrangörslista!$U$5&lt;32,SUM(LARGE(BV62:CZ62,{1;2;3;4;5;6;7})),
IF(Arrangörslista!$U$5&lt;36,SUM(LARGE(BV62:DD62,{1;2;3;4;5;6;7;8})),
IF(Arrangörslista!$U$5&lt;40,SUM(LARGE(BV62:DH62,{1;2;3;4;5;6;7;8;9})),
IF(Arrangörslista!$U$5&lt;44,SUM(LARGE(BV62:DL62,{1;2;3;4;5;6;7;8;9;10})),
IF(Arrangörslista!$U$5&lt;48,SUM(LARGE(BV62:DP62,{1;2;3;4;5;6;7;8;9;10;11})),
IF(Arrangörslista!$U$5&lt;52,SUM(LARGE(BV62:DT62,{1;2;3;4;5;6;7;8;9;10;11;12})),
IF(Arrangörslista!$U$5&lt;56,SUM(LARGE(BV62:DX62,{1;2;3;4;5;6;7;8;9;10;11;12;13})),
IF(Arrangörslista!$U$5&lt;60,SUM(LARGE(BV62:EB62,{1;2;3;4;5;6;7;8;9;10;11;12;13;14})),
IF(Arrangörslista!$U$5=60,SUM(LARGE(BV62:EC62,{1;2;3;4;5;6;7;8;9;10;11;12;13;14;15})),0))))))))))))))))))</f>
        <v>0</v>
      </c>
      <c r="EG62" s="67">
        <f>IF(F62="",,1)</f>
        <v>0</v>
      </c>
      <c r="EH62" s="61"/>
      <c r="EI62" s="61"/>
      <c r="EK62" s="62">
        <f>SMALL($J125:$BQ125,1)</f>
        <v>61</v>
      </c>
      <c r="EL62" s="62">
        <f>SMALL($J125:$BQ125,2)</f>
        <v>61</v>
      </c>
      <c r="EM62" s="62">
        <f>SMALL($J125:$BQ125,3)</f>
        <v>61</v>
      </c>
      <c r="EN62" s="62">
        <f>SMALL($J125:$BQ125,4)</f>
        <v>61</v>
      </c>
      <c r="EO62" s="62">
        <f>SMALL($J125:$BQ125,5)</f>
        <v>61</v>
      </c>
      <c r="EP62" s="62">
        <f>SMALL($J125:$BQ125,6)</f>
        <v>61</v>
      </c>
      <c r="EQ62" s="62">
        <f>SMALL($J125:$BQ125,7)</f>
        <v>61</v>
      </c>
      <c r="ER62" s="62">
        <f>SMALL($J125:$BQ125,8)</f>
        <v>61</v>
      </c>
      <c r="ES62" s="62">
        <f>SMALL($J125:$BQ125,9)</f>
        <v>61</v>
      </c>
      <c r="ET62" s="62">
        <f>SMALL($J125:$BQ125,10)</f>
        <v>61</v>
      </c>
      <c r="EU62" s="62">
        <f>SMALL($J125:$BQ125,11)</f>
        <v>61</v>
      </c>
      <c r="EV62" s="62">
        <f>SMALL($J125:$BQ125,12)</f>
        <v>61</v>
      </c>
      <c r="EW62" s="62">
        <f>SMALL($J125:$BQ125,13)</f>
        <v>61</v>
      </c>
      <c r="EX62" s="62">
        <f>SMALL($J125:$BQ125,14)</f>
        <v>61</v>
      </c>
      <c r="EY62" s="62">
        <f>SMALL($J125:$BQ125,15)</f>
        <v>61</v>
      </c>
      <c r="EZ62" s="62">
        <f>SMALL($J125:$BQ125,16)</f>
        <v>61</v>
      </c>
      <c r="FA62" s="62">
        <f>SMALL($J125:$BQ125,17)</f>
        <v>61</v>
      </c>
      <c r="FB62" s="62">
        <f>SMALL($J125:$BQ125,18)</f>
        <v>61</v>
      </c>
      <c r="FC62" s="62">
        <f>SMALL($J125:$BQ125,19)</f>
        <v>61</v>
      </c>
      <c r="FD62" s="62">
        <f>SMALL($J125:$BQ125,20)</f>
        <v>61</v>
      </c>
      <c r="FE62" s="62">
        <f>SMALL($J125:$BQ125,21)</f>
        <v>61</v>
      </c>
      <c r="FF62" s="62">
        <f>SMALL($J125:$BQ125,22)</f>
        <v>61</v>
      </c>
      <c r="FG62" s="62">
        <f>SMALL($J125:$BQ125,23)</f>
        <v>61</v>
      </c>
      <c r="FH62" s="62">
        <f>SMALL($J125:$BQ125,24)</f>
        <v>61</v>
      </c>
      <c r="FI62" s="62">
        <f>SMALL($J125:$BQ125,25)</f>
        <v>61</v>
      </c>
      <c r="FJ62" s="62">
        <f>SMALL($J125:$BQ125,26)</f>
        <v>61</v>
      </c>
      <c r="FK62" s="62">
        <f>SMALL($J125:$BQ125,27)</f>
        <v>61</v>
      </c>
      <c r="FL62" s="62">
        <f>SMALL($J125:$BQ125,28)</f>
        <v>61</v>
      </c>
      <c r="FM62" s="62">
        <f>SMALL($J125:$BQ125,29)</f>
        <v>61</v>
      </c>
      <c r="FN62" s="62">
        <f>SMALL($J125:$BQ125,30)</f>
        <v>61</v>
      </c>
      <c r="FO62" s="62">
        <f>SMALL($J125:$BQ125,31)</f>
        <v>61</v>
      </c>
      <c r="FP62" s="62">
        <f>SMALL($J125:$BQ125,32)</f>
        <v>61</v>
      </c>
      <c r="FQ62" s="62">
        <f>SMALL($J125:$BQ125,33)</f>
        <v>61</v>
      </c>
      <c r="FR62" s="62">
        <f>SMALL($J125:$BQ125,34)</f>
        <v>61</v>
      </c>
      <c r="FS62" s="62">
        <f>SMALL($J125:$BQ125,35)</f>
        <v>61</v>
      </c>
      <c r="FT62" s="62">
        <f>SMALL($J125:$BQ125,36)</f>
        <v>61</v>
      </c>
      <c r="FU62" s="62">
        <f>SMALL($J125:$BQ125,37)</f>
        <v>61</v>
      </c>
      <c r="FV62" s="62">
        <f>SMALL($J125:$BQ125,38)</f>
        <v>61</v>
      </c>
      <c r="FW62" s="62">
        <f>SMALL($J125:$BQ125,39)</f>
        <v>61</v>
      </c>
      <c r="FX62" s="62">
        <f>SMALL($J125:$BQ125,40)</f>
        <v>61</v>
      </c>
      <c r="FY62" s="62">
        <f>SMALL($J125:$BQ125,41)</f>
        <v>61</v>
      </c>
      <c r="FZ62" s="62">
        <f>SMALL($J125:$BQ125,42)</f>
        <v>61</v>
      </c>
      <c r="GA62" s="62">
        <f>SMALL($J125:$BQ125,43)</f>
        <v>61</v>
      </c>
      <c r="GB62" s="62">
        <f>SMALL($J125:$BQ125,44)</f>
        <v>61</v>
      </c>
      <c r="GC62" s="62">
        <f>SMALL($J125:$BQ125,45)</f>
        <v>61</v>
      </c>
      <c r="GD62" s="62">
        <f>SMALL($J125:$BQ125,46)</f>
        <v>61</v>
      </c>
      <c r="GE62" s="62">
        <f>SMALL($J125:$BQ125,47)</f>
        <v>61</v>
      </c>
      <c r="GF62" s="62">
        <f>SMALL($J125:$BQ125,48)</f>
        <v>61</v>
      </c>
      <c r="GG62" s="62">
        <f>SMALL($J125:$BQ125,49)</f>
        <v>61</v>
      </c>
      <c r="GH62" s="62">
        <f>SMALL($J125:$BQ125,50)</f>
        <v>61</v>
      </c>
      <c r="GI62" s="62">
        <f>SMALL($J125:$BQ125,51)</f>
        <v>61</v>
      </c>
      <c r="GJ62" s="62">
        <f>SMALL($J125:$BQ125,52)</f>
        <v>61</v>
      </c>
      <c r="GK62" s="62">
        <f>SMALL($J125:$BQ125,53)</f>
        <v>61</v>
      </c>
      <c r="GL62" s="62">
        <f>SMALL($J125:$BQ125,54)</f>
        <v>61</v>
      </c>
      <c r="GM62" s="62">
        <f>SMALL($J125:$BQ125,55)</f>
        <v>61</v>
      </c>
      <c r="GN62" s="62">
        <f>SMALL($J125:$BQ125,56)</f>
        <v>61</v>
      </c>
      <c r="GO62" s="62">
        <f>SMALL($J125:$BQ125,57)</f>
        <v>61</v>
      </c>
      <c r="GP62" s="62">
        <f>SMALL($J125:$BQ125,58)</f>
        <v>61</v>
      </c>
      <c r="GQ62" s="62">
        <f>SMALL($J125:$BQ125,59)</f>
        <v>61</v>
      </c>
      <c r="GR62" s="62">
        <f>SMALL($J125:$BQ125,60)</f>
        <v>61</v>
      </c>
      <c r="GT62" s="62">
        <f>IF(Deltagarlista!$K$3=2,
IF(GW62="1",
      IF(Arrangörslista!$U$5=1,J125,
IF(Arrangörslista!$U$5=2,K125,
IF(Arrangörslista!$U$5=3,L125,
IF(Arrangörslista!$U$5=4,M125,
IF(Arrangörslista!$U$5=5,N125,
IF(Arrangörslista!$U$5=6,O125,
IF(Arrangörslista!$U$5=7,P125,
IF(Arrangörslista!$U$5=8,Q125,
IF(Arrangörslista!$U$5=9,R125,
IF(Arrangörslista!$U$5=10,S125,
IF(Arrangörslista!$U$5=11,T125,
IF(Arrangörslista!$U$5=12,U125,
IF(Arrangörslista!$U$5=13,V125,
IF(Arrangörslista!$U$5=14,W125,
IF(Arrangörslista!$U$5=15,X125,
IF(Arrangörslista!$U$5=16,Y125,IF(Arrangörslista!$U$5=17,Z125,IF(Arrangörslista!$U$5=18,AA125,IF(Arrangörslista!$U$5=19,AB125,IF(Arrangörslista!$U$5=20,AC125,IF(Arrangörslista!$U$5=21,AD125,IF(Arrangörslista!$U$5=22,AE125,IF(Arrangörslista!$U$5=23,AF125, IF(Arrangörslista!$U$5=24,AG125, IF(Arrangörslista!$U$5=25,AH125, IF(Arrangörslista!$U$5=26,AI125, IF(Arrangörslista!$U$5=27,AJ125, IF(Arrangörslista!$U$5=28,AK125, IF(Arrangörslista!$U$5=29,AL125, IF(Arrangörslista!$U$5=30,AM125, IF(Arrangörslista!$U$5=31,AN125, IF(Arrangörslista!$U$5=32,AO125, IF(Arrangörslista!$U$5=33,AP125, IF(Arrangörslista!$U$5=34,AQ125, IF(Arrangörslista!$U$5=35,AR125, IF(Arrangörslista!$U$5=36,AS125, IF(Arrangörslista!$U$5=37,AT125, IF(Arrangörslista!$U$5=38,AU125, IF(Arrangörslista!$U$5=39,AV125, IF(Arrangörslista!$U$5=40,AW125, IF(Arrangörslista!$U$5=41,AX125, IF(Arrangörslista!$U$5=42,AY125, IF(Arrangörslista!$U$5=43,AZ125, IF(Arrangörslista!$U$5=44,BA125, IF(Arrangörslista!$U$5=45,BB125, IF(Arrangörslista!$U$5=46,BC125, IF(Arrangörslista!$U$5=47,BD125, IF(Arrangörslista!$U$5=48,BE125, IF(Arrangörslista!$U$5=49,BF125, IF(Arrangörslista!$U$5=50,BG125, IF(Arrangörslista!$U$5=51,BH125, IF(Arrangörslista!$U$5=52,BI125, IF(Arrangörslista!$U$5=53,BJ125, IF(Arrangörslista!$U$5=54,BK125, IF(Arrangörslista!$U$5=55,BL125, IF(Arrangörslista!$U$5=56,BM125, IF(Arrangörslista!$U$5=57,BN125, IF(Arrangörslista!$U$5=58,BO125, IF(Arrangörslista!$U$5=59,BP125, IF(Arrangörslista!$U$5=60,BQ125,0))))))))))))))))))))))))))))))))))))))))))))))))))))))))))))),IF(Deltagarlista!$K$3=4, IF(Arrangörslista!$U$5=1,J125,
IF(Arrangörslista!$U$5=2,J125,
IF(Arrangörslista!$U$5=3,K125,
IF(Arrangörslista!$U$5=4,K125,
IF(Arrangörslista!$U$5=5,L125,
IF(Arrangörslista!$U$5=6,L125,
IF(Arrangörslista!$U$5=7,M125,
IF(Arrangörslista!$U$5=8,M125,
IF(Arrangörslista!$U$5=9,N125,
IF(Arrangörslista!$U$5=10,N125,
IF(Arrangörslista!$U$5=11,O125,
IF(Arrangörslista!$U$5=12,O125,
IF(Arrangörslista!$U$5=13,P125,
IF(Arrangörslista!$U$5=14,P125,
IF(Arrangörslista!$U$5=15,Q125,
IF(Arrangörslista!$U$5=16,Q125,
IF(Arrangörslista!$U$5=17,R125,
IF(Arrangörslista!$U$5=18,R125,
IF(Arrangörslista!$U$5=19,S125,
IF(Arrangörslista!$U$5=20,S125,
IF(Arrangörslista!$U$5=21,T125,
IF(Arrangörslista!$U$5=22,T125,IF(Arrangörslista!$U$5=23,U125, IF(Arrangörslista!$U$5=24,U125, IF(Arrangörslista!$U$5=25,V125, IF(Arrangörslista!$U$5=26,V125, IF(Arrangörslista!$U$5=27,W125, IF(Arrangörslista!$U$5=28,W125, IF(Arrangörslista!$U$5=29,X125, IF(Arrangörslista!$U$5=30,X125, IF(Arrangörslista!$U$5=31,X125, IF(Arrangörslista!$U$5=32,Y125, IF(Arrangörslista!$U$5=33,AO125, IF(Arrangörslista!$U$5=34,Y125, IF(Arrangörslista!$U$5=35,Z125, IF(Arrangörslista!$U$5=36,AR125, IF(Arrangörslista!$U$5=37,Z125, IF(Arrangörslista!$U$5=38,AA125, IF(Arrangörslista!$U$5=39,AU125, IF(Arrangörslista!$U$5=40,AA125, IF(Arrangörslista!$U$5=41,AB125, IF(Arrangörslista!$U$5=42,AX125, IF(Arrangörslista!$U$5=43,AB125, IF(Arrangörslista!$U$5=44,AC125, IF(Arrangörslista!$U$5=45,BA125, IF(Arrangörslista!$U$5=46,AC125, IF(Arrangörslista!$U$5=47,AD125, IF(Arrangörslista!$U$5=48,BD125, IF(Arrangörslista!$U$5=49,AD125, IF(Arrangörslista!$U$5=50,AE125, IF(Arrangörslista!$U$5=51,BG125, IF(Arrangörslista!$U$5=52,AE125, IF(Arrangörslista!$U$5=53,AF125, IF(Arrangörslista!$U$5=54,BJ125, IF(Arrangörslista!$U$5=55,AF125, IF(Arrangörslista!$U$5=56,AG125, IF(Arrangörslista!$U$5=57,BM125, IF(Arrangörslista!$U$5=58,AG125, IF(Arrangörslista!$U$5=59,AH125, IF(Arrangörslista!$U$5=60,AH125,0)))))))))))))))))))))))))))))))))))))))))))))))))))))))))))),IF(Arrangörslista!$U$5=1,J125,
IF(Arrangörslista!$U$5=2,K125,
IF(Arrangörslista!$U$5=3,L125,
IF(Arrangörslista!$U$5=4,M125,
IF(Arrangörslista!$U$5=5,N125,
IF(Arrangörslista!$U$5=6,O125,
IF(Arrangörslista!$U$5=7,P125,
IF(Arrangörslista!$U$5=8,Q125,
IF(Arrangörslista!$U$5=9,R125,
IF(Arrangörslista!$U$5=10,S125,
IF(Arrangörslista!$U$5=11,T125,
IF(Arrangörslista!$U$5=12,U125,
IF(Arrangörslista!$U$5=13,V125,
IF(Arrangörslista!$U$5=14,W125,
IF(Arrangörslista!$U$5=15,X125,
IF(Arrangörslista!$U$5=16,Y125,IF(Arrangörslista!$U$5=17,Z125,IF(Arrangörslista!$U$5=18,AA125,IF(Arrangörslista!$U$5=19,AB125,IF(Arrangörslista!$U$5=20,AC125,IF(Arrangörslista!$U$5=21,AD125,IF(Arrangörslista!$U$5=22,AE125,IF(Arrangörslista!$U$5=23,AF125, IF(Arrangörslista!$U$5=24,AG125, IF(Arrangörslista!$U$5=25,AH125, IF(Arrangörslista!$U$5=26,AI125, IF(Arrangörslista!$U$5=27,AJ125, IF(Arrangörslista!$U$5=28,AK125, IF(Arrangörslista!$U$5=29,AL125, IF(Arrangörslista!$U$5=30,AM125, IF(Arrangörslista!$U$5=31,AN125, IF(Arrangörslista!$U$5=32,AO125, IF(Arrangörslista!$U$5=33,AP125, IF(Arrangörslista!$U$5=34,AQ125, IF(Arrangörslista!$U$5=35,AR125, IF(Arrangörslista!$U$5=36,AS125, IF(Arrangörslista!$U$5=37,AT125, IF(Arrangörslista!$U$5=38,AU125, IF(Arrangörslista!$U$5=39,AV125, IF(Arrangörslista!$U$5=40,AW125, IF(Arrangörslista!$U$5=41,AX125, IF(Arrangörslista!$U$5=42,AY125, IF(Arrangörslista!$U$5=43,AZ125, IF(Arrangörslista!$U$5=44,BA125, IF(Arrangörslista!$U$5=45,BB125, IF(Arrangörslista!$U$5=46,BC125, IF(Arrangörslista!$U$5=47,BD125, IF(Arrangörslista!$U$5=48,BE125, IF(Arrangörslista!$U$5=49,BF125, IF(Arrangörslista!$U$5=50,BG125, IF(Arrangörslista!$U$5=51,BH125, IF(Arrangörslista!$U$5=52,BI125, IF(Arrangörslista!$U$5=53,BJ125, IF(Arrangörslista!$U$5=54,BK125, IF(Arrangörslista!$U$5=55,BL125, IF(Arrangörslista!$U$5=56,BM125, IF(Arrangörslista!$U$5=57,BN125, IF(Arrangörslista!$U$5=58,BO125, IF(Arrangörslista!$U$5=59,BP125, IF(Arrangörslista!$U$5=60,BQ125,0))))))))))))))))))))))))))))))))))))))))))))))))))))))))))))
))</f>
        <v>0</v>
      </c>
      <c r="GV62" s="65" t="str">
        <f>IFERROR(IF(VLOOKUP(F62,Deltagarlista!$E$5:$I$64,5,FALSE)="Grön","Gr",IF(VLOOKUP(F62,Deltagarlista!$E$5:$I$64,5,FALSE)="Röd","R",IF(VLOOKUP(F62,Deltagarlista!$E$5:$I$64,5,FALSE)="Blå","B","Gu"))),"")</f>
        <v/>
      </c>
      <c r="GW62" s="62" t="str">
        <f t="shared" si="1"/>
        <v/>
      </c>
    </row>
    <row r="63" spans="1:205" ht="15.75" customHeight="1" thickBot="1" x14ac:dyDescent="0.35">
      <c r="B63" s="85" t="str">
        <f>IF($BW$3&gt;59,60,"")</f>
        <v/>
      </c>
      <c r="C63" s="93" t="str">
        <f>IF(ISBLANK(Deltagarlista!C64),"",Deltagarlista!C64)</f>
        <v/>
      </c>
      <c r="D63" s="108" t="str">
        <f>CONCATENATE(IF(AND(Deltagarlista!H64="GM",Deltagarlista!$S$14=TRUE),"GM   ",""),  IF(OR(Deltagarlista!$K$3=4,Deltagarlista!$K$3=2),Deltagarlista!I64,""))</f>
        <v/>
      </c>
      <c r="E63" s="86" t="str">
        <f>IF(ISBLANK(Deltagarlista!D64),"",Deltagarlista!D64)</f>
        <v/>
      </c>
      <c r="F63" s="86" t="str">
        <f>IF(ISBLANK(Deltagarlista!E64),"",Deltagarlista!E64)</f>
        <v/>
      </c>
      <c r="G63" s="96" t="str">
        <f>IF(ISBLANK(Deltagarlista!F64),"",Deltagarlista!F64)</f>
        <v/>
      </c>
      <c r="H63" s="87" t="str">
        <f>IF(ISBLANK(Deltagarlista!C64),"",BU63-EE63)</f>
        <v/>
      </c>
      <c r="I63" s="88" t="str">
        <f>IF(ISBLANK(Deltagarlista!C64),"",IF(AND(Deltagarlista!$K$3=2,Deltagarlista!$L$3&lt;37),SUM(SUM(BV63:EC63)-(ROUNDDOWN(Arrangörslista!$U$5/3,1))*($BW$3+1)),SUM(BV63:EC63)))</f>
        <v/>
      </c>
      <c r="J63" s="81" t="str">
        <f>IF(Deltagarlista!$K$3=4,IF(ISBLANK(Deltagarlista!$C64),"",IF(ISBLANK(Arrangörslista!C$8),"",IFERROR(VLOOKUP($F63,Arrangörslista!C$8:$AG$45,16,FALSE),IF(ISBLANK(Deltagarlista!$C64),"",IF(ISBLANK(Arrangörslista!C$8),"",IFERROR(VLOOKUP($F63,Arrangörslista!D$8:$AG$45,16,FALSE),"DNS")))))),IF(Deltagarlista!$K$3=2,
IF(ISBLANK(Deltagarlista!$C64),"",IF(ISBLANK(Arrangörslista!C$8),"",IF($GV63=J$64," DNS ",IFERROR(VLOOKUP($F63,Arrangörslista!C$8:$AG$45,16,FALSE),"DNS")))),IF(ISBLANK(Deltagarlista!$C64),"",IF(ISBLANK(Arrangörslista!C$8),"",IFERROR(VLOOKUP($F63,Arrangörslista!C$8:$AG$45,16,FALSE),"DNS")))))</f>
        <v/>
      </c>
      <c r="K63" s="82" t="str">
        <f>IF(Deltagarlista!$K$3=4,IF(ISBLANK(Deltagarlista!$C64),"",IF(ISBLANK(Arrangörslista!E$8),"",IFERROR(VLOOKUP($F63,Arrangörslista!E$8:$AG$45,16,FALSE),IF(ISBLANK(Deltagarlista!$C64),"",IF(ISBLANK(Arrangörslista!E$8),"",IFERROR(VLOOKUP($F63,Arrangörslista!F$8:$AG$45,16,FALSE),"DNS")))))),IF(Deltagarlista!$K$3=2,
IF(ISBLANK(Deltagarlista!$C64),"",IF(ISBLANK(Arrangörslista!D$8),"",IF($GV63=K$64," DNS ",IFERROR(VLOOKUP($F63,Arrangörslista!D$8:$AG$45,16,FALSE),"DNS")))),IF(ISBLANK(Deltagarlista!$C64),"",IF(ISBLANK(Arrangörslista!D$8),"",IFERROR(VLOOKUP($F63,Arrangörslista!D$8:$AG$45,16,FALSE),"DNS")))))</f>
        <v/>
      </c>
      <c r="L63" s="82" t="str">
        <f>IF(Deltagarlista!$K$3=4,IF(ISBLANK(Deltagarlista!$C64),"",IF(ISBLANK(Arrangörslista!G$8),"",IFERROR(VLOOKUP($F63,Arrangörslista!G$8:$AG$45,16,FALSE),IF(ISBLANK(Deltagarlista!$C64),"",IF(ISBLANK(Arrangörslista!G$8),"",IFERROR(VLOOKUP($F63,Arrangörslista!H$8:$AG$45,16,FALSE),"DNS")))))),IF(Deltagarlista!$K$3=2,
IF(ISBLANK(Deltagarlista!$C64),"",IF(ISBLANK(Arrangörslista!E$8),"",IF($GV63=L$64," DNS ",IFERROR(VLOOKUP($F63,Arrangörslista!E$8:$AG$45,16,FALSE),"DNS")))),IF(ISBLANK(Deltagarlista!$C64),"",IF(ISBLANK(Arrangörslista!E$8),"",IFERROR(VLOOKUP($F63,Arrangörslista!E$8:$AG$45,16,FALSE),"DNS")))))</f>
        <v/>
      </c>
      <c r="M63" s="82" t="str">
        <f>IF(Deltagarlista!$K$3=4,IF(ISBLANK(Deltagarlista!$C64),"",IF(ISBLANK(Arrangörslista!I$8),"",IFERROR(VLOOKUP($F63,Arrangörslista!I$8:$AG$45,16,FALSE),IF(ISBLANK(Deltagarlista!$C64),"",IF(ISBLANK(Arrangörslista!I$8),"",IFERROR(VLOOKUP($F63,Arrangörslista!J$8:$AG$45,16,FALSE),"DNS")))))),IF(Deltagarlista!$K$3=2,
IF(ISBLANK(Deltagarlista!$C64),"",IF(ISBLANK(Arrangörslista!F$8),"",IF($GV63=M$64," DNS ",IFERROR(VLOOKUP($F63,Arrangörslista!F$8:$AG$45,16,FALSE),"DNS")))),IF(ISBLANK(Deltagarlista!$C64),"",IF(ISBLANK(Arrangörslista!F$8),"",IFERROR(VLOOKUP($F63,Arrangörslista!F$8:$AG$45,16,FALSE),"DNS")))))</f>
        <v/>
      </c>
      <c r="N63" s="82" t="str">
        <f>IF(Deltagarlista!$K$3=4,IF(ISBLANK(Deltagarlista!$C64),"",IF(ISBLANK(Arrangörslista!K$8),"",IFERROR(VLOOKUP($F63,Arrangörslista!K$8:$AG$45,16,FALSE),IF(ISBLANK(Deltagarlista!$C64),"",IF(ISBLANK(Arrangörslista!K$8),"",IFERROR(VLOOKUP($F63,Arrangörslista!L$8:$AG$45,16,FALSE),"DNS")))))),IF(Deltagarlista!$K$3=2,
IF(ISBLANK(Deltagarlista!$C64),"",IF(ISBLANK(Arrangörslista!G$8),"",IF($GV63=N$64," DNS ",IFERROR(VLOOKUP($F63,Arrangörslista!G$8:$AG$45,16,FALSE),"DNS")))),IF(ISBLANK(Deltagarlista!$C64),"",IF(ISBLANK(Arrangörslista!G$8),"",IFERROR(VLOOKUP($F63,Arrangörslista!G$8:$AG$45,16,FALSE),"DNS")))))</f>
        <v/>
      </c>
      <c r="O63" s="82" t="str">
        <f>IF(Deltagarlista!$K$3=4,IF(ISBLANK(Deltagarlista!$C64),"",IF(ISBLANK(Arrangörslista!M$8),"",IFERROR(VLOOKUP($F63,Arrangörslista!M$8:$AG$45,16,FALSE),IF(ISBLANK(Deltagarlista!$C64),"",IF(ISBLANK(Arrangörslista!M$8),"",IFERROR(VLOOKUP($F63,Arrangörslista!N$8:$AG$45,16,FALSE),"DNS")))))),IF(Deltagarlista!$K$3=2,
IF(ISBLANK(Deltagarlista!$C64),"",IF(ISBLANK(Arrangörslista!H$8),"",IF($GV63=O$64," DNS ",IFERROR(VLOOKUP($F63,Arrangörslista!H$8:$AG$45,16,FALSE),"DNS")))),IF(ISBLANK(Deltagarlista!$C64),"",IF(ISBLANK(Arrangörslista!H$8),"",IFERROR(VLOOKUP($F63,Arrangörslista!H$8:$AG$45,16,FALSE),"DNS")))))</f>
        <v/>
      </c>
      <c r="P63" s="82" t="str">
        <f>IF(Deltagarlista!$K$3=4,IF(ISBLANK(Deltagarlista!$C64),"",IF(ISBLANK(Arrangörslista!O$8),"",IFERROR(VLOOKUP($F63,Arrangörslista!O$8:$AG$45,16,FALSE),IF(ISBLANK(Deltagarlista!$C64),"",IF(ISBLANK(Arrangörslista!O$8),"",IFERROR(VLOOKUP($F63,Arrangörslista!P$8:$AG$45,16,FALSE),"DNS")))))),IF(Deltagarlista!$K$3=2,
IF(ISBLANK(Deltagarlista!$C64),"",IF(ISBLANK(Arrangörslista!I$8),"",IF($GV63=P$64," DNS ",IFERROR(VLOOKUP($F63,Arrangörslista!I$8:$AG$45,16,FALSE),"DNS")))),IF(ISBLANK(Deltagarlista!$C64),"",IF(ISBLANK(Arrangörslista!I$8),"",IFERROR(VLOOKUP($F63,Arrangörslista!I$8:$AG$45,16,FALSE),"DNS")))))</f>
        <v/>
      </c>
      <c r="Q63" s="82" t="str">
        <f>IF(Deltagarlista!$K$3=4,IF(ISBLANK(Deltagarlista!$C64),"",IF(ISBLANK(Arrangörslista!Q$8),"",IFERROR(VLOOKUP($F63,Arrangörslista!Q$8:$AG$45,16,FALSE),IF(ISBLANK(Deltagarlista!$C64),"",IF(ISBLANK(Arrangörslista!Q$8),"",IFERROR(VLOOKUP($F63,Arrangörslista!C$53:$AG$90,16,FALSE),"DNS")))))),IF(Deltagarlista!$K$3=2,
IF(ISBLANK(Deltagarlista!$C64),"",IF(ISBLANK(Arrangörslista!J$8),"",IF($GV63=Q$64," DNS ",IFERROR(VLOOKUP($F63,Arrangörslista!J$8:$AG$45,16,FALSE),"DNS")))),IF(ISBLANK(Deltagarlista!$C64),"",IF(ISBLANK(Arrangörslista!J$8),"",IFERROR(VLOOKUP($F63,Arrangörslista!J$8:$AG$45,16,FALSE),"DNS")))))</f>
        <v/>
      </c>
      <c r="R63" s="82" t="str">
        <f>IF(Deltagarlista!$K$3=4,IF(ISBLANK(Deltagarlista!$C64),"",IF(ISBLANK(Arrangörslista!D$53),"",IFERROR(VLOOKUP($F63,Arrangörslista!D$53:$AG$90,16,FALSE),IF(ISBLANK(Deltagarlista!$C64),"",IF(ISBLANK(Arrangörslista!D$53),"",IFERROR(VLOOKUP($F63,Arrangörslista!E$53:$AG$90,16,FALSE),"DNS")))))),IF(Deltagarlista!$K$3=2,
IF(ISBLANK(Deltagarlista!$C64),"",IF(ISBLANK(Arrangörslista!K$8),"",IF($GV63=R$64," DNS ",IFERROR(VLOOKUP($F63,Arrangörslista!K$8:$AG$45,16,FALSE),"DNS")))),IF(ISBLANK(Deltagarlista!$C64),"",IF(ISBLANK(Arrangörslista!K$8),"",IFERROR(VLOOKUP($F63,Arrangörslista!K$8:$AG$45,16,FALSE),"DNS")))))</f>
        <v/>
      </c>
      <c r="S63" s="82" t="str">
        <f>IF(Deltagarlista!$K$3=4,IF(ISBLANK(Deltagarlista!$C64),"",IF(ISBLANK(Arrangörslista!F$53),"",IFERROR(VLOOKUP($F63,Arrangörslista!F$53:$AG$90,16,FALSE),IF(ISBLANK(Deltagarlista!$C64),"",IF(ISBLANK(Arrangörslista!F$53),"",IFERROR(VLOOKUP($F63,Arrangörslista!G$53:$AG$90,16,FALSE),"DNS")))))),IF(Deltagarlista!$K$3=2,
IF(ISBLANK(Deltagarlista!$C64),"",IF(ISBLANK(Arrangörslista!L$8),"",IF($GV63=S$64," DNS ",IFERROR(VLOOKUP($F63,Arrangörslista!L$8:$AG$45,16,FALSE),"DNS")))),IF(ISBLANK(Deltagarlista!$C64),"",IF(ISBLANK(Arrangörslista!L$8),"",IFERROR(VLOOKUP($F63,Arrangörslista!L$8:$AG$45,16,FALSE),"DNS")))))</f>
        <v/>
      </c>
      <c r="T63" s="82" t="str">
        <f>IF(Deltagarlista!$K$3=4,IF(ISBLANK(Deltagarlista!$C64),"",IF(ISBLANK(Arrangörslista!H$53),"",IFERROR(VLOOKUP($F63,Arrangörslista!H$53:$AG$90,16,FALSE),IF(ISBLANK(Deltagarlista!$C64),"",IF(ISBLANK(Arrangörslista!H$53),"",IFERROR(VLOOKUP($F63,Arrangörslista!I$53:$AG$90,16,FALSE),"DNS")))))),IF(Deltagarlista!$K$3=2,
IF(ISBLANK(Deltagarlista!$C64),"",IF(ISBLANK(Arrangörslista!M$8),"",IF($GV63=T$64," DNS ",IFERROR(VLOOKUP($F63,Arrangörslista!M$8:$AG$45,16,FALSE),"DNS")))),IF(ISBLANK(Deltagarlista!$C64),"",IF(ISBLANK(Arrangörslista!M$8),"",IFERROR(VLOOKUP($F63,Arrangörslista!M$8:$AG$45,16,FALSE),"DNS")))))</f>
        <v/>
      </c>
      <c r="U63" s="82" t="str">
        <f>IF(Deltagarlista!$K$3=4,IF(ISBLANK(Deltagarlista!$C64),"",IF(ISBLANK(Arrangörslista!J$53),"",IFERROR(VLOOKUP($F63,Arrangörslista!J$53:$AG$90,16,FALSE),IF(ISBLANK(Deltagarlista!$C64),"",IF(ISBLANK(Arrangörslista!J$53),"",IFERROR(VLOOKUP($F63,Arrangörslista!K$53:$AG$90,16,FALSE),"DNS")))))),IF(Deltagarlista!$K$3=2,
IF(ISBLANK(Deltagarlista!$C64),"",IF(ISBLANK(Arrangörslista!N$8),"",IF($GV63=U$64," DNS ",IFERROR(VLOOKUP($F63,Arrangörslista!N$8:$AG$45,16,FALSE),"DNS")))),IF(ISBLANK(Deltagarlista!$C64),"",IF(ISBLANK(Arrangörslista!N$8),"",IFERROR(VLOOKUP($F63,Arrangörslista!N$8:$AG$45,16,FALSE),"DNS")))))</f>
        <v/>
      </c>
      <c r="V63" s="82" t="str">
        <f>IF(Deltagarlista!$K$3=4,IF(ISBLANK(Deltagarlista!$C64),"",IF(ISBLANK(Arrangörslista!L$53),"",IFERROR(VLOOKUP($F63,Arrangörslista!L$53:$AG$90,16,FALSE),IF(ISBLANK(Deltagarlista!$C64),"",IF(ISBLANK(Arrangörslista!L$53),"",IFERROR(VLOOKUP($F63,Arrangörslista!M$53:$AG$90,16,FALSE),"DNS")))))),IF(Deltagarlista!$K$3=2,
IF(ISBLANK(Deltagarlista!$C64),"",IF(ISBLANK(Arrangörslista!O$8),"",IF($GV63=V$64," DNS ",IFERROR(VLOOKUP($F63,Arrangörslista!O$8:$AG$45,16,FALSE),"DNS")))),IF(ISBLANK(Deltagarlista!$C64),"",IF(ISBLANK(Arrangörslista!O$8),"",IFERROR(VLOOKUP($F63,Arrangörslista!O$8:$AG$45,16,FALSE),"DNS")))))</f>
        <v/>
      </c>
      <c r="W63" s="82" t="str">
        <f>IF(Deltagarlista!$K$3=4,IF(ISBLANK(Deltagarlista!$C64),"",IF(ISBLANK(Arrangörslista!N$53),"",IFERROR(VLOOKUP($F63,Arrangörslista!N$53:$AG$90,16,FALSE),IF(ISBLANK(Deltagarlista!$C64),"",IF(ISBLANK(Arrangörslista!N$53),"",IFERROR(VLOOKUP($F63,Arrangörslista!O$53:$AG$90,16,FALSE),"DNS")))))),IF(Deltagarlista!$K$3=2,
IF(ISBLANK(Deltagarlista!$C64),"",IF(ISBLANK(Arrangörslista!P$8),"",IF($GV63=W$64," DNS ",IFERROR(VLOOKUP($F63,Arrangörslista!P$8:$AG$45,16,FALSE),"DNS")))),IF(ISBLANK(Deltagarlista!$C64),"",IF(ISBLANK(Arrangörslista!P$8),"",IFERROR(VLOOKUP($F63,Arrangörslista!P$8:$AG$45,16,FALSE),"DNS")))))</f>
        <v/>
      </c>
      <c r="X63" s="82" t="str">
        <f>IF(Deltagarlista!$K$3=4,IF(ISBLANK(Deltagarlista!$C64),"",IF(ISBLANK(Arrangörslista!P$53),"",IFERROR(VLOOKUP($F63,Arrangörslista!P$53:$AG$90,16,FALSE),IF(ISBLANK(Deltagarlista!$C64),"",IF(ISBLANK(Arrangörslista!P$53),"",IFERROR(VLOOKUP($F63,Arrangörslista!Q$53:$AG$90,16,FALSE),"DNS")))))),IF(Deltagarlista!$K$3=2,
IF(ISBLANK(Deltagarlista!$C64),"",IF(ISBLANK(Arrangörslista!Q$8),"",IF($GV63=X$64," DNS ",IFERROR(VLOOKUP($F63,Arrangörslista!Q$8:$AG$45,16,FALSE),"DNS")))),IF(ISBLANK(Deltagarlista!$C64),"",IF(ISBLANK(Arrangörslista!Q$8),"",IFERROR(VLOOKUP($F63,Arrangörslista!Q$8:$AG$45,16,FALSE),"DNS")))))</f>
        <v/>
      </c>
      <c r="Y63" s="82" t="str">
        <f>IF(Deltagarlista!$K$3=4,IF(ISBLANK(Deltagarlista!$C64),"",IF(ISBLANK(Arrangörslista!C$98),"",IFERROR(VLOOKUP($F63,Arrangörslista!C$98:$AG$135,16,FALSE),IF(ISBLANK(Deltagarlista!$C64),"",IF(ISBLANK(Arrangörslista!C$98),"",IFERROR(VLOOKUP($F63,Arrangörslista!D$98:$AG$135,16,FALSE),"DNS")))))),IF(Deltagarlista!$K$3=2,
IF(ISBLANK(Deltagarlista!$C64),"",IF(ISBLANK(Arrangörslista!C$53),"",IF($GV63=Y$64," DNS ",IFERROR(VLOOKUP($F63,Arrangörslista!C$53:$AG$90,16,FALSE),"DNS")))),IF(ISBLANK(Deltagarlista!$C64),"",IF(ISBLANK(Arrangörslista!C$53),"",IFERROR(VLOOKUP($F63,Arrangörslista!C$53:$AG$90,16,FALSE),"DNS")))))</f>
        <v/>
      </c>
      <c r="Z63" s="82" t="str">
        <f>IF(Deltagarlista!$K$3=4,IF(ISBLANK(Deltagarlista!$C64),"",IF(ISBLANK(Arrangörslista!E$98),"",IFERROR(VLOOKUP($F63,Arrangörslista!E$98:$AG$135,16,FALSE),IF(ISBLANK(Deltagarlista!$C64),"",IF(ISBLANK(Arrangörslista!E$98),"",IFERROR(VLOOKUP($F63,Arrangörslista!F$98:$AG$135,16,FALSE),"DNS")))))),IF(Deltagarlista!$K$3=2,
IF(ISBLANK(Deltagarlista!$C64),"",IF(ISBLANK(Arrangörslista!D$53),"",IF($GV63=Z$64," DNS ",IFERROR(VLOOKUP($F63,Arrangörslista!D$53:$AG$90,16,FALSE),"DNS")))),IF(ISBLANK(Deltagarlista!$C64),"",IF(ISBLANK(Arrangörslista!D$53),"",IFERROR(VLOOKUP($F63,Arrangörslista!D$53:$AG$90,16,FALSE),"DNS")))))</f>
        <v/>
      </c>
      <c r="AA63" s="82" t="str">
        <f>IF(Deltagarlista!$K$3=4,IF(ISBLANK(Deltagarlista!$C64),"",IF(ISBLANK(Arrangörslista!G$98),"",IFERROR(VLOOKUP($F63,Arrangörslista!G$98:$AG$135,16,FALSE),IF(ISBLANK(Deltagarlista!$C64),"",IF(ISBLANK(Arrangörslista!G$98),"",IFERROR(VLOOKUP($F63,Arrangörslista!H$98:$AG$135,16,FALSE),"DNS")))))),IF(Deltagarlista!$K$3=2,
IF(ISBLANK(Deltagarlista!$C64),"",IF(ISBLANK(Arrangörslista!E$53),"",IF($GV63=AA$64," DNS ",IFERROR(VLOOKUP($F63,Arrangörslista!E$53:$AG$90,16,FALSE),"DNS")))),IF(ISBLANK(Deltagarlista!$C64),"",IF(ISBLANK(Arrangörslista!E$53),"",IFERROR(VLOOKUP($F63,Arrangörslista!E$53:$AG$90,16,FALSE),"DNS")))))</f>
        <v/>
      </c>
      <c r="AB63" s="82" t="str">
        <f>IF(Deltagarlista!$K$3=4,IF(ISBLANK(Deltagarlista!$C64),"",IF(ISBLANK(Arrangörslista!I$98),"",IFERROR(VLOOKUP($F63,Arrangörslista!I$98:$AG$135,16,FALSE),IF(ISBLANK(Deltagarlista!$C64),"",IF(ISBLANK(Arrangörslista!I$98),"",IFERROR(VLOOKUP($F63,Arrangörslista!J$98:$AG$135,16,FALSE),"DNS")))))),IF(Deltagarlista!$K$3=2,
IF(ISBLANK(Deltagarlista!$C64),"",IF(ISBLANK(Arrangörslista!F$53),"",IF($GV63=AB$64," DNS ",IFERROR(VLOOKUP($F63,Arrangörslista!F$53:$AG$90,16,FALSE),"DNS")))),IF(ISBLANK(Deltagarlista!$C64),"",IF(ISBLANK(Arrangörslista!F$53),"",IFERROR(VLOOKUP($F63,Arrangörslista!F$53:$AG$90,16,FALSE),"DNS")))))</f>
        <v/>
      </c>
      <c r="AC63" s="82" t="str">
        <f>IF(Deltagarlista!$K$3=4,IF(ISBLANK(Deltagarlista!$C64),"",IF(ISBLANK(Arrangörslista!K$98),"",IFERROR(VLOOKUP($F63,Arrangörslista!K$98:$AG$135,16,FALSE),IF(ISBLANK(Deltagarlista!$C64),"",IF(ISBLANK(Arrangörslista!K$98),"",IFERROR(VLOOKUP($F63,Arrangörslista!L$98:$AG$135,16,FALSE),"DNS")))))),IF(Deltagarlista!$K$3=2,
IF(ISBLANK(Deltagarlista!$C64),"",IF(ISBLANK(Arrangörslista!G$53),"",IF($GV63=AC$64," DNS ",IFERROR(VLOOKUP($F63,Arrangörslista!G$53:$AG$90,16,FALSE),"DNS")))),IF(ISBLANK(Deltagarlista!$C64),"",IF(ISBLANK(Arrangörslista!G$53),"",IFERROR(VLOOKUP($F63,Arrangörslista!G$53:$AG$90,16,FALSE),"DNS")))))</f>
        <v/>
      </c>
      <c r="AD63" s="82" t="str">
        <f>IF(Deltagarlista!$K$3=4,IF(ISBLANK(Deltagarlista!$C64),"",IF(ISBLANK(Arrangörslista!M$98),"",IFERROR(VLOOKUP($F63,Arrangörslista!M$98:$AG$135,16,FALSE),IF(ISBLANK(Deltagarlista!$C64),"",IF(ISBLANK(Arrangörslista!M$98),"",IFERROR(VLOOKUP($F63,Arrangörslista!N$98:$AG$135,16,FALSE),"DNS")))))),IF(Deltagarlista!$K$3=2,
IF(ISBLANK(Deltagarlista!$C64),"",IF(ISBLANK(Arrangörslista!H$53),"",IF($GV63=AD$64," DNS ",IFERROR(VLOOKUP($F63,Arrangörslista!H$53:$AG$90,16,FALSE),"DNS")))),IF(ISBLANK(Deltagarlista!$C64),"",IF(ISBLANK(Arrangörslista!H$53),"",IFERROR(VLOOKUP($F63,Arrangörslista!H$53:$AG$90,16,FALSE),"DNS")))))</f>
        <v/>
      </c>
      <c r="AE63" s="82" t="str">
        <f>IF(Deltagarlista!$K$3=4,IF(ISBLANK(Deltagarlista!$C64),"",IF(ISBLANK(Arrangörslista!O$98),"",IFERROR(VLOOKUP($F63,Arrangörslista!O$98:$AG$135,16,FALSE),IF(ISBLANK(Deltagarlista!$C64),"",IF(ISBLANK(Arrangörslista!O$98),"",IFERROR(VLOOKUP($F63,Arrangörslista!P$98:$AG$135,16,FALSE),"DNS")))))),IF(Deltagarlista!$K$3=2,
IF(ISBLANK(Deltagarlista!$C64),"",IF(ISBLANK(Arrangörslista!I$53),"",IF($GV63=AE$64," DNS ",IFERROR(VLOOKUP($F63,Arrangörslista!I$53:$AG$90,16,FALSE),"DNS")))),IF(ISBLANK(Deltagarlista!$C64),"",IF(ISBLANK(Arrangörslista!I$53),"",IFERROR(VLOOKUP($F63,Arrangörslista!I$53:$AG$90,16,FALSE),"DNS")))))</f>
        <v/>
      </c>
      <c r="AF63" s="82" t="str">
        <f>IF(Deltagarlista!$K$3=4,IF(ISBLANK(Deltagarlista!$C64),"",IF(ISBLANK(Arrangörslista!Q$98),"",IFERROR(VLOOKUP($F63,Arrangörslista!Q$98:$AG$135,16,FALSE),IF(ISBLANK(Deltagarlista!$C64),"",IF(ISBLANK(Arrangörslista!Q$98),"",IFERROR(VLOOKUP($F63,Arrangörslista!C$143:$AG$180,16,FALSE),"DNS")))))),IF(Deltagarlista!$K$3=2,
IF(ISBLANK(Deltagarlista!$C64),"",IF(ISBLANK(Arrangörslista!J$53),"",IF($GV63=AF$64," DNS ",IFERROR(VLOOKUP($F63,Arrangörslista!J$53:$AG$90,16,FALSE),"DNS")))),IF(ISBLANK(Deltagarlista!$C64),"",IF(ISBLANK(Arrangörslista!J$53),"",IFERROR(VLOOKUP($F63,Arrangörslista!J$53:$AG$90,16,FALSE),"DNS")))))</f>
        <v/>
      </c>
      <c r="AG63" s="82" t="str">
        <f>IF(Deltagarlista!$K$3=4,IF(ISBLANK(Deltagarlista!$C64),"",IF(ISBLANK(Arrangörslista!D$143),"",IFERROR(VLOOKUP($F63,Arrangörslista!D$143:$AG$180,16,FALSE),IF(ISBLANK(Deltagarlista!$C64),"",IF(ISBLANK(Arrangörslista!D$143),"",IFERROR(VLOOKUP($F63,Arrangörslista!E$143:$AG$180,16,FALSE),"DNS")))))),IF(Deltagarlista!$K$3=2,
IF(ISBLANK(Deltagarlista!$C64),"",IF(ISBLANK(Arrangörslista!K$53),"",IF($GV63=AG$64," DNS ",IFERROR(VLOOKUP($F63,Arrangörslista!K$53:$AG$90,16,FALSE),"DNS")))),IF(ISBLANK(Deltagarlista!$C64),"",IF(ISBLANK(Arrangörslista!K$53),"",IFERROR(VLOOKUP($F63,Arrangörslista!K$53:$AG$90,16,FALSE),"DNS")))))</f>
        <v/>
      </c>
      <c r="AH63" s="82" t="str">
        <f>IF(Deltagarlista!$K$3=4,IF(ISBLANK(Deltagarlista!$C64),"",IF(ISBLANK(Arrangörslista!F$143),"",IFERROR(VLOOKUP($F63,Arrangörslista!F$143:$AG$180,16,FALSE),IF(ISBLANK(Deltagarlista!$C64),"",IF(ISBLANK(Arrangörslista!F$143),"",IFERROR(VLOOKUP($F63,Arrangörslista!G$143:$AG$180,16,FALSE),"DNS")))))),IF(Deltagarlista!$K$3=2,
IF(ISBLANK(Deltagarlista!$C64),"",IF(ISBLANK(Arrangörslista!L$53),"",IF($GV63=AH$64," DNS ",IFERROR(VLOOKUP($F63,Arrangörslista!L$53:$AG$90,16,FALSE),"DNS")))),IF(ISBLANK(Deltagarlista!$C64),"",IF(ISBLANK(Arrangörslista!L$53),"",IFERROR(VLOOKUP($F63,Arrangörslista!L$53:$AG$90,16,FALSE),"DNS")))))</f>
        <v/>
      </c>
      <c r="AI63" s="82" t="str">
        <f>IF(Deltagarlista!$K$3=4,IF(ISBLANK(Deltagarlista!$C64),"",IF(ISBLANK(Arrangörslista!H$143),"",IFERROR(VLOOKUP($F63,Arrangörslista!H$143:$AG$180,16,FALSE),IF(ISBLANK(Deltagarlista!$C64),"",IF(ISBLANK(Arrangörslista!H$143),"",IFERROR(VLOOKUP($F63,Arrangörslista!I$143:$AG$180,16,FALSE),"DNS")))))),IF(Deltagarlista!$K$3=2,
IF(ISBLANK(Deltagarlista!$C64),"",IF(ISBLANK(Arrangörslista!M$53),"",IF($GV63=AI$64," DNS ",IFERROR(VLOOKUP($F63,Arrangörslista!M$53:$AG$90,16,FALSE),"DNS")))),IF(ISBLANK(Deltagarlista!$C64),"",IF(ISBLANK(Arrangörslista!M$53),"",IFERROR(VLOOKUP($F63,Arrangörslista!M$53:$AG$90,16,FALSE),"DNS")))))</f>
        <v/>
      </c>
      <c r="AJ63" s="82" t="str">
        <f>IF(Deltagarlista!$K$3=4,IF(ISBLANK(Deltagarlista!$C64),"",IF(ISBLANK(Arrangörslista!J$143),"",IFERROR(VLOOKUP($F63,Arrangörslista!J$143:$AG$180,16,FALSE),IF(ISBLANK(Deltagarlista!$C64),"",IF(ISBLANK(Arrangörslista!J$143),"",IFERROR(VLOOKUP($F63,Arrangörslista!K$143:$AG$180,16,FALSE),"DNS")))))),IF(Deltagarlista!$K$3=2,
IF(ISBLANK(Deltagarlista!$C64),"",IF(ISBLANK(Arrangörslista!N$53),"",IF($GV63=AJ$64," DNS ",IFERROR(VLOOKUP($F63,Arrangörslista!N$53:$AG$90,16,FALSE),"DNS")))),IF(ISBLANK(Deltagarlista!$C64),"",IF(ISBLANK(Arrangörslista!N$53),"",IFERROR(VLOOKUP($F63,Arrangörslista!N$53:$AG$90,16,FALSE),"DNS")))))</f>
        <v/>
      </c>
      <c r="AK63" s="82" t="str">
        <f>IF(Deltagarlista!$K$3=4,IF(ISBLANK(Deltagarlista!$C64),"",IF(ISBLANK(Arrangörslista!L$143),"",IFERROR(VLOOKUP($F63,Arrangörslista!L$143:$AG$180,16,FALSE),IF(ISBLANK(Deltagarlista!$C64),"",IF(ISBLANK(Arrangörslista!L$143),"",IFERROR(VLOOKUP($F63,Arrangörslista!M$143:$AG$180,16,FALSE),"DNS")))))),IF(Deltagarlista!$K$3=2,
IF(ISBLANK(Deltagarlista!$C64),"",IF(ISBLANK(Arrangörslista!O$53),"",IF($GV63=AK$64," DNS ",IFERROR(VLOOKUP($F63,Arrangörslista!O$53:$AG$90,16,FALSE),"DNS")))),IF(ISBLANK(Deltagarlista!$C64),"",IF(ISBLANK(Arrangörslista!O$53),"",IFERROR(VLOOKUP($F63,Arrangörslista!O$53:$AG$90,16,FALSE),"DNS")))))</f>
        <v/>
      </c>
      <c r="AL63" s="82" t="str">
        <f>IF(Deltagarlista!$K$3=4,IF(ISBLANK(Deltagarlista!$C64),"",IF(ISBLANK(Arrangörslista!N$143),"",IFERROR(VLOOKUP($F63,Arrangörslista!N$143:$AG$180,16,FALSE),IF(ISBLANK(Deltagarlista!$C64),"",IF(ISBLANK(Arrangörslista!N$143),"",IFERROR(VLOOKUP($F63,Arrangörslista!O$143:$AG$180,16,FALSE),"DNS")))))),IF(Deltagarlista!$K$3=2,
IF(ISBLANK(Deltagarlista!$C64),"",IF(ISBLANK(Arrangörslista!P$53),"",IF($GV63=AL$64," DNS ",IFERROR(VLOOKUP($F63,Arrangörslista!P$53:$AG$90,16,FALSE),"DNS")))),IF(ISBLANK(Deltagarlista!$C64),"",IF(ISBLANK(Arrangörslista!P$53),"",IFERROR(VLOOKUP($F63,Arrangörslista!P$53:$AG$90,16,FALSE),"DNS")))))</f>
        <v/>
      </c>
      <c r="AM63" s="82" t="str">
        <f>IF(Deltagarlista!$K$3=4,IF(ISBLANK(Deltagarlista!$C64),"",IF(ISBLANK(Arrangörslista!P$143),"",IFERROR(VLOOKUP($F63,Arrangörslista!P$143:$AG$180,16,FALSE),IF(ISBLANK(Deltagarlista!$C64),"",IF(ISBLANK(Arrangörslista!P$143),"",IFERROR(VLOOKUP($F63,Arrangörslista!Q$143:$AG$180,16,FALSE),"DNS")))))),IF(Deltagarlista!$K$3=2,
IF(ISBLANK(Deltagarlista!$C64),"",IF(ISBLANK(Arrangörslista!Q$53),"",IF($GV63=AM$64," DNS ",IFERROR(VLOOKUP($F63,Arrangörslista!Q$53:$AG$90,16,FALSE),"DNS")))),IF(ISBLANK(Deltagarlista!$C64),"",IF(ISBLANK(Arrangörslista!Q$53),"",IFERROR(VLOOKUP($F63,Arrangörslista!Q$53:$AG$90,16,FALSE),"DNS")))))</f>
        <v/>
      </c>
      <c r="AN63" s="82" t="str">
        <f>IF(Deltagarlista!$K$3=2,
IF(ISBLANK(Deltagarlista!$C64),"",IF(ISBLANK(Arrangörslista!C$98),"",IF($GV63=AN$64," DNS ",IFERROR(VLOOKUP($F63,Arrangörslista!C$98:$AG$135,16,FALSE), "DNS")))), IF(Deltagarlista!$K$3=1,IF(ISBLANK(Deltagarlista!$C64),"",IF(ISBLANK(Arrangörslista!C$98),"",IFERROR(VLOOKUP($F63,Arrangörslista!C$98:$AG$135,16,FALSE), "DNS"))),""))</f>
        <v/>
      </c>
      <c r="AO63" s="82" t="str">
        <f>IF(Deltagarlista!$K$3=2,
IF(ISBLANK(Deltagarlista!$C64),"",IF(ISBLANK(Arrangörslista!D$98),"",IF($GV63=AO$64," DNS ",IFERROR(VLOOKUP($F63,Arrangörslista!D$98:$AG$135,16,FALSE), "DNS")))), IF(Deltagarlista!$K$3=1,IF(ISBLANK(Deltagarlista!$C64),"",IF(ISBLANK(Arrangörslista!D$98),"",IFERROR(VLOOKUP($F63,Arrangörslista!D$98:$AG$135,16,FALSE), "DNS"))),""))</f>
        <v/>
      </c>
      <c r="AP63" s="82" t="str">
        <f>IF(Deltagarlista!$K$3=2,
IF(ISBLANK(Deltagarlista!$C64),"",IF(ISBLANK(Arrangörslista!E$98),"",IF($GV63=AP$64," DNS ",IFERROR(VLOOKUP($F63,Arrangörslista!E$98:$AG$135,16,FALSE), "DNS")))), IF(Deltagarlista!$K$3=1,IF(ISBLANK(Deltagarlista!$C64),"",IF(ISBLANK(Arrangörslista!E$98),"",IFERROR(VLOOKUP($F63,Arrangörslista!E$98:$AG$135,16,FALSE), "DNS"))),""))</f>
        <v/>
      </c>
      <c r="AQ63" s="82" t="str">
        <f>IF(Deltagarlista!$K$3=2,
IF(ISBLANK(Deltagarlista!$C64),"",IF(ISBLANK(Arrangörslista!F$98),"",IF($GV63=AQ$64," DNS ",IFERROR(VLOOKUP($F63,Arrangörslista!F$98:$AG$135,16,FALSE), "DNS")))), IF(Deltagarlista!$K$3=1,IF(ISBLANK(Deltagarlista!$C64),"",IF(ISBLANK(Arrangörslista!F$98),"",IFERROR(VLOOKUP($F63,Arrangörslista!F$98:$AG$135,16,FALSE), "DNS"))),""))</f>
        <v/>
      </c>
      <c r="AR63" s="82" t="str">
        <f>IF(Deltagarlista!$K$3=2,
IF(ISBLANK(Deltagarlista!$C64),"",IF(ISBLANK(Arrangörslista!G$98),"",IF($GV63=AR$64," DNS ",IFERROR(VLOOKUP($F63,Arrangörslista!G$98:$AG$135,16,FALSE), "DNS")))), IF(Deltagarlista!$K$3=1,IF(ISBLANK(Deltagarlista!$C64),"",IF(ISBLANK(Arrangörslista!G$98),"",IFERROR(VLOOKUP($F63,Arrangörslista!G$98:$AG$135,16,FALSE), "DNS"))),""))</f>
        <v/>
      </c>
      <c r="AS63" s="82" t="str">
        <f>IF(Deltagarlista!$K$3=2,
IF(ISBLANK(Deltagarlista!$C64),"",IF(ISBLANK(Arrangörslista!H$98),"",IF($GV63=AS$64," DNS ",IFERROR(VLOOKUP($F63,Arrangörslista!H$98:$AG$135,16,FALSE), "DNS")))), IF(Deltagarlista!$K$3=1,IF(ISBLANK(Deltagarlista!$C64),"",IF(ISBLANK(Arrangörslista!H$98),"",IFERROR(VLOOKUP($F63,Arrangörslista!H$98:$AG$135,16,FALSE), "DNS"))),""))</f>
        <v/>
      </c>
      <c r="AT63" s="82" t="str">
        <f>IF(Deltagarlista!$K$3=2,
IF(ISBLANK(Deltagarlista!$C64),"",IF(ISBLANK(Arrangörslista!I$98),"",IF($GV63=AT$64," DNS ",IFERROR(VLOOKUP($F63,Arrangörslista!I$98:$AG$135,16,FALSE), "DNS")))), IF(Deltagarlista!$K$3=1,IF(ISBLANK(Deltagarlista!$C64),"",IF(ISBLANK(Arrangörslista!I$98),"",IFERROR(VLOOKUP($F63,Arrangörslista!I$98:$AG$135,16,FALSE), "DNS"))),""))</f>
        <v/>
      </c>
      <c r="AU63" s="82" t="str">
        <f>IF(Deltagarlista!$K$3=2,
IF(ISBLANK(Deltagarlista!$C64),"",IF(ISBLANK(Arrangörslista!J$98),"",IF($GV63=AU$64," DNS ",IFERROR(VLOOKUP($F63,Arrangörslista!J$98:$AG$135,16,FALSE), "DNS")))), IF(Deltagarlista!$K$3=1,IF(ISBLANK(Deltagarlista!$C64),"",IF(ISBLANK(Arrangörslista!J$98),"",IFERROR(VLOOKUP($F63,Arrangörslista!J$98:$AG$135,16,FALSE), "DNS"))),""))</f>
        <v/>
      </c>
      <c r="AV63" s="82" t="str">
        <f>IF(Deltagarlista!$K$3=2,
IF(ISBLANK(Deltagarlista!$C64),"",IF(ISBLANK(Arrangörslista!K$98),"",IF($GV63=AV$64," DNS ",IFERROR(VLOOKUP($F63,Arrangörslista!K$98:$AG$135,16,FALSE), "DNS")))), IF(Deltagarlista!$K$3=1,IF(ISBLANK(Deltagarlista!$C64),"",IF(ISBLANK(Arrangörslista!K$98),"",IFERROR(VLOOKUP($F63,Arrangörslista!K$98:$AG$135,16,FALSE), "DNS"))),""))</f>
        <v/>
      </c>
      <c r="AW63" s="82" t="str">
        <f>IF(Deltagarlista!$K$3=2,
IF(ISBLANK(Deltagarlista!$C64),"",IF(ISBLANK(Arrangörslista!L$98),"",IF($GV63=AW$64," DNS ",IFERROR(VLOOKUP($F63,Arrangörslista!L$98:$AG$135,16,FALSE), "DNS")))), IF(Deltagarlista!$K$3=1,IF(ISBLANK(Deltagarlista!$C64),"",IF(ISBLANK(Arrangörslista!L$98),"",IFERROR(VLOOKUP($F63,Arrangörslista!L$98:$AG$135,16,FALSE), "DNS"))),""))</f>
        <v/>
      </c>
      <c r="AX63" s="82" t="str">
        <f>IF(Deltagarlista!$K$3=2,
IF(ISBLANK(Deltagarlista!$C64),"",IF(ISBLANK(Arrangörslista!M$98),"",IF($GV63=AX$64," DNS ",IFERROR(VLOOKUP($F63,Arrangörslista!M$98:$AG$135,16,FALSE), "DNS")))), IF(Deltagarlista!$K$3=1,IF(ISBLANK(Deltagarlista!$C64),"",IF(ISBLANK(Arrangörslista!M$98),"",IFERROR(VLOOKUP($F63,Arrangörslista!M$98:$AG$135,16,FALSE), "DNS"))),""))</f>
        <v/>
      </c>
      <c r="AY63" s="82" t="str">
        <f>IF(Deltagarlista!$K$3=2,
IF(ISBLANK(Deltagarlista!$C64),"",IF(ISBLANK(Arrangörslista!N$98),"",IF($GV63=AY$64," DNS ",IFERROR(VLOOKUP($F63,Arrangörslista!N$98:$AG$135,16,FALSE), "DNS")))), IF(Deltagarlista!$K$3=1,IF(ISBLANK(Deltagarlista!$C64),"",IF(ISBLANK(Arrangörslista!N$98),"",IFERROR(VLOOKUP($F63,Arrangörslista!N$98:$AG$135,16,FALSE), "DNS"))),""))</f>
        <v/>
      </c>
      <c r="AZ63" s="82" t="str">
        <f>IF(Deltagarlista!$K$3=2,
IF(ISBLANK(Deltagarlista!$C64),"",IF(ISBLANK(Arrangörslista!O$98),"",IF($GV63=AZ$64," DNS ",IFERROR(VLOOKUP($F63,Arrangörslista!O$98:$AG$135,16,FALSE), "DNS")))), IF(Deltagarlista!$K$3=1,IF(ISBLANK(Deltagarlista!$C64),"",IF(ISBLANK(Arrangörslista!O$98),"",IFERROR(VLOOKUP($F63,Arrangörslista!O$98:$AG$135,16,FALSE), "DNS"))),""))</f>
        <v/>
      </c>
      <c r="BA63" s="82" t="str">
        <f>IF(Deltagarlista!$K$3=2,
IF(ISBLANK(Deltagarlista!$C64),"",IF(ISBLANK(Arrangörslista!P$98),"",IF($GV63=BA$64," DNS ",IFERROR(VLOOKUP($F63,Arrangörslista!P$98:$AG$135,16,FALSE), "DNS")))), IF(Deltagarlista!$K$3=1,IF(ISBLANK(Deltagarlista!$C64),"",IF(ISBLANK(Arrangörslista!P$98),"",IFERROR(VLOOKUP($F63,Arrangörslista!P$98:$AG$135,16,FALSE), "DNS"))),""))</f>
        <v/>
      </c>
      <c r="BB63" s="82" t="str">
        <f>IF(Deltagarlista!$K$3=2,
IF(ISBLANK(Deltagarlista!$C64),"",IF(ISBLANK(Arrangörslista!Q$98),"",IF($GV63=BB$64," DNS ",IFERROR(VLOOKUP($F63,Arrangörslista!Q$98:$AG$135,16,FALSE), "DNS")))), IF(Deltagarlista!$K$3=1,IF(ISBLANK(Deltagarlista!$C64),"",IF(ISBLANK(Arrangörslista!Q$98),"",IFERROR(VLOOKUP($F63,Arrangörslista!Q$98:$AG$135,16,FALSE), "DNS"))),""))</f>
        <v/>
      </c>
      <c r="BC63" s="82" t="str">
        <f>IF(Deltagarlista!$K$3=2,
IF(ISBLANK(Deltagarlista!$C64),"",IF(ISBLANK(Arrangörslista!C$143),"",IF($GV63=BC$64," DNS ",IFERROR(VLOOKUP($F63,Arrangörslista!C$143:$AG$180,16,FALSE), "DNS")))), IF(Deltagarlista!$K$3=1,IF(ISBLANK(Deltagarlista!$C64),"",IF(ISBLANK(Arrangörslista!C$143),"",IFERROR(VLOOKUP($F63,Arrangörslista!C$143:$AG$180,16,FALSE), "DNS"))),""))</f>
        <v/>
      </c>
      <c r="BD63" s="82" t="str">
        <f>IF(Deltagarlista!$K$3=2,
IF(ISBLANK(Deltagarlista!$C64),"",IF(ISBLANK(Arrangörslista!D$143),"",IF($GV63=BD$64," DNS ",IFERROR(VLOOKUP($F63,Arrangörslista!D$143:$AG$180,16,FALSE), "DNS")))), IF(Deltagarlista!$K$3=1,IF(ISBLANK(Deltagarlista!$C64),"",IF(ISBLANK(Arrangörslista!D$143),"",IFERROR(VLOOKUP($F63,Arrangörslista!D$143:$AG$180,16,FALSE), "DNS"))),""))</f>
        <v/>
      </c>
      <c r="BE63" s="82" t="str">
        <f>IF(Deltagarlista!$K$3=2,
IF(ISBLANK(Deltagarlista!$C64),"",IF(ISBLANK(Arrangörslista!E$143),"",IF($GV63=BE$64," DNS ",IFERROR(VLOOKUP($F63,Arrangörslista!E$143:$AG$180,16,FALSE), "DNS")))), IF(Deltagarlista!$K$3=1,IF(ISBLANK(Deltagarlista!$C64),"",IF(ISBLANK(Arrangörslista!E$143),"",IFERROR(VLOOKUP($F63,Arrangörslista!E$143:$AG$180,16,FALSE), "DNS"))),""))</f>
        <v/>
      </c>
      <c r="BF63" s="82" t="str">
        <f>IF(Deltagarlista!$K$3=2,
IF(ISBLANK(Deltagarlista!$C64),"",IF(ISBLANK(Arrangörslista!F$143),"",IF($GV63=BF$64," DNS ",IFERROR(VLOOKUP($F63,Arrangörslista!F$143:$AG$180,16,FALSE), "DNS")))), IF(Deltagarlista!$K$3=1,IF(ISBLANK(Deltagarlista!$C64),"",IF(ISBLANK(Arrangörslista!F$143),"",IFERROR(VLOOKUP($F63,Arrangörslista!F$143:$AG$180,16,FALSE), "DNS"))),""))</f>
        <v/>
      </c>
      <c r="BG63" s="82" t="str">
        <f>IF(Deltagarlista!$K$3=2,
IF(ISBLANK(Deltagarlista!$C64),"",IF(ISBLANK(Arrangörslista!G$143),"",IF($GV63=BG$64," DNS ",IFERROR(VLOOKUP($F63,Arrangörslista!G$143:$AG$180,16,FALSE), "DNS")))), IF(Deltagarlista!$K$3=1,IF(ISBLANK(Deltagarlista!$C64),"",IF(ISBLANK(Arrangörslista!G$143),"",IFERROR(VLOOKUP($F63,Arrangörslista!G$143:$AG$180,16,FALSE), "DNS"))),""))</f>
        <v/>
      </c>
      <c r="BH63" s="82" t="str">
        <f>IF(Deltagarlista!$K$3=2,
IF(ISBLANK(Deltagarlista!$C64),"",IF(ISBLANK(Arrangörslista!H$143),"",IF($GV63=BH$64," DNS ",IFERROR(VLOOKUP($F63,Arrangörslista!H$143:$AG$180,16,FALSE), "DNS")))), IF(Deltagarlista!$K$3=1,IF(ISBLANK(Deltagarlista!$C64),"",IF(ISBLANK(Arrangörslista!H$143),"",IFERROR(VLOOKUP($F63,Arrangörslista!H$143:$AG$180,16,FALSE), "DNS"))),""))</f>
        <v/>
      </c>
      <c r="BI63" s="82" t="str">
        <f>IF(Deltagarlista!$K$3=2,
IF(ISBLANK(Deltagarlista!$C64),"",IF(ISBLANK(Arrangörslista!I$143),"",IF($GV63=BI$64," DNS ",IFERROR(VLOOKUP($F63,Arrangörslista!I$143:$AG$180,16,FALSE), "DNS")))), IF(Deltagarlista!$K$3=1,IF(ISBLANK(Deltagarlista!$C64),"",IF(ISBLANK(Arrangörslista!I$143),"",IFERROR(VLOOKUP($F63,Arrangörslista!I$143:$AG$180,16,FALSE), "DNS"))),""))</f>
        <v/>
      </c>
      <c r="BJ63" s="82" t="str">
        <f>IF(Deltagarlista!$K$3=2,
IF(ISBLANK(Deltagarlista!$C64),"",IF(ISBLANK(Arrangörslista!J$143),"",IF($GV63=BJ$64," DNS ",IFERROR(VLOOKUP($F63,Arrangörslista!J$143:$AG$180,16,FALSE), "DNS")))), IF(Deltagarlista!$K$3=1,IF(ISBLANK(Deltagarlista!$C64),"",IF(ISBLANK(Arrangörslista!J$143),"",IFERROR(VLOOKUP($F63,Arrangörslista!J$143:$AG$180,16,FALSE), "DNS"))),""))</f>
        <v/>
      </c>
      <c r="BK63" s="82" t="str">
        <f>IF(Deltagarlista!$K$3=2,
IF(ISBLANK(Deltagarlista!$C64),"",IF(ISBLANK(Arrangörslista!K$143),"",IF($GV63=BK$64," DNS ",IFERROR(VLOOKUP($F63,Arrangörslista!K$143:$AG$180,16,FALSE), "DNS")))), IF(Deltagarlista!$K$3=1,IF(ISBLANK(Deltagarlista!$C64),"",IF(ISBLANK(Arrangörslista!K$143),"",IFERROR(VLOOKUP($F63,Arrangörslista!K$143:$AG$180,16,FALSE), "DNS"))),""))</f>
        <v/>
      </c>
      <c r="BL63" s="82" t="str">
        <f>IF(Deltagarlista!$K$3=2,
IF(ISBLANK(Deltagarlista!$C64),"",IF(ISBLANK(Arrangörslista!L$143),"",IF($GV63=BL$64," DNS ",IFERROR(VLOOKUP($F63,Arrangörslista!L$143:$AG$180,16,FALSE), "DNS")))), IF(Deltagarlista!$K$3=1,IF(ISBLANK(Deltagarlista!$C64),"",IF(ISBLANK(Arrangörslista!L$143),"",IFERROR(VLOOKUP($F63,Arrangörslista!L$143:$AG$180,16,FALSE), "DNS"))),""))</f>
        <v/>
      </c>
      <c r="BM63" s="82" t="str">
        <f>IF(Deltagarlista!$K$3=2,
IF(ISBLANK(Deltagarlista!$C64),"",IF(ISBLANK(Arrangörslista!M$143),"",IF($GV63=BM$64," DNS ",IFERROR(VLOOKUP($F63,Arrangörslista!M$143:$AG$180,16,FALSE), "DNS")))), IF(Deltagarlista!$K$3=1,IF(ISBLANK(Deltagarlista!$C64),"",IF(ISBLANK(Arrangörslista!M$143),"",IFERROR(VLOOKUP($F63,Arrangörslista!M$143:$AG$180,16,FALSE), "DNS"))),""))</f>
        <v/>
      </c>
      <c r="BN63" s="82" t="str">
        <f>IF(Deltagarlista!$K$3=2,
IF(ISBLANK(Deltagarlista!$C64),"",IF(ISBLANK(Arrangörslista!N$143),"",IF($GV63=BN$64," DNS ",IFERROR(VLOOKUP($F63,Arrangörslista!N$143:$AG$180,16,FALSE), "DNS")))), IF(Deltagarlista!$K$3=1,IF(ISBLANK(Deltagarlista!$C64),"",IF(ISBLANK(Arrangörslista!N$143),"",IFERROR(VLOOKUP($F63,Arrangörslista!N$143:$AG$180,16,FALSE), "DNS"))),""))</f>
        <v/>
      </c>
      <c r="BO63" s="82" t="str">
        <f>IF(Deltagarlista!$K$3=2,
IF(ISBLANK(Deltagarlista!$C64),"",IF(ISBLANK(Arrangörslista!O$143),"",IF($GV63=BO$64," DNS ",IFERROR(VLOOKUP($F63,Arrangörslista!O$143:$AG$180,16,FALSE), "DNS")))), IF(Deltagarlista!$K$3=1,IF(ISBLANK(Deltagarlista!$C64),"",IF(ISBLANK(Arrangörslista!O$143),"",IFERROR(VLOOKUP($F63,Arrangörslista!O$143:$AG$180,16,FALSE), "DNS"))),""))</f>
        <v/>
      </c>
      <c r="BP63" s="82" t="str">
        <f>IF(Deltagarlista!$K$3=2,
IF(ISBLANK(Deltagarlista!$C64),"",IF(ISBLANK(Arrangörslista!P$143),"",IF($GV63=BP$64," DNS ",IFERROR(VLOOKUP($F63,Arrangörslista!P$143:$AG$180,16,FALSE), "DNS")))), IF(Deltagarlista!$K$3=1,IF(ISBLANK(Deltagarlista!$C64),"",IF(ISBLANK(Arrangörslista!P$143),"",IFERROR(VLOOKUP($F63,Arrangörslista!P$143:$AG$180,16,FALSE), "DNS"))),""))</f>
        <v/>
      </c>
      <c r="BQ63" s="83" t="str">
        <f>IF(Deltagarlista!$K$3=2,
IF(ISBLANK(Deltagarlista!$C64),"",IF(ISBLANK(Arrangörslista!Q$143),"",IF($GV63=BQ$64," DNS ",IFERROR(VLOOKUP($F63,Arrangörslista!Q$143:$AG$180,16,FALSE), "DNS")))), IF(Deltagarlista!$K$3=1,IF(ISBLANK(Deltagarlista!$C64),"",IF(ISBLANK(Arrangörslista!Q$143),"",IFERROR(VLOOKUP($F63,Arrangörslista!Q$143:$AG$180,16,FALSE), "DNS"))),""))</f>
        <v/>
      </c>
      <c r="BR63" s="48"/>
      <c r="BU63" s="71">
        <f>SUM(BV63:EC63)</f>
        <v>0</v>
      </c>
      <c r="BV63" s="61">
        <f>IF(J63="",0,IF(OR(J63="DNF",J63="OCS",J63="DSQ",J63="DNS",J63=" DNS "),$BW$3+1,J63))</f>
        <v>0</v>
      </c>
      <c r="BW63" s="61">
        <f>IF(K63="",0,IF(OR(K63="DNF",K63="OCS",K63="DSQ",K63="DNS",K63=" DNS "),$BW$3+1,K63))</f>
        <v>0</v>
      </c>
      <c r="BX63" s="61">
        <f>IF(L63="",0,IF(OR(L63="DNF",L63="OCS",L63="DSQ",L63="DNS",L63=" DNS "),$BW$3+1,L63))</f>
        <v>0</v>
      </c>
      <c r="BY63" s="61">
        <f>IF(M63="",0,IF(OR(M63="DNF",M63="OCS",M63="DSQ",M63="DNS",M63=" DNS "),$BW$3+1,M63))</f>
        <v>0</v>
      </c>
      <c r="BZ63" s="61">
        <f>IF(N63="",0,IF(OR(N63="DNF",N63="OCS",N63="DSQ",N63="DNS",N63=" DNS "),$BW$3+1,N63))</f>
        <v>0</v>
      </c>
      <c r="CA63" s="61">
        <f>IF(O63="",0,IF(OR(O63="DNF",O63="OCS",O63="DSQ",O63="DNS",O63=" DNS "),$BW$3+1,O63))</f>
        <v>0</v>
      </c>
      <c r="CB63" s="61">
        <f>IF(P63="",0,IF(OR(P63="DNF",P63="OCS",P63="DSQ",P63="DNS",P63=" DNS "),$BW$3+1,P63))</f>
        <v>0</v>
      </c>
      <c r="CC63" s="61">
        <f>IF(Q63="",0,IF(OR(Q63="DNF",Q63="OCS",Q63="DSQ",Q63="DNS",Q63=" DNS "),$BW$3+1,Q63))</f>
        <v>0</v>
      </c>
      <c r="CD63" s="61">
        <f>IF(R63="",0,IF(OR(R63="DNF",R63="OCS",R63="DSQ",R63="DNS",R63=" DNS "),$BW$3+1,R63))</f>
        <v>0</v>
      </c>
      <c r="CE63" s="61">
        <f>IF(S63="",0,IF(OR(S63="DNF",S63="OCS",S63="DSQ",S63="DNS",S63=" DNS "),$BW$3+1,S63))</f>
        <v>0</v>
      </c>
      <c r="CF63" s="61">
        <f>IF(T63="",0,IF(OR(T63="DNF",T63="OCS",T63="DSQ",T63="DNS",T63=" DNS "),$BW$3+1,T63))</f>
        <v>0</v>
      </c>
      <c r="CG63" s="61">
        <f>IF(U63="",0,IF(OR(U63="DNF",U63="OCS",U63="DSQ",U63="DNS",U63=" DNS "),$BW$3+1,U63))</f>
        <v>0</v>
      </c>
      <c r="CH63" s="61">
        <f>IF(V63="",0,IF(OR(V63="DNF",V63="OCS",V63="DSQ",V63="DNS",V63=" DNS "),$BW$3+1,V63))</f>
        <v>0</v>
      </c>
      <c r="CI63" s="61">
        <f>IF(W63="",0,IF(OR(W63="DNF",W63="OCS",W63="DSQ",W63="DNS",W63=" DNS "),$BW$3+1,W63))</f>
        <v>0</v>
      </c>
      <c r="CJ63" s="61">
        <f>IF(X63="",0,IF(OR(X63="DNF",X63="OCS",X63="DSQ",X63="DNS",X63=" DNS "),$BW$3+1,X63))</f>
        <v>0</v>
      </c>
      <c r="CK63" s="61">
        <f>IF(Y63="",0,IF(OR(Y63="DNF",Y63="OCS",Y63="DSQ",Y63="DNS",Y63=" DNS "),$BW$3+1,Y63))</f>
        <v>0</v>
      </c>
      <c r="CL63" s="61">
        <f>IF(Z63="",0,IF(OR(Z63="DNF",Z63="OCS",Z63="DSQ",Z63="DNS",Z63=" DNS "),$BW$3+1,Z63))</f>
        <v>0</v>
      </c>
      <c r="CM63" s="61">
        <f>IF(AA63="",0,IF(OR(AA63="DNF",AA63="OCS",AA63="DSQ",AA63="DNS",AA63=" DNS "),$BW$3+1,AA63))</f>
        <v>0</v>
      </c>
      <c r="CN63" s="61">
        <f>IF(AB63="",0,IF(OR(AB63="DNF",AB63="OCS",AB63="DSQ",AB63="DNS",AB63=" DNS "),$BW$3+1,AB63))</f>
        <v>0</v>
      </c>
      <c r="CO63" s="61">
        <f>IF(AC63="",0,IF(OR(AC63="DNF",AC63="OCS",AC63="DSQ",AC63="DNS",AC63=" DNS "),$BW$3+1,AC63))</f>
        <v>0</v>
      </c>
      <c r="CP63" s="61">
        <f>IF(AD63="",0,IF(OR(AD63="DNF",AD63="OCS",AD63="DSQ",AD63="DNS",AD63=" DNS "),$BW$3+1,AD63))</f>
        <v>0</v>
      </c>
      <c r="CQ63" s="61">
        <f>IF(AE63="",0,IF(OR(AE63="DNF",AE63="OCS",AE63="DSQ",AE63="DNS",AE63=" DNS "),$BW$3+1,AE63))</f>
        <v>0</v>
      </c>
      <c r="CR63" s="61">
        <f>IF(AF63="",0,IF(OR(AF63="DNF",AF63="OCS",AF63="DSQ",AF63="DNS",AF63=" DNS "),$BW$3+1,AF63))</f>
        <v>0</v>
      </c>
      <c r="CS63" s="61">
        <f>IF(AG63="",0,IF(OR(AG63="DNF",AG63="OCS",AG63="DSQ",AG63="DNS",AG63=" DNS "),$BW$3+1,AG63))</f>
        <v>0</v>
      </c>
      <c r="CT63" s="61">
        <f>IF(AH63="",0,IF(OR(AH63="DNF",AH63="OCS",AH63="DSQ",AH63="DNS",AH63=" DNS "),$BW$3+1,AH63))</f>
        <v>0</v>
      </c>
      <c r="CU63" s="61">
        <f>IF(AI63="",0,IF(OR(AI63="DNF",AI63="OCS",AI63="DSQ",AI63="DNS",AI63=" DNS "),$BW$3+1,AI63))</f>
        <v>0</v>
      </c>
      <c r="CV63" s="61">
        <f>IF(AJ63="",0,IF(OR(AJ63="DNF",AJ63="OCS",AJ63="DSQ",AJ63="DNS",AJ63=" DNS "),$BW$3+1,AJ63))</f>
        <v>0</v>
      </c>
      <c r="CW63" s="61">
        <f>IF(AK63="",0,IF(OR(AK63="DNF",AK63="OCS",AK63="DSQ",AK63="DNS",AK63=" DNS "),$BW$3+1,AK63))</f>
        <v>0</v>
      </c>
      <c r="CX63" s="61">
        <f>IF(AL63="",0,IF(OR(AL63="DNF",AL63="OCS",AL63="DSQ",AL63="DNS",AL63=" DNS "),$BW$3+1,AL63))</f>
        <v>0</v>
      </c>
      <c r="CY63" s="61">
        <f>IF(AM63="",0,IF(OR(AM63="DNF",AM63="OCS",AM63="DSQ",AM63="DNS",AM63=" DNS "),$BW$3+1,AM63))</f>
        <v>0</v>
      </c>
      <c r="CZ63" s="61">
        <f>IF(AN63="",0,IF(OR(AN63="DNF",AN63="OCS",AN63="DSQ",AN63="DNS",AN63=" DNS "),$BW$3+1,AN63))</f>
        <v>0</v>
      </c>
      <c r="DA63" s="61">
        <f>IF(AO63="",0,IF(OR(AO63="DNF",AO63="OCS",AO63="DSQ",AO63="DNS",AO63=" DNS "),$BW$3+1,AO63))</f>
        <v>0</v>
      </c>
      <c r="DB63" s="61">
        <f>IF(AP63="",0,IF(OR(AP63="DNF",AP63="OCS",AP63="DSQ",AP63="DNS",AP63=" DNS "),$BW$3+1,AP63))</f>
        <v>0</v>
      </c>
      <c r="DC63" s="61">
        <f>IF(AQ63="",0,IF(OR(AQ63="DNF",AQ63="OCS",AQ63="DSQ",AQ63="DNS",AQ63=" DNS "),$BW$3+1,AQ63))</f>
        <v>0</v>
      </c>
      <c r="DD63" s="61">
        <f>IF(AR63="",0,IF(OR(AR63="DNF",AR63="OCS",AR63="DSQ",AR63="DNS",AR63=" DNS "),$BW$3+1,AR63))</f>
        <v>0</v>
      </c>
      <c r="DE63" s="61">
        <f>IF(AS63="",0,IF(OR(AS63="DNF",AS63="OCS",AS63="DSQ",AS63="DNS",AS63=" DNS "),$BW$3+1,AS63))</f>
        <v>0</v>
      </c>
      <c r="DF63" s="61">
        <f>IF(AT63="",0,IF(OR(AT63="DNF",AT63="OCS",AT63="DSQ",AT63="DNS",AT63=" DNS "),$BW$3+1,AT63))</f>
        <v>0</v>
      </c>
      <c r="DG63" s="61">
        <f>IF(AU63="",0,IF(OR(AU63="DNF",AU63="OCS",AU63="DSQ",AU63="DNS",AU63=" DNS "),$BW$3+1,AU63))</f>
        <v>0</v>
      </c>
      <c r="DH63" s="61">
        <f>IF(AV63="",0,IF(OR(AV63="DNF",AV63="OCS",AV63="DSQ",AV63="DNS",AV63=" DNS "),$BW$3+1,AV63))</f>
        <v>0</v>
      </c>
      <c r="DI63" s="61">
        <f>IF(AW63="",0,IF(OR(AW63="DNF",AW63="OCS",AW63="DSQ",AW63="DNS",AW63=" DNS "),$BW$3+1,AW63))</f>
        <v>0</v>
      </c>
      <c r="DJ63" s="61">
        <f>IF(AX63="",0,IF(OR(AX63="DNF",AX63="OCS",AX63="DSQ",AX63="DNS",AX63=" DNS "),$BW$3+1,AX63))</f>
        <v>0</v>
      </c>
      <c r="DK63" s="61">
        <f>IF(AY63="",0,IF(OR(AY63="DNF",AY63="OCS",AY63="DSQ",AY63="DNS",AY63=" DNS "),$BW$3+1,AY63))</f>
        <v>0</v>
      </c>
      <c r="DL63" s="61">
        <f>IF(AZ63="",0,IF(OR(AZ63="DNF",AZ63="OCS",AZ63="DSQ",AZ63="DNS",AZ63=" DNS "),$BW$3+1,AZ63))</f>
        <v>0</v>
      </c>
      <c r="DM63" s="61">
        <f>IF(BA63="",0,IF(OR(BA63="DNF",BA63="OCS",BA63="DSQ",BA63="DNS",BA63=" DNS "),$BW$3+1,BA63))</f>
        <v>0</v>
      </c>
      <c r="DN63" s="61">
        <f>IF(BB63="",0,IF(OR(BB63="DNF",BB63="OCS",BB63="DSQ",BB63="DNS",BB63=" DNS "),$BW$3+1,BB63))</f>
        <v>0</v>
      </c>
      <c r="DO63" s="61">
        <f>IF(BC63="",0,IF(OR(BC63="DNF",BC63="OCS",BC63="DSQ",BC63="DNS",BC63=" DNS "),$BW$3+1,BC63))</f>
        <v>0</v>
      </c>
      <c r="DP63" s="61">
        <f>IF(BD63="",0,IF(OR(BD63="DNF",BD63="OCS",BD63="DSQ",BD63="DNS",BD63=" DNS "),$BW$3+1,BD63))</f>
        <v>0</v>
      </c>
      <c r="DQ63" s="61">
        <f>IF(BE63="",0,IF(OR(BE63="DNF",BE63="OCS",BE63="DSQ",BE63="DNS",BE63=" DNS "),$BW$3+1,BE63))</f>
        <v>0</v>
      </c>
      <c r="DR63" s="61">
        <f>IF(BF63="",0,IF(OR(BF63="DNF",BF63="OCS",BF63="DSQ",BF63="DNS",BF63=" DNS "),$BW$3+1,BF63))</f>
        <v>0</v>
      </c>
      <c r="DS63" s="61">
        <f>IF(BG63="",0,IF(OR(BG63="DNF",BG63="OCS",BG63="DSQ",BG63="DNS",BG63=" DNS "),$BW$3+1,BG63))</f>
        <v>0</v>
      </c>
      <c r="DT63" s="61">
        <f>IF(BH63="",0,IF(OR(BH63="DNF",BH63="OCS",BH63="DSQ",BH63="DNS",BH63=" DNS "),$BW$3+1,BH63))</f>
        <v>0</v>
      </c>
      <c r="DU63" s="61">
        <f>IF(BI63="",0,IF(OR(BI63="DNF",BI63="OCS",BI63="DSQ",BI63="DNS",BI63=" DNS "),$BW$3+1,BI63))</f>
        <v>0</v>
      </c>
      <c r="DV63" s="61">
        <f>IF(BJ63="",0,IF(OR(BJ63="DNF",BJ63="OCS",BJ63="DSQ",BJ63="DNS",BJ63=" DNS "),$BW$3+1,BJ63))</f>
        <v>0</v>
      </c>
      <c r="DW63" s="61">
        <f>IF(BK63="",0,IF(OR(BK63="DNF",BK63="OCS",BK63="DSQ",BK63="DNS",BK63=" DNS "),$BW$3+1,BK63))</f>
        <v>0</v>
      </c>
      <c r="DX63" s="61">
        <f>IF(BL63="",0,IF(OR(BL63="DNF",BL63="OCS",BL63="DSQ",BL63="DNS",BL63=" DNS "),$BW$3+1,BL63))</f>
        <v>0</v>
      </c>
      <c r="DY63" s="61">
        <f>IF(BM63="",0,IF(OR(BM63="DNF",BM63="OCS",BM63="DSQ",BM63="DNS",BM63=" DNS "),$BW$3+1,BM63))</f>
        <v>0</v>
      </c>
      <c r="DZ63" s="61">
        <f>IF(BN63="",0,IF(OR(BN63="DNF",BN63="OCS",BN63="DSQ",BN63="DNS",BN63=" DNS "),$BW$3+1,BN63))</f>
        <v>0</v>
      </c>
      <c r="EA63" s="61">
        <f>IF(BO63="",0,IF(OR(BO63="DNF",BO63="OCS",BO63="DSQ",BO63="DNS",BO63=" DNS "),$BW$3+1,BO63))</f>
        <v>0</v>
      </c>
      <c r="EB63" s="61">
        <f>IF(BP63="",0,IF(OR(BP63="DNF",BP63="OCS",BP63="DSQ",BP63="DNS",BP63=" DNS "),$BW$3+1,BP63))</f>
        <v>0</v>
      </c>
      <c r="EC63" s="61">
        <f>IF(BQ63="",0,IF(OR(BQ63="DNF",BQ63="OCS",BQ63="DSQ",BQ63="DNS",BQ63=" DNS "),$BW$3+1,BQ63))</f>
        <v>0</v>
      </c>
      <c r="EE63" s="61">
        <f xml:space="preserve">
IF(OR(Deltagarlista!$K$3=3,Deltagarlista!$K$3=4),
IF(Arrangörslista!$U$5&lt;8,0,
IF(Arrangörslista!$U$5&lt;16,SUM(LARGE(BV63:CJ63,1)),
IF(Arrangörslista!$U$5&lt;24,SUM(LARGE(BV63:CR63,{1;2})),
IF(Arrangörslista!$U$5&lt;32,SUM(LARGE(BV63:CZ63,{1;2;3})),
IF(Arrangörslista!$U$5&lt;40,SUM(LARGE(BV63:DH63,{1;2;3;4})),
IF(Arrangörslista!$U$5&lt;48,SUM(LARGE(BV63:DP63,{1;2;3;4;5})),
IF(Arrangörslista!$U$5&lt;56,SUM(LARGE(BV63:DX63,{1;2;3;4;5;6})),
IF(Arrangörslista!$U$5&lt;64,SUM(LARGE(BV63:EC63,{1;2;3;4;5;6;7})),0)))))))),
IF(Deltagarlista!$K$3=2,
IF(Arrangörslista!$U$5&lt;4,LARGE(BV63:BX63,1),
IF(Arrangörslista!$U$5&lt;7,SUM(LARGE(BV63:CA63,{1;2;3})),
IF(Arrangörslista!$U$5&lt;10,SUM(LARGE(BV63:CD63,{1;2;3;4})),
IF(Arrangörslista!$U$5&lt;13,SUM(LARGE(BV63:CG63,{1;2;3;4;5;6})),
IF(Arrangörslista!$U$5&lt;16,SUM(LARGE(BV63:CJ63,{1;2;3;4;5;6;7})),
IF(Arrangörslista!$U$5&lt;19,SUM(LARGE(BV63:CM63,{1;2;3;4;5;6;7;8;9})),
IF(Arrangörslista!$U$5&lt;22,SUM(LARGE(BV63:CP63,{1;2;3;4;5;6;7;8;9;10})),
IF(Arrangörslista!$U$5&lt;25,SUM(LARGE(BV63:CS63,{1;2;3;4;5;6;7;8;9;10;11;12})),
IF(Arrangörslista!$U$5&lt;28,SUM(LARGE(BV63:CV63,{1;2;3;4;5;6;7;8;9;10;11;12;13})),
IF(Arrangörslista!$U$5&lt;31,SUM(LARGE(BV63:CY63,{1;2;3;4;5;6;7;8;9;10;11;12;13;14;15})),
IF(Arrangörslista!$U$5&lt;34,SUM(LARGE(BV63:DB63,{1;2;3;4;5;6;7;8;9;10;11;12;13;14;15;16})),
IF(Arrangörslista!$U$5&lt;37,SUM(LARGE(BV63:DE63,{1;2;3;4;5;6;7;8;9;10;11;12;13;14;15;16;17;18})),
IF(Arrangörslista!$U$5&lt;40,SUM(LARGE(BV63:DH63,{1;2;3;4;5;6;7;8;9;10;11;12;13;14;15;16;17;18;19})),
IF(Arrangörslista!$U$5&lt;43,SUM(LARGE(BV63:DK63,{1;2;3;4;5;6;7;8;9;10;11;12;13;14;15;16;17;18;19;20;21})),
IF(Arrangörslista!$U$5&lt;46,SUM(LARGE(BV63:DN63,{1;2;3;4;5;6;7;8;9;10;11;12;13;14;15;16;17;18;19;20;21;22})),
IF(Arrangörslista!$U$5&lt;49,SUM(LARGE(BV63:DQ63,{1;2;3;4;5;6;7;8;9;10;11;12;13;14;15;16;17;18;19;20;21;22;23;24})),
IF(Arrangörslista!$U$5&lt;52,SUM(LARGE(BV63:DT63,{1;2;3;4;5;6;7;8;9;10;11;12;13;14;15;16;17;18;19;20;21;22;23;24;25})),
IF(Arrangörslista!$U$5&lt;55,SUM(LARGE(BV63:DW63,{1;2;3;4;5;6;7;8;9;10;11;12;13;14;15;16;17;18;19;20;21;22;23;24;25;26;27})),
IF(Arrangörslista!$U$5&lt;58,SUM(LARGE(BV63:DZ63,{1;2;3;4;5;6;7;8;9;10;11;12;13;14;15;16;17;18;19;20;21;22;23;24;25;26;27;28})),
IF(Arrangörslista!$U$5&lt;61,SUM(LARGE(BV63:EC63,{1;2;3;4;5;6;7;8;9;10;11;12;13;14;15;16;17;18;19;20;21;22;23;24;25;26;27;28;29;30})),0)))))))))))))))))))),
IF(Arrangörslista!$U$5&lt;4,0,
IF(Arrangörslista!$U$5&lt;8,SUM(LARGE(BV63:CB63,1)),
IF(Arrangörslista!$U$5&lt;12,SUM(LARGE(BV63:CF63,{1;2})),
IF(Arrangörslista!$U$5&lt;16,SUM(LARGE(BV63:CJ63,{1;2;3})),
IF(Arrangörslista!$U$5&lt;20,SUM(LARGE(BV63:CN63,{1;2;3;4})),
IF(Arrangörslista!$U$5&lt;24,SUM(LARGE(BV63:CR63,{1;2;3;4;5})),
IF(Arrangörslista!$U$5&lt;28,SUM(LARGE(BV63:CV63,{1;2;3;4;5;6})),
IF(Arrangörslista!$U$5&lt;32,SUM(LARGE(BV63:CZ63,{1;2;3;4;5;6;7})),
IF(Arrangörslista!$U$5&lt;36,SUM(LARGE(BV63:DD63,{1;2;3;4;5;6;7;8})),
IF(Arrangörslista!$U$5&lt;40,SUM(LARGE(BV63:DH63,{1;2;3;4;5;6;7;8;9})),
IF(Arrangörslista!$U$5&lt;44,SUM(LARGE(BV63:DL63,{1;2;3;4;5;6;7;8;9;10})),
IF(Arrangörslista!$U$5&lt;48,SUM(LARGE(BV63:DP63,{1;2;3;4;5;6;7;8;9;10;11})),
IF(Arrangörslista!$U$5&lt;52,SUM(LARGE(BV63:DT63,{1;2;3;4;5;6;7;8;9;10;11;12})),
IF(Arrangörslista!$U$5&lt;56,SUM(LARGE(BV63:DX63,{1;2;3;4;5;6;7;8;9;10;11;12;13})),
IF(Arrangörslista!$U$5&lt;60,SUM(LARGE(BV63:EB63,{1;2;3;4;5;6;7;8;9;10;11;12;13;14})),
IF(Arrangörslista!$U$5=60,SUM(LARGE(BV63:EC63,{1;2;3;4;5;6;7;8;9;10;11;12;13;14;15})),0))))))))))))))))))</f>
        <v>0</v>
      </c>
      <c r="EG63" s="67">
        <f>IF(F63="",,1)</f>
        <v>0</v>
      </c>
      <c r="EH63" s="61"/>
      <c r="EI63" s="61"/>
      <c r="EK63" s="62">
        <f>SMALL($J126:$BQ126,1)</f>
        <v>61</v>
      </c>
      <c r="EL63" s="62">
        <f>SMALL($J126:$BQ126,2)</f>
        <v>61</v>
      </c>
      <c r="EM63" s="62">
        <f>SMALL($J126:$BQ126,3)</f>
        <v>61</v>
      </c>
      <c r="EN63" s="62">
        <f>SMALL($J126:$BQ126,4)</f>
        <v>61</v>
      </c>
      <c r="EO63" s="62">
        <f>SMALL($J126:$BQ126,5)</f>
        <v>61</v>
      </c>
      <c r="EP63" s="62">
        <f>SMALL($J126:$BQ126,6)</f>
        <v>61</v>
      </c>
      <c r="EQ63" s="62">
        <f>SMALL($J126:$BQ126,7)</f>
        <v>61</v>
      </c>
      <c r="ER63" s="62">
        <f>SMALL($J126:$BQ126,8)</f>
        <v>61</v>
      </c>
      <c r="ES63" s="62">
        <f>SMALL($J126:$BQ126,9)</f>
        <v>61</v>
      </c>
      <c r="ET63" s="62">
        <f>SMALL($J126:$BQ126,10)</f>
        <v>61</v>
      </c>
      <c r="EU63" s="62">
        <f>SMALL($J126:$BQ126,11)</f>
        <v>61</v>
      </c>
      <c r="EV63" s="62">
        <f>SMALL($J126:$BQ126,12)</f>
        <v>61</v>
      </c>
      <c r="EW63" s="62">
        <f>SMALL($J126:$BQ126,13)</f>
        <v>61</v>
      </c>
      <c r="EX63" s="62">
        <f>SMALL($J126:$BQ126,14)</f>
        <v>61</v>
      </c>
      <c r="EY63" s="62">
        <f>SMALL($J126:$BQ126,15)</f>
        <v>61</v>
      </c>
      <c r="EZ63" s="62">
        <f>SMALL($J126:$BQ126,16)</f>
        <v>61</v>
      </c>
      <c r="FA63" s="62">
        <f>SMALL($J126:$BQ126,17)</f>
        <v>61</v>
      </c>
      <c r="FB63" s="62">
        <f>SMALL($J126:$BQ126,18)</f>
        <v>61</v>
      </c>
      <c r="FC63" s="62">
        <f>SMALL($J126:$BQ126,19)</f>
        <v>61</v>
      </c>
      <c r="FD63" s="62">
        <f>SMALL($J126:$BQ126,20)</f>
        <v>61</v>
      </c>
      <c r="FE63" s="62">
        <f>SMALL($J126:$BQ126,21)</f>
        <v>61</v>
      </c>
      <c r="FF63" s="62">
        <f>SMALL($J126:$BQ126,22)</f>
        <v>61</v>
      </c>
      <c r="FG63" s="62">
        <f>SMALL($J126:$BQ126,23)</f>
        <v>61</v>
      </c>
      <c r="FH63" s="62">
        <f>SMALL($J126:$BQ126,24)</f>
        <v>61</v>
      </c>
      <c r="FI63" s="62">
        <f>SMALL($J126:$BQ126,25)</f>
        <v>61</v>
      </c>
      <c r="FJ63" s="62">
        <f>SMALL($J126:$BQ126,26)</f>
        <v>61</v>
      </c>
      <c r="FK63" s="62">
        <f>SMALL($J126:$BQ126,27)</f>
        <v>61</v>
      </c>
      <c r="FL63" s="62">
        <f>SMALL($J126:$BQ126,28)</f>
        <v>61</v>
      </c>
      <c r="FM63" s="62">
        <f>SMALL($J126:$BQ126,29)</f>
        <v>61</v>
      </c>
      <c r="FN63" s="62">
        <f>SMALL($J126:$BQ126,30)</f>
        <v>61</v>
      </c>
      <c r="FO63" s="62">
        <f>SMALL($J126:$BQ126,31)</f>
        <v>61</v>
      </c>
      <c r="FP63" s="62">
        <f>SMALL($J126:$BQ126,32)</f>
        <v>61</v>
      </c>
      <c r="FQ63" s="62">
        <f>SMALL($J126:$BQ126,33)</f>
        <v>61</v>
      </c>
      <c r="FR63" s="62">
        <f>SMALL($J126:$BQ126,34)</f>
        <v>61</v>
      </c>
      <c r="FS63" s="62">
        <f>SMALL($J126:$BQ126,35)</f>
        <v>61</v>
      </c>
      <c r="FT63" s="62">
        <f>SMALL($J126:$BQ126,36)</f>
        <v>61</v>
      </c>
      <c r="FU63" s="62">
        <f>SMALL($J126:$BQ126,37)</f>
        <v>61</v>
      </c>
      <c r="FV63" s="62">
        <f>SMALL($J126:$BQ126,38)</f>
        <v>61</v>
      </c>
      <c r="FW63" s="62">
        <f>SMALL($J126:$BQ126,39)</f>
        <v>61</v>
      </c>
      <c r="FX63" s="62">
        <f>SMALL($J126:$BQ126,40)</f>
        <v>61</v>
      </c>
      <c r="FY63" s="62">
        <f>SMALL($J126:$BQ126,41)</f>
        <v>61</v>
      </c>
      <c r="FZ63" s="62">
        <f>SMALL($J126:$BQ126,42)</f>
        <v>61</v>
      </c>
      <c r="GA63" s="62">
        <f>SMALL($J126:$BQ126,43)</f>
        <v>61</v>
      </c>
      <c r="GB63" s="62">
        <f>SMALL($J126:$BQ126,44)</f>
        <v>61</v>
      </c>
      <c r="GC63" s="62">
        <f>SMALL($J126:$BQ126,45)</f>
        <v>61</v>
      </c>
      <c r="GD63" s="62">
        <f>SMALL($J126:$BQ126,46)</f>
        <v>61</v>
      </c>
      <c r="GE63" s="62">
        <f>SMALL($J126:$BQ126,47)</f>
        <v>61</v>
      </c>
      <c r="GF63" s="62">
        <f>SMALL($J126:$BQ126,48)</f>
        <v>61</v>
      </c>
      <c r="GG63" s="62">
        <f>SMALL($J126:$BQ126,49)</f>
        <v>61</v>
      </c>
      <c r="GH63" s="62">
        <f>SMALL($J126:$BQ126,50)</f>
        <v>61</v>
      </c>
      <c r="GI63" s="62">
        <f>SMALL($J126:$BQ126,51)</f>
        <v>61</v>
      </c>
      <c r="GJ63" s="62">
        <f>SMALL($J126:$BQ126,52)</f>
        <v>61</v>
      </c>
      <c r="GK63" s="62">
        <f>SMALL($J126:$BQ126,53)</f>
        <v>61</v>
      </c>
      <c r="GL63" s="62">
        <f>SMALL($J126:$BQ126,54)</f>
        <v>61</v>
      </c>
      <c r="GM63" s="62">
        <f>SMALL($J126:$BQ126,55)</f>
        <v>61</v>
      </c>
      <c r="GN63" s="62">
        <f>SMALL($J126:$BQ126,56)</f>
        <v>61</v>
      </c>
      <c r="GO63" s="62">
        <f>SMALL($J126:$BQ126,57)</f>
        <v>61</v>
      </c>
      <c r="GP63" s="62">
        <f>SMALL($J126:$BQ126,58)</f>
        <v>61</v>
      </c>
      <c r="GQ63" s="62">
        <f>SMALL($J126:$BQ126,59)</f>
        <v>61</v>
      </c>
      <c r="GR63" s="62">
        <f>SMALL($J126:$BQ126,60)</f>
        <v>61</v>
      </c>
      <c r="GT63" s="62">
        <f>IF(Deltagarlista!$K$3=2,
IF(GW63="1",
      IF(Arrangörslista!$U$5=1,J126,
IF(Arrangörslista!$U$5=2,K126,
IF(Arrangörslista!$U$5=3,L126,
IF(Arrangörslista!$U$5=4,M126,
IF(Arrangörslista!$U$5=5,N126,
IF(Arrangörslista!$U$5=6,O126,
IF(Arrangörslista!$U$5=7,P126,
IF(Arrangörslista!$U$5=8,Q126,
IF(Arrangörslista!$U$5=9,R126,
IF(Arrangörslista!$U$5=10,S126,
IF(Arrangörslista!$U$5=11,T126,
IF(Arrangörslista!$U$5=12,U126,
IF(Arrangörslista!$U$5=13,V126,
IF(Arrangörslista!$U$5=14,W126,
IF(Arrangörslista!$U$5=15,X126,
IF(Arrangörslista!$U$5=16,Y126,IF(Arrangörslista!$U$5=17,Z126,IF(Arrangörslista!$U$5=18,AA126,IF(Arrangörslista!$U$5=19,AB126,IF(Arrangörslista!$U$5=20,AC126,IF(Arrangörslista!$U$5=21,AD126,IF(Arrangörslista!$U$5=22,AE126,IF(Arrangörslista!$U$5=23,AF126, IF(Arrangörslista!$U$5=24,AG126, IF(Arrangörslista!$U$5=25,AH126, IF(Arrangörslista!$U$5=26,AI126, IF(Arrangörslista!$U$5=27,AJ126, IF(Arrangörslista!$U$5=28,AK126, IF(Arrangörslista!$U$5=29,AL126, IF(Arrangörslista!$U$5=30,AM126, IF(Arrangörslista!$U$5=31,AN126, IF(Arrangörslista!$U$5=32,AO126, IF(Arrangörslista!$U$5=33,AP126, IF(Arrangörslista!$U$5=34,AQ126, IF(Arrangörslista!$U$5=35,AR126, IF(Arrangörslista!$U$5=36,AS126, IF(Arrangörslista!$U$5=37,AT126, IF(Arrangörslista!$U$5=38,AU126, IF(Arrangörslista!$U$5=39,AV126, IF(Arrangörslista!$U$5=40,AW126, IF(Arrangörslista!$U$5=41,AX126, IF(Arrangörslista!$U$5=42,AY126, IF(Arrangörslista!$U$5=43,AZ126, IF(Arrangörslista!$U$5=44,BA126, IF(Arrangörslista!$U$5=45,BB126, IF(Arrangörslista!$U$5=46,BC126, IF(Arrangörslista!$U$5=47,BD126, IF(Arrangörslista!$U$5=48,BE126, IF(Arrangörslista!$U$5=49,BF126, IF(Arrangörslista!$U$5=50,BG126, IF(Arrangörslista!$U$5=51,BH126, IF(Arrangörslista!$U$5=52,BI126, IF(Arrangörslista!$U$5=53,BJ126, IF(Arrangörslista!$U$5=54,BK126, IF(Arrangörslista!$U$5=55,BL126, IF(Arrangörslista!$U$5=56,BM126, IF(Arrangörslista!$U$5=57,BN126, IF(Arrangörslista!$U$5=58,BO126, IF(Arrangörslista!$U$5=59,BP126, IF(Arrangörslista!$U$5=60,BQ126,0))))))))))))))))))))))))))))))))))))))))))))))))))))))))))))),IF(Deltagarlista!$K$3=4, IF(Arrangörslista!$U$5=1,J126,
IF(Arrangörslista!$U$5=2,J126,
IF(Arrangörslista!$U$5=3,K126,
IF(Arrangörslista!$U$5=4,K126,
IF(Arrangörslista!$U$5=5,L126,
IF(Arrangörslista!$U$5=6,L126,
IF(Arrangörslista!$U$5=7,M126,
IF(Arrangörslista!$U$5=8,M126,
IF(Arrangörslista!$U$5=9,N126,
IF(Arrangörslista!$U$5=10,N126,
IF(Arrangörslista!$U$5=11,O126,
IF(Arrangörslista!$U$5=12,O126,
IF(Arrangörslista!$U$5=13,P126,
IF(Arrangörslista!$U$5=14,P126,
IF(Arrangörslista!$U$5=15,Q126,
IF(Arrangörslista!$U$5=16,Q126,
IF(Arrangörslista!$U$5=17,R126,
IF(Arrangörslista!$U$5=18,R126,
IF(Arrangörslista!$U$5=19,S126,
IF(Arrangörslista!$U$5=20,S126,
IF(Arrangörslista!$U$5=21,T126,
IF(Arrangörslista!$U$5=22,T126,IF(Arrangörslista!$U$5=23,U126, IF(Arrangörslista!$U$5=24,U126, IF(Arrangörslista!$U$5=25,V126, IF(Arrangörslista!$U$5=26,V126, IF(Arrangörslista!$U$5=27,W126, IF(Arrangörslista!$U$5=28,W126, IF(Arrangörslista!$U$5=29,X126, IF(Arrangörslista!$U$5=30,X126, IF(Arrangörslista!$U$5=31,X126, IF(Arrangörslista!$U$5=32,Y126, IF(Arrangörslista!$U$5=33,AO126, IF(Arrangörslista!$U$5=34,Y126, IF(Arrangörslista!$U$5=35,Z126, IF(Arrangörslista!$U$5=36,AR126, IF(Arrangörslista!$U$5=37,Z126, IF(Arrangörslista!$U$5=38,AA126, IF(Arrangörslista!$U$5=39,AU126, IF(Arrangörslista!$U$5=40,AA126, IF(Arrangörslista!$U$5=41,AB126, IF(Arrangörslista!$U$5=42,AX126, IF(Arrangörslista!$U$5=43,AB126, IF(Arrangörslista!$U$5=44,AC126, IF(Arrangörslista!$U$5=45,BA126, IF(Arrangörslista!$U$5=46,AC126, IF(Arrangörslista!$U$5=47,AD126, IF(Arrangörslista!$U$5=48,BD126, IF(Arrangörslista!$U$5=49,AD126, IF(Arrangörslista!$U$5=50,AE126, IF(Arrangörslista!$U$5=51,BG126, IF(Arrangörslista!$U$5=52,AE126, IF(Arrangörslista!$U$5=53,AF126, IF(Arrangörslista!$U$5=54,BJ126, IF(Arrangörslista!$U$5=55,AF126, IF(Arrangörslista!$U$5=56,AG126, IF(Arrangörslista!$U$5=57,BM126, IF(Arrangörslista!$U$5=58,AG126, IF(Arrangörslista!$U$5=59,AH126, IF(Arrangörslista!$U$5=60,AH126,0)))))))))))))))))))))))))))))))))))))))))))))))))))))))))))),IF(Arrangörslista!$U$5=1,J126,
IF(Arrangörslista!$U$5=2,K126,
IF(Arrangörslista!$U$5=3,L126,
IF(Arrangörslista!$U$5=4,M126,
IF(Arrangörslista!$U$5=5,N126,
IF(Arrangörslista!$U$5=6,O126,
IF(Arrangörslista!$U$5=7,P126,
IF(Arrangörslista!$U$5=8,Q126,
IF(Arrangörslista!$U$5=9,R126,
IF(Arrangörslista!$U$5=10,S126,
IF(Arrangörslista!$U$5=11,T126,
IF(Arrangörslista!$U$5=12,U126,
IF(Arrangörslista!$U$5=13,V126,
IF(Arrangörslista!$U$5=14,W126,
IF(Arrangörslista!$U$5=15,X126,
IF(Arrangörslista!$U$5=16,Y126,IF(Arrangörslista!$U$5=17,Z126,IF(Arrangörslista!$U$5=18,AA126,IF(Arrangörslista!$U$5=19,AB126,IF(Arrangörslista!$U$5=20,AC126,IF(Arrangörslista!$U$5=21,AD126,IF(Arrangörslista!$U$5=22,AE126,IF(Arrangörslista!$U$5=23,AF126, IF(Arrangörslista!$U$5=24,AG126, IF(Arrangörslista!$U$5=25,AH126, IF(Arrangörslista!$U$5=26,AI126, IF(Arrangörslista!$U$5=27,AJ126, IF(Arrangörslista!$U$5=28,AK126, IF(Arrangörslista!$U$5=29,AL126, IF(Arrangörslista!$U$5=30,AM126, IF(Arrangörslista!$U$5=31,AN126, IF(Arrangörslista!$U$5=32,AO126, IF(Arrangörslista!$U$5=33,AP126, IF(Arrangörslista!$U$5=34,AQ126, IF(Arrangörslista!$U$5=35,AR126, IF(Arrangörslista!$U$5=36,AS126, IF(Arrangörslista!$U$5=37,AT126, IF(Arrangörslista!$U$5=38,AU126, IF(Arrangörslista!$U$5=39,AV126, IF(Arrangörslista!$U$5=40,AW126, IF(Arrangörslista!$U$5=41,AX126, IF(Arrangörslista!$U$5=42,AY126, IF(Arrangörslista!$U$5=43,AZ126, IF(Arrangörslista!$U$5=44,BA126, IF(Arrangörslista!$U$5=45,BB126, IF(Arrangörslista!$U$5=46,BC126, IF(Arrangörslista!$U$5=47,BD126, IF(Arrangörslista!$U$5=48,BE126, IF(Arrangörslista!$U$5=49,BF126, IF(Arrangörslista!$U$5=50,BG126, IF(Arrangörslista!$U$5=51,BH126, IF(Arrangörslista!$U$5=52,BI126, IF(Arrangörslista!$U$5=53,BJ126, IF(Arrangörslista!$U$5=54,BK126, IF(Arrangörslista!$U$5=55,BL126, IF(Arrangörslista!$U$5=56,BM126, IF(Arrangörslista!$U$5=57,BN126, IF(Arrangörslista!$U$5=58,BO126, IF(Arrangörslista!$U$5=59,BP126, IF(Arrangörslista!$U$5=60,BQ126,0))))))))))))))))))))))))))))))))))))))))))))))))))))))))))))
))</f>
        <v>0</v>
      </c>
      <c r="GV63" s="65" t="str">
        <f>IFERROR(IF(VLOOKUP(F63,Deltagarlista!$E$5:$I$64,5,FALSE)="Grön","Gr",IF(VLOOKUP(F63,Deltagarlista!$E$5:$I$64,5,FALSE)="Röd","R",IF(VLOOKUP(F63,Deltagarlista!$E$5:$I$64,5,FALSE)="Blå","B","Gu"))),"")</f>
        <v/>
      </c>
      <c r="GW63" s="62" t="str">
        <f t="shared" si="1"/>
        <v/>
      </c>
    </row>
    <row r="64" spans="1:205" ht="15.75" customHeight="1" x14ac:dyDescent="0.3">
      <c r="B64" s="21"/>
      <c r="C64" s="3"/>
      <c r="D64" s="3"/>
      <c r="E64" s="2"/>
      <c r="F64" s="90"/>
      <c r="G64" s="2"/>
      <c r="H64" s="2"/>
      <c r="I64" s="2"/>
      <c r="J64" s="216" t="s">
        <v>61</v>
      </c>
      <c r="K64" s="216" t="s">
        <v>62</v>
      </c>
      <c r="L64" s="216" t="s">
        <v>85</v>
      </c>
      <c r="M64" s="216" t="s">
        <v>61</v>
      </c>
      <c r="N64" s="216" t="s">
        <v>62</v>
      </c>
      <c r="O64" s="216" t="s">
        <v>85</v>
      </c>
      <c r="P64" s="216" t="s">
        <v>61</v>
      </c>
      <c r="Q64" s="216" t="s">
        <v>62</v>
      </c>
      <c r="R64" s="216" t="s">
        <v>85</v>
      </c>
      <c r="S64" s="216" t="s">
        <v>61</v>
      </c>
      <c r="T64" s="216" t="s">
        <v>62</v>
      </c>
      <c r="U64" s="216" t="s">
        <v>85</v>
      </c>
      <c r="V64" s="216" t="s">
        <v>61</v>
      </c>
      <c r="W64" s="216" t="s">
        <v>62</v>
      </c>
      <c r="X64" s="216" t="s">
        <v>85</v>
      </c>
      <c r="Y64" s="216" t="s">
        <v>61</v>
      </c>
      <c r="Z64" s="216" t="s">
        <v>62</v>
      </c>
      <c r="AA64" s="216" t="s">
        <v>85</v>
      </c>
      <c r="AB64" s="216" t="s">
        <v>61</v>
      </c>
      <c r="AC64" s="216" t="s">
        <v>62</v>
      </c>
      <c r="AD64" s="216" t="s">
        <v>85</v>
      </c>
      <c r="AE64" s="216" t="s">
        <v>61</v>
      </c>
      <c r="AF64" s="216" t="s">
        <v>62</v>
      </c>
      <c r="AG64" s="216" t="s">
        <v>85</v>
      </c>
      <c r="AH64" s="216" t="s">
        <v>61</v>
      </c>
      <c r="AI64" s="216" t="s">
        <v>62</v>
      </c>
      <c r="AJ64" s="216" t="s">
        <v>85</v>
      </c>
      <c r="AK64" s="216" t="s">
        <v>61</v>
      </c>
      <c r="AL64" s="216" t="s">
        <v>62</v>
      </c>
      <c r="AM64" s="216" t="s">
        <v>85</v>
      </c>
      <c r="AN64" s="216" t="s">
        <v>61</v>
      </c>
      <c r="AO64" s="216" t="s">
        <v>62</v>
      </c>
      <c r="AP64" s="216" t="s">
        <v>85</v>
      </c>
      <c r="AQ64" s="216" t="s">
        <v>61</v>
      </c>
      <c r="AR64" s="216" t="s">
        <v>62</v>
      </c>
      <c r="AS64" s="216" t="s">
        <v>85</v>
      </c>
      <c r="AT64" s="216" t="s">
        <v>61</v>
      </c>
      <c r="AU64" s="216" t="s">
        <v>62</v>
      </c>
      <c r="AV64" s="216" t="s">
        <v>85</v>
      </c>
      <c r="AW64" s="216" t="s">
        <v>61</v>
      </c>
      <c r="AX64" s="216" t="s">
        <v>62</v>
      </c>
      <c r="AY64" s="216" t="s">
        <v>85</v>
      </c>
      <c r="AZ64" s="216" t="s">
        <v>61</v>
      </c>
      <c r="BA64" s="216" t="s">
        <v>62</v>
      </c>
      <c r="BB64" s="216" t="s">
        <v>85</v>
      </c>
      <c r="BC64" s="216" t="s">
        <v>61</v>
      </c>
      <c r="BD64" s="216" t="s">
        <v>62</v>
      </c>
      <c r="BE64" s="216" t="s">
        <v>85</v>
      </c>
      <c r="BF64" s="216" t="s">
        <v>61</v>
      </c>
      <c r="BG64" s="216" t="s">
        <v>62</v>
      </c>
      <c r="BH64" s="216" t="s">
        <v>85</v>
      </c>
      <c r="BI64" s="216" t="s">
        <v>61</v>
      </c>
      <c r="BJ64" s="216" t="s">
        <v>62</v>
      </c>
      <c r="BK64" s="216" t="s">
        <v>85</v>
      </c>
      <c r="BL64" s="216" t="s">
        <v>61</v>
      </c>
      <c r="BM64" s="216" t="s">
        <v>62</v>
      </c>
      <c r="BN64" s="216" t="s">
        <v>85</v>
      </c>
      <c r="BO64" s="216" t="s">
        <v>61</v>
      </c>
      <c r="BP64" s="216" t="s">
        <v>62</v>
      </c>
      <c r="BQ64" s="216" t="s">
        <v>85</v>
      </c>
      <c r="BR64" s="2"/>
      <c r="BS64" s="2"/>
      <c r="EH64" s="61"/>
      <c r="EI64" s="61"/>
    </row>
    <row r="65" spans="2:139" ht="73.5" customHeight="1" x14ac:dyDescent="0.3">
      <c r="B65" s="21"/>
      <c r="C65" s="3"/>
      <c r="D65" s="3"/>
      <c r="G65" s="2"/>
      <c r="H65" s="2"/>
      <c r="I65" s="2"/>
      <c r="J65" s="5" t="str">
        <f>IF(Deltagarlista!$K$3=4,IF(ISBLANK(Deltagarlista!$C67),"",IF(ISBLANK(Arrangörslista!C$8),"",IFERROR(VLOOKUP($F65,Arrangörslista!C$8:$AG$45,16,FALSE),IF(ISBLANK(Deltagarlista!$C67),"",IF(ISBLANK(Arrangörslista!C$8),"",IFERROR(VLOOKUP($F65,Arrangörslista!D$8:$AG$45,16,FALSE),"DNS")))))),IF(Deltagarlista!$K$3=2,
IF(ISBLANK(Deltagarlista!$C67),"",IF(ISBLANK(Arrangörslista!C$8),"",IF($GV65=J$64," DNS ",IFERROR(VLOOKUP($F65,Arrangörslista!C$8:$AG$45,16,FALSE),"DNS")))),IF(ISBLANK(Deltagarlista!$C67),"",IF(ISBLANK(Arrangörslista!C$8),"",IFERROR(VLOOKUP($F65,Arrangörslista!C$8:$AG$45,16,FALSE),"DNS")))))</f>
        <v/>
      </c>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EH65" s="61"/>
      <c r="EI65" s="61"/>
    </row>
    <row r="66" spans="2:139" hidden="1" x14ac:dyDescent="0.3">
      <c r="B66" s="21" t="str">
        <f t="shared" ref="B66:B108" si="2">IF($BW$3&gt;38,39,"")</f>
        <v/>
      </c>
      <c r="C66" s="3"/>
      <c r="D66" s="3"/>
      <c r="G66" s="2"/>
      <c r="H66" s="2"/>
      <c r="I66" s="2"/>
      <c r="J66" s="5" t="str">
        <f>IF(Deltagarlista!$K$3=4,IF(ISBLANK(Deltagarlista!$C68),"",IF(ISBLANK(Arrangörslista!C$8),"",IFERROR(VLOOKUP($F66,Arrangörslista!C$8:$AG$45,16,FALSE),IF(ISBLANK(Deltagarlista!$C68),"",IF(ISBLANK(Arrangörslista!C$8),"",IFERROR(VLOOKUP($F66,Arrangörslista!D$8:$AG$45,16,FALSE),"DNS")))))),IF(Deltagarlista!$K$3=2,
IF(ISBLANK(Deltagarlista!$C68),"",IF(ISBLANK(Arrangörslista!C$8),"",IF($GV66=J$64," DNS ",IFERROR(VLOOKUP($F66,Arrangörslista!C$8:$AG$45,16,FALSE),"DNS")))),IF(ISBLANK(Deltagarlista!$C68),"",IF(ISBLANK(Arrangörslista!C$8),"",IFERROR(VLOOKUP($F66,Arrangörslista!C$8:$AG$45,16,FALSE),"DNS")))))</f>
        <v/>
      </c>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EH66" s="61"/>
      <c r="EI66" s="61"/>
    </row>
    <row r="67" spans="2:139" hidden="1" x14ac:dyDescent="0.3">
      <c r="B67" s="21" t="str">
        <f t="shared" si="2"/>
        <v/>
      </c>
      <c r="C67" s="3"/>
      <c r="D67" s="3"/>
      <c r="G67" s="2"/>
      <c r="H67" s="2"/>
      <c r="I67" s="2"/>
      <c r="J67" s="2">
        <f>IF(BV4=0,61,BV4)</f>
        <v>61</v>
      </c>
      <c r="K67" s="2">
        <f t="shared" ref="K67:BQ67" si="3">IF(BW4=0,61,BW4)</f>
        <v>61</v>
      </c>
      <c r="L67" s="2">
        <f t="shared" si="3"/>
        <v>61</v>
      </c>
      <c r="M67" s="2">
        <f t="shared" si="3"/>
        <v>61</v>
      </c>
      <c r="N67" s="2">
        <f t="shared" si="3"/>
        <v>61</v>
      </c>
      <c r="O67" s="2">
        <f t="shared" si="3"/>
        <v>61</v>
      </c>
      <c r="P67" s="2">
        <f t="shared" si="3"/>
        <v>61</v>
      </c>
      <c r="Q67" s="2">
        <f t="shared" si="3"/>
        <v>61</v>
      </c>
      <c r="R67" s="2">
        <f t="shared" si="3"/>
        <v>61</v>
      </c>
      <c r="S67" s="2">
        <f t="shared" si="3"/>
        <v>61</v>
      </c>
      <c r="T67" s="2">
        <f t="shared" si="3"/>
        <v>61</v>
      </c>
      <c r="U67" s="2">
        <f t="shared" si="3"/>
        <v>61</v>
      </c>
      <c r="V67" s="2">
        <f t="shared" si="3"/>
        <v>61</v>
      </c>
      <c r="W67" s="2">
        <f t="shared" si="3"/>
        <v>61</v>
      </c>
      <c r="X67" s="2">
        <f t="shared" si="3"/>
        <v>61</v>
      </c>
      <c r="Y67" s="2">
        <f t="shared" si="3"/>
        <v>61</v>
      </c>
      <c r="Z67" s="2">
        <f t="shared" si="3"/>
        <v>61</v>
      </c>
      <c r="AA67" s="2">
        <f t="shared" si="3"/>
        <v>61</v>
      </c>
      <c r="AB67" s="2">
        <f t="shared" si="3"/>
        <v>61</v>
      </c>
      <c r="AC67" s="2">
        <f t="shared" si="3"/>
        <v>61</v>
      </c>
      <c r="AD67" s="2">
        <f t="shared" si="3"/>
        <v>61</v>
      </c>
      <c r="AE67" s="2">
        <f t="shared" si="3"/>
        <v>61</v>
      </c>
      <c r="AF67" s="2">
        <f t="shared" si="3"/>
        <v>61</v>
      </c>
      <c r="AG67" s="2">
        <f t="shared" si="3"/>
        <v>61</v>
      </c>
      <c r="AH67" s="2">
        <f t="shared" si="3"/>
        <v>61</v>
      </c>
      <c r="AI67" s="2">
        <f t="shared" si="3"/>
        <v>61</v>
      </c>
      <c r="AJ67" s="2">
        <f t="shared" si="3"/>
        <v>61</v>
      </c>
      <c r="AK67" s="2">
        <f t="shared" si="3"/>
        <v>61</v>
      </c>
      <c r="AL67" s="2">
        <f t="shared" si="3"/>
        <v>61</v>
      </c>
      <c r="AM67" s="2">
        <f t="shared" si="3"/>
        <v>61</v>
      </c>
      <c r="AN67" s="2">
        <f t="shared" si="3"/>
        <v>61</v>
      </c>
      <c r="AO67" s="2">
        <f t="shared" si="3"/>
        <v>61</v>
      </c>
      <c r="AP67" s="2">
        <f t="shared" si="3"/>
        <v>61</v>
      </c>
      <c r="AQ67" s="2">
        <f t="shared" si="3"/>
        <v>61</v>
      </c>
      <c r="AR67" s="2">
        <f t="shared" si="3"/>
        <v>61</v>
      </c>
      <c r="AS67" s="2">
        <f t="shared" si="3"/>
        <v>61</v>
      </c>
      <c r="AT67" s="2">
        <f t="shared" si="3"/>
        <v>61</v>
      </c>
      <c r="AU67" s="2">
        <f t="shared" si="3"/>
        <v>61</v>
      </c>
      <c r="AV67" s="2">
        <f t="shared" si="3"/>
        <v>61</v>
      </c>
      <c r="AW67" s="2">
        <f t="shared" si="3"/>
        <v>61</v>
      </c>
      <c r="AX67" s="2">
        <f t="shared" si="3"/>
        <v>61</v>
      </c>
      <c r="AY67" s="2">
        <f t="shared" si="3"/>
        <v>61</v>
      </c>
      <c r="AZ67" s="2">
        <f t="shared" si="3"/>
        <v>61</v>
      </c>
      <c r="BA67" s="2">
        <f t="shared" si="3"/>
        <v>61</v>
      </c>
      <c r="BB67" s="2">
        <f t="shared" si="3"/>
        <v>61</v>
      </c>
      <c r="BC67" s="2">
        <f t="shared" si="3"/>
        <v>61</v>
      </c>
      <c r="BD67" s="2">
        <f t="shared" si="3"/>
        <v>61</v>
      </c>
      <c r="BE67" s="2">
        <f t="shared" si="3"/>
        <v>61</v>
      </c>
      <c r="BF67" s="2">
        <f t="shared" si="3"/>
        <v>61</v>
      </c>
      <c r="BG67" s="2">
        <f t="shared" si="3"/>
        <v>61</v>
      </c>
      <c r="BH67" s="2">
        <f t="shared" si="3"/>
        <v>61</v>
      </c>
      <c r="BI67" s="2">
        <f t="shared" si="3"/>
        <v>61</v>
      </c>
      <c r="BJ67" s="2">
        <f t="shared" si="3"/>
        <v>61</v>
      </c>
      <c r="BK67" s="2">
        <f t="shared" si="3"/>
        <v>61</v>
      </c>
      <c r="BL67" s="2">
        <f t="shared" si="3"/>
        <v>61</v>
      </c>
      <c r="BM67" s="2">
        <f t="shared" si="3"/>
        <v>61</v>
      </c>
      <c r="BN67" s="2">
        <f t="shared" si="3"/>
        <v>61</v>
      </c>
      <c r="BO67" s="2">
        <f t="shared" si="3"/>
        <v>61</v>
      </c>
      <c r="BP67" s="2">
        <f t="shared" si="3"/>
        <v>61</v>
      </c>
      <c r="BQ67" s="2">
        <f t="shared" si="3"/>
        <v>61</v>
      </c>
      <c r="EH67" s="61"/>
      <c r="EI67" s="61"/>
    </row>
    <row r="68" spans="2:139" hidden="1" x14ac:dyDescent="0.3">
      <c r="B68" s="21" t="str">
        <f t="shared" si="2"/>
        <v/>
      </c>
      <c r="G68" s="2"/>
      <c r="H68" s="2"/>
      <c r="I68" s="2"/>
      <c r="J68" s="2">
        <f t="shared" ref="J68:J126" si="4">IF(BV5=0,61,BV5)</f>
        <v>61</v>
      </c>
      <c r="K68" s="2">
        <f t="shared" ref="K68:K126" si="5">IF(BW5=0,61,BW5)</f>
        <v>61</v>
      </c>
      <c r="L68" s="2">
        <f t="shared" ref="L68:L126" si="6">IF(BX5=0,61,BX5)</f>
        <v>61</v>
      </c>
      <c r="M68" s="2">
        <f t="shared" ref="M68:M126" si="7">IF(BY5=0,61,BY5)</f>
        <v>61</v>
      </c>
      <c r="N68" s="2">
        <f t="shared" ref="N68:N126" si="8">IF(BZ5=0,61,BZ5)</f>
        <v>61</v>
      </c>
      <c r="O68" s="2">
        <f t="shared" ref="O68:O126" si="9">IF(CA5=0,61,CA5)</f>
        <v>61</v>
      </c>
      <c r="P68" s="2">
        <f t="shared" ref="P68:P126" si="10">IF(CB5=0,61,CB5)</f>
        <v>61</v>
      </c>
      <c r="Q68" s="2">
        <f t="shared" ref="Q68:Q126" si="11">IF(CC5=0,61,CC5)</f>
        <v>61</v>
      </c>
      <c r="R68" s="2">
        <f t="shared" ref="R68:R126" si="12">IF(CD5=0,61,CD5)</f>
        <v>61</v>
      </c>
      <c r="S68" s="2">
        <f t="shared" ref="S68:S126" si="13">IF(CE5=0,61,CE5)</f>
        <v>61</v>
      </c>
      <c r="T68" s="2">
        <f t="shared" ref="T68:T126" si="14">IF(CF5=0,61,CF5)</f>
        <v>61</v>
      </c>
      <c r="U68" s="2">
        <f t="shared" ref="U68:U126" si="15">IF(CG5=0,61,CG5)</f>
        <v>61</v>
      </c>
      <c r="V68" s="2">
        <f t="shared" ref="V68:V126" si="16">IF(CH5=0,61,CH5)</f>
        <v>61</v>
      </c>
      <c r="W68" s="2">
        <f t="shared" ref="W68:W126" si="17">IF(CI5=0,61,CI5)</f>
        <v>61</v>
      </c>
      <c r="X68" s="2">
        <f t="shared" ref="X68:X126" si="18">IF(CJ5=0,61,CJ5)</f>
        <v>61</v>
      </c>
      <c r="Y68" s="2">
        <f t="shared" ref="Y68:Y126" si="19">IF(CK5=0,61,CK5)</f>
        <v>61</v>
      </c>
      <c r="Z68" s="2">
        <f t="shared" ref="Z68:Z126" si="20">IF(CL5=0,61,CL5)</f>
        <v>61</v>
      </c>
      <c r="AA68" s="2">
        <f t="shared" ref="AA68:AA126" si="21">IF(CM5=0,61,CM5)</f>
        <v>61</v>
      </c>
      <c r="AB68" s="2">
        <f t="shared" ref="AB68:AB126" si="22">IF(CN5=0,61,CN5)</f>
        <v>61</v>
      </c>
      <c r="AC68" s="2">
        <f t="shared" ref="AC68:AC126" si="23">IF(CO5=0,61,CO5)</f>
        <v>61</v>
      </c>
      <c r="AD68" s="2">
        <f t="shared" ref="AD68:AD126" si="24">IF(CP5=0,61,CP5)</f>
        <v>61</v>
      </c>
      <c r="AE68" s="2">
        <f t="shared" ref="AE68:AE126" si="25">IF(CQ5=0,61,CQ5)</f>
        <v>61</v>
      </c>
      <c r="AF68" s="2">
        <f t="shared" ref="AF68:AF126" si="26">IF(CR5=0,61,CR5)</f>
        <v>61</v>
      </c>
      <c r="AG68" s="2">
        <f t="shared" ref="AG68:AG126" si="27">IF(CS5=0,61,CS5)</f>
        <v>61</v>
      </c>
      <c r="AH68" s="2">
        <f t="shared" ref="AH68:AH126" si="28">IF(CT5=0,61,CT5)</f>
        <v>61</v>
      </c>
      <c r="AI68" s="2">
        <f t="shared" ref="AI68:AI126" si="29">IF(CU5=0,61,CU5)</f>
        <v>61</v>
      </c>
      <c r="AJ68" s="2">
        <f t="shared" ref="AJ68:AJ126" si="30">IF(CV5=0,61,CV5)</f>
        <v>61</v>
      </c>
      <c r="AK68" s="2">
        <f t="shared" ref="AK68:AK126" si="31">IF(CW5=0,61,CW5)</f>
        <v>61</v>
      </c>
      <c r="AL68" s="2">
        <f t="shared" ref="AL68:AL126" si="32">IF(CX5=0,61,CX5)</f>
        <v>61</v>
      </c>
      <c r="AM68" s="2">
        <f t="shared" ref="AM68:AM126" si="33">IF(CY5=0,61,CY5)</f>
        <v>61</v>
      </c>
      <c r="AN68" s="2">
        <f t="shared" ref="AN68:AN126" si="34">IF(CZ5=0,61,CZ5)</f>
        <v>61</v>
      </c>
      <c r="AO68" s="2">
        <f t="shared" ref="AO68:AO126" si="35">IF(DA5=0,61,DA5)</f>
        <v>61</v>
      </c>
      <c r="AP68" s="2">
        <f t="shared" ref="AP68:AP126" si="36">IF(DB5=0,61,DB5)</f>
        <v>61</v>
      </c>
      <c r="AQ68" s="2">
        <f t="shared" ref="AQ68:AQ126" si="37">IF(DC5=0,61,DC5)</f>
        <v>61</v>
      </c>
      <c r="AR68" s="2">
        <f t="shared" ref="AR68:AR126" si="38">IF(DD5=0,61,DD5)</f>
        <v>61</v>
      </c>
      <c r="AS68" s="2">
        <f t="shared" ref="AS68:AS126" si="39">IF(DE5=0,61,DE5)</f>
        <v>61</v>
      </c>
      <c r="AT68" s="2">
        <f t="shared" ref="AT68:AT126" si="40">IF(DF5=0,61,DF5)</f>
        <v>61</v>
      </c>
      <c r="AU68" s="2">
        <f t="shared" ref="AU68:AU126" si="41">IF(DG5=0,61,DG5)</f>
        <v>61</v>
      </c>
      <c r="AV68" s="2">
        <f t="shared" ref="AV68:AV126" si="42">IF(DH5=0,61,DH5)</f>
        <v>61</v>
      </c>
      <c r="AW68" s="2">
        <f t="shared" ref="AW68:AW126" si="43">IF(DI5=0,61,DI5)</f>
        <v>61</v>
      </c>
      <c r="AX68" s="2">
        <f t="shared" ref="AX68:AX126" si="44">IF(DJ5=0,61,DJ5)</f>
        <v>61</v>
      </c>
      <c r="AY68" s="2">
        <f t="shared" ref="AY68:AY126" si="45">IF(DK5=0,61,DK5)</f>
        <v>61</v>
      </c>
      <c r="AZ68" s="2">
        <f t="shared" ref="AZ68:AZ126" si="46">IF(DL5=0,61,DL5)</f>
        <v>61</v>
      </c>
      <c r="BA68" s="2">
        <f t="shared" ref="BA68:BA126" si="47">IF(DM5=0,61,DM5)</f>
        <v>61</v>
      </c>
      <c r="BB68" s="2">
        <f t="shared" ref="BB68:BB126" si="48">IF(DN5=0,61,DN5)</f>
        <v>61</v>
      </c>
      <c r="BC68" s="2">
        <f t="shared" ref="BC68:BC126" si="49">IF(DO5=0,61,DO5)</f>
        <v>61</v>
      </c>
      <c r="BD68" s="2">
        <f t="shared" ref="BD68:BD126" si="50">IF(DP5=0,61,DP5)</f>
        <v>61</v>
      </c>
      <c r="BE68" s="2">
        <f t="shared" ref="BE68:BE126" si="51">IF(DQ5=0,61,DQ5)</f>
        <v>61</v>
      </c>
      <c r="BF68" s="2">
        <f t="shared" ref="BF68:BF126" si="52">IF(DR5=0,61,DR5)</f>
        <v>61</v>
      </c>
      <c r="BG68" s="2">
        <f t="shared" ref="BG68:BG126" si="53">IF(DS5=0,61,DS5)</f>
        <v>61</v>
      </c>
      <c r="BH68" s="2">
        <f t="shared" ref="BH68:BH126" si="54">IF(DT5=0,61,DT5)</f>
        <v>61</v>
      </c>
      <c r="BI68" s="2">
        <f t="shared" ref="BI68:BI126" si="55">IF(DU5=0,61,DU5)</f>
        <v>61</v>
      </c>
      <c r="BJ68" s="2">
        <f t="shared" ref="BJ68:BJ126" si="56">IF(DV5=0,61,DV5)</f>
        <v>61</v>
      </c>
      <c r="BK68" s="2">
        <f t="shared" ref="BK68:BK126" si="57">IF(DW5=0,61,DW5)</f>
        <v>61</v>
      </c>
      <c r="BL68" s="2">
        <f t="shared" ref="BL68:BL126" si="58">IF(DX5=0,61,DX5)</f>
        <v>61</v>
      </c>
      <c r="BM68" s="2">
        <f t="shared" ref="BM68:BM126" si="59">IF(DY5=0,61,DY5)</f>
        <v>61</v>
      </c>
      <c r="BN68" s="2">
        <f t="shared" ref="BN68:BN126" si="60">IF(DZ5=0,61,DZ5)</f>
        <v>61</v>
      </c>
      <c r="BO68" s="2">
        <f t="shared" ref="BO68:BO126" si="61">IF(EA5=0,61,EA5)</f>
        <v>61</v>
      </c>
      <c r="BP68" s="2">
        <f t="shared" ref="BP68:BP126" si="62">IF(EB5=0,61,EB5)</f>
        <v>61</v>
      </c>
      <c r="BQ68" s="2">
        <f t="shared" ref="BQ68:BQ126" si="63">IF(EC5=0,61,EC5)</f>
        <v>61</v>
      </c>
      <c r="EH68" s="61"/>
      <c r="EI68" s="61"/>
    </row>
    <row r="69" spans="2:139" hidden="1" x14ac:dyDescent="0.3">
      <c r="B69" s="21" t="str">
        <f t="shared" si="2"/>
        <v/>
      </c>
      <c r="G69" s="2"/>
      <c r="H69" s="2"/>
      <c r="I69" s="2"/>
      <c r="J69" s="2">
        <f t="shared" si="4"/>
        <v>61</v>
      </c>
      <c r="K69" s="2">
        <f t="shared" si="5"/>
        <v>61</v>
      </c>
      <c r="L69" s="2">
        <f t="shared" si="6"/>
        <v>61</v>
      </c>
      <c r="M69" s="2">
        <f t="shared" si="7"/>
        <v>61</v>
      </c>
      <c r="N69" s="2">
        <f t="shared" si="8"/>
        <v>61</v>
      </c>
      <c r="O69" s="2">
        <f t="shared" si="9"/>
        <v>61</v>
      </c>
      <c r="P69" s="2">
        <f t="shared" si="10"/>
        <v>61</v>
      </c>
      <c r="Q69" s="2">
        <f t="shared" si="11"/>
        <v>61</v>
      </c>
      <c r="R69" s="2">
        <f t="shared" si="12"/>
        <v>61</v>
      </c>
      <c r="S69" s="2">
        <f t="shared" si="13"/>
        <v>61</v>
      </c>
      <c r="T69" s="2">
        <f t="shared" si="14"/>
        <v>61</v>
      </c>
      <c r="U69" s="2">
        <f t="shared" si="15"/>
        <v>61</v>
      </c>
      <c r="V69" s="2">
        <f t="shared" si="16"/>
        <v>61</v>
      </c>
      <c r="W69" s="2">
        <f t="shared" si="17"/>
        <v>61</v>
      </c>
      <c r="X69" s="2">
        <f t="shared" si="18"/>
        <v>61</v>
      </c>
      <c r="Y69" s="2">
        <f t="shared" si="19"/>
        <v>61</v>
      </c>
      <c r="Z69" s="2">
        <f t="shared" si="20"/>
        <v>61</v>
      </c>
      <c r="AA69" s="2">
        <f t="shared" si="21"/>
        <v>61</v>
      </c>
      <c r="AB69" s="2">
        <f t="shared" si="22"/>
        <v>61</v>
      </c>
      <c r="AC69" s="2">
        <f t="shared" si="23"/>
        <v>61</v>
      </c>
      <c r="AD69" s="2">
        <f t="shared" si="24"/>
        <v>61</v>
      </c>
      <c r="AE69" s="2">
        <f t="shared" si="25"/>
        <v>61</v>
      </c>
      <c r="AF69" s="2">
        <f t="shared" si="26"/>
        <v>61</v>
      </c>
      <c r="AG69" s="2">
        <f t="shared" si="27"/>
        <v>61</v>
      </c>
      <c r="AH69" s="2">
        <f t="shared" si="28"/>
        <v>61</v>
      </c>
      <c r="AI69" s="2">
        <f t="shared" si="29"/>
        <v>61</v>
      </c>
      <c r="AJ69" s="2">
        <f t="shared" si="30"/>
        <v>61</v>
      </c>
      <c r="AK69" s="2">
        <f t="shared" si="31"/>
        <v>61</v>
      </c>
      <c r="AL69" s="2">
        <f t="shared" si="32"/>
        <v>61</v>
      </c>
      <c r="AM69" s="2">
        <f t="shared" si="33"/>
        <v>61</v>
      </c>
      <c r="AN69" s="2">
        <f t="shared" si="34"/>
        <v>61</v>
      </c>
      <c r="AO69" s="2">
        <f t="shared" si="35"/>
        <v>61</v>
      </c>
      <c r="AP69" s="2">
        <f t="shared" si="36"/>
        <v>61</v>
      </c>
      <c r="AQ69" s="2">
        <f t="shared" si="37"/>
        <v>61</v>
      </c>
      <c r="AR69" s="2">
        <f t="shared" si="38"/>
        <v>61</v>
      </c>
      <c r="AS69" s="2">
        <f t="shared" si="39"/>
        <v>61</v>
      </c>
      <c r="AT69" s="2">
        <f t="shared" si="40"/>
        <v>61</v>
      </c>
      <c r="AU69" s="2">
        <f t="shared" si="41"/>
        <v>61</v>
      </c>
      <c r="AV69" s="2">
        <f t="shared" si="42"/>
        <v>61</v>
      </c>
      <c r="AW69" s="2">
        <f t="shared" si="43"/>
        <v>61</v>
      </c>
      <c r="AX69" s="2">
        <f t="shared" si="44"/>
        <v>61</v>
      </c>
      <c r="AY69" s="2">
        <f t="shared" si="45"/>
        <v>61</v>
      </c>
      <c r="AZ69" s="2">
        <f t="shared" si="46"/>
        <v>61</v>
      </c>
      <c r="BA69" s="2">
        <f t="shared" si="47"/>
        <v>61</v>
      </c>
      <c r="BB69" s="2">
        <f t="shared" si="48"/>
        <v>61</v>
      </c>
      <c r="BC69" s="2">
        <f t="shared" si="49"/>
        <v>61</v>
      </c>
      <c r="BD69" s="2">
        <f t="shared" si="50"/>
        <v>61</v>
      </c>
      <c r="BE69" s="2">
        <f t="shared" si="51"/>
        <v>61</v>
      </c>
      <c r="BF69" s="2">
        <f t="shared" si="52"/>
        <v>61</v>
      </c>
      <c r="BG69" s="2">
        <f t="shared" si="53"/>
        <v>61</v>
      </c>
      <c r="BH69" s="2">
        <f t="shared" si="54"/>
        <v>61</v>
      </c>
      <c r="BI69" s="2">
        <f t="shared" si="55"/>
        <v>61</v>
      </c>
      <c r="BJ69" s="2">
        <f t="shared" si="56"/>
        <v>61</v>
      </c>
      <c r="BK69" s="2">
        <f t="shared" si="57"/>
        <v>61</v>
      </c>
      <c r="BL69" s="2">
        <f t="shared" si="58"/>
        <v>61</v>
      </c>
      <c r="BM69" s="2">
        <f t="shared" si="59"/>
        <v>61</v>
      </c>
      <c r="BN69" s="2">
        <f t="shared" si="60"/>
        <v>61</v>
      </c>
      <c r="BO69" s="2">
        <f t="shared" si="61"/>
        <v>61</v>
      </c>
      <c r="BP69" s="2">
        <f t="shared" si="62"/>
        <v>61</v>
      </c>
      <c r="BQ69" s="2">
        <f t="shared" si="63"/>
        <v>61</v>
      </c>
      <c r="EH69" s="61"/>
      <c r="EI69" s="61"/>
    </row>
    <row r="70" spans="2:139" hidden="1" x14ac:dyDescent="0.3">
      <c r="B70" s="21" t="str">
        <f t="shared" si="2"/>
        <v/>
      </c>
      <c r="G70" s="2"/>
      <c r="H70" s="2"/>
      <c r="I70" s="2"/>
      <c r="J70" s="2">
        <f t="shared" si="4"/>
        <v>61</v>
      </c>
      <c r="K70" s="2">
        <f t="shared" si="5"/>
        <v>61</v>
      </c>
      <c r="L70" s="2">
        <f t="shared" si="6"/>
        <v>61</v>
      </c>
      <c r="M70" s="2">
        <f t="shared" si="7"/>
        <v>61</v>
      </c>
      <c r="N70" s="2">
        <f t="shared" si="8"/>
        <v>61</v>
      </c>
      <c r="O70" s="2">
        <f t="shared" si="9"/>
        <v>61</v>
      </c>
      <c r="P70" s="2">
        <f t="shared" si="10"/>
        <v>61</v>
      </c>
      <c r="Q70" s="2">
        <f t="shared" si="11"/>
        <v>61</v>
      </c>
      <c r="R70" s="2">
        <f t="shared" si="12"/>
        <v>61</v>
      </c>
      <c r="S70" s="2">
        <f t="shared" si="13"/>
        <v>61</v>
      </c>
      <c r="T70" s="2">
        <f t="shared" si="14"/>
        <v>61</v>
      </c>
      <c r="U70" s="2">
        <f t="shared" si="15"/>
        <v>61</v>
      </c>
      <c r="V70" s="2">
        <f t="shared" si="16"/>
        <v>61</v>
      </c>
      <c r="W70" s="2">
        <f t="shared" si="17"/>
        <v>61</v>
      </c>
      <c r="X70" s="2">
        <f t="shared" si="18"/>
        <v>61</v>
      </c>
      <c r="Y70" s="2">
        <f t="shared" si="19"/>
        <v>61</v>
      </c>
      <c r="Z70" s="2">
        <f t="shared" si="20"/>
        <v>61</v>
      </c>
      <c r="AA70" s="2">
        <f t="shared" si="21"/>
        <v>61</v>
      </c>
      <c r="AB70" s="2">
        <f t="shared" si="22"/>
        <v>61</v>
      </c>
      <c r="AC70" s="2">
        <f t="shared" si="23"/>
        <v>61</v>
      </c>
      <c r="AD70" s="2">
        <f t="shared" si="24"/>
        <v>61</v>
      </c>
      <c r="AE70" s="2">
        <f t="shared" si="25"/>
        <v>61</v>
      </c>
      <c r="AF70" s="2">
        <f t="shared" si="26"/>
        <v>61</v>
      </c>
      <c r="AG70" s="2">
        <f t="shared" si="27"/>
        <v>61</v>
      </c>
      <c r="AH70" s="2">
        <f t="shared" si="28"/>
        <v>61</v>
      </c>
      <c r="AI70" s="2">
        <f t="shared" si="29"/>
        <v>61</v>
      </c>
      <c r="AJ70" s="2">
        <f t="shared" si="30"/>
        <v>61</v>
      </c>
      <c r="AK70" s="2">
        <f t="shared" si="31"/>
        <v>61</v>
      </c>
      <c r="AL70" s="2">
        <f t="shared" si="32"/>
        <v>61</v>
      </c>
      <c r="AM70" s="2">
        <f t="shared" si="33"/>
        <v>61</v>
      </c>
      <c r="AN70" s="2">
        <f t="shared" si="34"/>
        <v>61</v>
      </c>
      <c r="AO70" s="2">
        <f t="shared" si="35"/>
        <v>61</v>
      </c>
      <c r="AP70" s="2">
        <f t="shared" si="36"/>
        <v>61</v>
      </c>
      <c r="AQ70" s="2">
        <f t="shared" si="37"/>
        <v>61</v>
      </c>
      <c r="AR70" s="2">
        <f t="shared" si="38"/>
        <v>61</v>
      </c>
      <c r="AS70" s="2">
        <f t="shared" si="39"/>
        <v>61</v>
      </c>
      <c r="AT70" s="2">
        <f t="shared" si="40"/>
        <v>61</v>
      </c>
      <c r="AU70" s="2">
        <f t="shared" si="41"/>
        <v>61</v>
      </c>
      <c r="AV70" s="2">
        <f t="shared" si="42"/>
        <v>61</v>
      </c>
      <c r="AW70" s="2">
        <f t="shared" si="43"/>
        <v>61</v>
      </c>
      <c r="AX70" s="2">
        <f t="shared" si="44"/>
        <v>61</v>
      </c>
      <c r="AY70" s="2">
        <f t="shared" si="45"/>
        <v>61</v>
      </c>
      <c r="AZ70" s="2">
        <f t="shared" si="46"/>
        <v>61</v>
      </c>
      <c r="BA70" s="2">
        <f t="shared" si="47"/>
        <v>61</v>
      </c>
      <c r="BB70" s="2">
        <f t="shared" si="48"/>
        <v>61</v>
      </c>
      <c r="BC70" s="2">
        <f t="shared" si="49"/>
        <v>61</v>
      </c>
      <c r="BD70" s="2">
        <f t="shared" si="50"/>
        <v>61</v>
      </c>
      <c r="BE70" s="2">
        <f t="shared" si="51"/>
        <v>61</v>
      </c>
      <c r="BF70" s="2">
        <f t="shared" si="52"/>
        <v>61</v>
      </c>
      <c r="BG70" s="2">
        <f t="shared" si="53"/>
        <v>61</v>
      </c>
      <c r="BH70" s="2">
        <f t="shared" si="54"/>
        <v>61</v>
      </c>
      <c r="BI70" s="2">
        <f t="shared" si="55"/>
        <v>61</v>
      </c>
      <c r="BJ70" s="2">
        <f t="shared" si="56"/>
        <v>61</v>
      </c>
      <c r="BK70" s="2">
        <f t="shared" si="57"/>
        <v>61</v>
      </c>
      <c r="BL70" s="2">
        <f t="shared" si="58"/>
        <v>61</v>
      </c>
      <c r="BM70" s="2">
        <f t="shared" si="59"/>
        <v>61</v>
      </c>
      <c r="BN70" s="2">
        <f t="shared" si="60"/>
        <v>61</v>
      </c>
      <c r="BO70" s="2">
        <f t="shared" si="61"/>
        <v>61</v>
      </c>
      <c r="BP70" s="2">
        <f t="shared" si="62"/>
        <v>61</v>
      </c>
      <c r="BQ70" s="2">
        <f t="shared" si="63"/>
        <v>61</v>
      </c>
    </row>
    <row r="71" spans="2:139" hidden="1" x14ac:dyDescent="0.3">
      <c r="B71" s="21" t="str">
        <f t="shared" si="2"/>
        <v/>
      </c>
      <c r="G71" s="2"/>
      <c r="H71" s="2"/>
      <c r="I71" s="2"/>
      <c r="J71" s="2">
        <f t="shared" si="4"/>
        <v>61</v>
      </c>
      <c r="K71" s="2">
        <f t="shared" si="5"/>
        <v>61</v>
      </c>
      <c r="L71" s="2">
        <f t="shared" si="6"/>
        <v>61</v>
      </c>
      <c r="M71" s="2">
        <f t="shared" si="7"/>
        <v>61</v>
      </c>
      <c r="N71" s="2">
        <f t="shared" si="8"/>
        <v>61</v>
      </c>
      <c r="O71" s="2">
        <f t="shared" si="9"/>
        <v>61</v>
      </c>
      <c r="P71" s="2">
        <f t="shared" si="10"/>
        <v>61</v>
      </c>
      <c r="Q71" s="2">
        <f t="shared" si="11"/>
        <v>61</v>
      </c>
      <c r="R71" s="2">
        <f t="shared" si="12"/>
        <v>61</v>
      </c>
      <c r="S71" s="2">
        <f t="shared" si="13"/>
        <v>61</v>
      </c>
      <c r="T71" s="2">
        <f t="shared" si="14"/>
        <v>61</v>
      </c>
      <c r="U71" s="2">
        <f t="shared" si="15"/>
        <v>61</v>
      </c>
      <c r="V71" s="2">
        <f t="shared" si="16"/>
        <v>61</v>
      </c>
      <c r="W71" s="2">
        <f t="shared" si="17"/>
        <v>61</v>
      </c>
      <c r="X71" s="2">
        <f t="shared" si="18"/>
        <v>61</v>
      </c>
      <c r="Y71" s="2">
        <f t="shared" si="19"/>
        <v>61</v>
      </c>
      <c r="Z71" s="2">
        <f t="shared" si="20"/>
        <v>61</v>
      </c>
      <c r="AA71" s="2">
        <f t="shared" si="21"/>
        <v>61</v>
      </c>
      <c r="AB71" s="2">
        <f t="shared" si="22"/>
        <v>61</v>
      </c>
      <c r="AC71" s="2">
        <f t="shared" si="23"/>
        <v>61</v>
      </c>
      <c r="AD71" s="2">
        <f t="shared" si="24"/>
        <v>61</v>
      </c>
      <c r="AE71" s="2">
        <f t="shared" si="25"/>
        <v>61</v>
      </c>
      <c r="AF71" s="2">
        <f t="shared" si="26"/>
        <v>61</v>
      </c>
      <c r="AG71" s="2">
        <f t="shared" si="27"/>
        <v>61</v>
      </c>
      <c r="AH71" s="2">
        <f t="shared" si="28"/>
        <v>61</v>
      </c>
      <c r="AI71" s="2">
        <f t="shared" si="29"/>
        <v>61</v>
      </c>
      <c r="AJ71" s="2">
        <f t="shared" si="30"/>
        <v>61</v>
      </c>
      <c r="AK71" s="2">
        <f t="shared" si="31"/>
        <v>61</v>
      </c>
      <c r="AL71" s="2">
        <f t="shared" si="32"/>
        <v>61</v>
      </c>
      <c r="AM71" s="2">
        <f t="shared" si="33"/>
        <v>61</v>
      </c>
      <c r="AN71" s="2">
        <f t="shared" si="34"/>
        <v>61</v>
      </c>
      <c r="AO71" s="2">
        <f t="shared" si="35"/>
        <v>61</v>
      </c>
      <c r="AP71" s="2">
        <f t="shared" si="36"/>
        <v>61</v>
      </c>
      <c r="AQ71" s="2">
        <f t="shared" si="37"/>
        <v>61</v>
      </c>
      <c r="AR71" s="2">
        <f t="shared" si="38"/>
        <v>61</v>
      </c>
      <c r="AS71" s="2">
        <f t="shared" si="39"/>
        <v>61</v>
      </c>
      <c r="AT71" s="2">
        <f t="shared" si="40"/>
        <v>61</v>
      </c>
      <c r="AU71" s="2">
        <f t="shared" si="41"/>
        <v>61</v>
      </c>
      <c r="AV71" s="2">
        <f t="shared" si="42"/>
        <v>61</v>
      </c>
      <c r="AW71" s="2">
        <f t="shared" si="43"/>
        <v>61</v>
      </c>
      <c r="AX71" s="2">
        <f t="shared" si="44"/>
        <v>61</v>
      </c>
      <c r="AY71" s="2">
        <f t="shared" si="45"/>
        <v>61</v>
      </c>
      <c r="AZ71" s="2">
        <f t="shared" si="46"/>
        <v>61</v>
      </c>
      <c r="BA71" s="2">
        <f t="shared" si="47"/>
        <v>61</v>
      </c>
      <c r="BB71" s="2">
        <f t="shared" si="48"/>
        <v>61</v>
      </c>
      <c r="BC71" s="2">
        <f t="shared" si="49"/>
        <v>61</v>
      </c>
      <c r="BD71" s="2">
        <f t="shared" si="50"/>
        <v>61</v>
      </c>
      <c r="BE71" s="2">
        <f t="shared" si="51"/>
        <v>61</v>
      </c>
      <c r="BF71" s="2">
        <f t="shared" si="52"/>
        <v>61</v>
      </c>
      <c r="BG71" s="2">
        <f t="shared" si="53"/>
        <v>61</v>
      </c>
      <c r="BH71" s="2">
        <f t="shared" si="54"/>
        <v>61</v>
      </c>
      <c r="BI71" s="2">
        <f t="shared" si="55"/>
        <v>61</v>
      </c>
      <c r="BJ71" s="2">
        <f t="shared" si="56"/>
        <v>61</v>
      </c>
      <c r="BK71" s="2">
        <f t="shared" si="57"/>
        <v>61</v>
      </c>
      <c r="BL71" s="2">
        <f t="shared" si="58"/>
        <v>61</v>
      </c>
      <c r="BM71" s="2">
        <f t="shared" si="59"/>
        <v>61</v>
      </c>
      <c r="BN71" s="2">
        <f t="shared" si="60"/>
        <v>61</v>
      </c>
      <c r="BO71" s="2">
        <f t="shared" si="61"/>
        <v>61</v>
      </c>
      <c r="BP71" s="2">
        <f t="shared" si="62"/>
        <v>61</v>
      </c>
      <c r="BQ71" s="2">
        <f t="shared" si="63"/>
        <v>61</v>
      </c>
    </row>
    <row r="72" spans="2:139" hidden="1" x14ac:dyDescent="0.3">
      <c r="B72" s="21" t="str">
        <f t="shared" si="2"/>
        <v/>
      </c>
      <c r="G72" s="2"/>
      <c r="H72" s="2"/>
      <c r="I72" s="2"/>
      <c r="J72" s="2">
        <f t="shared" si="4"/>
        <v>61</v>
      </c>
      <c r="K72" s="2">
        <f t="shared" si="5"/>
        <v>61</v>
      </c>
      <c r="L72" s="2">
        <f t="shared" si="6"/>
        <v>61</v>
      </c>
      <c r="M72" s="2">
        <f t="shared" si="7"/>
        <v>61</v>
      </c>
      <c r="N72" s="2">
        <f t="shared" si="8"/>
        <v>61</v>
      </c>
      <c r="O72" s="2">
        <f t="shared" si="9"/>
        <v>61</v>
      </c>
      <c r="P72" s="2">
        <f t="shared" si="10"/>
        <v>61</v>
      </c>
      <c r="Q72" s="2">
        <f t="shared" si="11"/>
        <v>61</v>
      </c>
      <c r="R72" s="2">
        <f t="shared" si="12"/>
        <v>61</v>
      </c>
      <c r="S72" s="2">
        <f t="shared" si="13"/>
        <v>61</v>
      </c>
      <c r="T72" s="2">
        <f t="shared" si="14"/>
        <v>61</v>
      </c>
      <c r="U72" s="2">
        <f t="shared" si="15"/>
        <v>61</v>
      </c>
      <c r="V72" s="2">
        <f t="shared" si="16"/>
        <v>61</v>
      </c>
      <c r="W72" s="2">
        <f t="shared" si="17"/>
        <v>61</v>
      </c>
      <c r="X72" s="2">
        <f t="shared" si="18"/>
        <v>61</v>
      </c>
      <c r="Y72" s="2">
        <f t="shared" si="19"/>
        <v>61</v>
      </c>
      <c r="Z72" s="2">
        <f t="shared" si="20"/>
        <v>61</v>
      </c>
      <c r="AA72" s="2">
        <f t="shared" si="21"/>
        <v>61</v>
      </c>
      <c r="AB72" s="2">
        <f t="shared" si="22"/>
        <v>61</v>
      </c>
      <c r="AC72" s="2">
        <f t="shared" si="23"/>
        <v>61</v>
      </c>
      <c r="AD72" s="2">
        <f t="shared" si="24"/>
        <v>61</v>
      </c>
      <c r="AE72" s="2">
        <f t="shared" si="25"/>
        <v>61</v>
      </c>
      <c r="AF72" s="2">
        <f t="shared" si="26"/>
        <v>61</v>
      </c>
      <c r="AG72" s="2">
        <f t="shared" si="27"/>
        <v>61</v>
      </c>
      <c r="AH72" s="2">
        <f t="shared" si="28"/>
        <v>61</v>
      </c>
      <c r="AI72" s="2">
        <f t="shared" si="29"/>
        <v>61</v>
      </c>
      <c r="AJ72" s="2">
        <f t="shared" si="30"/>
        <v>61</v>
      </c>
      <c r="AK72" s="2">
        <f t="shared" si="31"/>
        <v>61</v>
      </c>
      <c r="AL72" s="2">
        <f t="shared" si="32"/>
        <v>61</v>
      </c>
      <c r="AM72" s="2">
        <f t="shared" si="33"/>
        <v>61</v>
      </c>
      <c r="AN72" s="2">
        <f t="shared" si="34"/>
        <v>61</v>
      </c>
      <c r="AO72" s="2">
        <f t="shared" si="35"/>
        <v>61</v>
      </c>
      <c r="AP72" s="2">
        <f t="shared" si="36"/>
        <v>61</v>
      </c>
      <c r="AQ72" s="2">
        <f t="shared" si="37"/>
        <v>61</v>
      </c>
      <c r="AR72" s="2">
        <f t="shared" si="38"/>
        <v>61</v>
      </c>
      <c r="AS72" s="2">
        <f t="shared" si="39"/>
        <v>61</v>
      </c>
      <c r="AT72" s="2">
        <f t="shared" si="40"/>
        <v>61</v>
      </c>
      <c r="AU72" s="2">
        <f t="shared" si="41"/>
        <v>61</v>
      </c>
      <c r="AV72" s="2">
        <f t="shared" si="42"/>
        <v>61</v>
      </c>
      <c r="AW72" s="2">
        <f t="shared" si="43"/>
        <v>61</v>
      </c>
      <c r="AX72" s="2">
        <f t="shared" si="44"/>
        <v>61</v>
      </c>
      <c r="AY72" s="2">
        <f t="shared" si="45"/>
        <v>61</v>
      </c>
      <c r="AZ72" s="2">
        <f t="shared" si="46"/>
        <v>61</v>
      </c>
      <c r="BA72" s="2">
        <f t="shared" si="47"/>
        <v>61</v>
      </c>
      <c r="BB72" s="2">
        <f t="shared" si="48"/>
        <v>61</v>
      </c>
      <c r="BC72" s="2">
        <f t="shared" si="49"/>
        <v>61</v>
      </c>
      <c r="BD72" s="2">
        <f t="shared" si="50"/>
        <v>61</v>
      </c>
      <c r="BE72" s="2">
        <f t="shared" si="51"/>
        <v>61</v>
      </c>
      <c r="BF72" s="2">
        <f t="shared" si="52"/>
        <v>61</v>
      </c>
      <c r="BG72" s="2">
        <f t="shared" si="53"/>
        <v>61</v>
      </c>
      <c r="BH72" s="2">
        <f t="shared" si="54"/>
        <v>61</v>
      </c>
      <c r="BI72" s="2">
        <f t="shared" si="55"/>
        <v>61</v>
      </c>
      <c r="BJ72" s="2">
        <f t="shared" si="56"/>
        <v>61</v>
      </c>
      <c r="BK72" s="2">
        <f t="shared" si="57"/>
        <v>61</v>
      </c>
      <c r="BL72" s="2">
        <f t="shared" si="58"/>
        <v>61</v>
      </c>
      <c r="BM72" s="2">
        <f t="shared" si="59"/>
        <v>61</v>
      </c>
      <c r="BN72" s="2">
        <f t="shared" si="60"/>
        <v>61</v>
      </c>
      <c r="BO72" s="2">
        <f t="shared" si="61"/>
        <v>61</v>
      </c>
      <c r="BP72" s="2">
        <f t="shared" si="62"/>
        <v>61</v>
      </c>
      <c r="BQ72" s="2">
        <f t="shared" si="63"/>
        <v>61</v>
      </c>
    </row>
    <row r="73" spans="2:139" hidden="1" x14ac:dyDescent="0.3">
      <c r="B73" s="21" t="str">
        <f t="shared" si="2"/>
        <v/>
      </c>
      <c r="G73" s="2"/>
      <c r="H73" s="2"/>
      <c r="I73" s="2"/>
      <c r="J73" s="2">
        <f t="shared" si="4"/>
        <v>61</v>
      </c>
      <c r="K73" s="2">
        <f t="shared" si="5"/>
        <v>61</v>
      </c>
      <c r="L73" s="2">
        <f t="shared" si="6"/>
        <v>61</v>
      </c>
      <c r="M73" s="2">
        <f t="shared" si="7"/>
        <v>61</v>
      </c>
      <c r="N73" s="2">
        <f t="shared" si="8"/>
        <v>61</v>
      </c>
      <c r="O73" s="2">
        <f t="shared" si="9"/>
        <v>61</v>
      </c>
      <c r="P73" s="2">
        <f t="shared" si="10"/>
        <v>61</v>
      </c>
      <c r="Q73" s="2">
        <f t="shared" si="11"/>
        <v>61</v>
      </c>
      <c r="R73" s="2">
        <f t="shared" si="12"/>
        <v>61</v>
      </c>
      <c r="S73" s="2">
        <f t="shared" si="13"/>
        <v>61</v>
      </c>
      <c r="T73" s="2">
        <f t="shared" si="14"/>
        <v>61</v>
      </c>
      <c r="U73" s="2">
        <f t="shared" si="15"/>
        <v>61</v>
      </c>
      <c r="V73" s="2">
        <f t="shared" si="16"/>
        <v>61</v>
      </c>
      <c r="W73" s="2">
        <f t="shared" si="17"/>
        <v>61</v>
      </c>
      <c r="X73" s="2">
        <f t="shared" si="18"/>
        <v>61</v>
      </c>
      <c r="Y73" s="2">
        <f t="shared" si="19"/>
        <v>61</v>
      </c>
      <c r="Z73" s="2">
        <f t="shared" si="20"/>
        <v>61</v>
      </c>
      <c r="AA73" s="2">
        <f t="shared" si="21"/>
        <v>61</v>
      </c>
      <c r="AB73" s="2">
        <f t="shared" si="22"/>
        <v>61</v>
      </c>
      <c r="AC73" s="2">
        <f t="shared" si="23"/>
        <v>61</v>
      </c>
      <c r="AD73" s="2">
        <f t="shared" si="24"/>
        <v>61</v>
      </c>
      <c r="AE73" s="2">
        <f t="shared" si="25"/>
        <v>61</v>
      </c>
      <c r="AF73" s="2">
        <f t="shared" si="26"/>
        <v>61</v>
      </c>
      <c r="AG73" s="2">
        <f t="shared" si="27"/>
        <v>61</v>
      </c>
      <c r="AH73" s="2">
        <f t="shared" si="28"/>
        <v>61</v>
      </c>
      <c r="AI73" s="2">
        <f t="shared" si="29"/>
        <v>61</v>
      </c>
      <c r="AJ73" s="2">
        <f t="shared" si="30"/>
        <v>61</v>
      </c>
      <c r="AK73" s="2">
        <f t="shared" si="31"/>
        <v>61</v>
      </c>
      <c r="AL73" s="2">
        <f t="shared" si="32"/>
        <v>61</v>
      </c>
      <c r="AM73" s="2">
        <f t="shared" si="33"/>
        <v>61</v>
      </c>
      <c r="AN73" s="2">
        <f t="shared" si="34"/>
        <v>61</v>
      </c>
      <c r="AO73" s="2">
        <f t="shared" si="35"/>
        <v>61</v>
      </c>
      <c r="AP73" s="2">
        <f t="shared" si="36"/>
        <v>61</v>
      </c>
      <c r="AQ73" s="2">
        <f t="shared" si="37"/>
        <v>61</v>
      </c>
      <c r="AR73" s="2">
        <f t="shared" si="38"/>
        <v>61</v>
      </c>
      <c r="AS73" s="2">
        <f t="shared" si="39"/>
        <v>61</v>
      </c>
      <c r="AT73" s="2">
        <f t="shared" si="40"/>
        <v>61</v>
      </c>
      <c r="AU73" s="2">
        <f t="shared" si="41"/>
        <v>61</v>
      </c>
      <c r="AV73" s="2">
        <f t="shared" si="42"/>
        <v>61</v>
      </c>
      <c r="AW73" s="2">
        <f t="shared" si="43"/>
        <v>61</v>
      </c>
      <c r="AX73" s="2">
        <f t="shared" si="44"/>
        <v>61</v>
      </c>
      <c r="AY73" s="2">
        <f t="shared" si="45"/>
        <v>61</v>
      </c>
      <c r="AZ73" s="2">
        <f t="shared" si="46"/>
        <v>61</v>
      </c>
      <c r="BA73" s="2">
        <f t="shared" si="47"/>
        <v>61</v>
      </c>
      <c r="BB73" s="2">
        <f t="shared" si="48"/>
        <v>61</v>
      </c>
      <c r="BC73" s="2">
        <f t="shared" si="49"/>
        <v>61</v>
      </c>
      <c r="BD73" s="2">
        <f t="shared" si="50"/>
        <v>61</v>
      </c>
      <c r="BE73" s="2">
        <f t="shared" si="51"/>
        <v>61</v>
      </c>
      <c r="BF73" s="2">
        <f t="shared" si="52"/>
        <v>61</v>
      </c>
      <c r="BG73" s="2">
        <f t="shared" si="53"/>
        <v>61</v>
      </c>
      <c r="BH73" s="2">
        <f t="shared" si="54"/>
        <v>61</v>
      </c>
      <c r="BI73" s="2">
        <f t="shared" si="55"/>
        <v>61</v>
      </c>
      <c r="BJ73" s="2">
        <f t="shared" si="56"/>
        <v>61</v>
      </c>
      <c r="BK73" s="2">
        <f t="shared" si="57"/>
        <v>61</v>
      </c>
      <c r="BL73" s="2">
        <f t="shared" si="58"/>
        <v>61</v>
      </c>
      <c r="BM73" s="2">
        <f t="shared" si="59"/>
        <v>61</v>
      </c>
      <c r="BN73" s="2">
        <f t="shared" si="60"/>
        <v>61</v>
      </c>
      <c r="BO73" s="2">
        <f t="shared" si="61"/>
        <v>61</v>
      </c>
      <c r="BP73" s="2">
        <f t="shared" si="62"/>
        <v>61</v>
      </c>
      <c r="BQ73" s="2">
        <f t="shared" si="63"/>
        <v>61</v>
      </c>
    </row>
    <row r="74" spans="2:139" hidden="1" x14ac:dyDescent="0.3">
      <c r="B74" s="21" t="str">
        <f t="shared" si="2"/>
        <v/>
      </c>
      <c r="G74" s="2"/>
      <c r="H74" s="2"/>
      <c r="I74" s="2"/>
      <c r="J74" s="2">
        <f t="shared" si="4"/>
        <v>61</v>
      </c>
      <c r="K74" s="2">
        <f t="shared" si="5"/>
        <v>61</v>
      </c>
      <c r="L74" s="2">
        <f t="shared" si="6"/>
        <v>61</v>
      </c>
      <c r="M74" s="2">
        <f t="shared" si="7"/>
        <v>61</v>
      </c>
      <c r="N74" s="2">
        <f t="shared" si="8"/>
        <v>61</v>
      </c>
      <c r="O74" s="2">
        <f t="shared" si="9"/>
        <v>61</v>
      </c>
      <c r="P74" s="2">
        <f t="shared" si="10"/>
        <v>61</v>
      </c>
      <c r="Q74" s="2">
        <f t="shared" si="11"/>
        <v>61</v>
      </c>
      <c r="R74" s="2">
        <f t="shared" si="12"/>
        <v>61</v>
      </c>
      <c r="S74" s="2">
        <f t="shared" si="13"/>
        <v>61</v>
      </c>
      <c r="T74" s="2">
        <f t="shared" si="14"/>
        <v>61</v>
      </c>
      <c r="U74" s="2">
        <f t="shared" si="15"/>
        <v>61</v>
      </c>
      <c r="V74" s="2">
        <f t="shared" si="16"/>
        <v>61</v>
      </c>
      <c r="W74" s="2">
        <f t="shared" si="17"/>
        <v>61</v>
      </c>
      <c r="X74" s="2">
        <f t="shared" si="18"/>
        <v>61</v>
      </c>
      <c r="Y74" s="2">
        <f t="shared" si="19"/>
        <v>61</v>
      </c>
      <c r="Z74" s="2">
        <f t="shared" si="20"/>
        <v>61</v>
      </c>
      <c r="AA74" s="2">
        <f t="shared" si="21"/>
        <v>61</v>
      </c>
      <c r="AB74" s="2">
        <f t="shared" si="22"/>
        <v>61</v>
      </c>
      <c r="AC74" s="2">
        <f t="shared" si="23"/>
        <v>61</v>
      </c>
      <c r="AD74" s="2">
        <f t="shared" si="24"/>
        <v>61</v>
      </c>
      <c r="AE74" s="2">
        <f t="shared" si="25"/>
        <v>61</v>
      </c>
      <c r="AF74" s="2">
        <f t="shared" si="26"/>
        <v>61</v>
      </c>
      <c r="AG74" s="2">
        <f t="shared" si="27"/>
        <v>61</v>
      </c>
      <c r="AH74" s="2">
        <f t="shared" si="28"/>
        <v>61</v>
      </c>
      <c r="AI74" s="2">
        <f t="shared" si="29"/>
        <v>61</v>
      </c>
      <c r="AJ74" s="2">
        <f t="shared" si="30"/>
        <v>61</v>
      </c>
      <c r="AK74" s="2">
        <f t="shared" si="31"/>
        <v>61</v>
      </c>
      <c r="AL74" s="2">
        <f t="shared" si="32"/>
        <v>61</v>
      </c>
      <c r="AM74" s="2">
        <f t="shared" si="33"/>
        <v>61</v>
      </c>
      <c r="AN74" s="2">
        <f t="shared" si="34"/>
        <v>61</v>
      </c>
      <c r="AO74" s="2">
        <f t="shared" si="35"/>
        <v>61</v>
      </c>
      <c r="AP74" s="2">
        <f t="shared" si="36"/>
        <v>61</v>
      </c>
      <c r="AQ74" s="2">
        <f t="shared" si="37"/>
        <v>61</v>
      </c>
      <c r="AR74" s="2">
        <f t="shared" si="38"/>
        <v>61</v>
      </c>
      <c r="AS74" s="2">
        <f t="shared" si="39"/>
        <v>61</v>
      </c>
      <c r="AT74" s="2">
        <f t="shared" si="40"/>
        <v>61</v>
      </c>
      <c r="AU74" s="2">
        <f t="shared" si="41"/>
        <v>61</v>
      </c>
      <c r="AV74" s="2">
        <f t="shared" si="42"/>
        <v>61</v>
      </c>
      <c r="AW74" s="2">
        <f t="shared" si="43"/>
        <v>61</v>
      </c>
      <c r="AX74" s="2">
        <f t="shared" si="44"/>
        <v>61</v>
      </c>
      <c r="AY74" s="2">
        <f t="shared" si="45"/>
        <v>61</v>
      </c>
      <c r="AZ74" s="2">
        <f t="shared" si="46"/>
        <v>61</v>
      </c>
      <c r="BA74" s="2">
        <f t="shared" si="47"/>
        <v>61</v>
      </c>
      <c r="BB74" s="2">
        <f t="shared" si="48"/>
        <v>61</v>
      </c>
      <c r="BC74" s="2">
        <f t="shared" si="49"/>
        <v>61</v>
      </c>
      <c r="BD74" s="2">
        <f t="shared" si="50"/>
        <v>61</v>
      </c>
      <c r="BE74" s="2">
        <f t="shared" si="51"/>
        <v>61</v>
      </c>
      <c r="BF74" s="2">
        <f t="shared" si="52"/>
        <v>61</v>
      </c>
      <c r="BG74" s="2">
        <f t="shared" si="53"/>
        <v>61</v>
      </c>
      <c r="BH74" s="2">
        <f t="shared" si="54"/>
        <v>61</v>
      </c>
      <c r="BI74" s="2">
        <f t="shared" si="55"/>
        <v>61</v>
      </c>
      <c r="BJ74" s="2">
        <f t="shared" si="56"/>
        <v>61</v>
      </c>
      <c r="BK74" s="2">
        <f t="shared" si="57"/>
        <v>61</v>
      </c>
      <c r="BL74" s="2">
        <f t="shared" si="58"/>
        <v>61</v>
      </c>
      <c r="BM74" s="2">
        <f t="shared" si="59"/>
        <v>61</v>
      </c>
      <c r="BN74" s="2">
        <f t="shared" si="60"/>
        <v>61</v>
      </c>
      <c r="BO74" s="2">
        <f t="shared" si="61"/>
        <v>61</v>
      </c>
      <c r="BP74" s="2">
        <f t="shared" si="62"/>
        <v>61</v>
      </c>
      <c r="BQ74" s="2">
        <f t="shared" si="63"/>
        <v>61</v>
      </c>
    </row>
    <row r="75" spans="2:139" hidden="1" x14ac:dyDescent="0.3">
      <c r="B75" s="21" t="str">
        <f t="shared" si="2"/>
        <v/>
      </c>
      <c r="G75" s="2"/>
      <c r="H75" s="2"/>
      <c r="I75" s="2"/>
      <c r="J75" s="2">
        <f t="shared" si="4"/>
        <v>61</v>
      </c>
      <c r="K75" s="2">
        <f t="shared" si="5"/>
        <v>61</v>
      </c>
      <c r="L75" s="2">
        <f t="shared" si="6"/>
        <v>61</v>
      </c>
      <c r="M75" s="2">
        <f t="shared" si="7"/>
        <v>61</v>
      </c>
      <c r="N75" s="2">
        <f t="shared" si="8"/>
        <v>61</v>
      </c>
      <c r="O75" s="2">
        <f t="shared" si="9"/>
        <v>61</v>
      </c>
      <c r="P75" s="2">
        <f t="shared" si="10"/>
        <v>61</v>
      </c>
      <c r="Q75" s="2">
        <f t="shared" si="11"/>
        <v>61</v>
      </c>
      <c r="R75" s="2">
        <f t="shared" si="12"/>
        <v>61</v>
      </c>
      <c r="S75" s="2">
        <f t="shared" si="13"/>
        <v>61</v>
      </c>
      <c r="T75" s="2">
        <f t="shared" si="14"/>
        <v>61</v>
      </c>
      <c r="U75" s="2">
        <f t="shared" si="15"/>
        <v>61</v>
      </c>
      <c r="V75" s="2">
        <f t="shared" si="16"/>
        <v>61</v>
      </c>
      <c r="W75" s="2">
        <f t="shared" si="17"/>
        <v>61</v>
      </c>
      <c r="X75" s="2">
        <f t="shared" si="18"/>
        <v>61</v>
      </c>
      <c r="Y75" s="2">
        <f t="shared" si="19"/>
        <v>61</v>
      </c>
      <c r="Z75" s="2">
        <f t="shared" si="20"/>
        <v>61</v>
      </c>
      <c r="AA75" s="2">
        <f t="shared" si="21"/>
        <v>61</v>
      </c>
      <c r="AB75" s="2">
        <f t="shared" si="22"/>
        <v>61</v>
      </c>
      <c r="AC75" s="2">
        <f t="shared" si="23"/>
        <v>61</v>
      </c>
      <c r="AD75" s="2">
        <f t="shared" si="24"/>
        <v>61</v>
      </c>
      <c r="AE75" s="2">
        <f t="shared" si="25"/>
        <v>61</v>
      </c>
      <c r="AF75" s="2">
        <f t="shared" si="26"/>
        <v>61</v>
      </c>
      <c r="AG75" s="2">
        <f t="shared" si="27"/>
        <v>61</v>
      </c>
      <c r="AH75" s="2">
        <f t="shared" si="28"/>
        <v>61</v>
      </c>
      <c r="AI75" s="2">
        <f t="shared" si="29"/>
        <v>61</v>
      </c>
      <c r="AJ75" s="2">
        <f t="shared" si="30"/>
        <v>61</v>
      </c>
      <c r="AK75" s="2">
        <f t="shared" si="31"/>
        <v>61</v>
      </c>
      <c r="AL75" s="2">
        <f t="shared" si="32"/>
        <v>61</v>
      </c>
      <c r="AM75" s="2">
        <f t="shared" si="33"/>
        <v>61</v>
      </c>
      <c r="AN75" s="2">
        <f t="shared" si="34"/>
        <v>61</v>
      </c>
      <c r="AO75" s="2">
        <f t="shared" si="35"/>
        <v>61</v>
      </c>
      <c r="AP75" s="2">
        <f t="shared" si="36"/>
        <v>61</v>
      </c>
      <c r="AQ75" s="2">
        <f t="shared" si="37"/>
        <v>61</v>
      </c>
      <c r="AR75" s="2">
        <f t="shared" si="38"/>
        <v>61</v>
      </c>
      <c r="AS75" s="2">
        <f t="shared" si="39"/>
        <v>61</v>
      </c>
      <c r="AT75" s="2">
        <f t="shared" si="40"/>
        <v>61</v>
      </c>
      <c r="AU75" s="2">
        <f t="shared" si="41"/>
        <v>61</v>
      </c>
      <c r="AV75" s="2">
        <f t="shared" si="42"/>
        <v>61</v>
      </c>
      <c r="AW75" s="2">
        <f t="shared" si="43"/>
        <v>61</v>
      </c>
      <c r="AX75" s="2">
        <f t="shared" si="44"/>
        <v>61</v>
      </c>
      <c r="AY75" s="2">
        <f t="shared" si="45"/>
        <v>61</v>
      </c>
      <c r="AZ75" s="2">
        <f t="shared" si="46"/>
        <v>61</v>
      </c>
      <c r="BA75" s="2">
        <f t="shared" si="47"/>
        <v>61</v>
      </c>
      <c r="BB75" s="2">
        <f t="shared" si="48"/>
        <v>61</v>
      </c>
      <c r="BC75" s="2">
        <f t="shared" si="49"/>
        <v>61</v>
      </c>
      <c r="BD75" s="2">
        <f t="shared" si="50"/>
        <v>61</v>
      </c>
      <c r="BE75" s="2">
        <f t="shared" si="51"/>
        <v>61</v>
      </c>
      <c r="BF75" s="2">
        <f t="shared" si="52"/>
        <v>61</v>
      </c>
      <c r="BG75" s="2">
        <f t="shared" si="53"/>
        <v>61</v>
      </c>
      <c r="BH75" s="2">
        <f t="shared" si="54"/>
        <v>61</v>
      </c>
      <c r="BI75" s="2">
        <f t="shared" si="55"/>
        <v>61</v>
      </c>
      <c r="BJ75" s="2">
        <f t="shared" si="56"/>
        <v>61</v>
      </c>
      <c r="BK75" s="2">
        <f t="shared" si="57"/>
        <v>61</v>
      </c>
      <c r="BL75" s="2">
        <f t="shared" si="58"/>
        <v>61</v>
      </c>
      <c r="BM75" s="2">
        <f t="shared" si="59"/>
        <v>61</v>
      </c>
      <c r="BN75" s="2">
        <f t="shared" si="60"/>
        <v>61</v>
      </c>
      <c r="BO75" s="2">
        <f t="shared" si="61"/>
        <v>61</v>
      </c>
      <c r="BP75" s="2">
        <f t="shared" si="62"/>
        <v>61</v>
      </c>
      <c r="BQ75" s="2">
        <f t="shared" si="63"/>
        <v>61</v>
      </c>
    </row>
    <row r="76" spans="2:139" hidden="1" x14ac:dyDescent="0.3">
      <c r="B76" s="21" t="str">
        <f t="shared" si="2"/>
        <v/>
      </c>
      <c r="G76" s="2"/>
      <c r="H76" s="2"/>
      <c r="I76" s="2"/>
      <c r="J76" s="2">
        <f t="shared" si="4"/>
        <v>61</v>
      </c>
      <c r="K76" s="2">
        <f t="shared" si="5"/>
        <v>61</v>
      </c>
      <c r="L76" s="2">
        <f t="shared" si="6"/>
        <v>61</v>
      </c>
      <c r="M76" s="2">
        <f t="shared" si="7"/>
        <v>61</v>
      </c>
      <c r="N76" s="2">
        <f t="shared" si="8"/>
        <v>61</v>
      </c>
      <c r="O76" s="2">
        <f t="shared" si="9"/>
        <v>61</v>
      </c>
      <c r="P76" s="2">
        <f t="shared" si="10"/>
        <v>61</v>
      </c>
      <c r="Q76" s="2">
        <f t="shared" si="11"/>
        <v>61</v>
      </c>
      <c r="R76" s="2">
        <f t="shared" si="12"/>
        <v>61</v>
      </c>
      <c r="S76" s="2">
        <f t="shared" si="13"/>
        <v>61</v>
      </c>
      <c r="T76" s="2">
        <f t="shared" si="14"/>
        <v>61</v>
      </c>
      <c r="U76" s="2">
        <f t="shared" si="15"/>
        <v>61</v>
      </c>
      <c r="V76" s="2">
        <f t="shared" si="16"/>
        <v>61</v>
      </c>
      <c r="W76" s="2">
        <f t="shared" si="17"/>
        <v>61</v>
      </c>
      <c r="X76" s="2">
        <f t="shared" si="18"/>
        <v>61</v>
      </c>
      <c r="Y76" s="2">
        <f t="shared" si="19"/>
        <v>61</v>
      </c>
      <c r="Z76" s="2">
        <f t="shared" si="20"/>
        <v>61</v>
      </c>
      <c r="AA76" s="2">
        <f t="shared" si="21"/>
        <v>61</v>
      </c>
      <c r="AB76" s="2">
        <f t="shared" si="22"/>
        <v>61</v>
      </c>
      <c r="AC76" s="2">
        <f t="shared" si="23"/>
        <v>61</v>
      </c>
      <c r="AD76" s="2">
        <f t="shared" si="24"/>
        <v>61</v>
      </c>
      <c r="AE76" s="2">
        <f t="shared" si="25"/>
        <v>61</v>
      </c>
      <c r="AF76" s="2">
        <f t="shared" si="26"/>
        <v>61</v>
      </c>
      <c r="AG76" s="2">
        <f t="shared" si="27"/>
        <v>61</v>
      </c>
      <c r="AH76" s="2">
        <f t="shared" si="28"/>
        <v>61</v>
      </c>
      <c r="AI76" s="2">
        <f t="shared" si="29"/>
        <v>61</v>
      </c>
      <c r="AJ76" s="2">
        <f t="shared" si="30"/>
        <v>61</v>
      </c>
      <c r="AK76" s="2">
        <f t="shared" si="31"/>
        <v>61</v>
      </c>
      <c r="AL76" s="2">
        <f t="shared" si="32"/>
        <v>61</v>
      </c>
      <c r="AM76" s="2">
        <f t="shared" si="33"/>
        <v>61</v>
      </c>
      <c r="AN76" s="2">
        <f t="shared" si="34"/>
        <v>61</v>
      </c>
      <c r="AO76" s="2">
        <f t="shared" si="35"/>
        <v>61</v>
      </c>
      <c r="AP76" s="2">
        <f t="shared" si="36"/>
        <v>61</v>
      </c>
      <c r="AQ76" s="2">
        <f t="shared" si="37"/>
        <v>61</v>
      </c>
      <c r="AR76" s="2">
        <f t="shared" si="38"/>
        <v>61</v>
      </c>
      <c r="AS76" s="2">
        <f t="shared" si="39"/>
        <v>61</v>
      </c>
      <c r="AT76" s="2">
        <f t="shared" si="40"/>
        <v>61</v>
      </c>
      <c r="AU76" s="2">
        <f t="shared" si="41"/>
        <v>61</v>
      </c>
      <c r="AV76" s="2">
        <f t="shared" si="42"/>
        <v>61</v>
      </c>
      <c r="AW76" s="2">
        <f t="shared" si="43"/>
        <v>61</v>
      </c>
      <c r="AX76" s="2">
        <f t="shared" si="44"/>
        <v>61</v>
      </c>
      <c r="AY76" s="2">
        <f t="shared" si="45"/>
        <v>61</v>
      </c>
      <c r="AZ76" s="2">
        <f t="shared" si="46"/>
        <v>61</v>
      </c>
      <c r="BA76" s="2">
        <f t="shared" si="47"/>
        <v>61</v>
      </c>
      <c r="BB76" s="2">
        <f t="shared" si="48"/>
        <v>61</v>
      </c>
      <c r="BC76" s="2">
        <f t="shared" si="49"/>
        <v>61</v>
      </c>
      <c r="BD76" s="2">
        <f t="shared" si="50"/>
        <v>61</v>
      </c>
      <c r="BE76" s="2">
        <f t="shared" si="51"/>
        <v>61</v>
      </c>
      <c r="BF76" s="2">
        <f t="shared" si="52"/>
        <v>61</v>
      </c>
      <c r="BG76" s="2">
        <f t="shared" si="53"/>
        <v>61</v>
      </c>
      <c r="BH76" s="2">
        <f t="shared" si="54"/>
        <v>61</v>
      </c>
      <c r="BI76" s="2">
        <f t="shared" si="55"/>
        <v>61</v>
      </c>
      <c r="BJ76" s="2">
        <f t="shared" si="56"/>
        <v>61</v>
      </c>
      <c r="BK76" s="2">
        <f t="shared" si="57"/>
        <v>61</v>
      </c>
      <c r="BL76" s="2">
        <f t="shared" si="58"/>
        <v>61</v>
      </c>
      <c r="BM76" s="2">
        <f t="shared" si="59"/>
        <v>61</v>
      </c>
      <c r="BN76" s="2">
        <f t="shared" si="60"/>
        <v>61</v>
      </c>
      <c r="BO76" s="2">
        <f t="shared" si="61"/>
        <v>61</v>
      </c>
      <c r="BP76" s="2">
        <f t="shared" si="62"/>
        <v>61</v>
      </c>
      <c r="BQ76" s="2">
        <f t="shared" si="63"/>
        <v>61</v>
      </c>
    </row>
    <row r="77" spans="2:139" hidden="1" x14ac:dyDescent="0.3">
      <c r="B77" s="21" t="str">
        <f t="shared" si="2"/>
        <v/>
      </c>
      <c r="G77" s="2"/>
      <c r="H77" s="2"/>
      <c r="I77" s="2"/>
      <c r="J77" s="2">
        <f t="shared" si="4"/>
        <v>61</v>
      </c>
      <c r="K77" s="2">
        <f t="shared" si="5"/>
        <v>61</v>
      </c>
      <c r="L77" s="2">
        <f t="shared" si="6"/>
        <v>61</v>
      </c>
      <c r="M77" s="2">
        <f t="shared" si="7"/>
        <v>61</v>
      </c>
      <c r="N77" s="2">
        <f t="shared" si="8"/>
        <v>61</v>
      </c>
      <c r="O77" s="2">
        <f t="shared" si="9"/>
        <v>61</v>
      </c>
      <c r="P77" s="2">
        <f t="shared" si="10"/>
        <v>61</v>
      </c>
      <c r="Q77" s="2">
        <f t="shared" si="11"/>
        <v>61</v>
      </c>
      <c r="R77" s="2">
        <f t="shared" si="12"/>
        <v>61</v>
      </c>
      <c r="S77" s="2">
        <f t="shared" si="13"/>
        <v>61</v>
      </c>
      <c r="T77" s="2">
        <f t="shared" si="14"/>
        <v>61</v>
      </c>
      <c r="U77" s="2">
        <f t="shared" si="15"/>
        <v>61</v>
      </c>
      <c r="V77" s="2">
        <f t="shared" si="16"/>
        <v>61</v>
      </c>
      <c r="W77" s="2">
        <f t="shared" si="17"/>
        <v>61</v>
      </c>
      <c r="X77" s="2">
        <f t="shared" si="18"/>
        <v>61</v>
      </c>
      <c r="Y77" s="2">
        <f t="shared" si="19"/>
        <v>61</v>
      </c>
      <c r="Z77" s="2">
        <f t="shared" si="20"/>
        <v>61</v>
      </c>
      <c r="AA77" s="2">
        <f t="shared" si="21"/>
        <v>61</v>
      </c>
      <c r="AB77" s="2">
        <f t="shared" si="22"/>
        <v>61</v>
      </c>
      <c r="AC77" s="2">
        <f t="shared" si="23"/>
        <v>61</v>
      </c>
      <c r="AD77" s="2">
        <f t="shared" si="24"/>
        <v>61</v>
      </c>
      <c r="AE77" s="2">
        <f t="shared" si="25"/>
        <v>61</v>
      </c>
      <c r="AF77" s="2">
        <f t="shared" si="26"/>
        <v>61</v>
      </c>
      <c r="AG77" s="2">
        <f t="shared" si="27"/>
        <v>61</v>
      </c>
      <c r="AH77" s="2">
        <f t="shared" si="28"/>
        <v>61</v>
      </c>
      <c r="AI77" s="2">
        <f t="shared" si="29"/>
        <v>61</v>
      </c>
      <c r="AJ77" s="2">
        <f t="shared" si="30"/>
        <v>61</v>
      </c>
      <c r="AK77" s="2">
        <f t="shared" si="31"/>
        <v>61</v>
      </c>
      <c r="AL77" s="2">
        <f t="shared" si="32"/>
        <v>61</v>
      </c>
      <c r="AM77" s="2">
        <f t="shared" si="33"/>
        <v>61</v>
      </c>
      <c r="AN77" s="2">
        <f t="shared" si="34"/>
        <v>61</v>
      </c>
      <c r="AO77" s="2">
        <f t="shared" si="35"/>
        <v>61</v>
      </c>
      <c r="AP77" s="2">
        <f t="shared" si="36"/>
        <v>61</v>
      </c>
      <c r="AQ77" s="2">
        <f t="shared" si="37"/>
        <v>61</v>
      </c>
      <c r="AR77" s="2">
        <f t="shared" si="38"/>
        <v>61</v>
      </c>
      <c r="AS77" s="2">
        <f t="shared" si="39"/>
        <v>61</v>
      </c>
      <c r="AT77" s="2">
        <f t="shared" si="40"/>
        <v>61</v>
      </c>
      <c r="AU77" s="2">
        <f t="shared" si="41"/>
        <v>61</v>
      </c>
      <c r="AV77" s="2">
        <f t="shared" si="42"/>
        <v>61</v>
      </c>
      <c r="AW77" s="2">
        <f t="shared" si="43"/>
        <v>61</v>
      </c>
      <c r="AX77" s="2">
        <f t="shared" si="44"/>
        <v>61</v>
      </c>
      <c r="AY77" s="2">
        <f t="shared" si="45"/>
        <v>61</v>
      </c>
      <c r="AZ77" s="2">
        <f t="shared" si="46"/>
        <v>61</v>
      </c>
      <c r="BA77" s="2">
        <f t="shared" si="47"/>
        <v>61</v>
      </c>
      <c r="BB77" s="2">
        <f t="shared" si="48"/>
        <v>61</v>
      </c>
      <c r="BC77" s="2">
        <f t="shared" si="49"/>
        <v>61</v>
      </c>
      <c r="BD77" s="2">
        <f t="shared" si="50"/>
        <v>61</v>
      </c>
      <c r="BE77" s="2">
        <f t="shared" si="51"/>
        <v>61</v>
      </c>
      <c r="BF77" s="2">
        <f t="shared" si="52"/>
        <v>61</v>
      </c>
      <c r="BG77" s="2">
        <f t="shared" si="53"/>
        <v>61</v>
      </c>
      <c r="BH77" s="2">
        <f t="shared" si="54"/>
        <v>61</v>
      </c>
      <c r="BI77" s="2">
        <f t="shared" si="55"/>
        <v>61</v>
      </c>
      <c r="BJ77" s="2">
        <f t="shared" si="56"/>
        <v>61</v>
      </c>
      <c r="BK77" s="2">
        <f t="shared" si="57"/>
        <v>61</v>
      </c>
      <c r="BL77" s="2">
        <f t="shared" si="58"/>
        <v>61</v>
      </c>
      <c r="BM77" s="2">
        <f t="shared" si="59"/>
        <v>61</v>
      </c>
      <c r="BN77" s="2">
        <f t="shared" si="60"/>
        <v>61</v>
      </c>
      <c r="BO77" s="2">
        <f t="shared" si="61"/>
        <v>61</v>
      </c>
      <c r="BP77" s="2">
        <f t="shared" si="62"/>
        <v>61</v>
      </c>
      <c r="BQ77" s="2">
        <f t="shared" si="63"/>
        <v>61</v>
      </c>
    </row>
    <row r="78" spans="2:139" hidden="1" x14ac:dyDescent="0.3">
      <c r="B78" s="21" t="str">
        <f t="shared" si="2"/>
        <v/>
      </c>
      <c r="G78" s="2"/>
      <c r="H78" s="2"/>
      <c r="I78" s="2"/>
      <c r="J78" s="2">
        <f t="shared" si="4"/>
        <v>61</v>
      </c>
      <c r="K78" s="2">
        <f t="shared" si="5"/>
        <v>61</v>
      </c>
      <c r="L78" s="2">
        <f t="shared" si="6"/>
        <v>61</v>
      </c>
      <c r="M78" s="2">
        <f t="shared" si="7"/>
        <v>61</v>
      </c>
      <c r="N78" s="2">
        <f t="shared" si="8"/>
        <v>61</v>
      </c>
      <c r="O78" s="2">
        <f t="shared" si="9"/>
        <v>61</v>
      </c>
      <c r="P78" s="2">
        <f t="shared" si="10"/>
        <v>61</v>
      </c>
      <c r="Q78" s="2">
        <f t="shared" si="11"/>
        <v>61</v>
      </c>
      <c r="R78" s="2">
        <f t="shared" si="12"/>
        <v>61</v>
      </c>
      <c r="S78" s="2">
        <f t="shared" si="13"/>
        <v>61</v>
      </c>
      <c r="T78" s="2">
        <f t="shared" si="14"/>
        <v>61</v>
      </c>
      <c r="U78" s="2">
        <f t="shared" si="15"/>
        <v>61</v>
      </c>
      <c r="V78" s="2">
        <f t="shared" si="16"/>
        <v>61</v>
      </c>
      <c r="W78" s="2">
        <f t="shared" si="17"/>
        <v>61</v>
      </c>
      <c r="X78" s="2">
        <f t="shared" si="18"/>
        <v>61</v>
      </c>
      <c r="Y78" s="2">
        <f t="shared" si="19"/>
        <v>61</v>
      </c>
      <c r="Z78" s="2">
        <f t="shared" si="20"/>
        <v>61</v>
      </c>
      <c r="AA78" s="2">
        <f t="shared" si="21"/>
        <v>61</v>
      </c>
      <c r="AB78" s="2">
        <f t="shared" si="22"/>
        <v>61</v>
      </c>
      <c r="AC78" s="2">
        <f t="shared" si="23"/>
        <v>61</v>
      </c>
      <c r="AD78" s="2">
        <f t="shared" si="24"/>
        <v>61</v>
      </c>
      <c r="AE78" s="2">
        <f t="shared" si="25"/>
        <v>61</v>
      </c>
      <c r="AF78" s="2">
        <f t="shared" si="26"/>
        <v>61</v>
      </c>
      <c r="AG78" s="2">
        <f t="shared" si="27"/>
        <v>61</v>
      </c>
      <c r="AH78" s="2">
        <f t="shared" si="28"/>
        <v>61</v>
      </c>
      <c r="AI78" s="2">
        <f t="shared" si="29"/>
        <v>61</v>
      </c>
      <c r="AJ78" s="2">
        <f t="shared" si="30"/>
        <v>61</v>
      </c>
      <c r="AK78" s="2">
        <f t="shared" si="31"/>
        <v>61</v>
      </c>
      <c r="AL78" s="2">
        <f t="shared" si="32"/>
        <v>61</v>
      </c>
      <c r="AM78" s="2">
        <f t="shared" si="33"/>
        <v>61</v>
      </c>
      <c r="AN78" s="2">
        <f t="shared" si="34"/>
        <v>61</v>
      </c>
      <c r="AO78" s="2">
        <f t="shared" si="35"/>
        <v>61</v>
      </c>
      <c r="AP78" s="2">
        <f t="shared" si="36"/>
        <v>61</v>
      </c>
      <c r="AQ78" s="2">
        <f t="shared" si="37"/>
        <v>61</v>
      </c>
      <c r="AR78" s="2">
        <f t="shared" si="38"/>
        <v>61</v>
      </c>
      <c r="AS78" s="2">
        <f t="shared" si="39"/>
        <v>61</v>
      </c>
      <c r="AT78" s="2">
        <f t="shared" si="40"/>
        <v>61</v>
      </c>
      <c r="AU78" s="2">
        <f t="shared" si="41"/>
        <v>61</v>
      </c>
      <c r="AV78" s="2">
        <f t="shared" si="42"/>
        <v>61</v>
      </c>
      <c r="AW78" s="2">
        <f t="shared" si="43"/>
        <v>61</v>
      </c>
      <c r="AX78" s="2">
        <f t="shared" si="44"/>
        <v>61</v>
      </c>
      <c r="AY78" s="2">
        <f t="shared" si="45"/>
        <v>61</v>
      </c>
      <c r="AZ78" s="2">
        <f t="shared" si="46"/>
        <v>61</v>
      </c>
      <c r="BA78" s="2">
        <f t="shared" si="47"/>
        <v>61</v>
      </c>
      <c r="BB78" s="2">
        <f t="shared" si="48"/>
        <v>61</v>
      </c>
      <c r="BC78" s="2">
        <f t="shared" si="49"/>
        <v>61</v>
      </c>
      <c r="BD78" s="2">
        <f t="shared" si="50"/>
        <v>61</v>
      </c>
      <c r="BE78" s="2">
        <f t="shared" si="51"/>
        <v>61</v>
      </c>
      <c r="BF78" s="2">
        <f t="shared" si="52"/>
        <v>61</v>
      </c>
      <c r="BG78" s="2">
        <f t="shared" si="53"/>
        <v>61</v>
      </c>
      <c r="BH78" s="2">
        <f t="shared" si="54"/>
        <v>61</v>
      </c>
      <c r="BI78" s="2">
        <f t="shared" si="55"/>
        <v>61</v>
      </c>
      <c r="BJ78" s="2">
        <f t="shared" si="56"/>
        <v>61</v>
      </c>
      <c r="BK78" s="2">
        <f t="shared" si="57"/>
        <v>61</v>
      </c>
      <c r="BL78" s="2">
        <f t="shared" si="58"/>
        <v>61</v>
      </c>
      <c r="BM78" s="2">
        <f t="shared" si="59"/>
        <v>61</v>
      </c>
      <c r="BN78" s="2">
        <f t="shared" si="60"/>
        <v>61</v>
      </c>
      <c r="BO78" s="2">
        <f t="shared" si="61"/>
        <v>61</v>
      </c>
      <c r="BP78" s="2">
        <f t="shared" si="62"/>
        <v>61</v>
      </c>
      <c r="BQ78" s="2">
        <f t="shared" si="63"/>
        <v>61</v>
      </c>
    </row>
    <row r="79" spans="2:139" hidden="1" x14ac:dyDescent="0.3">
      <c r="B79" s="21" t="str">
        <f t="shared" si="2"/>
        <v/>
      </c>
      <c r="G79" s="2"/>
      <c r="H79" s="2"/>
      <c r="I79" s="2"/>
      <c r="J79" s="2">
        <f t="shared" si="4"/>
        <v>61</v>
      </c>
      <c r="K79" s="2">
        <f t="shared" si="5"/>
        <v>61</v>
      </c>
      <c r="L79" s="2">
        <f t="shared" si="6"/>
        <v>61</v>
      </c>
      <c r="M79" s="2">
        <f t="shared" si="7"/>
        <v>61</v>
      </c>
      <c r="N79" s="2">
        <f t="shared" si="8"/>
        <v>61</v>
      </c>
      <c r="O79" s="2">
        <f t="shared" si="9"/>
        <v>61</v>
      </c>
      <c r="P79" s="2">
        <f t="shared" si="10"/>
        <v>61</v>
      </c>
      <c r="Q79" s="2">
        <f t="shared" si="11"/>
        <v>61</v>
      </c>
      <c r="R79" s="2">
        <f t="shared" si="12"/>
        <v>61</v>
      </c>
      <c r="S79" s="2">
        <f t="shared" si="13"/>
        <v>61</v>
      </c>
      <c r="T79" s="2">
        <f t="shared" si="14"/>
        <v>61</v>
      </c>
      <c r="U79" s="2">
        <f t="shared" si="15"/>
        <v>61</v>
      </c>
      <c r="V79" s="2">
        <f t="shared" si="16"/>
        <v>61</v>
      </c>
      <c r="W79" s="2">
        <f t="shared" si="17"/>
        <v>61</v>
      </c>
      <c r="X79" s="2">
        <f t="shared" si="18"/>
        <v>61</v>
      </c>
      <c r="Y79" s="2">
        <f t="shared" si="19"/>
        <v>61</v>
      </c>
      <c r="Z79" s="2">
        <f t="shared" si="20"/>
        <v>61</v>
      </c>
      <c r="AA79" s="2">
        <f t="shared" si="21"/>
        <v>61</v>
      </c>
      <c r="AB79" s="2">
        <f t="shared" si="22"/>
        <v>61</v>
      </c>
      <c r="AC79" s="2">
        <f t="shared" si="23"/>
        <v>61</v>
      </c>
      <c r="AD79" s="2">
        <f t="shared" si="24"/>
        <v>61</v>
      </c>
      <c r="AE79" s="2">
        <f t="shared" si="25"/>
        <v>61</v>
      </c>
      <c r="AF79" s="2">
        <f t="shared" si="26"/>
        <v>61</v>
      </c>
      <c r="AG79" s="2">
        <f t="shared" si="27"/>
        <v>61</v>
      </c>
      <c r="AH79" s="2">
        <f t="shared" si="28"/>
        <v>61</v>
      </c>
      <c r="AI79" s="2">
        <f t="shared" si="29"/>
        <v>61</v>
      </c>
      <c r="AJ79" s="2">
        <f t="shared" si="30"/>
        <v>61</v>
      </c>
      <c r="AK79" s="2">
        <f t="shared" si="31"/>
        <v>61</v>
      </c>
      <c r="AL79" s="2">
        <f t="shared" si="32"/>
        <v>61</v>
      </c>
      <c r="AM79" s="2">
        <f t="shared" si="33"/>
        <v>61</v>
      </c>
      <c r="AN79" s="2">
        <f t="shared" si="34"/>
        <v>61</v>
      </c>
      <c r="AO79" s="2">
        <f t="shared" si="35"/>
        <v>61</v>
      </c>
      <c r="AP79" s="2">
        <f t="shared" si="36"/>
        <v>61</v>
      </c>
      <c r="AQ79" s="2">
        <f t="shared" si="37"/>
        <v>61</v>
      </c>
      <c r="AR79" s="2">
        <f t="shared" si="38"/>
        <v>61</v>
      </c>
      <c r="AS79" s="2">
        <f t="shared" si="39"/>
        <v>61</v>
      </c>
      <c r="AT79" s="2">
        <f t="shared" si="40"/>
        <v>61</v>
      </c>
      <c r="AU79" s="2">
        <f t="shared" si="41"/>
        <v>61</v>
      </c>
      <c r="AV79" s="2">
        <f t="shared" si="42"/>
        <v>61</v>
      </c>
      <c r="AW79" s="2">
        <f t="shared" si="43"/>
        <v>61</v>
      </c>
      <c r="AX79" s="2">
        <f t="shared" si="44"/>
        <v>61</v>
      </c>
      <c r="AY79" s="2">
        <f t="shared" si="45"/>
        <v>61</v>
      </c>
      <c r="AZ79" s="2">
        <f t="shared" si="46"/>
        <v>61</v>
      </c>
      <c r="BA79" s="2">
        <f t="shared" si="47"/>
        <v>61</v>
      </c>
      <c r="BB79" s="2">
        <f t="shared" si="48"/>
        <v>61</v>
      </c>
      <c r="BC79" s="2">
        <f t="shared" si="49"/>
        <v>61</v>
      </c>
      <c r="BD79" s="2">
        <f t="shared" si="50"/>
        <v>61</v>
      </c>
      <c r="BE79" s="2">
        <f t="shared" si="51"/>
        <v>61</v>
      </c>
      <c r="BF79" s="2">
        <f t="shared" si="52"/>
        <v>61</v>
      </c>
      <c r="BG79" s="2">
        <f t="shared" si="53"/>
        <v>61</v>
      </c>
      <c r="BH79" s="2">
        <f t="shared" si="54"/>
        <v>61</v>
      </c>
      <c r="BI79" s="2">
        <f t="shared" si="55"/>
        <v>61</v>
      </c>
      <c r="BJ79" s="2">
        <f t="shared" si="56"/>
        <v>61</v>
      </c>
      <c r="BK79" s="2">
        <f t="shared" si="57"/>
        <v>61</v>
      </c>
      <c r="BL79" s="2">
        <f t="shared" si="58"/>
        <v>61</v>
      </c>
      <c r="BM79" s="2">
        <f t="shared" si="59"/>
        <v>61</v>
      </c>
      <c r="BN79" s="2">
        <f t="shared" si="60"/>
        <v>61</v>
      </c>
      <c r="BO79" s="2">
        <f t="shared" si="61"/>
        <v>61</v>
      </c>
      <c r="BP79" s="2">
        <f t="shared" si="62"/>
        <v>61</v>
      </c>
      <c r="BQ79" s="2">
        <f t="shared" si="63"/>
        <v>61</v>
      </c>
    </row>
    <row r="80" spans="2:139" hidden="1" x14ac:dyDescent="0.3">
      <c r="B80" s="21" t="str">
        <f t="shared" si="2"/>
        <v/>
      </c>
      <c r="G80" s="2"/>
      <c r="H80" s="2"/>
      <c r="I80" s="2"/>
      <c r="J80" s="2">
        <f t="shared" si="4"/>
        <v>61</v>
      </c>
      <c r="K80" s="2">
        <f t="shared" si="5"/>
        <v>61</v>
      </c>
      <c r="L80" s="2">
        <f t="shared" si="6"/>
        <v>61</v>
      </c>
      <c r="M80" s="2">
        <f t="shared" si="7"/>
        <v>61</v>
      </c>
      <c r="N80" s="2">
        <f t="shared" si="8"/>
        <v>61</v>
      </c>
      <c r="O80" s="2">
        <f t="shared" si="9"/>
        <v>61</v>
      </c>
      <c r="P80" s="2">
        <f t="shared" si="10"/>
        <v>61</v>
      </c>
      <c r="Q80" s="2">
        <f t="shared" si="11"/>
        <v>61</v>
      </c>
      <c r="R80" s="2">
        <f t="shared" si="12"/>
        <v>61</v>
      </c>
      <c r="S80" s="2">
        <f t="shared" si="13"/>
        <v>61</v>
      </c>
      <c r="T80" s="2">
        <f t="shared" si="14"/>
        <v>61</v>
      </c>
      <c r="U80" s="2">
        <f t="shared" si="15"/>
        <v>61</v>
      </c>
      <c r="V80" s="2">
        <f t="shared" si="16"/>
        <v>61</v>
      </c>
      <c r="W80" s="2">
        <f t="shared" si="17"/>
        <v>61</v>
      </c>
      <c r="X80" s="2">
        <f t="shared" si="18"/>
        <v>61</v>
      </c>
      <c r="Y80" s="2">
        <f t="shared" si="19"/>
        <v>61</v>
      </c>
      <c r="Z80" s="2">
        <f t="shared" si="20"/>
        <v>61</v>
      </c>
      <c r="AA80" s="2">
        <f t="shared" si="21"/>
        <v>61</v>
      </c>
      <c r="AB80" s="2">
        <f t="shared" si="22"/>
        <v>61</v>
      </c>
      <c r="AC80" s="2">
        <f t="shared" si="23"/>
        <v>61</v>
      </c>
      <c r="AD80" s="2">
        <f t="shared" si="24"/>
        <v>61</v>
      </c>
      <c r="AE80" s="2">
        <f t="shared" si="25"/>
        <v>61</v>
      </c>
      <c r="AF80" s="2">
        <f t="shared" si="26"/>
        <v>61</v>
      </c>
      <c r="AG80" s="2">
        <f t="shared" si="27"/>
        <v>61</v>
      </c>
      <c r="AH80" s="2">
        <f t="shared" si="28"/>
        <v>61</v>
      </c>
      <c r="AI80" s="2">
        <f t="shared" si="29"/>
        <v>61</v>
      </c>
      <c r="AJ80" s="2">
        <f t="shared" si="30"/>
        <v>61</v>
      </c>
      <c r="AK80" s="2">
        <f t="shared" si="31"/>
        <v>61</v>
      </c>
      <c r="AL80" s="2">
        <f t="shared" si="32"/>
        <v>61</v>
      </c>
      <c r="AM80" s="2">
        <f t="shared" si="33"/>
        <v>61</v>
      </c>
      <c r="AN80" s="2">
        <f t="shared" si="34"/>
        <v>61</v>
      </c>
      <c r="AO80" s="2">
        <f t="shared" si="35"/>
        <v>61</v>
      </c>
      <c r="AP80" s="2">
        <f t="shared" si="36"/>
        <v>61</v>
      </c>
      <c r="AQ80" s="2">
        <f t="shared" si="37"/>
        <v>61</v>
      </c>
      <c r="AR80" s="2">
        <f t="shared" si="38"/>
        <v>61</v>
      </c>
      <c r="AS80" s="2">
        <f t="shared" si="39"/>
        <v>61</v>
      </c>
      <c r="AT80" s="2">
        <f t="shared" si="40"/>
        <v>61</v>
      </c>
      <c r="AU80" s="2">
        <f t="shared" si="41"/>
        <v>61</v>
      </c>
      <c r="AV80" s="2">
        <f t="shared" si="42"/>
        <v>61</v>
      </c>
      <c r="AW80" s="2">
        <f t="shared" si="43"/>
        <v>61</v>
      </c>
      <c r="AX80" s="2">
        <f t="shared" si="44"/>
        <v>61</v>
      </c>
      <c r="AY80" s="2">
        <f t="shared" si="45"/>
        <v>61</v>
      </c>
      <c r="AZ80" s="2">
        <f t="shared" si="46"/>
        <v>61</v>
      </c>
      <c r="BA80" s="2">
        <f t="shared" si="47"/>
        <v>61</v>
      </c>
      <c r="BB80" s="2">
        <f t="shared" si="48"/>
        <v>61</v>
      </c>
      <c r="BC80" s="2">
        <f t="shared" si="49"/>
        <v>61</v>
      </c>
      <c r="BD80" s="2">
        <f t="shared" si="50"/>
        <v>61</v>
      </c>
      <c r="BE80" s="2">
        <f t="shared" si="51"/>
        <v>61</v>
      </c>
      <c r="BF80" s="2">
        <f t="shared" si="52"/>
        <v>61</v>
      </c>
      <c r="BG80" s="2">
        <f t="shared" si="53"/>
        <v>61</v>
      </c>
      <c r="BH80" s="2">
        <f t="shared" si="54"/>
        <v>61</v>
      </c>
      <c r="BI80" s="2">
        <f t="shared" si="55"/>
        <v>61</v>
      </c>
      <c r="BJ80" s="2">
        <f t="shared" si="56"/>
        <v>61</v>
      </c>
      <c r="BK80" s="2">
        <f t="shared" si="57"/>
        <v>61</v>
      </c>
      <c r="BL80" s="2">
        <f t="shared" si="58"/>
        <v>61</v>
      </c>
      <c r="BM80" s="2">
        <f t="shared" si="59"/>
        <v>61</v>
      </c>
      <c r="BN80" s="2">
        <f t="shared" si="60"/>
        <v>61</v>
      </c>
      <c r="BO80" s="2">
        <f t="shared" si="61"/>
        <v>61</v>
      </c>
      <c r="BP80" s="2">
        <f t="shared" si="62"/>
        <v>61</v>
      </c>
      <c r="BQ80" s="2">
        <f t="shared" si="63"/>
        <v>61</v>
      </c>
    </row>
    <row r="81" spans="2:69" hidden="1" x14ac:dyDescent="0.3">
      <c r="B81" s="21" t="str">
        <f t="shared" si="2"/>
        <v/>
      </c>
      <c r="G81" s="2"/>
      <c r="H81" s="2"/>
      <c r="I81" s="2"/>
      <c r="J81" s="2">
        <f t="shared" si="4"/>
        <v>61</v>
      </c>
      <c r="K81" s="2">
        <f t="shared" si="5"/>
        <v>61</v>
      </c>
      <c r="L81" s="2">
        <f t="shared" si="6"/>
        <v>61</v>
      </c>
      <c r="M81" s="2">
        <f t="shared" si="7"/>
        <v>61</v>
      </c>
      <c r="N81" s="2">
        <f t="shared" si="8"/>
        <v>61</v>
      </c>
      <c r="O81" s="2">
        <f t="shared" si="9"/>
        <v>61</v>
      </c>
      <c r="P81" s="2">
        <f t="shared" si="10"/>
        <v>61</v>
      </c>
      <c r="Q81" s="2">
        <f t="shared" si="11"/>
        <v>61</v>
      </c>
      <c r="R81" s="2">
        <f t="shared" si="12"/>
        <v>61</v>
      </c>
      <c r="S81" s="2">
        <f t="shared" si="13"/>
        <v>61</v>
      </c>
      <c r="T81" s="2">
        <f t="shared" si="14"/>
        <v>61</v>
      </c>
      <c r="U81" s="2">
        <f t="shared" si="15"/>
        <v>61</v>
      </c>
      <c r="V81" s="2">
        <f t="shared" si="16"/>
        <v>61</v>
      </c>
      <c r="W81" s="2">
        <f t="shared" si="17"/>
        <v>61</v>
      </c>
      <c r="X81" s="2">
        <f t="shared" si="18"/>
        <v>61</v>
      </c>
      <c r="Y81" s="2">
        <f t="shared" si="19"/>
        <v>61</v>
      </c>
      <c r="Z81" s="2">
        <f t="shared" si="20"/>
        <v>61</v>
      </c>
      <c r="AA81" s="2">
        <f t="shared" si="21"/>
        <v>61</v>
      </c>
      <c r="AB81" s="2">
        <f t="shared" si="22"/>
        <v>61</v>
      </c>
      <c r="AC81" s="2">
        <f t="shared" si="23"/>
        <v>61</v>
      </c>
      <c r="AD81" s="2">
        <f t="shared" si="24"/>
        <v>61</v>
      </c>
      <c r="AE81" s="2">
        <f t="shared" si="25"/>
        <v>61</v>
      </c>
      <c r="AF81" s="2">
        <f t="shared" si="26"/>
        <v>61</v>
      </c>
      <c r="AG81" s="2">
        <f t="shared" si="27"/>
        <v>61</v>
      </c>
      <c r="AH81" s="2">
        <f t="shared" si="28"/>
        <v>61</v>
      </c>
      <c r="AI81" s="2">
        <f t="shared" si="29"/>
        <v>61</v>
      </c>
      <c r="AJ81" s="2">
        <f t="shared" si="30"/>
        <v>61</v>
      </c>
      <c r="AK81" s="2">
        <f t="shared" si="31"/>
        <v>61</v>
      </c>
      <c r="AL81" s="2">
        <f t="shared" si="32"/>
        <v>61</v>
      </c>
      <c r="AM81" s="2">
        <f t="shared" si="33"/>
        <v>61</v>
      </c>
      <c r="AN81" s="2">
        <f t="shared" si="34"/>
        <v>61</v>
      </c>
      <c r="AO81" s="2">
        <f t="shared" si="35"/>
        <v>61</v>
      </c>
      <c r="AP81" s="2">
        <f t="shared" si="36"/>
        <v>61</v>
      </c>
      <c r="AQ81" s="2">
        <f t="shared" si="37"/>
        <v>61</v>
      </c>
      <c r="AR81" s="2">
        <f t="shared" si="38"/>
        <v>61</v>
      </c>
      <c r="AS81" s="2">
        <f t="shared" si="39"/>
        <v>61</v>
      </c>
      <c r="AT81" s="2">
        <f t="shared" si="40"/>
        <v>61</v>
      </c>
      <c r="AU81" s="2">
        <f t="shared" si="41"/>
        <v>61</v>
      </c>
      <c r="AV81" s="2">
        <f t="shared" si="42"/>
        <v>61</v>
      </c>
      <c r="AW81" s="2">
        <f t="shared" si="43"/>
        <v>61</v>
      </c>
      <c r="AX81" s="2">
        <f t="shared" si="44"/>
        <v>61</v>
      </c>
      <c r="AY81" s="2">
        <f t="shared" si="45"/>
        <v>61</v>
      </c>
      <c r="AZ81" s="2">
        <f t="shared" si="46"/>
        <v>61</v>
      </c>
      <c r="BA81" s="2">
        <f t="shared" si="47"/>
        <v>61</v>
      </c>
      <c r="BB81" s="2">
        <f t="shared" si="48"/>
        <v>61</v>
      </c>
      <c r="BC81" s="2">
        <f t="shared" si="49"/>
        <v>61</v>
      </c>
      <c r="BD81" s="2">
        <f t="shared" si="50"/>
        <v>61</v>
      </c>
      <c r="BE81" s="2">
        <f t="shared" si="51"/>
        <v>61</v>
      </c>
      <c r="BF81" s="2">
        <f t="shared" si="52"/>
        <v>61</v>
      </c>
      <c r="BG81" s="2">
        <f t="shared" si="53"/>
        <v>61</v>
      </c>
      <c r="BH81" s="2">
        <f t="shared" si="54"/>
        <v>61</v>
      </c>
      <c r="BI81" s="2">
        <f t="shared" si="55"/>
        <v>61</v>
      </c>
      <c r="BJ81" s="2">
        <f t="shared" si="56"/>
        <v>61</v>
      </c>
      <c r="BK81" s="2">
        <f t="shared" si="57"/>
        <v>61</v>
      </c>
      <c r="BL81" s="2">
        <f t="shared" si="58"/>
        <v>61</v>
      </c>
      <c r="BM81" s="2">
        <f t="shared" si="59"/>
        <v>61</v>
      </c>
      <c r="BN81" s="2">
        <f t="shared" si="60"/>
        <v>61</v>
      </c>
      <c r="BO81" s="2">
        <f t="shared" si="61"/>
        <v>61</v>
      </c>
      <c r="BP81" s="2">
        <f t="shared" si="62"/>
        <v>61</v>
      </c>
      <c r="BQ81" s="2">
        <f t="shared" si="63"/>
        <v>61</v>
      </c>
    </row>
    <row r="82" spans="2:69" hidden="1" x14ac:dyDescent="0.3">
      <c r="B82" s="21" t="str">
        <f t="shared" si="2"/>
        <v/>
      </c>
      <c r="G82" s="2"/>
      <c r="H82" s="2"/>
      <c r="I82" s="2"/>
      <c r="J82" s="2">
        <f t="shared" si="4"/>
        <v>61</v>
      </c>
      <c r="K82" s="2">
        <f t="shared" si="5"/>
        <v>61</v>
      </c>
      <c r="L82" s="2">
        <f t="shared" si="6"/>
        <v>61</v>
      </c>
      <c r="M82" s="2">
        <f t="shared" si="7"/>
        <v>61</v>
      </c>
      <c r="N82" s="2">
        <f t="shared" si="8"/>
        <v>61</v>
      </c>
      <c r="O82" s="2">
        <f t="shared" si="9"/>
        <v>61</v>
      </c>
      <c r="P82" s="2">
        <f t="shared" si="10"/>
        <v>61</v>
      </c>
      <c r="Q82" s="2">
        <f t="shared" si="11"/>
        <v>61</v>
      </c>
      <c r="R82" s="2">
        <f t="shared" si="12"/>
        <v>61</v>
      </c>
      <c r="S82" s="2">
        <f t="shared" si="13"/>
        <v>61</v>
      </c>
      <c r="T82" s="2">
        <f t="shared" si="14"/>
        <v>61</v>
      </c>
      <c r="U82" s="2">
        <f t="shared" si="15"/>
        <v>61</v>
      </c>
      <c r="V82" s="2">
        <f t="shared" si="16"/>
        <v>61</v>
      </c>
      <c r="W82" s="2">
        <f t="shared" si="17"/>
        <v>61</v>
      </c>
      <c r="X82" s="2">
        <f t="shared" si="18"/>
        <v>61</v>
      </c>
      <c r="Y82" s="2">
        <f t="shared" si="19"/>
        <v>61</v>
      </c>
      <c r="Z82" s="2">
        <f t="shared" si="20"/>
        <v>61</v>
      </c>
      <c r="AA82" s="2">
        <f t="shared" si="21"/>
        <v>61</v>
      </c>
      <c r="AB82" s="2">
        <f t="shared" si="22"/>
        <v>61</v>
      </c>
      <c r="AC82" s="2">
        <f t="shared" si="23"/>
        <v>61</v>
      </c>
      <c r="AD82" s="2">
        <f t="shared" si="24"/>
        <v>61</v>
      </c>
      <c r="AE82" s="2">
        <f t="shared" si="25"/>
        <v>61</v>
      </c>
      <c r="AF82" s="2">
        <f t="shared" si="26"/>
        <v>61</v>
      </c>
      <c r="AG82" s="2">
        <f t="shared" si="27"/>
        <v>61</v>
      </c>
      <c r="AH82" s="2">
        <f t="shared" si="28"/>
        <v>61</v>
      </c>
      <c r="AI82" s="2">
        <f t="shared" si="29"/>
        <v>61</v>
      </c>
      <c r="AJ82" s="2">
        <f t="shared" si="30"/>
        <v>61</v>
      </c>
      <c r="AK82" s="2">
        <f t="shared" si="31"/>
        <v>61</v>
      </c>
      <c r="AL82" s="2">
        <f t="shared" si="32"/>
        <v>61</v>
      </c>
      <c r="AM82" s="2">
        <f t="shared" si="33"/>
        <v>61</v>
      </c>
      <c r="AN82" s="2">
        <f t="shared" si="34"/>
        <v>61</v>
      </c>
      <c r="AO82" s="2">
        <f t="shared" si="35"/>
        <v>61</v>
      </c>
      <c r="AP82" s="2">
        <f t="shared" si="36"/>
        <v>61</v>
      </c>
      <c r="AQ82" s="2">
        <f t="shared" si="37"/>
        <v>61</v>
      </c>
      <c r="AR82" s="2">
        <f t="shared" si="38"/>
        <v>61</v>
      </c>
      <c r="AS82" s="2">
        <f t="shared" si="39"/>
        <v>61</v>
      </c>
      <c r="AT82" s="2">
        <f t="shared" si="40"/>
        <v>61</v>
      </c>
      <c r="AU82" s="2">
        <f t="shared" si="41"/>
        <v>61</v>
      </c>
      <c r="AV82" s="2">
        <f t="shared" si="42"/>
        <v>61</v>
      </c>
      <c r="AW82" s="2">
        <f t="shared" si="43"/>
        <v>61</v>
      </c>
      <c r="AX82" s="2">
        <f t="shared" si="44"/>
        <v>61</v>
      </c>
      <c r="AY82" s="2">
        <f t="shared" si="45"/>
        <v>61</v>
      </c>
      <c r="AZ82" s="2">
        <f t="shared" si="46"/>
        <v>61</v>
      </c>
      <c r="BA82" s="2">
        <f t="shared" si="47"/>
        <v>61</v>
      </c>
      <c r="BB82" s="2">
        <f t="shared" si="48"/>
        <v>61</v>
      </c>
      <c r="BC82" s="2">
        <f t="shared" si="49"/>
        <v>61</v>
      </c>
      <c r="BD82" s="2">
        <f t="shared" si="50"/>
        <v>61</v>
      </c>
      <c r="BE82" s="2">
        <f t="shared" si="51"/>
        <v>61</v>
      </c>
      <c r="BF82" s="2">
        <f t="shared" si="52"/>
        <v>61</v>
      </c>
      <c r="BG82" s="2">
        <f t="shared" si="53"/>
        <v>61</v>
      </c>
      <c r="BH82" s="2">
        <f t="shared" si="54"/>
        <v>61</v>
      </c>
      <c r="BI82" s="2">
        <f t="shared" si="55"/>
        <v>61</v>
      </c>
      <c r="BJ82" s="2">
        <f t="shared" si="56"/>
        <v>61</v>
      </c>
      <c r="BK82" s="2">
        <f t="shared" si="57"/>
        <v>61</v>
      </c>
      <c r="BL82" s="2">
        <f t="shared" si="58"/>
        <v>61</v>
      </c>
      <c r="BM82" s="2">
        <f t="shared" si="59"/>
        <v>61</v>
      </c>
      <c r="BN82" s="2">
        <f t="shared" si="60"/>
        <v>61</v>
      </c>
      <c r="BO82" s="2">
        <f t="shared" si="61"/>
        <v>61</v>
      </c>
      <c r="BP82" s="2">
        <f t="shared" si="62"/>
        <v>61</v>
      </c>
      <c r="BQ82" s="2">
        <f t="shared" si="63"/>
        <v>61</v>
      </c>
    </row>
    <row r="83" spans="2:69" hidden="1" x14ac:dyDescent="0.3">
      <c r="B83" s="21" t="str">
        <f t="shared" si="2"/>
        <v/>
      </c>
      <c r="G83" s="2"/>
      <c r="H83" s="2"/>
      <c r="I83" s="2"/>
      <c r="J83" s="2">
        <f t="shared" si="4"/>
        <v>61</v>
      </c>
      <c r="K83" s="2">
        <f t="shared" si="5"/>
        <v>61</v>
      </c>
      <c r="L83" s="2">
        <f t="shared" si="6"/>
        <v>61</v>
      </c>
      <c r="M83" s="2">
        <f t="shared" si="7"/>
        <v>61</v>
      </c>
      <c r="N83" s="2">
        <f t="shared" si="8"/>
        <v>61</v>
      </c>
      <c r="O83" s="2">
        <f t="shared" si="9"/>
        <v>61</v>
      </c>
      <c r="P83" s="2">
        <f t="shared" si="10"/>
        <v>61</v>
      </c>
      <c r="Q83" s="2">
        <f t="shared" si="11"/>
        <v>61</v>
      </c>
      <c r="R83" s="2">
        <f t="shared" si="12"/>
        <v>61</v>
      </c>
      <c r="S83" s="2">
        <f t="shared" si="13"/>
        <v>61</v>
      </c>
      <c r="T83" s="2">
        <f t="shared" si="14"/>
        <v>61</v>
      </c>
      <c r="U83" s="2">
        <f t="shared" si="15"/>
        <v>61</v>
      </c>
      <c r="V83" s="2">
        <f t="shared" si="16"/>
        <v>61</v>
      </c>
      <c r="W83" s="2">
        <f t="shared" si="17"/>
        <v>61</v>
      </c>
      <c r="X83" s="2">
        <f t="shared" si="18"/>
        <v>61</v>
      </c>
      <c r="Y83" s="2">
        <f t="shared" si="19"/>
        <v>61</v>
      </c>
      <c r="Z83" s="2">
        <f t="shared" si="20"/>
        <v>61</v>
      </c>
      <c r="AA83" s="2">
        <f t="shared" si="21"/>
        <v>61</v>
      </c>
      <c r="AB83" s="2">
        <f t="shared" si="22"/>
        <v>61</v>
      </c>
      <c r="AC83" s="2">
        <f t="shared" si="23"/>
        <v>61</v>
      </c>
      <c r="AD83" s="2">
        <f t="shared" si="24"/>
        <v>61</v>
      </c>
      <c r="AE83" s="2">
        <f t="shared" si="25"/>
        <v>61</v>
      </c>
      <c r="AF83" s="2">
        <f t="shared" si="26"/>
        <v>61</v>
      </c>
      <c r="AG83" s="2">
        <f t="shared" si="27"/>
        <v>61</v>
      </c>
      <c r="AH83" s="2">
        <f t="shared" si="28"/>
        <v>61</v>
      </c>
      <c r="AI83" s="2">
        <f t="shared" si="29"/>
        <v>61</v>
      </c>
      <c r="AJ83" s="2">
        <f t="shared" si="30"/>
        <v>61</v>
      </c>
      <c r="AK83" s="2">
        <f t="shared" si="31"/>
        <v>61</v>
      </c>
      <c r="AL83" s="2">
        <f t="shared" si="32"/>
        <v>61</v>
      </c>
      <c r="AM83" s="2">
        <f t="shared" si="33"/>
        <v>61</v>
      </c>
      <c r="AN83" s="2">
        <f t="shared" si="34"/>
        <v>61</v>
      </c>
      <c r="AO83" s="2">
        <f t="shared" si="35"/>
        <v>61</v>
      </c>
      <c r="AP83" s="2">
        <f t="shared" si="36"/>
        <v>61</v>
      </c>
      <c r="AQ83" s="2">
        <f t="shared" si="37"/>
        <v>61</v>
      </c>
      <c r="AR83" s="2">
        <f t="shared" si="38"/>
        <v>61</v>
      </c>
      <c r="AS83" s="2">
        <f t="shared" si="39"/>
        <v>61</v>
      </c>
      <c r="AT83" s="2">
        <f t="shared" si="40"/>
        <v>61</v>
      </c>
      <c r="AU83" s="2">
        <f t="shared" si="41"/>
        <v>61</v>
      </c>
      <c r="AV83" s="2">
        <f t="shared" si="42"/>
        <v>61</v>
      </c>
      <c r="AW83" s="2">
        <f t="shared" si="43"/>
        <v>61</v>
      </c>
      <c r="AX83" s="2">
        <f t="shared" si="44"/>
        <v>61</v>
      </c>
      <c r="AY83" s="2">
        <f t="shared" si="45"/>
        <v>61</v>
      </c>
      <c r="AZ83" s="2">
        <f t="shared" si="46"/>
        <v>61</v>
      </c>
      <c r="BA83" s="2">
        <f t="shared" si="47"/>
        <v>61</v>
      </c>
      <c r="BB83" s="2">
        <f t="shared" si="48"/>
        <v>61</v>
      </c>
      <c r="BC83" s="2">
        <f t="shared" si="49"/>
        <v>61</v>
      </c>
      <c r="BD83" s="2">
        <f t="shared" si="50"/>
        <v>61</v>
      </c>
      <c r="BE83" s="2">
        <f t="shared" si="51"/>
        <v>61</v>
      </c>
      <c r="BF83" s="2">
        <f t="shared" si="52"/>
        <v>61</v>
      </c>
      <c r="BG83" s="2">
        <f t="shared" si="53"/>
        <v>61</v>
      </c>
      <c r="BH83" s="2">
        <f t="shared" si="54"/>
        <v>61</v>
      </c>
      <c r="BI83" s="2">
        <f t="shared" si="55"/>
        <v>61</v>
      </c>
      <c r="BJ83" s="2">
        <f t="shared" si="56"/>
        <v>61</v>
      </c>
      <c r="BK83" s="2">
        <f t="shared" si="57"/>
        <v>61</v>
      </c>
      <c r="BL83" s="2">
        <f t="shared" si="58"/>
        <v>61</v>
      </c>
      <c r="BM83" s="2">
        <f t="shared" si="59"/>
        <v>61</v>
      </c>
      <c r="BN83" s="2">
        <f t="shared" si="60"/>
        <v>61</v>
      </c>
      <c r="BO83" s="2">
        <f t="shared" si="61"/>
        <v>61</v>
      </c>
      <c r="BP83" s="2">
        <f t="shared" si="62"/>
        <v>61</v>
      </c>
      <c r="BQ83" s="2">
        <f t="shared" si="63"/>
        <v>61</v>
      </c>
    </row>
    <row r="84" spans="2:69" hidden="1" x14ac:dyDescent="0.3">
      <c r="B84" s="21" t="str">
        <f t="shared" si="2"/>
        <v/>
      </c>
      <c r="G84" s="2"/>
      <c r="H84" s="2"/>
      <c r="I84" s="2"/>
      <c r="J84" s="2">
        <f t="shared" si="4"/>
        <v>61</v>
      </c>
      <c r="K84" s="2">
        <f t="shared" si="5"/>
        <v>61</v>
      </c>
      <c r="L84" s="2">
        <f t="shared" si="6"/>
        <v>61</v>
      </c>
      <c r="M84" s="2">
        <f t="shared" si="7"/>
        <v>61</v>
      </c>
      <c r="N84" s="2">
        <f t="shared" si="8"/>
        <v>61</v>
      </c>
      <c r="O84" s="2">
        <f t="shared" si="9"/>
        <v>61</v>
      </c>
      <c r="P84" s="2">
        <f t="shared" si="10"/>
        <v>61</v>
      </c>
      <c r="Q84" s="2">
        <f t="shared" si="11"/>
        <v>61</v>
      </c>
      <c r="R84" s="2">
        <f t="shared" si="12"/>
        <v>61</v>
      </c>
      <c r="S84" s="2">
        <f t="shared" si="13"/>
        <v>61</v>
      </c>
      <c r="T84" s="2">
        <f t="shared" si="14"/>
        <v>61</v>
      </c>
      <c r="U84" s="2">
        <f t="shared" si="15"/>
        <v>61</v>
      </c>
      <c r="V84" s="2">
        <f t="shared" si="16"/>
        <v>61</v>
      </c>
      <c r="W84" s="2">
        <f t="shared" si="17"/>
        <v>61</v>
      </c>
      <c r="X84" s="2">
        <f t="shared" si="18"/>
        <v>61</v>
      </c>
      <c r="Y84" s="2">
        <f t="shared" si="19"/>
        <v>61</v>
      </c>
      <c r="Z84" s="2">
        <f t="shared" si="20"/>
        <v>61</v>
      </c>
      <c r="AA84" s="2">
        <f t="shared" si="21"/>
        <v>61</v>
      </c>
      <c r="AB84" s="2">
        <f t="shared" si="22"/>
        <v>61</v>
      </c>
      <c r="AC84" s="2">
        <f t="shared" si="23"/>
        <v>61</v>
      </c>
      <c r="AD84" s="2">
        <f t="shared" si="24"/>
        <v>61</v>
      </c>
      <c r="AE84" s="2">
        <f t="shared" si="25"/>
        <v>61</v>
      </c>
      <c r="AF84" s="2">
        <f t="shared" si="26"/>
        <v>61</v>
      </c>
      <c r="AG84" s="2">
        <f t="shared" si="27"/>
        <v>61</v>
      </c>
      <c r="AH84" s="2">
        <f t="shared" si="28"/>
        <v>61</v>
      </c>
      <c r="AI84" s="2">
        <f t="shared" si="29"/>
        <v>61</v>
      </c>
      <c r="AJ84" s="2">
        <f t="shared" si="30"/>
        <v>61</v>
      </c>
      <c r="AK84" s="2">
        <f t="shared" si="31"/>
        <v>61</v>
      </c>
      <c r="AL84" s="2">
        <f t="shared" si="32"/>
        <v>61</v>
      </c>
      <c r="AM84" s="2">
        <f t="shared" si="33"/>
        <v>61</v>
      </c>
      <c r="AN84" s="2">
        <f t="shared" si="34"/>
        <v>61</v>
      </c>
      <c r="AO84" s="2">
        <f t="shared" si="35"/>
        <v>61</v>
      </c>
      <c r="AP84" s="2">
        <f t="shared" si="36"/>
        <v>61</v>
      </c>
      <c r="AQ84" s="2">
        <f t="shared" si="37"/>
        <v>61</v>
      </c>
      <c r="AR84" s="2">
        <f t="shared" si="38"/>
        <v>61</v>
      </c>
      <c r="AS84" s="2">
        <f t="shared" si="39"/>
        <v>61</v>
      </c>
      <c r="AT84" s="2">
        <f t="shared" si="40"/>
        <v>61</v>
      </c>
      <c r="AU84" s="2">
        <f t="shared" si="41"/>
        <v>61</v>
      </c>
      <c r="AV84" s="2">
        <f t="shared" si="42"/>
        <v>61</v>
      </c>
      <c r="AW84" s="2">
        <f t="shared" si="43"/>
        <v>61</v>
      </c>
      <c r="AX84" s="2">
        <f t="shared" si="44"/>
        <v>61</v>
      </c>
      <c r="AY84" s="2">
        <f t="shared" si="45"/>
        <v>61</v>
      </c>
      <c r="AZ84" s="2">
        <f t="shared" si="46"/>
        <v>61</v>
      </c>
      <c r="BA84" s="2">
        <f t="shared" si="47"/>
        <v>61</v>
      </c>
      <c r="BB84" s="2">
        <f t="shared" si="48"/>
        <v>61</v>
      </c>
      <c r="BC84" s="2">
        <f t="shared" si="49"/>
        <v>61</v>
      </c>
      <c r="BD84" s="2">
        <f t="shared" si="50"/>
        <v>61</v>
      </c>
      <c r="BE84" s="2">
        <f t="shared" si="51"/>
        <v>61</v>
      </c>
      <c r="BF84" s="2">
        <f t="shared" si="52"/>
        <v>61</v>
      </c>
      <c r="BG84" s="2">
        <f t="shared" si="53"/>
        <v>61</v>
      </c>
      <c r="BH84" s="2">
        <f t="shared" si="54"/>
        <v>61</v>
      </c>
      <c r="BI84" s="2">
        <f t="shared" si="55"/>
        <v>61</v>
      </c>
      <c r="BJ84" s="2">
        <f t="shared" si="56"/>
        <v>61</v>
      </c>
      <c r="BK84" s="2">
        <f t="shared" si="57"/>
        <v>61</v>
      </c>
      <c r="BL84" s="2">
        <f t="shared" si="58"/>
        <v>61</v>
      </c>
      <c r="BM84" s="2">
        <f t="shared" si="59"/>
        <v>61</v>
      </c>
      <c r="BN84" s="2">
        <f t="shared" si="60"/>
        <v>61</v>
      </c>
      <c r="BO84" s="2">
        <f t="shared" si="61"/>
        <v>61</v>
      </c>
      <c r="BP84" s="2">
        <f t="shared" si="62"/>
        <v>61</v>
      </c>
      <c r="BQ84" s="2">
        <f t="shared" si="63"/>
        <v>61</v>
      </c>
    </row>
    <row r="85" spans="2:69" hidden="1" x14ac:dyDescent="0.3">
      <c r="B85" s="21" t="str">
        <f t="shared" si="2"/>
        <v/>
      </c>
      <c r="G85" s="2"/>
      <c r="H85" s="2"/>
      <c r="I85" s="2"/>
      <c r="J85" s="2">
        <f t="shared" si="4"/>
        <v>61</v>
      </c>
      <c r="K85" s="2">
        <f t="shared" si="5"/>
        <v>61</v>
      </c>
      <c r="L85" s="2">
        <f t="shared" si="6"/>
        <v>61</v>
      </c>
      <c r="M85" s="2">
        <f t="shared" si="7"/>
        <v>61</v>
      </c>
      <c r="N85" s="2">
        <f t="shared" si="8"/>
        <v>61</v>
      </c>
      <c r="O85" s="2">
        <f t="shared" si="9"/>
        <v>61</v>
      </c>
      <c r="P85" s="2">
        <f t="shared" si="10"/>
        <v>61</v>
      </c>
      <c r="Q85" s="2">
        <f t="shared" si="11"/>
        <v>61</v>
      </c>
      <c r="R85" s="2">
        <f t="shared" si="12"/>
        <v>61</v>
      </c>
      <c r="S85" s="2">
        <f t="shared" si="13"/>
        <v>61</v>
      </c>
      <c r="T85" s="2">
        <f t="shared" si="14"/>
        <v>61</v>
      </c>
      <c r="U85" s="2">
        <f t="shared" si="15"/>
        <v>61</v>
      </c>
      <c r="V85" s="2">
        <f t="shared" si="16"/>
        <v>61</v>
      </c>
      <c r="W85" s="2">
        <f t="shared" si="17"/>
        <v>61</v>
      </c>
      <c r="X85" s="2">
        <f t="shared" si="18"/>
        <v>61</v>
      </c>
      <c r="Y85" s="2">
        <f t="shared" si="19"/>
        <v>61</v>
      </c>
      <c r="Z85" s="2">
        <f t="shared" si="20"/>
        <v>61</v>
      </c>
      <c r="AA85" s="2">
        <f t="shared" si="21"/>
        <v>61</v>
      </c>
      <c r="AB85" s="2">
        <f t="shared" si="22"/>
        <v>61</v>
      </c>
      <c r="AC85" s="2">
        <f t="shared" si="23"/>
        <v>61</v>
      </c>
      <c r="AD85" s="2">
        <f t="shared" si="24"/>
        <v>61</v>
      </c>
      <c r="AE85" s="2">
        <f t="shared" si="25"/>
        <v>61</v>
      </c>
      <c r="AF85" s="2">
        <f t="shared" si="26"/>
        <v>61</v>
      </c>
      <c r="AG85" s="2">
        <f t="shared" si="27"/>
        <v>61</v>
      </c>
      <c r="AH85" s="2">
        <f t="shared" si="28"/>
        <v>61</v>
      </c>
      <c r="AI85" s="2">
        <f t="shared" si="29"/>
        <v>61</v>
      </c>
      <c r="AJ85" s="2">
        <f t="shared" si="30"/>
        <v>61</v>
      </c>
      <c r="AK85" s="2">
        <f t="shared" si="31"/>
        <v>61</v>
      </c>
      <c r="AL85" s="2">
        <f t="shared" si="32"/>
        <v>61</v>
      </c>
      <c r="AM85" s="2">
        <f t="shared" si="33"/>
        <v>61</v>
      </c>
      <c r="AN85" s="2">
        <f t="shared" si="34"/>
        <v>61</v>
      </c>
      <c r="AO85" s="2">
        <f t="shared" si="35"/>
        <v>61</v>
      </c>
      <c r="AP85" s="2">
        <f t="shared" si="36"/>
        <v>61</v>
      </c>
      <c r="AQ85" s="2">
        <f t="shared" si="37"/>
        <v>61</v>
      </c>
      <c r="AR85" s="2">
        <f t="shared" si="38"/>
        <v>61</v>
      </c>
      <c r="AS85" s="2">
        <f t="shared" si="39"/>
        <v>61</v>
      </c>
      <c r="AT85" s="2">
        <f t="shared" si="40"/>
        <v>61</v>
      </c>
      <c r="AU85" s="2">
        <f t="shared" si="41"/>
        <v>61</v>
      </c>
      <c r="AV85" s="2">
        <f t="shared" si="42"/>
        <v>61</v>
      </c>
      <c r="AW85" s="2">
        <f t="shared" si="43"/>
        <v>61</v>
      </c>
      <c r="AX85" s="2">
        <f t="shared" si="44"/>
        <v>61</v>
      </c>
      <c r="AY85" s="2">
        <f t="shared" si="45"/>
        <v>61</v>
      </c>
      <c r="AZ85" s="2">
        <f t="shared" si="46"/>
        <v>61</v>
      </c>
      <c r="BA85" s="2">
        <f t="shared" si="47"/>
        <v>61</v>
      </c>
      <c r="BB85" s="2">
        <f t="shared" si="48"/>
        <v>61</v>
      </c>
      <c r="BC85" s="2">
        <f t="shared" si="49"/>
        <v>61</v>
      </c>
      <c r="BD85" s="2">
        <f t="shared" si="50"/>
        <v>61</v>
      </c>
      <c r="BE85" s="2">
        <f t="shared" si="51"/>
        <v>61</v>
      </c>
      <c r="BF85" s="2">
        <f t="shared" si="52"/>
        <v>61</v>
      </c>
      <c r="BG85" s="2">
        <f t="shared" si="53"/>
        <v>61</v>
      </c>
      <c r="BH85" s="2">
        <f t="shared" si="54"/>
        <v>61</v>
      </c>
      <c r="BI85" s="2">
        <f t="shared" si="55"/>
        <v>61</v>
      </c>
      <c r="BJ85" s="2">
        <f t="shared" si="56"/>
        <v>61</v>
      </c>
      <c r="BK85" s="2">
        <f t="shared" si="57"/>
        <v>61</v>
      </c>
      <c r="BL85" s="2">
        <f t="shared" si="58"/>
        <v>61</v>
      </c>
      <c r="BM85" s="2">
        <f t="shared" si="59"/>
        <v>61</v>
      </c>
      <c r="BN85" s="2">
        <f t="shared" si="60"/>
        <v>61</v>
      </c>
      <c r="BO85" s="2">
        <f t="shared" si="61"/>
        <v>61</v>
      </c>
      <c r="BP85" s="2">
        <f t="shared" si="62"/>
        <v>61</v>
      </c>
      <c r="BQ85" s="2">
        <f t="shared" si="63"/>
        <v>61</v>
      </c>
    </row>
    <row r="86" spans="2:69" hidden="1" x14ac:dyDescent="0.3">
      <c r="B86" s="21" t="str">
        <f t="shared" si="2"/>
        <v/>
      </c>
      <c r="G86" s="2"/>
      <c r="H86" s="2"/>
      <c r="I86" s="2"/>
      <c r="J86" s="2">
        <f t="shared" si="4"/>
        <v>61</v>
      </c>
      <c r="K86" s="2">
        <f t="shared" si="5"/>
        <v>61</v>
      </c>
      <c r="L86" s="2">
        <f t="shared" si="6"/>
        <v>61</v>
      </c>
      <c r="M86" s="2">
        <f t="shared" si="7"/>
        <v>61</v>
      </c>
      <c r="N86" s="2">
        <f t="shared" si="8"/>
        <v>61</v>
      </c>
      <c r="O86" s="2">
        <f t="shared" si="9"/>
        <v>61</v>
      </c>
      <c r="P86" s="2">
        <f t="shared" si="10"/>
        <v>61</v>
      </c>
      <c r="Q86" s="2">
        <f t="shared" si="11"/>
        <v>61</v>
      </c>
      <c r="R86" s="2">
        <f t="shared" si="12"/>
        <v>61</v>
      </c>
      <c r="S86" s="2">
        <f t="shared" si="13"/>
        <v>61</v>
      </c>
      <c r="T86" s="2">
        <f t="shared" si="14"/>
        <v>61</v>
      </c>
      <c r="U86" s="2">
        <f t="shared" si="15"/>
        <v>61</v>
      </c>
      <c r="V86" s="2">
        <f t="shared" si="16"/>
        <v>61</v>
      </c>
      <c r="W86" s="2">
        <f t="shared" si="17"/>
        <v>61</v>
      </c>
      <c r="X86" s="2">
        <f t="shared" si="18"/>
        <v>61</v>
      </c>
      <c r="Y86" s="2">
        <f t="shared" si="19"/>
        <v>61</v>
      </c>
      <c r="Z86" s="2">
        <f t="shared" si="20"/>
        <v>61</v>
      </c>
      <c r="AA86" s="2">
        <f t="shared" si="21"/>
        <v>61</v>
      </c>
      <c r="AB86" s="2">
        <f t="shared" si="22"/>
        <v>61</v>
      </c>
      <c r="AC86" s="2">
        <f t="shared" si="23"/>
        <v>61</v>
      </c>
      <c r="AD86" s="2">
        <f t="shared" si="24"/>
        <v>61</v>
      </c>
      <c r="AE86" s="2">
        <f t="shared" si="25"/>
        <v>61</v>
      </c>
      <c r="AF86" s="2">
        <f t="shared" si="26"/>
        <v>61</v>
      </c>
      <c r="AG86" s="2">
        <f t="shared" si="27"/>
        <v>61</v>
      </c>
      <c r="AH86" s="2">
        <f t="shared" si="28"/>
        <v>61</v>
      </c>
      <c r="AI86" s="2">
        <f t="shared" si="29"/>
        <v>61</v>
      </c>
      <c r="AJ86" s="2">
        <f t="shared" si="30"/>
        <v>61</v>
      </c>
      <c r="AK86" s="2">
        <f t="shared" si="31"/>
        <v>61</v>
      </c>
      <c r="AL86" s="2">
        <f t="shared" si="32"/>
        <v>61</v>
      </c>
      <c r="AM86" s="2">
        <f t="shared" si="33"/>
        <v>61</v>
      </c>
      <c r="AN86" s="2">
        <f t="shared" si="34"/>
        <v>61</v>
      </c>
      <c r="AO86" s="2">
        <f t="shared" si="35"/>
        <v>61</v>
      </c>
      <c r="AP86" s="2">
        <f t="shared" si="36"/>
        <v>61</v>
      </c>
      <c r="AQ86" s="2">
        <f t="shared" si="37"/>
        <v>61</v>
      </c>
      <c r="AR86" s="2">
        <f t="shared" si="38"/>
        <v>61</v>
      </c>
      <c r="AS86" s="2">
        <f t="shared" si="39"/>
        <v>61</v>
      </c>
      <c r="AT86" s="2">
        <f t="shared" si="40"/>
        <v>61</v>
      </c>
      <c r="AU86" s="2">
        <f t="shared" si="41"/>
        <v>61</v>
      </c>
      <c r="AV86" s="2">
        <f t="shared" si="42"/>
        <v>61</v>
      </c>
      <c r="AW86" s="2">
        <f t="shared" si="43"/>
        <v>61</v>
      </c>
      <c r="AX86" s="2">
        <f t="shared" si="44"/>
        <v>61</v>
      </c>
      <c r="AY86" s="2">
        <f t="shared" si="45"/>
        <v>61</v>
      </c>
      <c r="AZ86" s="2">
        <f t="shared" si="46"/>
        <v>61</v>
      </c>
      <c r="BA86" s="2">
        <f t="shared" si="47"/>
        <v>61</v>
      </c>
      <c r="BB86" s="2">
        <f t="shared" si="48"/>
        <v>61</v>
      </c>
      <c r="BC86" s="2">
        <f t="shared" si="49"/>
        <v>61</v>
      </c>
      <c r="BD86" s="2">
        <f t="shared" si="50"/>
        <v>61</v>
      </c>
      <c r="BE86" s="2">
        <f t="shared" si="51"/>
        <v>61</v>
      </c>
      <c r="BF86" s="2">
        <f t="shared" si="52"/>
        <v>61</v>
      </c>
      <c r="BG86" s="2">
        <f t="shared" si="53"/>
        <v>61</v>
      </c>
      <c r="BH86" s="2">
        <f t="shared" si="54"/>
        <v>61</v>
      </c>
      <c r="BI86" s="2">
        <f t="shared" si="55"/>
        <v>61</v>
      </c>
      <c r="BJ86" s="2">
        <f t="shared" si="56"/>
        <v>61</v>
      </c>
      <c r="BK86" s="2">
        <f t="shared" si="57"/>
        <v>61</v>
      </c>
      <c r="BL86" s="2">
        <f t="shared" si="58"/>
        <v>61</v>
      </c>
      <c r="BM86" s="2">
        <f t="shared" si="59"/>
        <v>61</v>
      </c>
      <c r="BN86" s="2">
        <f t="shared" si="60"/>
        <v>61</v>
      </c>
      <c r="BO86" s="2">
        <f t="shared" si="61"/>
        <v>61</v>
      </c>
      <c r="BP86" s="2">
        <f t="shared" si="62"/>
        <v>61</v>
      </c>
      <c r="BQ86" s="2">
        <f t="shared" si="63"/>
        <v>61</v>
      </c>
    </row>
    <row r="87" spans="2:69" hidden="1" x14ac:dyDescent="0.3">
      <c r="B87" s="21" t="str">
        <f t="shared" si="2"/>
        <v/>
      </c>
      <c r="G87" s="2"/>
      <c r="H87" s="2"/>
      <c r="I87" s="2"/>
      <c r="J87" s="2">
        <f t="shared" si="4"/>
        <v>61</v>
      </c>
      <c r="K87" s="2">
        <f t="shared" si="5"/>
        <v>61</v>
      </c>
      <c r="L87" s="2">
        <f t="shared" si="6"/>
        <v>61</v>
      </c>
      <c r="M87" s="2">
        <f t="shared" si="7"/>
        <v>61</v>
      </c>
      <c r="N87" s="2">
        <f t="shared" si="8"/>
        <v>61</v>
      </c>
      <c r="O87" s="2">
        <f t="shared" si="9"/>
        <v>61</v>
      </c>
      <c r="P87" s="2">
        <f t="shared" si="10"/>
        <v>61</v>
      </c>
      <c r="Q87" s="2">
        <f t="shared" si="11"/>
        <v>61</v>
      </c>
      <c r="R87" s="2">
        <f t="shared" si="12"/>
        <v>61</v>
      </c>
      <c r="S87" s="2">
        <f t="shared" si="13"/>
        <v>61</v>
      </c>
      <c r="T87" s="2">
        <f t="shared" si="14"/>
        <v>61</v>
      </c>
      <c r="U87" s="2">
        <f t="shared" si="15"/>
        <v>61</v>
      </c>
      <c r="V87" s="2">
        <f t="shared" si="16"/>
        <v>61</v>
      </c>
      <c r="W87" s="2">
        <f t="shared" si="17"/>
        <v>61</v>
      </c>
      <c r="X87" s="2">
        <f t="shared" si="18"/>
        <v>61</v>
      </c>
      <c r="Y87" s="2">
        <f t="shared" si="19"/>
        <v>61</v>
      </c>
      <c r="Z87" s="2">
        <f t="shared" si="20"/>
        <v>61</v>
      </c>
      <c r="AA87" s="2">
        <f t="shared" si="21"/>
        <v>61</v>
      </c>
      <c r="AB87" s="2">
        <f t="shared" si="22"/>
        <v>61</v>
      </c>
      <c r="AC87" s="2">
        <f t="shared" si="23"/>
        <v>61</v>
      </c>
      <c r="AD87" s="2">
        <f t="shared" si="24"/>
        <v>61</v>
      </c>
      <c r="AE87" s="2">
        <f t="shared" si="25"/>
        <v>61</v>
      </c>
      <c r="AF87" s="2">
        <f t="shared" si="26"/>
        <v>61</v>
      </c>
      <c r="AG87" s="2">
        <f t="shared" si="27"/>
        <v>61</v>
      </c>
      <c r="AH87" s="2">
        <f t="shared" si="28"/>
        <v>61</v>
      </c>
      <c r="AI87" s="2">
        <f t="shared" si="29"/>
        <v>61</v>
      </c>
      <c r="AJ87" s="2">
        <f t="shared" si="30"/>
        <v>61</v>
      </c>
      <c r="AK87" s="2">
        <f t="shared" si="31"/>
        <v>61</v>
      </c>
      <c r="AL87" s="2">
        <f t="shared" si="32"/>
        <v>61</v>
      </c>
      <c r="AM87" s="2">
        <f t="shared" si="33"/>
        <v>61</v>
      </c>
      <c r="AN87" s="2">
        <f t="shared" si="34"/>
        <v>61</v>
      </c>
      <c r="AO87" s="2">
        <f t="shared" si="35"/>
        <v>61</v>
      </c>
      <c r="AP87" s="2">
        <f t="shared" si="36"/>
        <v>61</v>
      </c>
      <c r="AQ87" s="2">
        <f t="shared" si="37"/>
        <v>61</v>
      </c>
      <c r="AR87" s="2">
        <f t="shared" si="38"/>
        <v>61</v>
      </c>
      <c r="AS87" s="2">
        <f t="shared" si="39"/>
        <v>61</v>
      </c>
      <c r="AT87" s="2">
        <f t="shared" si="40"/>
        <v>61</v>
      </c>
      <c r="AU87" s="2">
        <f t="shared" si="41"/>
        <v>61</v>
      </c>
      <c r="AV87" s="2">
        <f t="shared" si="42"/>
        <v>61</v>
      </c>
      <c r="AW87" s="2">
        <f t="shared" si="43"/>
        <v>61</v>
      </c>
      <c r="AX87" s="2">
        <f t="shared" si="44"/>
        <v>61</v>
      </c>
      <c r="AY87" s="2">
        <f t="shared" si="45"/>
        <v>61</v>
      </c>
      <c r="AZ87" s="2">
        <f t="shared" si="46"/>
        <v>61</v>
      </c>
      <c r="BA87" s="2">
        <f t="shared" si="47"/>
        <v>61</v>
      </c>
      <c r="BB87" s="2">
        <f t="shared" si="48"/>
        <v>61</v>
      </c>
      <c r="BC87" s="2">
        <f t="shared" si="49"/>
        <v>61</v>
      </c>
      <c r="BD87" s="2">
        <f t="shared" si="50"/>
        <v>61</v>
      </c>
      <c r="BE87" s="2">
        <f t="shared" si="51"/>
        <v>61</v>
      </c>
      <c r="BF87" s="2">
        <f t="shared" si="52"/>
        <v>61</v>
      </c>
      <c r="BG87" s="2">
        <f t="shared" si="53"/>
        <v>61</v>
      </c>
      <c r="BH87" s="2">
        <f t="shared" si="54"/>
        <v>61</v>
      </c>
      <c r="BI87" s="2">
        <f t="shared" si="55"/>
        <v>61</v>
      </c>
      <c r="BJ87" s="2">
        <f t="shared" si="56"/>
        <v>61</v>
      </c>
      <c r="BK87" s="2">
        <f t="shared" si="57"/>
        <v>61</v>
      </c>
      <c r="BL87" s="2">
        <f t="shared" si="58"/>
        <v>61</v>
      </c>
      <c r="BM87" s="2">
        <f t="shared" si="59"/>
        <v>61</v>
      </c>
      <c r="BN87" s="2">
        <f t="shared" si="60"/>
        <v>61</v>
      </c>
      <c r="BO87" s="2">
        <f t="shared" si="61"/>
        <v>61</v>
      </c>
      <c r="BP87" s="2">
        <f t="shared" si="62"/>
        <v>61</v>
      </c>
      <c r="BQ87" s="2">
        <f t="shared" si="63"/>
        <v>61</v>
      </c>
    </row>
    <row r="88" spans="2:69" hidden="1" x14ac:dyDescent="0.3">
      <c r="B88" s="21" t="str">
        <f t="shared" si="2"/>
        <v/>
      </c>
      <c r="G88" s="2"/>
      <c r="H88" s="2"/>
      <c r="I88" s="2"/>
      <c r="J88" s="2">
        <f t="shared" si="4"/>
        <v>61</v>
      </c>
      <c r="K88" s="2">
        <f t="shared" si="5"/>
        <v>61</v>
      </c>
      <c r="L88" s="2">
        <f t="shared" si="6"/>
        <v>61</v>
      </c>
      <c r="M88" s="2">
        <f t="shared" si="7"/>
        <v>61</v>
      </c>
      <c r="N88" s="2">
        <f t="shared" si="8"/>
        <v>61</v>
      </c>
      <c r="O88" s="2">
        <f t="shared" si="9"/>
        <v>61</v>
      </c>
      <c r="P88" s="2">
        <f t="shared" si="10"/>
        <v>61</v>
      </c>
      <c r="Q88" s="2">
        <f t="shared" si="11"/>
        <v>61</v>
      </c>
      <c r="R88" s="2">
        <f t="shared" si="12"/>
        <v>61</v>
      </c>
      <c r="S88" s="2">
        <f t="shared" si="13"/>
        <v>61</v>
      </c>
      <c r="T88" s="2">
        <f t="shared" si="14"/>
        <v>61</v>
      </c>
      <c r="U88" s="2">
        <f t="shared" si="15"/>
        <v>61</v>
      </c>
      <c r="V88" s="2">
        <f t="shared" si="16"/>
        <v>61</v>
      </c>
      <c r="W88" s="2">
        <f t="shared" si="17"/>
        <v>61</v>
      </c>
      <c r="X88" s="2">
        <f t="shared" si="18"/>
        <v>61</v>
      </c>
      <c r="Y88" s="2">
        <f t="shared" si="19"/>
        <v>61</v>
      </c>
      <c r="Z88" s="2">
        <f t="shared" si="20"/>
        <v>61</v>
      </c>
      <c r="AA88" s="2">
        <f t="shared" si="21"/>
        <v>61</v>
      </c>
      <c r="AB88" s="2">
        <f t="shared" si="22"/>
        <v>61</v>
      </c>
      <c r="AC88" s="2">
        <f t="shared" si="23"/>
        <v>61</v>
      </c>
      <c r="AD88" s="2">
        <f t="shared" si="24"/>
        <v>61</v>
      </c>
      <c r="AE88" s="2">
        <f t="shared" si="25"/>
        <v>61</v>
      </c>
      <c r="AF88" s="2">
        <f t="shared" si="26"/>
        <v>61</v>
      </c>
      <c r="AG88" s="2">
        <f t="shared" si="27"/>
        <v>61</v>
      </c>
      <c r="AH88" s="2">
        <f t="shared" si="28"/>
        <v>61</v>
      </c>
      <c r="AI88" s="2">
        <f t="shared" si="29"/>
        <v>61</v>
      </c>
      <c r="AJ88" s="2">
        <f t="shared" si="30"/>
        <v>61</v>
      </c>
      <c r="AK88" s="2">
        <f t="shared" si="31"/>
        <v>61</v>
      </c>
      <c r="AL88" s="2">
        <f t="shared" si="32"/>
        <v>61</v>
      </c>
      <c r="AM88" s="2">
        <f t="shared" si="33"/>
        <v>61</v>
      </c>
      <c r="AN88" s="2">
        <f t="shared" si="34"/>
        <v>61</v>
      </c>
      <c r="AO88" s="2">
        <f t="shared" si="35"/>
        <v>61</v>
      </c>
      <c r="AP88" s="2">
        <f t="shared" si="36"/>
        <v>61</v>
      </c>
      <c r="AQ88" s="2">
        <f t="shared" si="37"/>
        <v>61</v>
      </c>
      <c r="AR88" s="2">
        <f t="shared" si="38"/>
        <v>61</v>
      </c>
      <c r="AS88" s="2">
        <f t="shared" si="39"/>
        <v>61</v>
      </c>
      <c r="AT88" s="2">
        <f t="shared" si="40"/>
        <v>61</v>
      </c>
      <c r="AU88" s="2">
        <f t="shared" si="41"/>
        <v>61</v>
      </c>
      <c r="AV88" s="2">
        <f t="shared" si="42"/>
        <v>61</v>
      </c>
      <c r="AW88" s="2">
        <f t="shared" si="43"/>
        <v>61</v>
      </c>
      <c r="AX88" s="2">
        <f t="shared" si="44"/>
        <v>61</v>
      </c>
      <c r="AY88" s="2">
        <f t="shared" si="45"/>
        <v>61</v>
      </c>
      <c r="AZ88" s="2">
        <f t="shared" si="46"/>
        <v>61</v>
      </c>
      <c r="BA88" s="2">
        <f t="shared" si="47"/>
        <v>61</v>
      </c>
      <c r="BB88" s="2">
        <f t="shared" si="48"/>
        <v>61</v>
      </c>
      <c r="BC88" s="2">
        <f t="shared" si="49"/>
        <v>61</v>
      </c>
      <c r="BD88" s="2">
        <f t="shared" si="50"/>
        <v>61</v>
      </c>
      <c r="BE88" s="2">
        <f t="shared" si="51"/>
        <v>61</v>
      </c>
      <c r="BF88" s="2">
        <f t="shared" si="52"/>
        <v>61</v>
      </c>
      <c r="BG88" s="2">
        <f t="shared" si="53"/>
        <v>61</v>
      </c>
      <c r="BH88" s="2">
        <f t="shared" si="54"/>
        <v>61</v>
      </c>
      <c r="BI88" s="2">
        <f t="shared" si="55"/>
        <v>61</v>
      </c>
      <c r="BJ88" s="2">
        <f t="shared" si="56"/>
        <v>61</v>
      </c>
      <c r="BK88" s="2">
        <f t="shared" si="57"/>
        <v>61</v>
      </c>
      <c r="BL88" s="2">
        <f t="shared" si="58"/>
        <v>61</v>
      </c>
      <c r="BM88" s="2">
        <f t="shared" si="59"/>
        <v>61</v>
      </c>
      <c r="BN88" s="2">
        <f t="shared" si="60"/>
        <v>61</v>
      </c>
      <c r="BO88" s="2">
        <f t="shared" si="61"/>
        <v>61</v>
      </c>
      <c r="BP88" s="2">
        <f t="shared" si="62"/>
        <v>61</v>
      </c>
      <c r="BQ88" s="2">
        <f t="shared" si="63"/>
        <v>61</v>
      </c>
    </row>
    <row r="89" spans="2:69" hidden="1" x14ac:dyDescent="0.3">
      <c r="B89" s="21" t="str">
        <f t="shared" si="2"/>
        <v/>
      </c>
      <c r="G89" s="2"/>
      <c r="H89" s="2"/>
      <c r="I89" s="2"/>
      <c r="J89" s="2">
        <f t="shared" si="4"/>
        <v>61</v>
      </c>
      <c r="K89" s="2">
        <f t="shared" si="5"/>
        <v>61</v>
      </c>
      <c r="L89" s="2">
        <f t="shared" si="6"/>
        <v>61</v>
      </c>
      <c r="M89" s="2">
        <f t="shared" si="7"/>
        <v>61</v>
      </c>
      <c r="N89" s="2">
        <f t="shared" si="8"/>
        <v>61</v>
      </c>
      <c r="O89" s="2">
        <f t="shared" si="9"/>
        <v>61</v>
      </c>
      <c r="P89" s="2">
        <f t="shared" si="10"/>
        <v>61</v>
      </c>
      <c r="Q89" s="2">
        <f t="shared" si="11"/>
        <v>61</v>
      </c>
      <c r="R89" s="2">
        <f t="shared" si="12"/>
        <v>61</v>
      </c>
      <c r="S89" s="2">
        <f t="shared" si="13"/>
        <v>61</v>
      </c>
      <c r="T89" s="2">
        <f t="shared" si="14"/>
        <v>61</v>
      </c>
      <c r="U89" s="2">
        <f t="shared" si="15"/>
        <v>61</v>
      </c>
      <c r="V89" s="2">
        <f t="shared" si="16"/>
        <v>61</v>
      </c>
      <c r="W89" s="2">
        <f t="shared" si="17"/>
        <v>61</v>
      </c>
      <c r="X89" s="2">
        <f t="shared" si="18"/>
        <v>61</v>
      </c>
      <c r="Y89" s="2">
        <f t="shared" si="19"/>
        <v>61</v>
      </c>
      <c r="Z89" s="2">
        <f t="shared" si="20"/>
        <v>61</v>
      </c>
      <c r="AA89" s="2">
        <f t="shared" si="21"/>
        <v>61</v>
      </c>
      <c r="AB89" s="2">
        <f t="shared" si="22"/>
        <v>61</v>
      </c>
      <c r="AC89" s="2">
        <f t="shared" si="23"/>
        <v>61</v>
      </c>
      <c r="AD89" s="2">
        <f t="shared" si="24"/>
        <v>61</v>
      </c>
      <c r="AE89" s="2">
        <f t="shared" si="25"/>
        <v>61</v>
      </c>
      <c r="AF89" s="2">
        <f t="shared" si="26"/>
        <v>61</v>
      </c>
      <c r="AG89" s="2">
        <f t="shared" si="27"/>
        <v>61</v>
      </c>
      <c r="AH89" s="2">
        <f t="shared" si="28"/>
        <v>61</v>
      </c>
      <c r="AI89" s="2">
        <f t="shared" si="29"/>
        <v>61</v>
      </c>
      <c r="AJ89" s="2">
        <f t="shared" si="30"/>
        <v>61</v>
      </c>
      <c r="AK89" s="2">
        <f t="shared" si="31"/>
        <v>61</v>
      </c>
      <c r="AL89" s="2">
        <f t="shared" si="32"/>
        <v>61</v>
      </c>
      <c r="AM89" s="2">
        <f t="shared" si="33"/>
        <v>61</v>
      </c>
      <c r="AN89" s="2">
        <f t="shared" si="34"/>
        <v>61</v>
      </c>
      <c r="AO89" s="2">
        <f t="shared" si="35"/>
        <v>61</v>
      </c>
      <c r="AP89" s="2">
        <f t="shared" si="36"/>
        <v>61</v>
      </c>
      <c r="AQ89" s="2">
        <f t="shared" si="37"/>
        <v>61</v>
      </c>
      <c r="AR89" s="2">
        <f t="shared" si="38"/>
        <v>61</v>
      </c>
      <c r="AS89" s="2">
        <f t="shared" si="39"/>
        <v>61</v>
      </c>
      <c r="AT89" s="2">
        <f t="shared" si="40"/>
        <v>61</v>
      </c>
      <c r="AU89" s="2">
        <f t="shared" si="41"/>
        <v>61</v>
      </c>
      <c r="AV89" s="2">
        <f t="shared" si="42"/>
        <v>61</v>
      </c>
      <c r="AW89" s="2">
        <f t="shared" si="43"/>
        <v>61</v>
      </c>
      <c r="AX89" s="2">
        <f t="shared" si="44"/>
        <v>61</v>
      </c>
      <c r="AY89" s="2">
        <f t="shared" si="45"/>
        <v>61</v>
      </c>
      <c r="AZ89" s="2">
        <f t="shared" si="46"/>
        <v>61</v>
      </c>
      <c r="BA89" s="2">
        <f t="shared" si="47"/>
        <v>61</v>
      </c>
      <c r="BB89" s="2">
        <f t="shared" si="48"/>
        <v>61</v>
      </c>
      <c r="BC89" s="2">
        <f t="shared" si="49"/>
        <v>61</v>
      </c>
      <c r="BD89" s="2">
        <f t="shared" si="50"/>
        <v>61</v>
      </c>
      <c r="BE89" s="2">
        <f t="shared" si="51"/>
        <v>61</v>
      </c>
      <c r="BF89" s="2">
        <f t="shared" si="52"/>
        <v>61</v>
      </c>
      <c r="BG89" s="2">
        <f t="shared" si="53"/>
        <v>61</v>
      </c>
      <c r="BH89" s="2">
        <f t="shared" si="54"/>
        <v>61</v>
      </c>
      <c r="BI89" s="2">
        <f t="shared" si="55"/>
        <v>61</v>
      </c>
      <c r="BJ89" s="2">
        <f t="shared" si="56"/>
        <v>61</v>
      </c>
      <c r="BK89" s="2">
        <f t="shared" si="57"/>
        <v>61</v>
      </c>
      <c r="BL89" s="2">
        <f t="shared" si="58"/>
        <v>61</v>
      </c>
      <c r="BM89" s="2">
        <f t="shared" si="59"/>
        <v>61</v>
      </c>
      <c r="BN89" s="2">
        <f t="shared" si="60"/>
        <v>61</v>
      </c>
      <c r="BO89" s="2">
        <f t="shared" si="61"/>
        <v>61</v>
      </c>
      <c r="BP89" s="2">
        <f t="shared" si="62"/>
        <v>61</v>
      </c>
      <c r="BQ89" s="2">
        <f t="shared" si="63"/>
        <v>61</v>
      </c>
    </row>
    <row r="90" spans="2:69" hidden="1" x14ac:dyDescent="0.3">
      <c r="B90" s="21" t="str">
        <f t="shared" si="2"/>
        <v/>
      </c>
      <c r="G90" s="2"/>
      <c r="H90" s="2"/>
      <c r="I90" s="2"/>
      <c r="J90" s="2">
        <f t="shared" si="4"/>
        <v>61</v>
      </c>
      <c r="K90" s="2">
        <f t="shared" si="5"/>
        <v>61</v>
      </c>
      <c r="L90" s="2">
        <f t="shared" si="6"/>
        <v>61</v>
      </c>
      <c r="M90" s="2">
        <f t="shared" si="7"/>
        <v>61</v>
      </c>
      <c r="N90" s="2">
        <f t="shared" si="8"/>
        <v>61</v>
      </c>
      <c r="O90" s="2">
        <f t="shared" si="9"/>
        <v>61</v>
      </c>
      <c r="P90" s="2">
        <f t="shared" si="10"/>
        <v>61</v>
      </c>
      <c r="Q90" s="2">
        <f t="shared" si="11"/>
        <v>61</v>
      </c>
      <c r="R90" s="2">
        <f t="shared" si="12"/>
        <v>61</v>
      </c>
      <c r="S90" s="2">
        <f t="shared" si="13"/>
        <v>61</v>
      </c>
      <c r="T90" s="2">
        <f t="shared" si="14"/>
        <v>61</v>
      </c>
      <c r="U90" s="2">
        <f t="shared" si="15"/>
        <v>61</v>
      </c>
      <c r="V90" s="2">
        <f t="shared" si="16"/>
        <v>61</v>
      </c>
      <c r="W90" s="2">
        <f t="shared" si="17"/>
        <v>61</v>
      </c>
      <c r="X90" s="2">
        <f t="shared" si="18"/>
        <v>61</v>
      </c>
      <c r="Y90" s="2">
        <f t="shared" si="19"/>
        <v>61</v>
      </c>
      <c r="Z90" s="2">
        <f t="shared" si="20"/>
        <v>61</v>
      </c>
      <c r="AA90" s="2">
        <f t="shared" si="21"/>
        <v>61</v>
      </c>
      <c r="AB90" s="2">
        <f t="shared" si="22"/>
        <v>61</v>
      </c>
      <c r="AC90" s="2">
        <f t="shared" si="23"/>
        <v>61</v>
      </c>
      <c r="AD90" s="2">
        <f t="shared" si="24"/>
        <v>61</v>
      </c>
      <c r="AE90" s="2">
        <f t="shared" si="25"/>
        <v>61</v>
      </c>
      <c r="AF90" s="2">
        <f t="shared" si="26"/>
        <v>61</v>
      </c>
      <c r="AG90" s="2">
        <f t="shared" si="27"/>
        <v>61</v>
      </c>
      <c r="AH90" s="2">
        <f t="shared" si="28"/>
        <v>61</v>
      </c>
      <c r="AI90" s="2">
        <f t="shared" si="29"/>
        <v>61</v>
      </c>
      <c r="AJ90" s="2">
        <f t="shared" si="30"/>
        <v>61</v>
      </c>
      <c r="AK90" s="2">
        <f t="shared" si="31"/>
        <v>61</v>
      </c>
      <c r="AL90" s="2">
        <f t="shared" si="32"/>
        <v>61</v>
      </c>
      <c r="AM90" s="2">
        <f t="shared" si="33"/>
        <v>61</v>
      </c>
      <c r="AN90" s="2">
        <f t="shared" si="34"/>
        <v>61</v>
      </c>
      <c r="AO90" s="2">
        <f t="shared" si="35"/>
        <v>61</v>
      </c>
      <c r="AP90" s="2">
        <f t="shared" si="36"/>
        <v>61</v>
      </c>
      <c r="AQ90" s="2">
        <f t="shared" si="37"/>
        <v>61</v>
      </c>
      <c r="AR90" s="2">
        <f t="shared" si="38"/>
        <v>61</v>
      </c>
      <c r="AS90" s="2">
        <f t="shared" si="39"/>
        <v>61</v>
      </c>
      <c r="AT90" s="2">
        <f t="shared" si="40"/>
        <v>61</v>
      </c>
      <c r="AU90" s="2">
        <f t="shared" si="41"/>
        <v>61</v>
      </c>
      <c r="AV90" s="2">
        <f t="shared" si="42"/>
        <v>61</v>
      </c>
      <c r="AW90" s="2">
        <f t="shared" si="43"/>
        <v>61</v>
      </c>
      <c r="AX90" s="2">
        <f t="shared" si="44"/>
        <v>61</v>
      </c>
      <c r="AY90" s="2">
        <f t="shared" si="45"/>
        <v>61</v>
      </c>
      <c r="AZ90" s="2">
        <f t="shared" si="46"/>
        <v>61</v>
      </c>
      <c r="BA90" s="2">
        <f t="shared" si="47"/>
        <v>61</v>
      </c>
      <c r="BB90" s="2">
        <f t="shared" si="48"/>
        <v>61</v>
      </c>
      <c r="BC90" s="2">
        <f t="shared" si="49"/>
        <v>61</v>
      </c>
      <c r="BD90" s="2">
        <f t="shared" si="50"/>
        <v>61</v>
      </c>
      <c r="BE90" s="2">
        <f t="shared" si="51"/>
        <v>61</v>
      </c>
      <c r="BF90" s="2">
        <f t="shared" si="52"/>
        <v>61</v>
      </c>
      <c r="BG90" s="2">
        <f t="shared" si="53"/>
        <v>61</v>
      </c>
      <c r="BH90" s="2">
        <f t="shared" si="54"/>
        <v>61</v>
      </c>
      <c r="BI90" s="2">
        <f t="shared" si="55"/>
        <v>61</v>
      </c>
      <c r="BJ90" s="2">
        <f t="shared" si="56"/>
        <v>61</v>
      </c>
      <c r="BK90" s="2">
        <f t="shared" si="57"/>
        <v>61</v>
      </c>
      <c r="BL90" s="2">
        <f t="shared" si="58"/>
        <v>61</v>
      </c>
      <c r="BM90" s="2">
        <f t="shared" si="59"/>
        <v>61</v>
      </c>
      <c r="BN90" s="2">
        <f t="shared" si="60"/>
        <v>61</v>
      </c>
      <c r="BO90" s="2">
        <f t="shared" si="61"/>
        <v>61</v>
      </c>
      <c r="BP90" s="2">
        <f t="shared" si="62"/>
        <v>61</v>
      </c>
      <c r="BQ90" s="2">
        <f t="shared" si="63"/>
        <v>61</v>
      </c>
    </row>
    <row r="91" spans="2:69" hidden="1" x14ac:dyDescent="0.3">
      <c r="B91" s="21" t="str">
        <f t="shared" si="2"/>
        <v/>
      </c>
      <c r="G91" s="2"/>
      <c r="H91" s="2"/>
      <c r="I91" s="2"/>
      <c r="J91" s="2">
        <f t="shared" si="4"/>
        <v>61</v>
      </c>
      <c r="K91" s="2">
        <f t="shared" si="5"/>
        <v>61</v>
      </c>
      <c r="L91" s="2">
        <f t="shared" si="6"/>
        <v>61</v>
      </c>
      <c r="M91" s="2">
        <f t="shared" si="7"/>
        <v>61</v>
      </c>
      <c r="N91" s="2">
        <f t="shared" si="8"/>
        <v>61</v>
      </c>
      <c r="O91" s="2">
        <f t="shared" si="9"/>
        <v>61</v>
      </c>
      <c r="P91" s="2">
        <f t="shared" si="10"/>
        <v>61</v>
      </c>
      <c r="Q91" s="2">
        <f t="shared" si="11"/>
        <v>61</v>
      </c>
      <c r="R91" s="2">
        <f t="shared" si="12"/>
        <v>61</v>
      </c>
      <c r="S91" s="2">
        <f t="shared" si="13"/>
        <v>61</v>
      </c>
      <c r="T91" s="2">
        <f t="shared" si="14"/>
        <v>61</v>
      </c>
      <c r="U91" s="2">
        <f t="shared" si="15"/>
        <v>61</v>
      </c>
      <c r="V91" s="2">
        <f t="shared" si="16"/>
        <v>61</v>
      </c>
      <c r="W91" s="2">
        <f t="shared" si="17"/>
        <v>61</v>
      </c>
      <c r="X91" s="2">
        <f t="shared" si="18"/>
        <v>61</v>
      </c>
      <c r="Y91" s="2">
        <f t="shared" si="19"/>
        <v>61</v>
      </c>
      <c r="Z91" s="2">
        <f t="shared" si="20"/>
        <v>61</v>
      </c>
      <c r="AA91" s="2">
        <f t="shared" si="21"/>
        <v>61</v>
      </c>
      <c r="AB91" s="2">
        <f t="shared" si="22"/>
        <v>61</v>
      </c>
      <c r="AC91" s="2">
        <f t="shared" si="23"/>
        <v>61</v>
      </c>
      <c r="AD91" s="2">
        <f t="shared" si="24"/>
        <v>61</v>
      </c>
      <c r="AE91" s="2">
        <f t="shared" si="25"/>
        <v>61</v>
      </c>
      <c r="AF91" s="2">
        <f t="shared" si="26"/>
        <v>61</v>
      </c>
      <c r="AG91" s="2">
        <f t="shared" si="27"/>
        <v>61</v>
      </c>
      <c r="AH91" s="2">
        <f t="shared" si="28"/>
        <v>61</v>
      </c>
      <c r="AI91" s="2">
        <f t="shared" si="29"/>
        <v>61</v>
      </c>
      <c r="AJ91" s="2">
        <f t="shared" si="30"/>
        <v>61</v>
      </c>
      <c r="AK91" s="2">
        <f t="shared" si="31"/>
        <v>61</v>
      </c>
      <c r="AL91" s="2">
        <f t="shared" si="32"/>
        <v>61</v>
      </c>
      <c r="AM91" s="2">
        <f t="shared" si="33"/>
        <v>61</v>
      </c>
      <c r="AN91" s="2">
        <f t="shared" si="34"/>
        <v>61</v>
      </c>
      <c r="AO91" s="2">
        <f t="shared" si="35"/>
        <v>61</v>
      </c>
      <c r="AP91" s="2">
        <f t="shared" si="36"/>
        <v>61</v>
      </c>
      <c r="AQ91" s="2">
        <f t="shared" si="37"/>
        <v>61</v>
      </c>
      <c r="AR91" s="2">
        <f t="shared" si="38"/>
        <v>61</v>
      </c>
      <c r="AS91" s="2">
        <f t="shared" si="39"/>
        <v>61</v>
      </c>
      <c r="AT91" s="2">
        <f t="shared" si="40"/>
        <v>61</v>
      </c>
      <c r="AU91" s="2">
        <f t="shared" si="41"/>
        <v>61</v>
      </c>
      <c r="AV91" s="2">
        <f t="shared" si="42"/>
        <v>61</v>
      </c>
      <c r="AW91" s="2">
        <f t="shared" si="43"/>
        <v>61</v>
      </c>
      <c r="AX91" s="2">
        <f t="shared" si="44"/>
        <v>61</v>
      </c>
      <c r="AY91" s="2">
        <f t="shared" si="45"/>
        <v>61</v>
      </c>
      <c r="AZ91" s="2">
        <f t="shared" si="46"/>
        <v>61</v>
      </c>
      <c r="BA91" s="2">
        <f t="shared" si="47"/>
        <v>61</v>
      </c>
      <c r="BB91" s="2">
        <f t="shared" si="48"/>
        <v>61</v>
      </c>
      <c r="BC91" s="2">
        <f t="shared" si="49"/>
        <v>61</v>
      </c>
      <c r="BD91" s="2">
        <f t="shared" si="50"/>
        <v>61</v>
      </c>
      <c r="BE91" s="2">
        <f t="shared" si="51"/>
        <v>61</v>
      </c>
      <c r="BF91" s="2">
        <f t="shared" si="52"/>
        <v>61</v>
      </c>
      <c r="BG91" s="2">
        <f t="shared" si="53"/>
        <v>61</v>
      </c>
      <c r="BH91" s="2">
        <f t="shared" si="54"/>
        <v>61</v>
      </c>
      <c r="BI91" s="2">
        <f t="shared" si="55"/>
        <v>61</v>
      </c>
      <c r="BJ91" s="2">
        <f t="shared" si="56"/>
        <v>61</v>
      </c>
      <c r="BK91" s="2">
        <f t="shared" si="57"/>
        <v>61</v>
      </c>
      <c r="BL91" s="2">
        <f t="shared" si="58"/>
        <v>61</v>
      </c>
      <c r="BM91" s="2">
        <f t="shared" si="59"/>
        <v>61</v>
      </c>
      <c r="BN91" s="2">
        <f t="shared" si="60"/>
        <v>61</v>
      </c>
      <c r="BO91" s="2">
        <f t="shared" si="61"/>
        <v>61</v>
      </c>
      <c r="BP91" s="2">
        <f t="shared" si="62"/>
        <v>61</v>
      </c>
      <c r="BQ91" s="2">
        <f t="shared" si="63"/>
        <v>61</v>
      </c>
    </row>
    <row r="92" spans="2:69" hidden="1" x14ac:dyDescent="0.3">
      <c r="B92" s="21" t="str">
        <f t="shared" si="2"/>
        <v/>
      </c>
      <c r="G92" s="2"/>
      <c r="H92" s="2"/>
      <c r="I92" s="2"/>
      <c r="J92" s="2">
        <f t="shared" si="4"/>
        <v>61</v>
      </c>
      <c r="K92" s="2">
        <f t="shared" si="5"/>
        <v>61</v>
      </c>
      <c r="L92" s="2">
        <f t="shared" si="6"/>
        <v>61</v>
      </c>
      <c r="M92" s="2">
        <f t="shared" si="7"/>
        <v>61</v>
      </c>
      <c r="N92" s="2">
        <f t="shared" si="8"/>
        <v>61</v>
      </c>
      <c r="O92" s="2">
        <f t="shared" si="9"/>
        <v>61</v>
      </c>
      <c r="P92" s="2">
        <f t="shared" si="10"/>
        <v>61</v>
      </c>
      <c r="Q92" s="2">
        <f t="shared" si="11"/>
        <v>61</v>
      </c>
      <c r="R92" s="2">
        <f t="shared" si="12"/>
        <v>61</v>
      </c>
      <c r="S92" s="2">
        <f t="shared" si="13"/>
        <v>61</v>
      </c>
      <c r="T92" s="2">
        <f t="shared" si="14"/>
        <v>61</v>
      </c>
      <c r="U92" s="2">
        <f t="shared" si="15"/>
        <v>61</v>
      </c>
      <c r="V92" s="2">
        <f t="shared" si="16"/>
        <v>61</v>
      </c>
      <c r="W92" s="2">
        <f t="shared" si="17"/>
        <v>61</v>
      </c>
      <c r="X92" s="2">
        <f t="shared" si="18"/>
        <v>61</v>
      </c>
      <c r="Y92" s="2">
        <f t="shared" si="19"/>
        <v>61</v>
      </c>
      <c r="Z92" s="2">
        <f t="shared" si="20"/>
        <v>61</v>
      </c>
      <c r="AA92" s="2">
        <f t="shared" si="21"/>
        <v>61</v>
      </c>
      <c r="AB92" s="2">
        <f t="shared" si="22"/>
        <v>61</v>
      </c>
      <c r="AC92" s="2">
        <f t="shared" si="23"/>
        <v>61</v>
      </c>
      <c r="AD92" s="2">
        <f t="shared" si="24"/>
        <v>61</v>
      </c>
      <c r="AE92" s="2">
        <f t="shared" si="25"/>
        <v>61</v>
      </c>
      <c r="AF92" s="2">
        <f t="shared" si="26"/>
        <v>61</v>
      </c>
      <c r="AG92" s="2">
        <f t="shared" si="27"/>
        <v>61</v>
      </c>
      <c r="AH92" s="2">
        <f t="shared" si="28"/>
        <v>61</v>
      </c>
      <c r="AI92" s="2">
        <f t="shared" si="29"/>
        <v>61</v>
      </c>
      <c r="AJ92" s="2">
        <f t="shared" si="30"/>
        <v>61</v>
      </c>
      <c r="AK92" s="2">
        <f t="shared" si="31"/>
        <v>61</v>
      </c>
      <c r="AL92" s="2">
        <f t="shared" si="32"/>
        <v>61</v>
      </c>
      <c r="AM92" s="2">
        <f t="shared" si="33"/>
        <v>61</v>
      </c>
      <c r="AN92" s="2">
        <f t="shared" si="34"/>
        <v>61</v>
      </c>
      <c r="AO92" s="2">
        <f t="shared" si="35"/>
        <v>61</v>
      </c>
      <c r="AP92" s="2">
        <f t="shared" si="36"/>
        <v>61</v>
      </c>
      <c r="AQ92" s="2">
        <f t="shared" si="37"/>
        <v>61</v>
      </c>
      <c r="AR92" s="2">
        <f t="shared" si="38"/>
        <v>61</v>
      </c>
      <c r="AS92" s="2">
        <f t="shared" si="39"/>
        <v>61</v>
      </c>
      <c r="AT92" s="2">
        <f t="shared" si="40"/>
        <v>61</v>
      </c>
      <c r="AU92" s="2">
        <f t="shared" si="41"/>
        <v>61</v>
      </c>
      <c r="AV92" s="2">
        <f t="shared" si="42"/>
        <v>61</v>
      </c>
      <c r="AW92" s="2">
        <f t="shared" si="43"/>
        <v>61</v>
      </c>
      <c r="AX92" s="2">
        <f t="shared" si="44"/>
        <v>61</v>
      </c>
      <c r="AY92" s="2">
        <f t="shared" si="45"/>
        <v>61</v>
      </c>
      <c r="AZ92" s="2">
        <f t="shared" si="46"/>
        <v>61</v>
      </c>
      <c r="BA92" s="2">
        <f t="shared" si="47"/>
        <v>61</v>
      </c>
      <c r="BB92" s="2">
        <f t="shared" si="48"/>
        <v>61</v>
      </c>
      <c r="BC92" s="2">
        <f t="shared" si="49"/>
        <v>61</v>
      </c>
      <c r="BD92" s="2">
        <f t="shared" si="50"/>
        <v>61</v>
      </c>
      <c r="BE92" s="2">
        <f t="shared" si="51"/>
        <v>61</v>
      </c>
      <c r="BF92" s="2">
        <f t="shared" si="52"/>
        <v>61</v>
      </c>
      <c r="BG92" s="2">
        <f t="shared" si="53"/>
        <v>61</v>
      </c>
      <c r="BH92" s="2">
        <f t="shared" si="54"/>
        <v>61</v>
      </c>
      <c r="BI92" s="2">
        <f t="shared" si="55"/>
        <v>61</v>
      </c>
      <c r="BJ92" s="2">
        <f t="shared" si="56"/>
        <v>61</v>
      </c>
      <c r="BK92" s="2">
        <f t="shared" si="57"/>
        <v>61</v>
      </c>
      <c r="BL92" s="2">
        <f t="shared" si="58"/>
        <v>61</v>
      </c>
      <c r="BM92" s="2">
        <f t="shared" si="59"/>
        <v>61</v>
      </c>
      <c r="BN92" s="2">
        <f t="shared" si="60"/>
        <v>61</v>
      </c>
      <c r="BO92" s="2">
        <f t="shared" si="61"/>
        <v>61</v>
      </c>
      <c r="BP92" s="2">
        <f t="shared" si="62"/>
        <v>61</v>
      </c>
      <c r="BQ92" s="2">
        <f t="shared" si="63"/>
        <v>61</v>
      </c>
    </row>
    <row r="93" spans="2:69" hidden="1" x14ac:dyDescent="0.3">
      <c r="B93" s="21" t="str">
        <f t="shared" si="2"/>
        <v/>
      </c>
      <c r="G93" s="2"/>
      <c r="H93" s="2"/>
      <c r="I93" s="2"/>
      <c r="J93" s="2">
        <f t="shared" si="4"/>
        <v>61</v>
      </c>
      <c r="K93" s="2">
        <f t="shared" si="5"/>
        <v>61</v>
      </c>
      <c r="L93" s="2">
        <f t="shared" si="6"/>
        <v>61</v>
      </c>
      <c r="M93" s="2">
        <f t="shared" si="7"/>
        <v>61</v>
      </c>
      <c r="N93" s="2">
        <f t="shared" si="8"/>
        <v>61</v>
      </c>
      <c r="O93" s="2">
        <f t="shared" si="9"/>
        <v>61</v>
      </c>
      <c r="P93" s="2">
        <f t="shared" si="10"/>
        <v>61</v>
      </c>
      <c r="Q93" s="2">
        <f t="shared" si="11"/>
        <v>61</v>
      </c>
      <c r="R93" s="2">
        <f t="shared" si="12"/>
        <v>61</v>
      </c>
      <c r="S93" s="2">
        <f t="shared" si="13"/>
        <v>61</v>
      </c>
      <c r="T93" s="2">
        <f t="shared" si="14"/>
        <v>61</v>
      </c>
      <c r="U93" s="2">
        <f t="shared" si="15"/>
        <v>61</v>
      </c>
      <c r="V93" s="2">
        <f t="shared" si="16"/>
        <v>61</v>
      </c>
      <c r="W93" s="2">
        <f t="shared" si="17"/>
        <v>61</v>
      </c>
      <c r="X93" s="2">
        <f t="shared" si="18"/>
        <v>61</v>
      </c>
      <c r="Y93" s="2">
        <f t="shared" si="19"/>
        <v>61</v>
      </c>
      <c r="Z93" s="2">
        <f t="shared" si="20"/>
        <v>61</v>
      </c>
      <c r="AA93" s="2">
        <f t="shared" si="21"/>
        <v>61</v>
      </c>
      <c r="AB93" s="2">
        <f t="shared" si="22"/>
        <v>61</v>
      </c>
      <c r="AC93" s="2">
        <f t="shared" si="23"/>
        <v>61</v>
      </c>
      <c r="AD93" s="2">
        <f t="shared" si="24"/>
        <v>61</v>
      </c>
      <c r="AE93" s="2">
        <f t="shared" si="25"/>
        <v>61</v>
      </c>
      <c r="AF93" s="2">
        <f t="shared" si="26"/>
        <v>61</v>
      </c>
      <c r="AG93" s="2">
        <f t="shared" si="27"/>
        <v>61</v>
      </c>
      <c r="AH93" s="2">
        <f t="shared" si="28"/>
        <v>61</v>
      </c>
      <c r="AI93" s="2">
        <f t="shared" si="29"/>
        <v>61</v>
      </c>
      <c r="AJ93" s="2">
        <f t="shared" si="30"/>
        <v>61</v>
      </c>
      <c r="AK93" s="2">
        <f t="shared" si="31"/>
        <v>61</v>
      </c>
      <c r="AL93" s="2">
        <f t="shared" si="32"/>
        <v>61</v>
      </c>
      <c r="AM93" s="2">
        <f t="shared" si="33"/>
        <v>61</v>
      </c>
      <c r="AN93" s="2">
        <f t="shared" si="34"/>
        <v>61</v>
      </c>
      <c r="AO93" s="2">
        <f t="shared" si="35"/>
        <v>61</v>
      </c>
      <c r="AP93" s="2">
        <f t="shared" si="36"/>
        <v>61</v>
      </c>
      <c r="AQ93" s="2">
        <f t="shared" si="37"/>
        <v>61</v>
      </c>
      <c r="AR93" s="2">
        <f t="shared" si="38"/>
        <v>61</v>
      </c>
      <c r="AS93" s="2">
        <f t="shared" si="39"/>
        <v>61</v>
      </c>
      <c r="AT93" s="2">
        <f t="shared" si="40"/>
        <v>61</v>
      </c>
      <c r="AU93" s="2">
        <f t="shared" si="41"/>
        <v>61</v>
      </c>
      <c r="AV93" s="2">
        <f t="shared" si="42"/>
        <v>61</v>
      </c>
      <c r="AW93" s="2">
        <f t="shared" si="43"/>
        <v>61</v>
      </c>
      <c r="AX93" s="2">
        <f t="shared" si="44"/>
        <v>61</v>
      </c>
      <c r="AY93" s="2">
        <f t="shared" si="45"/>
        <v>61</v>
      </c>
      <c r="AZ93" s="2">
        <f t="shared" si="46"/>
        <v>61</v>
      </c>
      <c r="BA93" s="2">
        <f t="shared" si="47"/>
        <v>61</v>
      </c>
      <c r="BB93" s="2">
        <f t="shared" si="48"/>
        <v>61</v>
      </c>
      <c r="BC93" s="2">
        <f t="shared" si="49"/>
        <v>61</v>
      </c>
      <c r="BD93" s="2">
        <f t="shared" si="50"/>
        <v>61</v>
      </c>
      <c r="BE93" s="2">
        <f t="shared" si="51"/>
        <v>61</v>
      </c>
      <c r="BF93" s="2">
        <f t="shared" si="52"/>
        <v>61</v>
      </c>
      <c r="BG93" s="2">
        <f t="shared" si="53"/>
        <v>61</v>
      </c>
      <c r="BH93" s="2">
        <f t="shared" si="54"/>
        <v>61</v>
      </c>
      <c r="BI93" s="2">
        <f t="shared" si="55"/>
        <v>61</v>
      </c>
      <c r="BJ93" s="2">
        <f t="shared" si="56"/>
        <v>61</v>
      </c>
      <c r="BK93" s="2">
        <f t="shared" si="57"/>
        <v>61</v>
      </c>
      <c r="BL93" s="2">
        <f t="shared" si="58"/>
        <v>61</v>
      </c>
      <c r="BM93" s="2">
        <f t="shared" si="59"/>
        <v>61</v>
      </c>
      <c r="BN93" s="2">
        <f t="shared" si="60"/>
        <v>61</v>
      </c>
      <c r="BO93" s="2">
        <f t="shared" si="61"/>
        <v>61</v>
      </c>
      <c r="BP93" s="2">
        <f t="shared" si="62"/>
        <v>61</v>
      </c>
      <c r="BQ93" s="2">
        <f t="shared" si="63"/>
        <v>61</v>
      </c>
    </row>
    <row r="94" spans="2:69" hidden="1" x14ac:dyDescent="0.3">
      <c r="B94" s="21" t="str">
        <f t="shared" si="2"/>
        <v/>
      </c>
      <c r="G94" s="2"/>
      <c r="H94" s="2"/>
      <c r="I94" s="2"/>
      <c r="J94" s="2">
        <f t="shared" si="4"/>
        <v>61</v>
      </c>
      <c r="K94" s="2">
        <f t="shared" si="5"/>
        <v>61</v>
      </c>
      <c r="L94" s="2">
        <f t="shared" si="6"/>
        <v>61</v>
      </c>
      <c r="M94" s="2">
        <f t="shared" si="7"/>
        <v>61</v>
      </c>
      <c r="N94" s="2">
        <f t="shared" si="8"/>
        <v>61</v>
      </c>
      <c r="O94" s="2">
        <f t="shared" si="9"/>
        <v>61</v>
      </c>
      <c r="P94" s="2">
        <f t="shared" si="10"/>
        <v>61</v>
      </c>
      <c r="Q94" s="2">
        <f t="shared" si="11"/>
        <v>61</v>
      </c>
      <c r="R94" s="2">
        <f t="shared" si="12"/>
        <v>61</v>
      </c>
      <c r="S94" s="2">
        <f t="shared" si="13"/>
        <v>61</v>
      </c>
      <c r="T94" s="2">
        <f t="shared" si="14"/>
        <v>61</v>
      </c>
      <c r="U94" s="2">
        <f t="shared" si="15"/>
        <v>61</v>
      </c>
      <c r="V94" s="2">
        <f t="shared" si="16"/>
        <v>61</v>
      </c>
      <c r="W94" s="2">
        <f t="shared" si="17"/>
        <v>61</v>
      </c>
      <c r="X94" s="2">
        <f t="shared" si="18"/>
        <v>61</v>
      </c>
      <c r="Y94" s="2">
        <f t="shared" si="19"/>
        <v>61</v>
      </c>
      <c r="Z94" s="2">
        <f t="shared" si="20"/>
        <v>61</v>
      </c>
      <c r="AA94" s="2">
        <f t="shared" si="21"/>
        <v>61</v>
      </c>
      <c r="AB94" s="2">
        <f t="shared" si="22"/>
        <v>61</v>
      </c>
      <c r="AC94" s="2">
        <f t="shared" si="23"/>
        <v>61</v>
      </c>
      <c r="AD94" s="2">
        <f t="shared" si="24"/>
        <v>61</v>
      </c>
      <c r="AE94" s="2">
        <f t="shared" si="25"/>
        <v>61</v>
      </c>
      <c r="AF94" s="2">
        <f t="shared" si="26"/>
        <v>61</v>
      </c>
      <c r="AG94" s="2">
        <f t="shared" si="27"/>
        <v>61</v>
      </c>
      <c r="AH94" s="2">
        <f t="shared" si="28"/>
        <v>61</v>
      </c>
      <c r="AI94" s="2">
        <f t="shared" si="29"/>
        <v>61</v>
      </c>
      <c r="AJ94" s="2">
        <f t="shared" si="30"/>
        <v>61</v>
      </c>
      <c r="AK94" s="2">
        <f t="shared" si="31"/>
        <v>61</v>
      </c>
      <c r="AL94" s="2">
        <f t="shared" si="32"/>
        <v>61</v>
      </c>
      <c r="AM94" s="2">
        <f t="shared" si="33"/>
        <v>61</v>
      </c>
      <c r="AN94" s="2">
        <f t="shared" si="34"/>
        <v>61</v>
      </c>
      <c r="AO94" s="2">
        <f t="shared" si="35"/>
        <v>61</v>
      </c>
      <c r="AP94" s="2">
        <f t="shared" si="36"/>
        <v>61</v>
      </c>
      <c r="AQ94" s="2">
        <f t="shared" si="37"/>
        <v>61</v>
      </c>
      <c r="AR94" s="2">
        <f t="shared" si="38"/>
        <v>61</v>
      </c>
      <c r="AS94" s="2">
        <f t="shared" si="39"/>
        <v>61</v>
      </c>
      <c r="AT94" s="2">
        <f t="shared" si="40"/>
        <v>61</v>
      </c>
      <c r="AU94" s="2">
        <f t="shared" si="41"/>
        <v>61</v>
      </c>
      <c r="AV94" s="2">
        <f t="shared" si="42"/>
        <v>61</v>
      </c>
      <c r="AW94" s="2">
        <f t="shared" si="43"/>
        <v>61</v>
      </c>
      <c r="AX94" s="2">
        <f t="shared" si="44"/>
        <v>61</v>
      </c>
      <c r="AY94" s="2">
        <f t="shared" si="45"/>
        <v>61</v>
      </c>
      <c r="AZ94" s="2">
        <f t="shared" si="46"/>
        <v>61</v>
      </c>
      <c r="BA94" s="2">
        <f t="shared" si="47"/>
        <v>61</v>
      </c>
      <c r="BB94" s="2">
        <f t="shared" si="48"/>
        <v>61</v>
      </c>
      <c r="BC94" s="2">
        <f t="shared" si="49"/>
        <v>61</v>
      </c>
      <c r="BD94" s="2">
        <f t="shared" si="50"/>
        <v>61</v>
      </c>
      <c r="BE94" s="2">
        <f t="shared" si="51"/>
        <v>61</v>
      </c>
      <c r="BF94" s="2">
        <f t="shared" si="52"/>
        <v>61</v>
      </c>
      <c r="BG94" s="2">
        <f t="shared" si="53"/>
        <v>61</v>
      </c>
      <c r="BH94" s="2">
        <f t="shared" si="54"/>
        <v>61</v>
      </c>
      <c r="BI94" s="2">
        <f t="shared" si="55"/>
        <v>61</v>
      </c>
      <c r="BJ94" s="2">
        <f t="shared" si="56"/>
        <v>61</v>
      </c>
      <c r="BK94" s="2">
        <f t="shared" si="57"/>
        <v>61</v>
      </c>
      <c r="BL94" s="2">
        <f t="shared" si="58"/>
        <v>61</v>
      </c>
      <c r="BM94" s="2">
        <f t="shared" si="59"/>
        <v>61</v>
      </c>
      <c r="BN94" s="2">
        <f t="shared" si="60"/>
        <v>61</v>
      </c>
      <c r="BO94" s="2">
        <f t="shared" si="61"/>
        <v>61</v>
      </c>
      <c r="BP94" s="2">
        <f t="shared" si="62"/>
        <v>61</v>
      </c>
      <c r="BQ94" s="2">
        <f t="shared" si="63"/>
        <v>61</v>
      </c>
    </row>
    <row r="95" spans="2:69" hidden="1" x14ac:dyDescent="0.3">
      <c r="B95" s="21" t="str">
        <f t="shared" si="2"/>
        <v/>
      </c>
      <c r="G95" s="2"/>
      <c r="H95" s="2"/>
      <c r="I95" s="2"/>
      <c r="J95" s="2">
        <f t="shared" si="4"/>
        <v>61</v>
      </c>
      <c r="K95" s="2">
        <f t="shared" si="5"/>
        <v>61</v>
      </c>
      <c r="L95" s="2">
        <f t="shared" si="6"/>
        <v>61</v>
      </c>
      <c r="M95" s="2">
        <f t="shared" si="7"/>
        <v>61</v>
      </c>
      <c r="N95" s="2">
        <f t="shared" si="8"/>
        <v>61</v>
      </c>
      <c r="O95" s="2">
        <f t="shared" si="9"/>
        <v>61</v>
      </c>
      <c r="P95" s="2">
        <f t="shared" si="10"/>
        <v>61</v>
      </c>
      <c r="Q95" s="2">
        <f t="shared" si="11"/>
        <v>61</v>
      </c>
      <c r="R95" s="2">
        <f t="shared" si="12"/>
        <v>61</v>
      </c>
      <c r="S95" s="2">
        <f t="shared" si="13"/>
        <v>61</v>
      </c>
      <c r="T95" s="2">
        <f t="shared" si="14"/>
        <v>61</v>
      </c>
      <c r="U95" s="2">
        <f t="shared" si="15"/>
        <v>61</v>
      </c>
      <c r="V95" s="2">
        <f t="shared" si="16"/>
        <v>61</v>
      </c>
      <c r="W95" s="2">
        <f t="shared" si="17"/>
        <v>61</v>
      </c>
      <c r="X95" s="2">
        <f t="shared" si="18"/>
        <v>61</v>
      </c>
      <c r="Y95" s="2">
        <f t="shared" si="19"/>
        <v>61</v>
      </c>
      <c r="Z95" s="2">
        <f t="shared" si="20"/>
        <v>61</v>
      </c>
      <c r="AA95" s="2">
        <f t="shared" si="21"/>
        <v>61</v>
      </c>
      <c r="AB95" s="2">
        <f t="shared" si="22"/>
        <v>61</v>
      </c>
      <c r="AC95" s="2">
        <f t="shared" si="23"/>
        <v>61</v>
      </c>
      <c r="AD95" s="2">
        <f t="shared" si="24"/>
        <v>61</v>
      </c>
      <c r="AE95" s="2">
        <f t="shared" si="25"/>
        <v>61</v>
      </c>
      <c r="AF95" s="2">
        <f t="shared" si="26"/>
        <v>61</v>
      </c>
      <c r="AG95" s="2">
        <f t="shared" si="27"/>
        <v>61</v>
      </c>
      <c r="AH95" s="2">
        <f t="shared" si="28"/>
        <v>61</v>
      </c>
      <c r="AI95" s="2">
        <f t="shared" si="29"/>
        <v>61</v>
      </c>
      <c r="AJ95" s="2">
        <f t="shared" si="30"/>
        <v>61</v>
      </c>
      <c r="AK95" s="2">
        <f t="shared" si="31"/>
        <v>61</v>
      </c>
      <c r="AL95" s="2">
        <f t="shared" si="32"/>
        <v>61</v>
      </c>
      <c r="AM95" s="2">
        <f t="shared" si="33"/>
        <v>61</v>
      </c>
      <c r="AN95" s="2">
        <f t="shared" si="34"/>
        <v>61</v>
      </c>
      <c r="AO95" s="2">
        <f t="shared" si="35"/>
        <v>61</v>
      </c>
      <c r="AP95" s="2">
        <f t="shared" si="36"/>
        <v>61</v>
      </c>
      <c r="AQ95" s="2">
        <f t="shared" si="37"/>
        <v>61</v>
      </c>
      <c r="AR95" s="2">
        <f t="shared" si="38"/>
        <v>61</v>
      </c>
      <c r="AS95" s="2">
        <f t="shared" si="39"/>
        <v>61</v>
      </c>
      <c r="AT95" s="2">
        <f t="shared" si="40"/>
        <v>61</v>
      </c>
      <c r="AU95" s="2">
        <f t="shared" si="41"/>
        <v>61</v>
      </c>
      <c r="AV95" s="2">
        <f t="shared" si="42"/>
        <v>61</v>
      </c>
      <c r="AW95" s="2">
        <f t="shared" si="43"/>
        <v>61</v>
      </c>
      <c r="AX95" s="2">
        <f t="shared" si="44"/>
        <v>61</v>
      </c>
      <c r="AY95" s="2">
        <f t="shared" si="45"/>
        <v>61</v>
      </c>
      <c r="AZ95" s="2">
        <f t="shared" si="46"/>
        <v>61</v>
      </c>
      <c r="BA95" s="2">
        <f t="shared" si="47"/>
        <v>61</v>
      </c>
      <c r="BB95" s="2">
        <f t="shared" si="48"/>
        <v>61</v>
      </c>
      <c r="BC95" s="2">
        <f t="shared" si="49"/>
        <v>61</v>
      </c>
      <c r="BD95" s="2">
        <f t="shared" si="50"/>
        <v>61</v>
      </c>
      <c r="BE95" s="2">
        <f t="shared" si="51"/>
        <v>61</v>
      </c>
      <c r="BF95" s="2">
        <f t="shared" si="52"/>
        <v>61</v>
      </c>
      <c r="BG95" s="2">
        <f t="shared" si="53"/>
        <v>61</v>
      </c>
      <c r="BH95" s="2">
        <f t="shared" si="54"/>
        <v>61</v>
      </c>
      <c r="BI95" s="2">
        <f t="shared" si="55"/>
        <v>61</v>
      </c>
      <c r="BJ95" s="2">
        <f t="shared" si="56"/>
        <v>61</v>
      </c>
      <c r="BK95" s="2">
        <f t="shared" si="57"/>
        <v>61</v>
      </c>
      <c r="BL95" s="2">
        <f t="shared" si="58"/>
        <v>61</v>
      </c>
      <c r="BM95" s="2">
        <f t="shared" si="59"/>
        <v>61</v>
      </c>
      <c r="BN95" s="2">
        <f t="shared" si="60"/>
        <v>61</v>
      </c>
      <c r="BO95" s="2">
        <f t="shared" si="61"/>
        <v>61</v>
      </c>
      <c r="BP95" s="2">
        <f t="shared" si="62"/>
        <v>61</v>
      </c>
      <c r="BQ95" s="2">
        <f t="shared" si="63"/>
        <v>61</v>
      </c>
    </row>
    <row r="96" spans="2:69" hidden="1" x14ac:dyDescent="0.3">
      <c r="B96" s="21" t="str">
        <f t="shared" si="2"/>
        <v/>
      </c>
      <c r="G96" s="2"/>
      <c r="H96" s="2"/>
      <c r="I96" s="2"/>
      <c r="J96" s="2">
        <f t="shared" si="4"/>
        <v>61</v>
      </c>
      <c r="K96" s="2">
        <f t="shared" si="5"/>
        <v>61</v>
      </c>
      <c r="L96" s="2">
        <f t="shared" si="6"/>
        <v>61</v>
      </c>
      <c r="M96" s="2">
        <f t="shared" si="7"/>
        <v>61</v>
      </c>
      <c r="N96" s="2">
        <f t="shared" si="8"/>
        <v>61</v>
      </c>
      <c r="O96" s="2">
        <f t="shared" si="9"/>
        <v>61</v>
      </c>
      <c r="P96" s="2">
        <f t="shared" si="10"/>
        <v>61</v>
      </c>
      <c r="Q96" s="2">
        <f t="shared" si="11"/>
        <v>61</v>
      </c>
      <c r="R96" s="2">
        <f t="shared" si="12"/>
        <v>61</v>
      </c>
      <c r="S96" s="2">
        <f t="shared" si="13"/>
        <v>61</v>
      </c>
      <c r="T96" s="2">
        <f t="shared" si="14"/>
        <v>61</v>
      </c>
      <c r="U96" s="2">
        <f t="shared" si="15"/>
        <v>61</v>
      </c>
      <c r="V96" s="2">
        <f t="shared" si="16"/>
        <v>61</v>
      </c>
      <c r="W96" s="2">
        <f t="shared" si="17"/>
        <v>61</v>
      </c>
      <c r="X96" s="2">
        <f t="shared" si="18"/>
        <v>61</v>
      </c>
      <c r="Y96" s="2">
        <f t="shared" si="19"/>
        <v>61</v>
      </c>
      <c r="Z96" s="2">
        <f t="shared" si="20"/>
        <v>61</v>
      </c>
      <c r="AA96" s="2">
        <f t="shared" si="21"/>
        <v>61</v>
      </c>
      <c r="AB96" s="2">
        <f t="shared" si="22"/>
        <v>61</v>
      </c>
      <c r="AC96" s="2">
        <f t="shared" si="23"/>
        <v>61</v>
      </c>
      <c r="AD96" s="2">
        <f t="shared" si="24"/>
        <v>61</v>
      </c>
      <c r="AE96" s="2">
        <f t="shared" si="25"/>
        <v>61</v>
      </c>
      <c r="AF96" s="2">
        <f t="shared" si="26"/>
        <v>61</v>
      </c>
      <c r="AG96" s="2">
        <f t="shared" si="27"/>
        <v>61</v>
      </c>
      <c r="AH96" s="2">
        <f t="shared" si="28"/>
        <v>61</v>
      </c>
      <c r="AI96" s="2">
        <f t="shared" si="29"/>
        <v>61</v>
      </c>
      <c r="AJ96" s="2">
        <f t="shared" si="30"/>
        <v>61</v>
      </c>
      <c r="AK96" s="2">
        <f t="shared" si="31"/>
        <v>61</v>
      </c>
      <c r="AL96" s="2">
        <f t="shared" si="32"/>
        <v>61</v>
      </c>
      <c r="AM96" s="2">
        <f t="shared" si="33"/>
        <v>61</v>
      </c>
      <c r="AN96" s="2">
        <f t="shared" si="34"/>
        <v>61</v>
      </c>
      <c r="AO96" s="2">
        <f t="shared" si="35"/>
        <v>61</v>
      </c>
      <c r="AP96" s="2">
        <f t="shared" si="36"/>
        <v>61</v>
      </c>
      <c r="AQ96" s="2">
        <f t="shared" si="37"/>
        <v>61</v>
      </c>
      <c r="AR96" s="2">
        <f t="shared" si="38"/>
        <v>61</v>
      </c>
      <c r="AS96" s="2">
        <f t="shared" si="39"/>
        <v>61</v>
      </c>
      <c r="AT96" s="2">
        <f t="shared" si="40"/>
        <v>61</v>
      </c>
      <c r="AU96" s="2">
        <f t="shared" si="41"/>
        <v>61</v>
      </c>
      <c r="AV96" s="2">
        <f t="shared" si="42"/>
        <v>61</v>
      </c>
      <c r="AW96" s="2">
        <f t="shared" si="43"/>
        <v>61</v>
      </c>
      <c r="AX96" s="2">
        <f t="shared" si="44"/>
        <v>61</v>
      </c>
      <c r="AY96" s="2">
        <f t="shared" si="45"/>
        <v>61</v>
      </c>
      <c r="AZ96" s="2">
        <f t="shared" si="46"/>
        <v>61</v>
      </c>
      <c r="BA96" s="2">
        <f t="shared" si="47"/>
        <v>61</v>
      </c>
      <c r="BB96" s="2">
        <f t="shared" si="48"/>
        <v>61</v>
      </c>
      <c r="BC96" s="2">
        <f t="shared" si="49"/>
        <v>61</v>
      </c>
      <c r="BD96" s="2">
        <f t="shared" si="50"/>
        <v>61</v>
      </c>
      <c r="BE96" s="2">
        <f t="shared" si="51"/>
        <v>61</v>
      </c>
      <c r="BF96" s="2">
        <f t="shared" si="52"/>
        <v>61</v>
      </c>
      <c r="BG96" s="2">
        <f t="shared" si="53"/>
        <v>61</v>
      </c>
      <c r="BH96" s="2">
        <f t="shared" si="54"/>
        <v>61</v>
      </c>
      <c r="BI96" s="2">
        <f t="shared" si="55"/>
        <v>61</v>
      </c>
      <c r="BJ96" s="2">
        <f t="shared" si="56"/>
        <v>61</v>
      </c>
      <c r="BK96" s="2">
        <f t="shared" si="57"/>
        <v>61</v>
      </c>
      <c r="BL96" s="2">
        <f t="shared" si="58"/>
        <v>61</v>
      </c>
      <c r="BM96" s="2">
        <f t="shared" si="59"/>
        <v>61</v>
      </c>
      <c r="BN96" s="2">
        <f t="shared" si="60"/>
        <v>61</v>
      </c>
      <c r="BO96" s="2">
        <f t="shared" si="61"/>
        <v>61</v>
      </c>
      <c r="BP96" s="2">
        <f t="shared" si="62"/>
        <v>61</v>
      </c>
      <c r="BQ96" s="2">
        <f t="shared" si="63"/>
        <v>61</v>
      </c>
    </row>
    <row r="97" spans="2:69" hidden="1" x14ac:dyDescent="0.3">
      <c r="B97" s="21" t="str">
        <f t="shared" si="2"/>
        <v/>
      </c>
      <c r="G97" s="2"/>
      <c r="H97" s="2"/>
      <c r="I97" s="2"/>
      <c r="J97" s="2">
        <f t="shared" si="4"/>
        <v>61</v>
      </c>
      <c r="K97" s="2">
        <f t="shared" si="5"/>
        <v>61</v>
      </c>
      <c r="L97" s="2">
        <f t="shared" si="6"/>
        <v>61</v>
      </c>
      <c r="M97" s="2">
        <f t="shared" si="7"/>
        <v>61</v>
      </c>
      <c r="N97" s="2">
        <f t="shared" si="8"/>
        <v>61</v>
      </c>
      <c r="O97" s="2">
        <f t="shared" si="9"/>
        <v>61</v>
      </c>
      <c r="P97" s="2">
        <f t="shared" si="10"/>
        <v>61</v>
      </c>
      <c r="Q97" s="2">
        <f t="shared" si="11"/>
        <v>61</v>
      </c>
      <c r="R97" s="2">
        <f t="shared" si="12"/>
        <v>61</v>
      </c>
      <c r="S97" s="2">
        <f t="shared" si="13"/>
        <v>61</v>
      </c>
      <c r="T97" s="2">
        <f t="shared" si="14"/>
        <v>61</v>
      </c>
      <c r="U97" s="2">
        <f t="shared" si="15"/>
        <v>61</v>
      </c>
      <c r="V97" s="2">
        <f t="shared" si="16"/>
        <v>61</v>
      </c>
      <c r="W97" s="2">
        <f t="shared" si="17"/>
        <v>61</v>
      </c>
      <c r="X97" s="2">
        <f t="shared" si="18"/>
        <v>61</v>
      </c>
      <c r="Y97" s="2">
        <f t="shared" si="19"/>
        <v>61</v>
      </c>
      <c r="Z97" s="2">
        <f t="shared" si="20"/>
        <v>61</v>
      </c>
      <c r="AA97" s="2">
        <f t="shared" si="21"/>
        <v>61</v>
      </c>
      <c r="AB97" s="2">
        <f t="shared" si="22"/>
        <v>61</v>
      </c>
      <c r="AC97" s="2">
        <f t="shared" si="23"/>
        <v>61</v>
      </c>
      <c r="AD97" s="2">
        <f t="shared" si="24"/>
        <v>61</v>
      </c>
      <c r="AE97" s="2">
        <f t="shared" si="25"/>
        <v>61</v>
      </c>
      <c r="AF97" s="2">
        <f t="shared" si="26"/>
        <v>61</v>
      </c>
      <c r="AG97" s="2">
        <f t="shared" si="27"/>
        <v>61</v>
      </c>
      <c r="AH97" s="2">
        <f t="shared" si="28"/>
        <v>61</v>
      </c>
      <c r="AI97" s="2">
        <f t="shared" si="29"/>
        <v>61</v>
      </c>
      <c r="AJ97" s="2">
        <f t="shared" si="30"/>
        <v>61</v>
      </c>
      <c r="AK97" s="2">
        <f t="shared" si="31"/>
        <v>61</v>
      </c>
      <c r="AL97" s="2">
        <f t="shared" si="32"/>
        <v>61</v>
      </c>
      <c r="AM97" s="2">
        <f t="shared" si="33"/>
        <v>61</v>
      </c>
      <c r="AN97" s="2">
        <f t="shared" si="34"/>
        <v>61</v>
      </c>
      <c r="AO97" s="2">
        <f t="shared" si="35"/>
        <v>61</v>
      </c>
      <c r="AP97" s="2">
        <f t="shared" si="36"/>
        <v>61</v>
      </c>
      <c r="AQ97" s="2">
        <f t="shared" si="37"/>
        <v>61</v>
      </c>
      <c r="AR97" s="2">
        <f t="shared" si="38"/>
        <v>61</v>
      </c>
      <c r="AS97" s="2">
        <f t="shared" si="39"/>
        <v>61</v>
      </c>
      <c r="AT97" s="2">
        <f t="shared" si="40"/>
        <v>61</v>
      </c>
      <c r="AU97" s="2">
        <f t="shared" si="41"/>
        <v>61</v>
      </c>
      <c r="AV97" s="2">
        <f t="shared" si="42"/>
        <v>61</v>
      </c>
      <c r="AW97" s="2">
        <f t="shared" si="43"/>
        <v>61</v>
      </c>
      <c r="AX97" s="2">
        <f t="shared" si="44"/>
        <v>61</v>
      </c>
      <c r="AY97" s="2">
        <f t="shared" si="45"/>
        <v>61</v>
      </c>
      <c r="AZ97" s="2">
        <f t="shared" si="46"/>
        <v>61</v>
      </c>
      <c r="BA97" s="2">
        <f t="shared" si="47"/>
        <v>61</v>
      </c>
      <c r="BB97" s="2">
        <f t="shared" si="48"/>
        <v>61</v>
      </c>
      <c r="BC97" s="2">
        <f t="shared" si="49"/>
        <v>61</v>
      </c>
      <c r="BD97" s="2">
        <f t="shared" si="50"/>
        <v>61</v>
      </c>
      <c r="BE97" s="2">
        <f t="shared" si="51"/>
        <v>61</v>
      </c>
      <c r="BF97" s="2">
        <f t="shared" si="52"/>
        <v>61</v>
      </c>
      <c r="BG97" s="2">
        <f t="shared" si="53"/>
        <v>61</v>
      </c>
      <c r="BH97" s="2">
        <f t="shared" si="54"/>
        <v>61</v>
      </c>
      <c r="BI97" s="2">
        <f t="shared" si="55"/>
        <v>61</v>
      </c>
      <c r="BJ97" s="2">
        <f t="shared" si="56"/>
        <v>61</v>
      </c>
      <c r="BK97" s="2">
        <f t="shared" si="57"/>
        <v>61</v>
      </c>
      <c r="BL97" s="2">
        <f t="shared" si="58"/>
        <v>61</v>
      </c>
      <c r="BM97" s="2">
        <f t="shared" si="59"/>
        <v>61</v>
      </c>
      <c r="BN97" s="2">
        <f t="shared" si="60"/>
        <v>61</v>
      </c>
      <c r="BO97" s="2">
        <f t="shared" si="61"/>
        <v>61</v>
      </c>
      <c r="BP97" s="2">
        <f t="shared" si="62"/>
        <v>61</v>
      </c>
      <c r="BQ97" s="2">
        <f t="shared" si="63"/>
        <v>61</v>
      </c>
    </row>
    <row r="98" spans="2:69" hidden="1" x14ac:dyDescent="0.3">
      <c r="B98" s="21" t="str">
        <f t="shared" si="2"/>
        <v/>
      </c>
      <c r="G98" s="2"/>
      <c r="H98" s="2"/>
      <c r="I98" s="2"/>
      <c r="J98" s="2">
        <f t="shared" si="4"/>
        <v>61</v>
      </c>
      <c r="K98" s="2">
        <f t="shared" si="5"/>
        <v>61</v>
      </c>
      <c r="L98" s="2">
        <f t="shared" si="6"/>
        <v>61</v>
      </c>
      <c r="M98" s="2">
        <f t="shared" si="7"/>
        <v>61</v>
      </c>
      <c r="N98" s="2">
        <f t="shared" si="8"/>
        <v>61</v>
      </c>
      <c r="O98" s="2">
        <f t="shared" si="9"/>
        <v>61</v>
      </c>
      <c r="P98" s="2">
        <f t="shared" si="10"/>
        <v>61</v>
      </c>
      <c r="Q98" s="2">
        <f t="shared" si="11"/>
        <v>61</v>
      </c>
      <c r="R98" s="2">
        <f t="shared" si="12"/>
        <v>61</v>
      </c>
      <c r="S98" s="2">
        <f t="shared" si="13"/>
        <v>61</v>
      </c>
      <c r="T98" s="2">
        <f t="shared" si="14"/>
        <v>61</v>
      </c>
      <c r="U98" s="2">
        <f t="shared" si="15"/>
        <v>61</v>
      </c>
      <c r="V98" s="2">
        <f t="shared" si="16"/>
        <v>61</v>
      </c>
      <c r="W98" s="2">
        <f t="shared" si="17"/>
        <v>61</v>
      </c>
      <c r="X98" s="2">
        <f t="shared" si="18"/>
        <v>61</v>
      </c>
      <c r="Y98" s="2">
        <f t="shared" si="19"/>
        <v>61</v>
      </c>
      <c r="Z98" s="2">
        <f t="shared" si="20"/>
        <v>61</v>
      </c>
      <c r="AA98" s="2">
        <f t="shared" si="21"/>
        <v>61</v>
      </c>
      <c r="AB98" s="2">
        <f t="shared" si="22"/>
        <v>61</v>
      </c>
      <c r="AC98" s="2">
        <f t="shared" si="23"/>
        <v>61</v>
      </c>
      <c r="AD98" s="2">
        <f t="shared" si="24"/>
        <v>61</v>
      </c>
      <c r="AE98" s="2">
        <f t="shared" si="25"/>
        <v>61</v>
      </c>
      <c r="AF98" s="2">
        <f t="shared" si="26"/>
        <v>61</v>
      </c>
      <c r="AG98" s="2">
        <f t="shared" si="27"/>
        <v>61</v>
      </c>
      <c r="AH98" s="2">
        <f t="shared" si="28"/>
        <v>61</v>
      </c>
      <c r="AI98" s="2">
        <f t="shared" si="29"/>
        <v>61</v>
      </c>
      <c r="AJ98" s="2">
        <f t="shared" si="30"/>
        <v>61</v>
      </c>
      <c r="AK98" s="2">
        <f t="shared" si="31"/>
        <v>61</v>
      </c>
      <c r="AL98" s="2">
        <f t="shared" si="32"/>
        <v>61</v>
      </c>
      <c r="AM98" s="2">
        <f t="shared" si="33"/>
        <v>61</v>
      </c>
      <c r="AN98" s="2">
        <f t="shared" si="34"/>
        <v>61</v>
      </c>
      <c r="AO98" s="2">
        <f t="shared" si="35"/>
        <v>61</v>
      </c>
      <c r="AP98" s="2">
        <f t="shared" si="36"/>
        <v>61</v>
      </c>
      <c r="AQ98" s="2">
        <f t="shared" si="37"/>
        <v>61</v>
      </c>
      <c r="AR98" s="2">
        <f t="shared" si="38"/>
        <v>61</v>
      </c>
      <c r="AS98" s="2">
        <f t="shared" si="39"/>
        <v>61</v>
      </c>
      <c r="AT98" s="2">
        <f t="shared" si="40"/>
        <v>61</v>
      </c>
      <c r="AU98" s="2">
        <f t="shared" si="41"/>
        <v>61</v>
      </c>
      <c r="AV98" s="2">
        <f t="shared" si="42"/>
        <v>61</v>
      </c>
      <c r="AW98" s="2">
        <f t="shared" si="43"/>
        <v>61</v>
      </c>
      <c r="AX98" s="2">
        <f t="shared" si="44"/>
        <v>61</v>
      </c>
      <c r="AY98" s="2">
        <f t="shared" si="45"/>
        <v>61</v>
      </c>
      <c r="AZ98" s="2">
        <f t="shared" si="46"/>
        <v>61</v>
      </c>
      <c r="BA98" s="2">
        <f t="shared" si="47"/>
        <v>61</v>
      </c>
      <c r="BB98" s="2">
        <f t="shared" si="48"/>
        <v>61</v>
      </c>
      <c r="BC98" s="2">
        <f t="shared" si="49"/>
        <v>61</v>
      </c>
      <c r="BD98" s="2">
        <f t="shared" si="50"/>
        <v>61</v>
      </c>
      <c r="BE98" s="2">
        <f t="shared" si="51"/>
        <v>61</v>
      </c>
      <c r="BF98" s="2">
        <f t="shared" si="52"/>
        <v>61</v>
      </c>
      <c r="BG98" s="2">
        <f t="shared" si="53"/>
        <v>61</v>
      </c>
      <c r="BH98" s="2">
        <f t="shared" si="54"/>
        <v>61</v>
      </c>
      <c r="BI98" s="2">
        <f t="shared" si="55"/>
        <v>61</v>
      </c>
      <c r="BJ98" s="2">
        <f t="shared" si="56"/>
        <v>61</v>
      </c>
      <c r="BK98" s="2">
        <f t="shared" si="57"/>
        <v>61</v>
      </c>
      <c r="BL98" s="2">
        <f t="shared" si="58"/>
        <v>61</v>
      </c>
      <c r="BM98" s="2">
        <f t="shared" si="59"/>
        <v>61</v>
      </c>
      <c r="BN98" s="2">
        <f t="shared" si="60"/>
        <v>61</v>
      </c>
      <c r="BO98" s="2">
        <f t="shared" si="61"/>
        <v>61</v>
      </c>
      <c r="BP98" s="2">
        <f t="shared" si="62"/>
        <v>61</v>
      </c>
      <c r="BQ98" s="2">
        <f t="shared" si="63"/>
        <v>61</v>
      </c>
    </row>
    <row r="99" spans="2:69" hidden="1" x14ac:dyDescent="0.3">
      <c r="B99" s="21" t="str">
        <f t="shared" si="2"/>
        <v/>
      </c>
      <c r="G99" s="2"/>
      <c r="H99" s="2"/>
      <c r="I99" s="2"/>
      <c r="J99" s="2">
        <f t="shared" si="4"/>
        <v>61</v>
      </c>
      <c r="K99" s="2">
        <f t="shared" si="5"/>
        <v>61</v>
      </c>
      <c r="L99" s="2">
        <f t="shared" si="6"/>
        <v>61</v>
      </c>
      <c r="M99" s="2">
        <f t="shared" si="7"/>
        <v>61</v>
      </c>
      <c r="N99" s="2">
        <f t="shared" si="8"/>
        <v>61</v>
      </c>
      <c r="O99" s="2">
        <f t="shared" si="9"/>
        <v>61</v>
      </c>
      <c r="P99" s="2">
        <f t="shared" si="10"/>
        <v>61</v>
      </c>
      <c r="Q99" s="2">
        <f t="shared" si="11"/>
        <v>61</v>
      </c>
      <c r="R99" s="2">
        <f t="shared" si="12"/>
        <v>61</v>
      </c>
      <c r="S99" s="2">
        <f t="shared" si="13"/>
        <v>61</v>
      </c>
      <c r="T99" s="2">
        <f t="shared" si="14"/>
        <v>61</v>
      </c>
      <c r="U99" s="2">
        <f t="shared" si="15"/>
        <v>61</v>
      </c>
      <c r="V99" s="2">
        <f t="shared" si="16"/>
        <v>61</v>
      </c>
      <c r="W99" s="2">
        <f t="shared" si="17"/>
        <v>61</v>
      </c>
      <c r="X99" s="2">
        <f t="shared" si="18"/>
        <v>61</v>
      </c>
      <c r="Y99" s="2">
        <f t="shared" si="19"/>
        <v>61</v>
      </c>
      <c r="Z99" s="2">
        <f t="shared" si="20"/>
        <v>61</v>
      </c>
      <c r="AA99" s="2">
        <f t="shared" si="21"/>
        <v>61</v>
      </c>
      <c r="AB99" s="2">
        <f t="shared" si="22"/>
        <v>61</v>
      </c>
      <c r="AC99" s="2">
        <f t="shared" si="23"/>
        <v>61</v>
      </c>
      <c r="AD99" s="2">
        <f t="shared" si="24"/>
        <v>61</v>
      </c>
      <c r="AE99" s="2">
        <f t="shared" si="25"/>
        <v>61</v>
      </c>
      <c r="AF99" s="2">
        <f t="shared" si="26"/>
        <v>61</v>
      </c>
      <c r="AG99" s="2">
        <f t="shared" si="27"/>
        <v>61</v>
      </c>
      <c r="AH99" s="2">
        <f t="shared" si="28"/>
        <v>61</v>
      </c>
      <c r="AI99" s="2">
        <f t="shared" si="29"/>
        <v>61</v>
      </c>
      <c r="AJ99" s="2">
        <f t="shared" si="30"/>
        <v>61</v>
      </c>
      <c r="AK99" s="2">
        <f t="shared" si="31"/>
        <v>61</v>
      </c>
      <c r="AL99" s="2">
        <f t="shared" si="32"/>
        <v>61</v>
      </c>
      <c r="AM99" s="2">
        <f t="shared" si="33"/>
        <v>61</v>
      </c>
      <c r="AN99" s="2">
        <f t="shared" si="34"/>
        <v>61</v>
      </c>
      <c r="AO99" s="2">
        <f t="shared" si="35"/>
        <v>61</v>
      </c>
      <c r="AP99" s="2">
        <f t="shared" si="36"/>
        <v>61</v>
      </c>
      <c r="AQ99" s="2">
        <f t="shared" si="37"/>
        <v>61</v>
      </c>
      <c r="AR99" s="2">
        <f t="shared" si="38"/>
        <v>61</v>
      </c>
      <c r="AS99" s="2">
        <f t="shared" si="39"/>
        <v>61</v>
      </c>
      <c r="AT99" s="2">
        <f t="shared" si="40"/>
        <v>61</v>
      </c>
      <c r="AU99" s="2">
        <f t="shared" si="41"/>
        <v>61</v>
      </c>
      <c r="AV99" s="2">
        <f t="shared" si="42"/>
        <v>61</v>
      </c>
      <c r="AW99" s="2">
        <f t="shared" si="43"/>
        <v>61</v>
      </c>
      <c r="AX99" s="2">
        <f t="shared" si="44"/>
        <v>61</v>
      </c>
      <c r="AY99" s="2">
        <f t="shared" si="45"/>
        <v>61</v>
      </c>
      <c r="AZ99" s="2">
        <f t="shared" si="46"/>
        <v>61</v>
      </c>
      <c r="BA99" s="2">
        <f t="shared" si="47"/>
        <v>61</v>
      </c>
      <c r="BB99" s="2">
        <f t="shared" si="48"/>
        <v>61</v>
      </c>
      <c r="BC99" s="2">
        <f t="shared" si="49"/>
        <v>61</v>
      </c>
      <c r="BD99" s="2">
        <f t="shared" si="50"/>
        <v>61</v>
      </c>
      <c r="BE99" s="2">
        <f t="shared" si="51"/>
        <v>61</v>
      </c>
      <c r="BF99" s="2">
        <f t="shared" si="52"/>
        <v>61</v>
      </c>
      <c r="BG99" s="2">
        <f t="shared" si="53"/>
        <v>61</v>
      </c>
      <c r="BH99" s="2">
        <f t="shared" si="54"/>
        <v>61</v>
      </c>
      <c r="BI99" s="2">
        <f t="shared" si="55"/>
        <v>61</v>
      </c>
      <c r="BJ99" s="2">
        <f t="shared" si="56"/>
        <v>61</v>
      </c>
      <c r="BK99" s="2">
        <f t="shared" si="57"/>
        <v>61</v>
      </c>
      <c r="BL99" s="2">
        <f t="shared" si="58"/>
        <v>61</v>
      </c>
      <c r="BM99" s="2">
        <f t="shared" si="59"/>
        <v>61</v>
      </c>
      <c r="BN99" s="2">
        <f t="shared" si="60"/>
        <v>61</v>
      </c>
      <c r="BO99" s="2">
        <f t="shared" si="61"/>
        <v>61</v>
      </c>
      <c r="BP99" s="2">
        <f t="shared" si="62"/>
        <v>61</v>
      </c>
      <c r="BQ99" s="2">
        <f t="shared" si="63"/>
        <v>61</v>
      </c>
    </row>
    <row r="100" spans="2:69" hidden="1" x14ac:dyDescent="0.3">
      <c r="B100" s="21" t="str">
        <f t="shared" si="2"/>
        <v/>
      </c>
      <c r="G100" s="2"/>
      <c r="H100" s="2"/>
      <c r="I100" s="2"/>
      <c r="J100" s="2">
        <f t="shared" si="4"/>
        <v>61</v>
      </c>
      <c r="K100" s="2">
        <f t="shared" si="5"/>
        <v>61</v>
      </c>
      <c r="L100" s="2">
        <f t="shared" si="6"/>
        <v>61</v>
      </c>
      <c r="M100" s="2">
        <f t="shared" si="7"/>
        <v>61</v>
      </c>
      <c r="N100" s="2">
        <f t="shared" si="8"/>
        <v>61</v>
      </c>
      <c r="O100" s="2">
        <f t="shared" si="9"/>
        <v>61</v>
      </c>
      <c r="P100" s="2">
        <f t="shared" si="10"/>
        <v>61</v>
      </c>
      <c r="Q100" s="2">
        <f t="shared" si="11"/>
        <v>61</v>
      </c>
      <c r="R100" s="2">
        <f t="shared" si="12"/>
        <v>61</v>
      </c>
      <c r="S100" s="2">
        <f t="shared" si="13"/>
        <v>61</v>
      </c>
      <c r="T100" s="2">
        <f t="shared" si="14"/>
        <v>61</v>
      </c>
      <c r="U100" s="2">
        <f t="shared" si="15"/>
        <v>61</v>
      </c>
      <c r="V100" s="2">
        <f t="shared" si="16"/>
        <v>61</v>
      </c>
      <c r="W100" s="2">
        <f t="shared" si="17"/>
        <v>61</v>
      </c>
      <c r="X100" s="2">
        <f t="shared" si="18"/>
        <v>61</v>
      </c>
      <c r="Y100" s="2">
        <f t="shared" si="19"/>
        <v>61</v>
      </c>
      <c r="Z100" s="2">
        <f t="shared" si="20"/>
        <v>61</v>
      </c>
      <c r="AA100" s="2">
        <f t="shared" si="21"/>
        <v>61</v>
      </c>
      <c r="AB100" s="2">
        <f t="shared" si="22"/>
        <v>61</v>
      </c>
      <c r="AC100" s="2">
        <f t="shared" si="23"/>
        <v>61</v>
      </c>
      <c r="AD100" s="2">
        <f t="shared" si="24"/>
        <v>61</v>
      </c>
      <c r="AE100" s="2">
        <f t="shared" si="25"/>
        <v>61</v>
      </c>
      <c r="AF100" s="2">
        <f t="shared" si="26"/>
        <v>61</v>
      </c>
      <c r="AG100" s="2">
        <f t="shared" si="27"/>
        <v>61</v>
      </c>
      <c r="AH100" s="2">
        <f t="shared" si="28"/>
        <v>61</v>
      </c>
      <c r="AI100" s="2">
        <f t="shared" si="29"/>
        <v>61</v>
      </c>
      <c r="AJ100" s="2">
        <f t="shared" si="30"/>
        <v>61</v>
      </c>
      <c r="AK100" s="2">
        <f t="shared" si="31"/>
        <v>61</v>
      </c>
      <c r="AL100" s="2">
        <f t="shared" si="32"/>
        <v>61</v>
      </c>
      <c r="AM100" s="2">
        <f t="shared" si="33"/>
        <v>61</v>
      </c>
      <c r="AN100" s="2">
        <f t="shared" si="34"/>
        <v>61</v>
      </c>
      <c r="AO100" s="2">
        <f t="shared" si="35"/>
        <v>61</v>
      </c>
      <c r="AP100" s="2">
        <f t="shared" si="36"/>
        <v>61</v>
      </c>
      <c r="AQ100" s="2">
        <f t="shared" si="37"/>
        <v>61</v>
      </c>
      <c r="AR100" s="2">
        <f t="shared" si="38"/>
        <v>61</v>
      </c>
      <c r="AS100" s="2">
        <f t="shared" si="39"/>
        <v>61</v>
      </c>
      <c r="AT100" s="2">
        <f t="shared" si="40"/>
        <v>61</v>
      </c>
      <c r="AU100" s="2">
        <f t="shared" si="41"/>
        <v>61</v>
      </c>
      <c r="AV100" s="2">
        <f t="shared" si="42"/>
        <v>61</v>
      </c>
      <c r="AW100" s="2">
        <f t="shared" si="43"/>
        <v>61</v>
      </c>
      <c r="AX100" s="2">
        <f t="shared" si="44"/>
        <v>61</v>
      </c>
      <c r="AY100" s="2">
        <f t="shared" si="45"/>
        <v>61</v>
      </c>
      <c r="AZ100" s="2">
        <f t="shared" si="46"/>
        <v>61</v>
      </c>
      <c r="BA100" s="2">
        <f t="shared" si="47"/>
        <v>61</v>
      </c>
      <c r="BB100" s="2">
        <f t="shared" si="48"/>
        <v>61</v>
      </c>
      <c r="BC100" s="2">
        <f t="shared" si="49"/>
        <v>61</v>
      </c>
      <c r="BD100" s="2">
        <f t="shared" si="50"/>
        <v>61</v>
      </c>
      <c r="BE100" s="2">
        <f t="shared" si="51"/>
        <v>61</v>
      </c>
      <c r="BF100" s="2">
        <f t="shared" si="52"/>
        <v>61</v>
      </c>
      <c r="BG100" s="2">
        <f t="shared" si="53"/>
        <v>61</v>
      </c>
      <c r="BH100" s="2">
        <f t="shared" si="54"/>
        <v>61</v>
      </c>
      <c r="BI100" s="2">
        <f t="shared" si="55"/>
        <v>61</v>
      </c>
      <c r="BJ100" s="2">
        <f t="shared" si="56"/>
        <v>61</v>
      </c>
      <c r="BK100" s="2">
        <f t="shared" si="57"/>
        <v>61</v>
      </c>
      <c r="BL100" s="2">
        <f t="shared" si="58"/>
        <v>61</v>
      </c>
      <c r="BM100" s="2">
        <f t="shared" si="59"/>
        <v>61</v>
      </c>
      <c r="BN100" s="2">
        <f t="shared" si="60"/>
        <v>61</v>
      </c>
      <c r="BO100" s="2">
        <f t="shared" si="61"/>
        <v>61</v>
      </c>
      <c r="BP100" s="2">
        <f t="shared" si="62"/>
        <v>61</v>
      </c>
      <c r="BQ100" s="2">
        <f t="shared" si="63"/>
        <v>61</v>
      </c>
    </row>
    <row r="101" spans="2:69" hidden="1" x14ac:dyDescent="0.3">
      <c r="B101" s="21" t="str">
        <f t="shared" si="2"/>
        <v/>
      </c>
      <c r="G101" s="2"/>
      <c r="H101" s="2"/>
      <c r="I101" s="2"/>
      <c r="J101" s="2">
        <f t="shared" si="4"/>
        <v>61</v>
      </c>
      <c r="K101" s="2">
        <f t="shared" si="5"/>
        <v>61</v>
      </c>
      <c r="L101" s="2">
        <f t="shared" si="6"/>
        <v>61</v>
      </c>
      <c r="M101" s="2">
        <f t="shared" si="7"/>
        <v>61</v>
      </c>
      <c r="N101" s="2">
        <f t="shared" si="8"/>
        <v>61</v>
      </c>
      <c r="O101" s="2">
        <f t="shared" si="9"/>
        <v>61</v>
      </c>
      <c r="P101" s="2">
        <f t="shared" si="10"/>
        <v>61</v>
      </c>
      <c r="Q101" s="2">
        <f t="shared" si="11"/>
        <v>61</v>
      </c>
      <c r="R101" s="2">
        <f t="shared" si="12"/>
        <v>61</v>
      </c>
      <c r="S101" s="2">
        <f t="shared" si="13"/>
        <v>61</v>
      </c>
      <c r="T101" s="2">
        <f t="shared" si="14"/>
        <v>61</v>
      </c>
      <c r="U101" s="2">
        <f t="shared" si="15"/>
        <v>61</v>
      </c>
      <c r="V101" s="2">
        <f t="shared" si="16"/>
        <v>61</v>
      </c>
      <c r="W101" s="2">
        <f t="shared" si="17"/>
        <v>61</v>
      </c>
      <c r="X101" s="2">
        <f t="shared" si="18"/>
        <v>61</v>
      </c>
      <c r="Y101" s="2">
        <f t="shared" si="19"/>
        <v>61</v>
      </c>
      <c r="Z101" s="2">
        <f t="shared" si="20"/>
        <v>61</v>
      </c>
      <c r="AA101" s="2">
        <f t="shared" si="21"/>
        <v>61</v>
      </c>
      <c r="AB101" s="2">
        <f t="shared" si="22"/>
        <v>61</v>
      </c>
      <c r="AC101" s="2">
        <f t="shared" si="23"/>
        <v>61</v>
      </c>
      <c r="AD101" s="2">
        <f t="shared" si="24"/>
        <v>61</v>
      </c>
      <c r="AE101" s="2">
        <f t="shared" si="25"/>
        <v>61</v>
      </c>
      <c r="AF101" s="2">
        <f t="shared" si="26"/>
        <v>61</v>
      </c>
      <c r="AG101" s="2">
        <f t="shared" si="27"/>
        <v>61</v>
      </c>
      <c r="AH101" s="2">
        <f t="shared" si="28"/>
        <v>61</v>
      </c>
      <c r="AI101" s="2">
        <f t="shared" si="29"/>
        <v>61</v>
      </c>
      <c r="AJ101" s="2">
        <f t="shared" si="30"/>
        <v>61</v>
      </c>
      <c r="AK101" s="2">
        <f t="shared" si="31"/>
        <v>61</v>
      </c>
      <c r="AL101" s="2">
        <f t="shared" si="32"/>
        <v>61</v>
      </c>
      <c r="AM101" s="2">
        <f t="shared" si="33"/>
        <v>61</v>
      </c>
      <c r="AN101" s="2">
        <f t="shared" si="34"/>
        <v>61</v>
      </c>
      <c r="AO101" s="2">
        <f t="shared" si="35"/>
        <v>61</v>
      </c>
      <c r="AP101" s="2">
        <f t="shared" si="36"/>
        <v>61</v>
      </c>
      <c r="AQ101" s="2">
        <f t="shared" si="37"/>
        <v>61</v>
      </c>
      <c r="AR101" s="2">
        <f t="shared" si="38"/>
        <v>61</v>
      </c>
      <c r="AS101" s="2">
        <f t="shared" si="39"/>
        <v>61</v>
      </c>
      <c r="AT101" s="2">
        <f t="shared" si="40"/>
        <v>61</v>
      </c>
      <c r="AU101" s="2">
        <f t="shared" si="41"/>
        <v>61</v>
      </c>
      <c r="AV101" s="2">
        <f t="shared" si="42"/>
        <v>61</v>
      </c>
      <c r="AW101" s="2">
        <f t="shared" si="43"/>
        <v>61</v>
      </c>
      <c r="AX101" s="2">
        <f t="shared" si="44"/>
        <v>61</v>
      </c>
      <c r="AY101" s="2">
        <f t="shared" si="45"/>
        <v>61</v>
      </c>
      <c r="AZ101" s="2">
        <f t="shared" si="46"/>
        <v>61</v>
      </c>
      <c r="BA101" s="2">
        <f t="shared" si="47"/>
        <v>61</v>
      </c>
      <c r="BB101" s="2">
        <f t="shared" si="48"/>
        <v>61</v>
      </c>
      <c r="BC101" s="2">
        <f t="shared" si="49"/>
        <v>61</v>
      </c>
      <c r="BD101" s="2">
        <f t="shared" si="50"/>
        <v>61</v>
      </c>
      <c r="BE101" s="2">
        <f t="shared" si="51"/>
        <v>61</v>
      </c>
      <c r="BF101" s="2">
        <f t="shared" si="52"/>
        <v>61</v>
      </c>
      <c r="BG101" s="2">
        <f t="shared" si="53"/>
        <v>61</v>
      </c>
      <c r="BH101" s="2">
        <f t="shared" si="54"/>
        <v>61</v>
      </c>
      <c r="BI101" s="2">
        <f t="shared" si="55"/>
        <v>61</v>
      </c>
      <c r="BJ101" s="2">
        <f t="shared" si="56"/>
        <v>61</v>
      </c>
      <c r="BK101" s="2">
        <f t="shared" si="57"/>
        <v>61</v>
      </c>
      <c r="BL101" s="2">
        <f t="shared" si="58"/>
        <v>61</v>
      </c>
      <c r="BM101" s="2">
        <f t="shared" si="59"/>
        <v>61</v>
      </c>
      <c r="BN101" s="2">
        <f t="shared" si="60"/>
        <v>61</v>
      </c>
      <c r="BO101" s="2">
        <f t="shared" si="61"/>
        <v>61</v>
      </c>
      <c r="BP101" s="2">
        <f t="shared" si="62"/>
        <v>61</v>
      </c>
      <c r="BQ101" s="2">
        <f t="shared" si="63"/>
        <v>61</v>
      </c>
    </row>
    <row r="102" spans="2:69" hidden="1" x14ac:dyDescent="0.3">
      <c r="B102" s="21" t="str">
        <f t="shared" si="2"/>
        <v/>
      </c>
      <c r="G102" s="2"/>
      <c r="H102" s="2"/>
      <c r="I102" s="2"/>
      <c r="J102" s="2">
        <f t="shared" si="4"/>
        <v>61</v>
      </c>
      <c r="K102" s="2">
        <f t="shared" si="5"/>
        <v>61</v>
      </c>
      <c r="L102" s="2">
        <f t="shared" si="6"/>
        <v>61</v>
      </c>
      <c r="M102" s="2">
        <f t="shared" si="7"/>
        <v>61</v>
      </c>
      <c r="N102" s="2">
        <f t="shared" si="8"/>
        <v>61</v>
      </c>
      <c r="O102" s="2">
        <f t="shared" si="9"/>
        <v>61</v>
      </c>
      <c r="P102" s="2">
        <f t="shared" si="10"/>
        <v>61</v>
      </c>
      <c r="Q102" s="2">
        <f t="shared" si="11"/>
        <v>61</v>
      </c>
      <c r="R102" s="2">
        <f t="shared" si="12"/>
        <v>61</v>
      </c>
      <c r="S102" s="2">
        <f t="shared" si="13"/>
        <v>61</v>
      </c>
      <c r="T102" s="2">
        <f t="shared" si="14"/>
        <v>61</v>
      </c>
      <c r="U102" s="2">
        <f t="shared" si="15"/>
        <v>61</v>
      </c>
      <c r="V102" s="2">
        <f t="shared" si="16"/>
        <v>61</v>
      </c>
      <c r="W102" s="2">
        <f t="shared" si="17"/>
        <v>61</v>
      </c>
      <c r="X102" s="2">
        <f t="shared" si="18"/>
        <v>61</v>
      </c>
      <c r="Y102" s="2">
        <f t="shared" si="19"/>
        <v>61</v>
      </c>
      <c r="Z102" s="2">
        <f t="shared" si="20"/>
        <v>61</v>
      </c>
      <c r="AA102" s="2">
        <f t="shared" si="21"/>
        <v>61</v>
      </c>
      <c r="AB102" s="2">
        <f t="shared" si="22"/>
        <v>61</v>
      </c>
      <c r="AC102" s="2">
        <f t="shared" si="23"/>
        <v>61</v>
      </c>
      <c r="AD102" s="2">
        <f t="shared" si="24"/>
        <v>61</v>
      </c>
      <c r="AE102" s="2">
        <f t="shared" si="25"/>
        <v>61</v>
      </c>
      <c r="AF102" s="2">
        <f t="shared" si="26"/>
        <v>61</v>
      </c>
      <c r="AG102" s="2">
        <f t="shared" si="27"/>
        <v>61</v>
      </c>
      <c r="AH102" s="2">
        <f t="shared" si="28"/>
        <v>61</v>
      </c>
      <c r="AI102" s="2">
        <f t="shared" si="29"/>
        <v>61</v>
      </c>
      <c r="AJ102" s="2">
        <f t="shared" si="30"/>
        <v>61</v>
      </c>
      <c r="AK102" s="2">
        <f t="shared" si="31"/>
        <v>61</v>
      </c>
      <c r="AL102" s="2">
        <f t="shared" si="32"/>
        <v>61</v>
      </c>
      <c r="AM102" s="2">
        <f t="shared" si="33"/>
        <v>61</v>
      </c>
      <c r="AN102" s="2">
        <f t="shared" si="34"/>
        <v>61</v>
      </c>
      <c r="AO102" s="2">
        <f t="shared" si="35"/>
        <v>61</v>
      </c>
      <c r="AP102" s="2">
        <f t="shared" si="36"/>
        <v>61</v>
      </c>
      <c r="AQ102" s="2">
        <f t="shared" si="37"/>
        <v>61</v>
      </c>
      <c r="AR102" s="2">
        <f t="shared" si="38"/>
        <v>61</v>
      </c>
      <c r="AS102" s="2">
        <f t="shared" si="39"/>
        <v>61</v>
      </c>
      <c r="AT102" s="2">
        <f t="shared" si="40"/>
        <v>61</v>
      </c>
      <c r="AU102" s="2">
        <f t="shared" si="41"/>
        <v>61</v>
      </c>
      <c r="AV102" s="2">
        <f t="shared" si="42"/>
        <v>61</v>
      </c>
      <c r="AW102" s="2">
        <f t="shared" si="43"/>
        <v>61</v>
      </c>
      <c r="AX102" s="2">
        <f t="shared" si="44"/>
        <v>61</v>
      </c>
      <c r="AY102" s="2">
        <f t="shared" si="45"/>
        <v>61</v>
      </c>
      <c r="AZ102" s="2">
        <f t="shared" si="46"/>
        <v>61</v>
      </c>
      <c r="BA102" s="2">
        <f t="shared" si="47"/>
        <v>61</v>
      </c>
      <c r="BB102" s="2">
        <f t="shared" si="48"/>
        <v>61</v>
      </c>
      <c r="BC102" s="2">
        <f t="shared" si="49"/>
        <v>61</v>
      </c>
      <c r="BD102" s="2">
        <f t="shared" si="50"/>
        <v>61</v>
      </c>
      <c r="BE102" s="2">
        <f t="shared" si="51"/>
        <v>61</v>
      </c>
      <c r="BF102" s="2">
        <f t="shared" si="52"/>
        <v>61</v>
      </c>
      <c r="BG102" s="2">
        <f t="shared" si="53"/>
        <v>61</v>
      </c>
      <c r="BH102" s="2">
        <f t="shared" si="54"/>
        <v>61</v>
      </c>
      <c r="BI102" s="2">
        <f t="shared" si="55"/>
        <v>61</v>
      </c>
      <c r="BJ102" s="2">
        <f t="shared" si="56"/>
        <v>61</v>
      </c>
      <c r="BK102" s="2">
        <f t="shared" si="57"/>
        <v>61</v>
      </c>
      <c r="BL102" s="2">
        <f t="shared" si="58"/>
        <v>61</v>
      </c>
      <c r="BM102" s="2">
        <f t="shared" si="59"/>
        <v>61</v>
      </c>
      <c r="BN102" s="2">
        <f t="shared" si="60"/>
        <v>61</v>
      </c>
      <c r="BO102" s="2">
        <f t="shared" si="61"/>
        <v>61</v>
      </c>
      <c r="BP102" s="2">
        <f t="shared" si="62"/>
        <v>61</v>
      </c>
      <c r="BQ102" s="2">
        <f t="shared" si="63"/>
        <v>61</v>
      </c>
    </row>
    <row r="103" spans="2:69" hidden="1" x14ac:dyDescent="0.3">
      <c r="B103" s="21" t="str">
        <f t="shared" si="2"/>
        <v/>
      </c>
      <c r="G103" s="2"/>
      <c r="H103" s="2"/>
      <c r="I103" s="2"/>
      <c r="J103" s="2">
        <f t="shared" si="4"/>
        <v>61</v>
      </c>
      <c r="K103" s="2">
        <f t="shared" si="5"/>
        <v>61</v>
      </c>
      <c r="L103" s="2">
        <f t="shared" si="6"/>
        <v>61</v>
      </c>
      <c r="M103" s="2">
        <f t="shared" si="7"/>
        <v>61</v>
      </c>
      <c r="N103" s="2">
        <f t="shared" si="8"/>
        <v>61</v>
      </c>
      <c r="O103" s="2">
        <f t="shared" si="9"/>
        <v>61</v>
      </c>
      <c r="P103" s="2">
        <f t="shared" si="10"/>
        <v>61</v>
      </c>
      <c r="Q103" s="2">
        <f t="shared" si="11"/>
        <v>61</v>
      </c>
      <c r="R103" s="2">
        <f t="shared" si="12"/>
        <v>61</v>
      </c>
      <c r="S103" s="2">
        <f t="shared" si="13"/>
        <v>61</v>
      </c>
      <c r="T103" s="2">
        <f t="shared" si="14"/>
        <v>61</v>
      </c>
      <c r="U103" s="2">
        <f t="shared" si="15"/>
        <v>61</v>
      </c>
      <c r="V103" s="2">
        <f t="shared" si="16"/>
        <v>61</v>
      </c>
      <c r="W103" s="2">
        <f t="shared" si="17"/>
        <v>61</v>
      </c>
      <c r="X103" s="2">
        <f t="shared" si="18"/>
        <v>61</v>
      </c>
      <c r="Y103" s="2">
        <f t="shared" si="19"/>
        <v>61</v>
      </c>
      <c r="Z103" s="2">
        <f t="shared" si="20"/>
        <v>61</v>
      </c>
      <c r="AA103" s="2">
        <f t="shared" si="21"/>
        <v>61</v>
      </c>
      <c r="AB103" s="2">
        <f t="shared" si="22"/>
        <v>61</v>
      </c>
      <c r="AC103" s="2">
        <f t="shared" si="23"/>
        <v>61</v>
      </c>
      <c r="AD103" s="2">
        <f t="shared" si="24"/>
        <v>61</v>
      </c>
      <c r="AE103" s="2">
        <f t="shared" si="25"/>
        <v>61</v>
      </c>
      <c r="AF103" s="2">
        <f t="shared" si="26"/>
        <v>61</v>
      </c>
      <c r="AG103" s="2">
        <f t="shared" si="27"/>
        <v>61</v>
      </c>
      <c r="AH103" s="2">
        <f t="shared" si="28"/>
        <v>61</v>
      </c>
      <c r="AI103" s="2">
        <f t="shared" si="29"/>
        <v>61</v>
      </c>
      <c r="AJ103" s="2">
        <f t="shared" si="30"/>
        <v>61</v>
      </c>
      <c r="AK103" s="2">
        <f t="shared" si="31"/>
        <v>61</v>
      </c>
      <c r="AL103" s="2">
        <f t="shared" si="32"/>
        <v>61</v>
      </c>
      <c r="AM103" s="2">
        <f t="shared" si="33"/>
        <v>61</v>
      </c>
      <c r="AN103" s="2">
        <f t="shared" si="34"/>
        <v>61</v>
      </c>
      <c r="AO103" s="2">
        <f t="shared" si="35"/>
        <v>61</v>
      </c>
      <c r="AP103" s="2">
        <f t="shared" si="36"/>
        <v>61</v>
      </c>
      <c r="AQ103" s="2">
        <f t="shared" si="37"/>
        <v>61</v>
      </c>
      <c r="AR103" s="2">
        <f t="shared" si="38"/>
        <v>61</v>
      </c>
      <c r="AS103" s="2">
        <f t="shared" si="39"/>
        <v>61</v>
      </c>
      <c r="AT103" s="2">
        <f t="shared" si="40"/>
        <v>61</v>
      </c>
      <c r="AU103" s="2">
        <f t="shared" si="41"/>
        <v>61</v>
      </c>
      <c r="AV103" s="2">
        <f t="shared" si="42"/>
        <v>61</v>
      </c>
      <c r="AW103" s="2">
        <f t="shared" si="43"/>
        <v>61</v>
      </c>
      <c r="AX103" s="2">
        <f t="shared" si="44"/>
        <v>61</v>
      </c>
      <c r="AY103" s="2">
        <f t="shared" si="45"/>
        <v>61</v>
      </c>
      <c r="AZ103" s="2">
        <f t="shared" si="46"/>
        <v>61</v>
      </c>
      <c r="BA103" s="2">
        <f t="shared" si="47"/>
        <v>61</v>
      </c>
      <c r="BB103" s="2">
        <f t="shared" si="48"/>
        <v>61</v>
      </c>
      <c r="BC103" s="2">
        <f t="shared" si="49"/>
        <v>61</v>
      </c>
      <c r="BD103" s="2">
        <f t="shared" si="50"/>
        <v>61</v>
      </c>
      <c r="BE103" s="2">
        <f t="shared" si="51"/>
        <v>61</v>
      </c>
      <c r="BF103" s="2">
        <f t="shared" si="52"/>
        <v>61</v>
      </c>
      <c r="BG103" s="2">
        <f t="shared" si="53"/>
        <v>61</v>
      </c>
      <c r="BH103" s="2">
        <f t="shared" si="54"/>
        <v>61</v>
      </c>
      <c r="BI103" s="2">
        <f t="shared" si="55"/>
        <v>61</v>
      </c>
      <c r="BJ103" s="2">
        <f t="shared" si="56"/>
        <v>61</v>
      </c>
      <c r="BK103" s="2">
        <f t="shared" si="57"/>
        <v>61</v>
      </c>
      <c r="BL103" s="2">
        <f t="shared" si="58"/>
        <v>61</v>
      </c>
      <c r="BM103" s="2">
        <f t="shared" si="59"/>
        <v>61</v>
      </c>
      <c r="BN103" s="2">
        <f t="shared" si="60"/>
        <v>61</v>
      </c>
      <c r="BO103" s="2">
        <f t="shared" si="61"/>
        <v>61</v>
      </c>
      <c r="BP103" s="2">
        <f t="shared" si="62"/>
        <v>61</v>
      </c>
      <c r="BQ103" s="2">
        <f t="shared" si="63"/>
        <v>61</v>
      </c>
    </row>
    <row r="104" spans="2:69" hidden="1" x14ac:dyDescent="0.3">
      <c r="B104" s="21" t="str">
        <f t="shared" si="2"/>
        <v/>
      </c>
      <c r="G104" s="2"/>
      <c r="H104" s="2"/>
      <c r="I104" s="2"/>
      <c r="J104" s="2">
        <f t="shared" si="4"/>
        <v>61</v>
      </c>
      <c r="K104" s="2">
        <f t="shared" si="5"/>
        <v>61</v>
      </c>
      <c r="L104" s="2">
        <f t="shared" si="6"/>
        <v>61</v>
      </c>
      <c r="M104" s="2">
        <f t="shared" si="7"/>
        <v>61</v>
      </c>
      <c r="N104" s="2">
        <f t="shared" si="8"/>
        <v>61</v>
      </c>
      <c r="O104" s="2">
        <f t="shared" si="9"/>
        <v>61</v>
      </c>
      <c r="P104" s="2">
        <f t="shared" si="10"/>
        <v>61</v>
      </c>
      <c r="Q104" s="2">
        <f t="shared" si="11"/>
        <v>61</v>
      </c>
      <c r="R104" s="2">
        <f t="shared" si="12"/>
        <v>61</v>
      </c>
      <c r="S104" s="2">
        <f t="shared" si="13"/>
        <v>61</v>
      </c>
      <c r="T104" s="2">
        <f t="shared" si="14"/>
        <v>61</v>
      </c>
      <c r="U104" s="2">
        <f t="shared" si="15"/>
        <v>61</v>
      </c>
      <c r="V104" s="2">
        <f t="shared" si="16"/>
        <v>61</v>
      </c>
      <c r="W104" s="2">
        <f t="shared" si="17"/>
        <v>61</v>
      </c>
      <c r="X104" s="2">
        <f t="shared" si="18"/>
        <v>61</v>
      </c>
      <c r="Y104" s="2">
        <f t="shared" si="19"/>
        <v>61</v>
      </c>
      <c r="Z104" s="2">
        <f t="shared" si="20"/>
        <v>61</v>
      </c>
      <c r="AA104" s="2">
        <f t="shared" si="21"/>
        <v>61</v>
      </c>
      <c r="AB104" s="2">
        <f t="shared" si="22"/>
        <v>61</v>
      </c>
      <c r="AC104" s="2">
        <f t="shared" si="23"/>
        <v>61</v>
      </c>
      <c r="AD104" s="2">
        <f t="shared" si="24"/>
        <v>61</v>
      </c>
      <c r="AE104" s="2">
        <f t="shared" si="25"/>
        <v>61</v>
      </c>
      <c r="AF104" s="2">
        <f t="shared" si="26"/>
        <v>61</v>
      </c>
      <c r="AG104" s="2">
        <f t="shared" si="27"/>
        <v>61</v>
      </c>
      <c r="AH104" s="2">
        <f t="shared" si="28"/>
        <v>61</v>
      </c>
      <c r="AI104" s="2">
        <f t="shared" si="29"/>
        <v>61</v>
      </c>
      <c r="AJ104" s="2">
        <f t="shared" si="30"/>
        <v>61</v>
      </c>
      <c r="AK104" s="2">
        <f t="shared" si="31"/>
        <v>61</v>
      </c>
      <c r="AL104" s="2">
        <f t="shared" si="32"/>
        <v>61</v>
      </c>
      <c r="AM104" s="2">
        <f t="shared" si="33"/>
        <v>61</v>
      </c>
      <c r="AN104" s="2">
        <f t="shared" si="34"/>
        <v>61</v>
      </c>
      <c r="AO104" s="2">
        <f t="shared" si="35"/>
        <v>61</v>
      </c>
      <c r="AP104" s="2">
        <f t="shared" si="36"/>
        <v>61</v>
      </c>
      <c r="AQ104" s="2">
        <f t="shared" si="37"/>
        <v>61</v>
      </c>
      <c r="AR104" s="2">
        <f t="shared" si="38"/>
        <v>61</v>
      </c>
      <c r="AS104" s="2">
        <f t="shared" si="39"/>
        <v>61</v>
      </c>
      <c r="AT104" s="2">
        <f t="shared" si="40"/>
        <v>61</v>
      </c>
      <c r="AU104" s="2">
        <f t="shared" si="41"/>
        <v>61</v>
      </c>
      <c r="AV104" s="2">
        <f t="shared" si="42"/>
        <v>61</v>
      </c>
      <c r="AW104" s="2">
        <f t="shared" si="43"/>
        <v>61</v>
      </c>
      <c r="AX104" s="2">
        <f t="shared" si="44"/>
        <v>61</v>
      </c>
      <c r="AY104" s="2">
        <f t="shared" si="45"/>
        <v>61</v>
      </c>
      <c r="AZ104" s="2">
        <f t="shared" si="46"/>
        <v>61</v>
      </c>
      <c r="BA104" s="2">
        <f t="shared" si="47"/>
        <v>61</v>
      </c>
      <c r="BB104" s="2">
        <f t="shared" si="48"/>
        <v>61</v>
      </c>
      <c r="BC104" s="2">
        <f t="shared" si="49"/>
        <v>61</v>
      </c>
      <c r="BD104" s="2">
        <f t="shared" si="50"/>
        <v>61</v>
      </c>
      <c r="BE104" s="2">
        <f t="shared" si="51"/>
        <v>61</v>
      </c>
      <c r="BF104" s="2">
        <f t="shared" si="52"/>
        <v>61</v>
      </c>
      <c r="BG104" s="2">
        <f t="shared" si="53"/>
        <v>61</v>
      </c>
      <c r="BH104" s="2">
        <f t="shared" si="54"/>
        <v>61</v>
      </c>
      <c r="BI104" s="2">
        <f t="shared" si="55"/>
        <v>61</v>
      </c>
      <c r="BJ104" s="2">
        <f t="shared" si="56"/>
        <v>61</v>
      </c>
      <c r="BK104" s="2">
        <f t="shared" si="57"/>
        <v>61</v>
      </c>
      <c r="BL104" s="2">
        <f t="shared" si="58"/>
        <v>61</v>
      </c>
      <c r="BM104" s="2">
        <f t="shared" si="59"/>
        <v>61</v>
      </c>
      <c r="BN104" s="2">
        <f t="shared" si="60"/>
        <v>61</v>
      </c>
      <c r="BO104" s="2">
        <f t="shared" si="61"/>
        <v>61</v>
      </c>
      <c r="BP104" s="2">
        <f t="shared" si="62"/>
        <v>61</v>
      </c>
      <c r="BQ104" s="2">
        <f t="shared" si="63"/>
        <v>61</v>
      </c>
    </row>
    <row r="105" spans="2:69" hidden="1" x14ac:dyDescent="0.3">
      <c r="B105" s="21" t="str">
        <f t="shared" si="2"/>
        <v/>
      </c>
      <c r="G105" s="2"/>
      <c r="H105" s="2"/>
      <c r="I105" s="2"/>
      <c r="J105" s="2">
        <f t="shared" si="4"/>
        <v>61</v>
      </c>
      <c r="K105" s="2">
        <f t="shared" si="5"/>
        <v>61</v>
      </c>
      <c r="L105" s="2">
        <f t="shared" si="6"/>
        <v>61</v>
      </c>
      <c r="M105" s="2">
        <f t="shared" si="7"/>
        <v>61</v>
      </c>
      <c r="N105" s="2">
        <f t="shared" si="8"/>
        <v>61</v>
      </c>
      <c r="O105" s="2">
        <f t="shared" si="9"/>
        <v>61</v>
      </c>
      <c r="P105" s="2">
        <f t="shared" si="10"/>
        <v>61</v>
      </c>
      <c r="Q105" s="2">
        <f t="shared" si="11"/>
        <v>61</v>
      </c>
      <c r="R105" s="2">
        <f t="shared" si="12"/>
        <v>61</v>
      </c>
      <c r="S105" s="2">
        <f t="shared" si="13"/>
        <v>61</v>
      </c>
      <c r="T105" s="2">
        <f t="shared" si="14"/>
        <v>61</v>
      </c>
      <c r="U105" s="2">
        <f t="shared" si="15"/>
        <v>61</v>
      </c>
      <c r="V105" s="2">
        <f t="shared" si="16"/>
        <v>61</v>
      </c>
      <c r="W105" s="2">
        <f t="shared" si="17"/>
        <v>61</v>
      </c>
      <c r="X105" s="2">
        <f t="shared" si="18"/>
        <v>61</v>
      </c>
      <c r="Y105" s="2">
        <f t="shared" si="19"/>
        <v>61</v>
      </c>
      <c r="Z105" s="2">
        <f t="shared" si="20"/>
        <v>61</v>
      </c>
      <c r="AA105" s="2">
        <f t="shared" si="21"/>
        <v>61</v>
      </c>
      <c r="AB105" s="2">
        <f t="shared" si="22"/>
        <v>61</v>
      </c>
      <c r="AC105" s="2">
        <f t="shared" si="23"/>
        <v>61</v>
      </c>
      <c r="AD105" s="2">
        <f t="shared" si="24"/>
        <v>61</v>
      </c>
      <c r="AE105" s="2">
        <f t="shared" si="25"/>
        <v>61</v>
      </c>
      <c r="AF105" s="2">
        <f t="shared" si="26"/>
        <v>61</v>
      </c>
      <c r="AG105" s="2">
        <f t="shared" si="27"/>
        <v>61</v>
      </c>
      <c r="AH105" s="2">
        <f t="shared" si="28"/>
        <v>61</v>
      </c>
      <c r="AI105" s="2">
        <f t="shared" si="29"/>
        <v>61</v>
      </c>
      <c r="AJ105" s="2">
        <f t="shared" si="30"/>
        <v>61</v>
      </c>
      <c r="AK105" s="2">
        <f t="shared" si="31"/>
        <v>61</v>
      </c>
      <c r="AL105" s="2">
        <f t="shared" si="32"/>
        <v>61</v>
      </c>
      <c r="AM105" s="2">
        <f t="shared" si="33"/>
        <v>61</v>
      </c>
      <c r="AN105" s="2">
        <f t="shared" si="34"/>
        <v>61</v>
      </c>
      <c r="AO105" s="2">
        <f t="shared" si="35"/>
        <v>61</v>
      </c>
      <c r="AP105" s="2">
        <f t="shared" si="36"/>
        <v>61</v>
      </c>
      <c r="AQ105" s="2">
        <f t="shared" si="37"/>
        <v>61</v>
      </c>
      <c r="AR105" s="2">
        <f t="shared" si="38"/>
        <v>61</v>
      </c>
      <c r="AS105" s="2">
        <f t="shared" si="39"/>
        <v>61</v>
      </c>
      <c r="AT105" s="2">
        <f t="shared" si="40"/>
        <v>61</v>
      </c>
      <c r="AU105" s="2">
        <f t="shared" si="41"/>
        <v>61</v>
      </c>
      <c r="AV105" s="2">
        <f t="shared" si="42"/>
        <v>61</v>
      </c>
      <c r="AW105" s="2">
        <f t="shared" si="43"/>
        <v>61</v>
      </c>
      <c r="AX105" s="2">
        <f t="shared" si="44"/>
        <v>61</v>
      </c>
      <c r="AY105" s="2">
        <f t="shared" si="45"/>
        <v>61</v>
      </c>
      <c r="AZ105" s="2">
        <f t="shared" si="46"/>
        <v>61</v>
      </c>
      <c r="BA105" s="2">
        <f t="shared" si="47"/>
        <v>61</v>
      </c>
      <c r="BB105" s="2">
        <f t="shared" si="48"/>
        <v>61</v>
      </c>
      <c r="BC105" s="2">
        <f t="shared" si="49"/>
        <v>61</v>
      </c>
      <c r="BD105" s="2">
        <f t="shared" si="50"/>
        <v>61</v>
      </c>
      <c r="BE105" s="2">
        <f t="shared" si="51"/>
        <v>61</v>
      </c>
      <c r="BF105" s="2">
        <f t="shared" si="52"/>
        <v>61</v>
      </c>
      <c r="BG105" s="2">
        <f t="shared" si="53"/>
        <v>61</v>
      </c>
      <c r="BH105" s="2">
        <f t="shared" si="54"/>
        <v>61</v>
      </c>
      <c r="BI105" s="2">
        <f t="shared" si="55"/>
        <v>61</v>
      </c>
      <c r="BJ105" s="2">
        <f t="shared" si="56"/>
        <v>61</v>
      </c>
      <c r="BK105" s="2">
        <f t="shared" si="57"/>
        <v>61</v>
      </c>
      <c r="BL105" s="2">
        <f t="shared" si="58"/>
        <v>61</v>
      </c>
      <c r="BM105" s="2">
        <f t="shared" si="59"/>
        <v>61</v>
      </c>
      <c r="BN105" s="2">
        <f t="shared" si="60"/>
        <v>61</v>
      </c>
      <c r="BO105" s="2">
        <f t="shared" si="61"/>
        <v>61</v>
      </c>
      <c r="BP105" s="2">
        <f t="shared" si="62"/>
        <v>61</v>
      </c>
      <c r="BQ105" s="2">
        <f t="shared" si="63"/>
        <v>61</v>
      </c>
    </row>
    <row r="106" spans="2:69" hidden="1" x14ac:dyDescent="0.3">
      <c r="B106" s="21" t="str">
        <f t="shared" si="2"/>
        <v/>
      </c>
      <c r="G106" s="2"/>
      <c r="H106" s="2"/>
      <c r="I106" s="2"/>
      <c r="J106" s="2">
        <f t="shared" si="4"/>
        <v>61</v>
      </c>
      <c r="K106" s="2">
        <f t="shared" si="5"/>
        <v>61</v>
      </c>
      <c r="L106" s="2">
        <f t="shared" si="6"/>
        <v>61</v>
      </c>
      <c r="M106" s="2">
        <f t="shared" si="7"/>
        <v>61</v>
      </c>
      <c r="N106" s="2">
        <f t="shared" si="8"/>
        <v>61</v>
      </c>
      <c r="O106" s="2">
        <f t="shared" si="9"/>
        <v>61</v>
      </c>
      <c r="P106" s="2">
        <f t="shared" si="10"/>
        <v>61</v>
      </c>
      <c r="Q106" s="2">
        <f t="shared" si="11"/>
        <v>61</v>
      </c>
      <c r="R106" s="2">
        <f t="shared" si="12"/>
        <v>61</v>
      </c>
      <c r="S106" s="2">
        <f t="shared" si="13"/>
        <v>61</v>
      </c>
      <c r="T106" s="2">
        <f t="shared" si="14"/>
        <v>61</v>
      </c>
      <c r="U106" s="2">
        <f t="shared" si="15"/>
        <v>61</v>
      </c>
      <c r="V106" s="2">
        <f t="shared" si="16"/>
        <v>61</v>
      </c>
      <c r="W106" s="2">
        <f t="shared" si="17"/>
        <v>61</v>
      </c>
      <c r="X106" s="2">
        <f t="shared" si="18"/>
        <v>61</v>
      </c>
      <c r="Y106" s="2">
        <f t="shared" si="19"/>
        <v>61</v>
      </c>
      <c r="Z106" s="2">
        <f t="shared" si="20"/>
        <v>61</v>
      </c>
      <c r="AA106" s="2">
        <f t="shared" si="21"/>
        <v>61</v>
      </c>
      <c r="AB106" s="2">
        <f t="shared" si="22"/>
        <v>61</v>
      </c>
      <c r="AC106" s="2">
        <f t="shared" si="23"/>
        <v>61</v>
      </c>
      <c r="AD106" s="2">
        <f t="shared" si="24"/>
        <v>61</v>
      </c>
      <c r="AE106" s="2">
        <f t="shared" si="25"/>
        <v>61</v>
      </c>
      <c r="AF106" s="2">
        <f t="shared" si="26"/>
        <v>61</v>
      </c>
      <c r="AG106" s="2">
        <f t="shared" si="27"/>
        <v>61</v>
      </c>
      <c r="AH106" s="2">
        <f t="shared" si="28"/>
        <v>61</v>
      </c>
      <c r="AI106" s="2">
        <f t="shared" si="29"/>
        <v>61</v>
      </c>
      <c r="AJ106" s="2">
        <f t="shared" si="30"/>
        <v>61</v>
      </c>
      <c r="AK106" s="2">
        <f t="shared" si="31"/>
        <v>61</v>
      </c>
      <c r="AL106" s="2">
        <f t="shared" si="32"/>
        <v>61</v>
      </c>
      <c r="AM106" s="2">
        <f t="shared" si="33"/>
        <v>61</v>
      </c>
      <c r="AN106" s="2">
        <f t="shared" si="34"/>
        <v>61</v>
      </c>
      <c r="AO106" s="2">
        <f t="shared" si="35"/>
        <v>61</v>
      </c>
      <c r="AP106" s="2">
        <f t="shared" si="36"/>
        <v>61</v>
      </c>
      <c r="AQ106" s="2">
        <f t="shared" si="37"/>
        <v>61</v>
      </c>
      <c r="AR106" s="2">
        <f t="shared" si="38"/>
        <v>61</v>
      </c>
      <c r="AS106" s="2">
        <f t="shared" si="39"/>
        <v>61</v>
      </c>
      <c r="AT106" s="2">
        <f t="shared" si="40"/>
        <v>61</v>
      </c>
      <c r="AU106" s="2">
        <f t="shared" si="41"/>
        <v>61</v>
      </c>
      <c r="AV106" s="2">
        <f t="shared" si="42"/>
        <v>61</v>
      </c>
      <c r="AW106" s="2">
        <f t="shared" si="43"/>
        <v>61</v>
      </c>
      <c r="AX106" s="2">
        <f t="shared" si="44"/>
        <v>61</v>
      </c>
      <c r="AY106" s="2">
        <f t="shared" si="45"/>
        <v>61</v>
      </c>
      <c r="AZ106" s="2">
        <f t="shared" si="46"/>
        <v>61</v>
      </c>
      <c r="BA106" s="2">
        <f t="shared" si="47"/>
        <v>61</v>
      </c>
      <c r="BB106" s="2">
        <f t="shared" si="48"/>
        <v>61</v>
      </c>
      <c r="BC106" s="2">
        <f t="shared" si="49"/>
        <v>61</v>
      </c>
      <c r="BD106" s="2">
        <f t="shared" si="50"/>
        <v>61</v>
      </c>
      <c r="BE106" s="2">
        <f t="shared" si="51"/>
        <v>61</v>
      </c>
      <c r="BF106" s="2">
        <f t="shared" si="52"/>
        <v>61</v>
      </c>
      <c r="BG106" s="2">
        <f t="shared" si="53"/>
        <v>61</v>
      </c>
      <c r="BH106" s="2">
        <f t="shared" si="54"/>
        <v>61</v>
      </c>
      <c r="BI106" s="2">
        <f t="shared" si="55"/>
        <v>61</v>
      </c>
      <c r="BJ106" s="2">
        <f t="shared" si="56"/>
        <v>61</v>
      </c>
      <c r="BK106" s="2">
        <f t="shared" si="57"/>
        <v>61</v>
      </c>
      <c r="BL106" s="2">
        <f t="shared" si="58"/>
        <v>61</v>
      </c>
      <c r="BM106" s="2">
        <f t="shared" si="59"/>
        <v>61</v>
      </c>
      <c r="BN106" s="2">
        <f t="shared" si="60"/>
        <v>61</v>
      </c>
      <c r="BO106" s="2">
        <f t="shared" si="61"/>
        <v>61</v>
      </c>
      <c r="BP106" s="2">
        <f t="shared" si="62"/>
        <v>61</v>
      </c>
      <c r="BQ106" s="2">
        <f t="shared" si="63"/>
        <v>61</v>
      </c>
    </row>
    <row r="107" spans="2:69" hidden="1" x14ac:dyDescent="0.3">
      <c r="B107" s="21" t="str">
        <f t="shared" si="2"/>
        <v/>
      </c>
      <c r="G107" s="2"/>
      <c r="H107" s="2"/>
      <c r="I107" s="2"/>
      <c r="J107" s="2">
        <f t="shared" si="4"/>
        <v>61</v>
      </c>
      <c r="K107" s="2">
        <f t="shared" si="5"/>
        <v>61</v>
      </c>
      <c r="L107" s="2">
        <f t="shared" si="6"/>
        <v>61</v>
      </c>
      <c r="M107" s="2">
        <f t="shared" si="7"/>
        <v>61</v>
      </c>
      <c r="N107" s="2">
        <f t="shared" si="8"/>
        <v>61</v>
      </c>
      <c r="O107" s="2">
        <f t="shared" si="9"/>
        <v>61</v>
      </c>
      <c r="P107" s="2">
        <f t="shared" si="10"/>
        <v>61</v>
      </c>
      <c r="Q107" s="2">
        <f t="shared" si="11"/>
        <v>61</v>
      </c>
      <c r="R107" s="2">
        <f t="shared" si="12"/>
        <v>61</v>
      </c>
      <c r="S107" s="2">
        <f t="shared" si="13"/>
        <v>61</v>
      </c>
      <c r="T107" s="2">
        <f t="shared" si="14"/>
        <v>61</v>
      </c>
      <c r="U107" s="2">
        <f t="shared" si="15"/>
        <v>61</v>
      </c>
      <c r="V107" s="2">
        <f t="shared" si="16"/>
        <v>61</v>
      </c>
      <c r="W107" s="2">
        <f t="shared" si="17"/>
        <v>61</v>
      </c>
      <c r="X107" s="2">
        <f t="shared" si="18"/>
        <v>61</v>
      </c>
      <c r="Y107" s="2">
        <f t="shared" si="19"/>
        <v>61</v>
      </c>
      <c r="Z107" s="2">
        <f t="shared" si="20"/>
        <v>61</v>
      </c>
      <c r="AA107" s="2">
        <f t="shared" si="21"/>
        <v>61</v>
      </c>
      <c r="AB107" s="2">
        <f t="shared" si="22"/>
        <v>61</v>
      </c>
      <c r="AC107" s="2">
        <f t="shared" si="23"/>
        <v>61</v>
      </c>
      <c r="AD107" s="2">
        <f t="shared" si="24"/>
        <v>61</v>
      </c>
      <c r="AE107" s="2">
        <f t="shared" si="25"/>
        <v>61</v>
      </c>
      <c r="AF107" s="2">
        <f t="shared" si="26"/>
        <v>61</v>
      </c>
      <c r="AG107" s="2">
        <f t="shared" si="27"/>
        <v>61</v>
      </c>
      <c r="AH107" s="2">
        <f t="shared" si="28"/>
        <v>61</v>
      </c>
      <c r="AI107" s="2">
        <f t="shared" si="29"/>
        <v>61</v>
      </c>
      <c r="AJ107" s="2">
        <f t="shared" si="30"/>
        <v>61</v>
      </c>
      <c r="AK107" s="2">
        <f t="shared" si="31"/>
        <v>61</v>
      </c>
      <c r="AL107" s="2">
        <f t="shared" si="32"/>
        <v>61</v>
      </c>
      <c r="AM107" s="2">
        <f t="shared" si="33"/>
        <v>61</v>
      </c>
      <c r="AN107" s="2">
        <f t="shared" si="34"/>
        <v>61</v>
      </c>
      <c r="AO107" s="2">
        <f t="shared" si="35"/>
        <v>61</v>
      </c>
      <c r="AP107" s="2">
        <f t="shared" si="36"/>
        <v>61</v>
      </c>
      <c r="AQ107" s="2">
        <f t="shared" si="37"/>
        <v>61</v>
      </c>
      <c r="AR107" s="2">
        <f t="shared" si="38"/>
        <v>61</v>
      </c>
      <c r="AS107" s="2">
        <f t="shared" si="39"/>
        <v>61</v>
      </c>
      <c r="AT107" s="2">
        <f t="shared" si="40"/>
        <v>61</v>
      </c>
      <c r="AU107" s="2">
        <f t="shared" si="41"/>
        <v>61</v>
      </c>
      <c r="AV107" s="2">
        <f t="shared" si="42"/>
        <v>61</v>
      </c>
      <c r="AW107" s="2">
        <f t="shared" si="43"/>
        <v>61</v>
      </c>
      <c r="AX107" s="2">
        <f t="shared" si="44"/>
        <v>61</v>
      </c>
      <c r="AY107" s="2">
        <f t="shared" si="45"/>
        <v>61</v>
      </c>
      <c r="AZ107" s="2">
        <f t="shared" si="46"/>
        <v>61</v>
      </c>
      <c r="BA107" s="2">
        <f t="shared" si="47"/>
        <v>61</v>
      </c>
      <c r="BB107" s="2">
        <f t="shared" si="48"/>
        <v>61</v>
      </c>
      <c r="BC107" s="2">
        <f t="shared" si="49"/>
        <v>61</v>
      </c>
      <c r="BD107" s="2">
        <f t="shared" si="50"/>
        <v>61</v>
      </c>
      <c r="BE107" s="2">
        <f t="shared" si="51"/>
        <v>61</v>
      </c>
      <c r="BF107" s="2">
        <f t="shared" si="52"/>
        <v>61</v>
      </c>
      <c r="BG107" s="2">
        <f t="shared" si="53"/>
        <v>61</v>
      </c>
      <c r="BH107" s="2">
        <f t="shared" si="54"/>
        <v>61</v>
      </c>
      <c r="BI107" s="2">
        <f t="shared" si="55"/>
        <v>61</v>
      </c>
      <c r="BJ107" s="2">
        <f t="shared" si="56"/>
        <v>61</v>
      </c>
      <c r="BK107" s="2">
        <f t="shared" si="57"/>
        <v>61</v>
      </c>
      <c r="BL107" s="2">
        <f t="shared" si="58"/>
        <v>61</v>
      </c>
      <c r="BM107" s="2">
        <f t="shared" si="59"/>
        <v>61</v>
      </c>
      <c r="BN107" s="2">
        <f t="shared" si="60"/>
        <v>61</v>
      </c>
      <c r="BO107" s="2">
        <f t="shared" si="61"/>
        <v>61</v>
      </c>
      <c r="BP107" s="2">
        <f t="shared" si="62"/>
        <v>61</v>
      </c>
      <c r="BQ107" s="2">
        <f t="shared" si="63"/>
        <v>61</v>
      </c>
    </row>
    <row r="108" spans="2:69" hidden="1" x14ac:dyDescent="0.3">
      <c r="B108" s="21" t="str">
        <f t="shared" si="2"/>
        <v/>
      </c>
      <c r="G108" s="2"/>
      <c r="H108" s="2"/>
      <c r="I108" s="2"/>
      <c r="J108" s="2">
        <f t="shared" si="4"/>
        <v>61</v>
      </c>
      <c r="K108" s="2">
        <f t="shared" si="5"/>
        <v>61</v>
      </c>
      <c r="L108" s="2">
        <f t="shared" si="6"/>
        <v>61</v>
      </c>
      <c r="M108" s="2">
        <f t="shared" si="7"/>
        <v>61</v>
      </c>
      <c r="N108" s="2">
        <f t="shared" si="8"/>
        <v>61</v>
      </c>
      <c r="O108" s="2">
        <f t="shared" si="9"/>
        <v>61</v>
      </c>
      <c r="P108" s="2">
        <f t="shared" si="10"/>
        <v>61</v>
      </c>
      <c r="Q108" s="2">
        <f t="shared" si="11"/>
        <v>61</v>
      </c>
      <c r="R108" s="2">
        <f t="shared" si="12"/>
        <v>61</v>
      </c>
      <c r="S108" s="2">
        <f t="shared" si="13"/>
        <v>61</v>
      </c>
      <c r="T108" s="2">
        <f t="shared" si="14"/>
        <v>61</v>
      </c>
      <c r="U108" s="2">
        <f t="shared" si="15"/>
        <v>61</v>
      </c>
      <c r="V108" s="2">
        <f t="shared" si="16"/>
        <v>61</v>
      </c>
      <c r="W108" s="2">
        <f t="shared" si="17"/>
        <v>61</v>
      </c>
      <c r="X108" s="2">
        <f t="shared" si="18"/>
        <v>61</v>
      </c>
      <c r="Y108" s="2">
        <f t="shared" si="19"/>
        <v>61</v>
      </c>
      <c r="Z108" s="2">
        <f t="shared" si="20"/>
        <v>61</v>
      </c>
      <c r="AA108" s="2">
        <f t="shared" si="21"/>
        <v>61</v>
      </c>
      <c r="AB108" s="2">
        <f t="shared" si="22"/>
        <v>61</v>
      </c>
      <c r="AC108" s="2">
        <f t="shared" si="23"/>
        <v>61</v>
      </c>
      <c r="AD108" s="2">
        <f t="shared" si="24"/>
        <v>61</v>
      </c>
      <c r="AE108" s="2">
        <f t="shared" si="25"/>
        <v>61</v>
      </c>
      <c r="AF108" s="2">
        <f t="shared" si="26"/>
        <v>61</v>
      </c>
      <c r="AG108" s="2">
        <f t="shared" si="27"/>
        <v>61</v>
      </c>
      <c r="AH108" s="2">
        <f t="shared" si="28"/>
        <v>61</v>
      </c>
      <c r="AI108" s="2">
        <f t="shared" si="29"/>
        <v>61</v>
      </c>
      <c r="AJ108" s="2">
        <f t="shared" si="30"/>
        <v>61</v>
      </c>
      <c r="AK108" s="2">
        <f t="shared" si="31"/>
        <v>61</v>
      </c>
      <c r="AL108" s="2">
        <f t="shared" si="32"/>
        <v>61</v>
      </c>
      <c r="AM108" s="2">
        <f t="shared" si="33"/>
        <v>61</v>
      </c>
      <c r="AN108" s="2">
        <f t="shared" si="34"/>
        <v>61</v>
      </c>
      <c r="AO108" s="2">
        <f t="shared" si="35"/>
        <v>61</v>
      </c>
      <c r="AP108" s="2">
        <f t="shared" si="36"/>
        <v>61</v>
      </c>
      <c r="AQ108" s="2">
        <f t="shared" si="37"/>
        <v>61</v>
      </c>
      <c r="AR108" s="2">
        <f t="shared" si="38"/>
        <v>61</v>
      </c>
      <c r="AS108" s="2">
        <f t="shared" si="39"/>
        <v>61</v>
      </c>
      <c r="AT108" s="2">
        <f t="shared" si="40"/>
        <v>61</v>
      </c>
      <c r="AU108" s="2">
        <f t="shared" si="41"/>
        <v>61</v>
      </c>
      <c r="AV108" s="2">
        <f t="shared" si="42"/>
        <v>61</v>
      </c>
      <c r="AW108" s="2">
        <f t="shared" si="43"/>
        <v>61</v>
      </c>
      <c r="AX108" s="2">
        <f t="shared" si="44"/>
        <v>61</v>
      </c>
      <c r="AY108" s="2">
        <f t="shared" si="45"/>
        <v>61</v>
      </c>
      <c r="AZ108" s="2">
        <f t="shared" si="46"/>
        <v>61</v>
      </c>
      <c r="BA108" s="2">
        <f t="shared" si="47"/>
        <v>61</v>
      </c>
      <c r="BB108" s="2">
        <f t="shared" si="48"/>
        <v>61</v>
      </c>
      <c r="BC108" s="2">
        <f t="shared" si="49"/>
        <v>61</v>
      </c>
      <c r="BD108" s="2">
        <f t="shared" si="50"/>
        <v>61</v>
      </c>
      <c r="BE108" s="2">
        <f t="shared" si="51"/>
        <v>61</v>
      </c>
      <c r="BF108" s="2">
        <f t="shared" si="52"/>
        <v>61</v>
      </c>
      <c r="BG108" s="2">
        <f t="shared" si="53"/>
        <v>61</v>
      </c>
      <c r="BH108" s="2">
        <f t="shared" si="54"/>
        <v>61</v>
      </c>
      <c r="BI108" s="2">
        <f t="shared" si="55"/>
        <v>61</v>
      </c>
      <c r="BJ108" s="2">
        <f t="shared" si="56"/>
        <v>61</v>
      </c>
      <c r="BK108" s="2">
        <f t="shared" si="57"/>
        <v>61</v>
      </c>
      <c r="BL108" s="2">
        <f t="shared" si="58"/>
        <v>61</v>
      </c>
      <c r="BM108" s="2">
        <f t="shared" si="59"/>
        <v>61</v>
      </c>
      <c r="BN108" s="2">
        <f t="shared" si="60"/>
        <v>61</v>
      </c>
      <c r="BO108" s="2">
        <f t="shared" si="61"/>
        <v>61</v>
      </c>
      <c r="BP108" s="2">
        <f t="shared" si="62"/>
        <v>61</v>
      </c>
      <c r="BQ108" s="2">
        <f t="shared" si="63"/>
        <v>61</v>
      </c>
    </row>
    <row r="109" spans="2:69" hidden="1" x14ac:dyDescent="0.3">
      <c r="G109" s="2"/>
      <c r="H109" s="2"/>
      <c r="I109" s="2"/>
      <c r="J109" s="2">
        <f t="shared" si="4"/>
        <v>61</v>
      </c>
      <c r="K109" s="2">
        <f t="shared" si="5"/>
        <v>61</v>
      </c>
      <c r="L109" s="2">
        <f t="shared" si="6"/>
        <v>61</v>
      </c>
      <c r="M109" s="2">
        <f t="shared" si="7"/>
        <v>61</v>
      </c>
      <c r="N109" s="2">
        <f t="shared" si="8"/>
        <v>61</v>
      </c>
      <c r="O109" s="2">
        <f t="shared" si="9"/>
        <v>61</v>
      </c>
      <c r="P109" s="2">
        <f t="shared" si="10"/>
        <v>61</v>
      </c>
      <c r="Q109" s="2">
        <f t="shared" si="11"/>
        <v>61</v>
      </c>
      <c r="R109" s="2">
        <f t="shared" si="12"/>
        <v>61</v>
      </c>
      <c r="S109" s="2">
        <f t="shared" si="13"/>
        <v>61</v>
      </c>
      <c r="T109" s="2">
        <f t="shared" si="14"/>
        <v>61</v>
      </c>
      <c r="U109" s="2">
        <f t="shared" si="15"/>
        <v>61</v>
      </c>
      <c r="V109" s="2">
        <f t="shared" si="16"/>
        <v>61</v>
      </c>
      <c r="W109" s="2">
        <f t="shared" si="17"/>
        <v>61</v>
      </c>
      <c r="X109" s="2">
        <f t="shared" si="18"/>
        <v>61</v>
      </c>
      <c r="Y109" s="2">
        <f t="shared" si="19"/>
        <v>61</v>
      </c>
      <c r="Z109" s="2">
        <f t="shared" si="20"/>
        <v>61</v>
      </c>
      <c r="AA109" s="2">
        <f t="shared" si="21"/>
        <v>61</v>
      </c>
      <c r="AB109" s="2">
        <f t="shared" si="22"/>
        <v>61</v>
      </c>
      <c r="AC109" s="2">
        <f t="shared" si="23"/>
        <v>61</v>
      </c>
      <c r="AD109" s="2">
        <f t="shared" si="24"/>
        <v>61</v>
      </c>
      <c r="AE109" s="2">
        <f t="shared" si="25"/>
        <v>61</v>
      </c>
      <c r="AF109" s="2">
        <f t="shared" si="26"/>
        <v>61</v>
      </c>
      <c r="AG109" s="2">
        <f t="shared" si="27"/>
        <v>61</v>
      </c>
      <c r="AH109" s="2">
        <f t="shared" si="28"/>
        <v>61</v>
      </c>
      <c r="AI109" s="2">
        <f t="shared" si="29"/>
        <v>61</v>
      </c>
      <c r="AJ109" s="2">
        <f t="shared" si="30"/>
        <v>61</v>
      </c>
      <c r="AK109" s="2">
        <f t="shared" si="31"/>
        <v>61</v>
      </c>
      <c r="AL109" s="2">
        <f t="shared" si="32"/>
        <v>61</v>
      </c>
      <c r="AM109" s="2">
        <f t="shared" si="33"/>
        <v>61</v>
      </c>
      <c r="AN109" s="2">
        <f t="shared" si="34"/>
        <v>61</v>
      </c>
      <c r="AO109" s="2">
        <f t="shared" si="35"/>
        <v>61</v>
      </c>
      <c r="AP109" s="2">
        <f t="shared" si="36"/>
        <v>61</v>
      </c>
      <c r="AQ109" s="2">
        <f t="shared" si="37"/>
        <v>61</v>
      </c>
      <c r="AR109" s="2">
        <f t="shared" si="38"/>
        <v>61</v>
      </c>
      <c r="AS109" s="2">
        <f t="shared" si="39"/>
        <v>61</v>
      </c>
      <c r="AT109" s="2">
        <f t="shared" si="40"/>
        <v>61</v>
      </c>
      <c r="AU109" s="2">
        <f t="shared" si="41"/>
        <v>61</v>
      </c>
      <c r="AV109" s="2">
        <f t="shared" si="42"/>
        <v>61</v>
      </c>
      <c r="AW109" s="2">
        <f t="shared" si="43"/>
        <v>61</v>
      </c>
      <c r="AX109" s="2">
        <f t="shared" si="44"/>
        <v>61</v>
      </c>
      <c r="AY109" s="2">
        <f t="shared" si="45"/>
        <v>61</v>
      </c>
      <c r="AZ109" s="2">
        <f t="shared" si="46"/>
        <v>61</v>
      </c>
      <c r="BA109" s="2">
        <f t="shared" si="47"/>
        <v>61</v>
      </c>
      <c r="BB109" s="2">
        <f t="shared" si="48"/>
        <v>61</v>
      </c>
      <c r="BC109" s="2">
        <f t="shared" si="49"/>
        <v>61</v>
      </c>
      <c r="BD109" s="2">
        <f t="shared" si="50"/>
        <v>61</v>
      </c>
      <c r="BE109" s="2">
        <f t="shared" si="51"/>
        <v>61</v>
      </c>
      <c r="BF109" s="2">
        <f t="shared" si="52"/>
        <v>61</v>
      </c>
      <c r="BG109" s="2">
        <f t="shared" si="53"/>
        <v>61</v>
      </c>
      <c r="BH109" s="2">
        <f t="shared" si="54"/>
        <v>61</v>
      </c>
      <c r="BI109" s="2">
        <f t="shared" si="55"/>
        <v>61</v>
      </c>
      <c r="BJ109" s="2">
        <f t="shared" si="56"/>
        <v>61</v>
      </c>
      <c r="BK109" s="2">
        <f t="shared" si="57"/>
        <v>61</v>
      </c>
      <c r="BL109" s="2">
        <f t="shared" si="58"/>
        <v>61</v>
      </c>
      <c r="BM109" s="2">
        <f t="shared" si="59"/>
        <v>61</v>
      </c>
      <c r="BN109" s="2">
        <f t="shared" si="60"/>
        <v>61</v>
      </c>
      <c r="BO109" s="2">
        <f t="shared" si="61"/>
        <v>61</v>
      </c>
      <c r="BP109" s="2">
        <f t="shared" si="62"/>
        <v>61</v>
      </c>
      <c r="BQ109" s="2">
        <f t="shared" si="63"/>
        <v>61</v>
      </c>
    </row>
    <row r="110" spans="2:69" hidden="1" x14ac:dyDescent="0.3">
      <c r="G110" s="2"/>
      <c r="H110" s="2"/>
      <c r="I110" s="2"/>
      <c r="J110" s="2">
        <f t="shared" si="4"/>
        <v>61</v>
      </c>
      <c r="K110" s="2">
        <f t="shared" si="5"/>
        <v>61</v>
      </c>
      <c r="L110" s="2">
        <f t="shared" si="6"/>
        <v>61</v>
      </c>
      <c r="M110" s="2">
        <f t="shared" si="7"/>
        <v>61</v>
      </c>
      <c r="N110" s="2">
        <f t="shared" si="8"/>
        <v>61</v>
      </c>
      <c r="O110" s="2">
        <f t="shared" si="9"/>
        <v>61</v>
      </c>
      <c r="P110" s="2">
        <f t="shared" si="10"/>
        <v>61</v>
      </c>
      <c r="Q110" s="2">
        <f t="shared" si="11"/>
        <v>61</v>
      </c>
      <c r="R110" s="2">
        <f t="shared" si="12"/>
        <v>61</v>
      </c>
      <c r="S110" s="2">
        <f t="shared" si="13"/>
        <v>61</v>
      </c>
      <c r="T110" s="2">
        <f t="shared" si="14"/>
        <v>61</v>
      </c>
      <c r="U110" s="2">
        <f t="shared" si="15"/>
        <v>61</v>
      </c>
      <c r="V110" s="2">
        <f t="shared" si="16"/>
        <v>61</v>
      </c>
      <c r="W110" s="2">
        <f t="shared" si="17"/>
        <v>61</v>
      </c>
      <c r="X110" s="2">
        <f t="shared" si="18"/>
        <v>61</v>
      </c>
      <c r="Y110" s="2">
        <f t="shared" si="19"/>
        <v>61</v>
      </c>
      <c r="Z110" s="2">
        <f t="shared" si="20"/>
        <v>61</v>
      </c>
      <c r="AA110" s="2">
        <f t="shared" si="21"/>
        <v>61</v>
      </c>
      <c r="AB110" s="2">
        <f t="shared" si="22"/>
        <v>61</v>
      </c>
      <c r="AC110" s="2">
        <f t="shared" si="23"/>
        <v>61</v>
      </c>
      <c r="AD110" s="2">
        <f t="shared" si="24"/>
        <v>61</v>
      </c>
      <c r="AE110" s="2">
        <f t="shared" si="25"/>
        <v>61</v>
      </c>
      <c r="AF110" s="2">
        <f t="shared" si="26"/>
        <v>61</v>
      </c>
      <c r="AG110" s="2">
        <f t="shared" si="27"/>
        <v>61</v>
      </c>
      <c r="AH110" s="2">
        <f t="shared" si="28"/>
        <v>61</v>
      </c>
      <c r="AI110" s="2">
        <f t="shared" si="29"/>
        <v>61</v>
      </c>
      <c r="AJ110" s="2">
        <f t="shared" si="30"/>
        <v>61</v>
      </c>
      <c r="AK110" s="2">
        <f t="shared" si="31"/>
        <v>61</v>
      </c>
      <c r="AL110" s="2">
        <f t="shared" si="32"/>
        <v>61</v>
      </c>
      <c r="AM110" s="2">
        <f t="shared" si="33"/>
        <v>61</v>
      </c>
      <c r="AN110" s="2">
        <f t="shared" si="34"/>
        <v>61</v>
      </c>
      <c r="AO110" s="2">
        <f t="shared" si="35"/>
        <v>61</v>
      </c>
      <c r="AP110" s="2">
        <f t="shared" si="36"/>
        <v>61</v>
      </c>
      <c r="AQ110" s="2">
        <f t="shared" si="37"/>
        <v>61</v>
      </c>
      <c r="AR110" s="2">
        <f t="shared" si="38"/>
        <v>61</v>
      </c>
      <c r="AS110" s="2">
        <f t="shared" si="39"/>
        <v>61</v>
      </c>
      <c r="AT110" s="2">
        <f t="shared" si="40"/>
        <v>61</v>
      </c>
      <c r="AU110" s="2">
        <f t="shared" si="41"/>
        <v>61</v>
      </c>
      <c r="AV110" s="2">
        <f t="shared" si="42"/>
        <v>61</v>
      </c>
      <c r="AW110" s="2">
        <f t="shared" si="43"/>
        <v>61</v>
      </c>
      <c r="AX110" s="2">
        <f t="shared" si="44"/>
        <v>61</v>
      </c>
      <c r="AY110" s="2">
        <f t="shared" si="45"/>
        <v>61</v>
      </c>
      <c r="AZ110" s="2">
        <f t="shared" si="46"/>
        <v>61</v>
      </c>
      <c r="BA110" s="2">
        <f t="shared" si="47"/>
        <v>61</v>
      </c>
      <c r="BB110" s="2">
        <f t="shared" si="48"/>
        <v>61</v>
      </c>
      <c r="BC110" s="2">
        <f t="shared" si="49"/>
        <v>61</v>
      </c>
      <c r="BD110" s="2">
        <f t="shared" si="50"/>
        <v>61</v>
      </c>
      <c r="BE110" s="2">
        <f t="shared" si="51"/>
        <v>61</v>
      </c>
      <c r="BF110" s="2">
        <f t="shared" si="52"/>
        <v>61</v>
      </c>
      <c r="BG110" s="2">
        <f t="shared" si="53"/>
        <v>61</v>
      </c>
      <c r="BH110" s="2">
        <f t="shared" si="54"/>
        <v>61</v>
      </c>
      <c r="BI110" s="2">
        <f t="shared" si="55"/>
        <v>61</v>
      </c>
      <c r="BJ110" s="2">
        <f t="shared" si="56"/>
        <v>61</v>
      </c>
      <c r="BK110" s="2">
        <f t="shared" si="57"/>
        <v>61</v>
      </c>
      <c r="BL110" s="2">
        <f t="shared" si="58"/>
        <v>61</v>
      </c>
      <c r="BM110" s="2">
        <f t="shared" si="59"/>
        <v>61</v>
      </c>
      <c r="BN110" s="2">
        <f t="shared" si="60"/>
        <v>61</v>
      </c>
      <c r="BO110" s="2">
        <f t="shared" si="61"/>
        <v>61</v>
      </c>
      <c r="BP110" s="2">
        <f t="shared" si="62"/>
        <v>61</v>
      </c>
      <c r="BQ110" s="2">
        <f t="shared" si="63"/>
        <v>61</v>
      </c>
    </row>
    <row r="111" spans="2:69" hidden="1" x14ac:dyDescent="0.3">
      <c r="H111" s="2"/>
      <c r="I111" s="2"/>
      <c r="J111" s="2">
        <f t="shared" si="4"/>
        <v>61</v>
      </c>
      <c r="K111" s="2">
        <f t="shared" si="5"/>
        <v>61</v>
      </c>
      <c r="L111" s="2">
        <f t="shared" si="6"/>
        <v>61</v>
      </c>
      <c r="M111" s="2">
        <f t="shared" si="7"/>
        <v>61</v>
      </c>
      <c r="N111" s="2">
        <f t="shared" si="8"/>
        <v>61</v>
      </c>
      <c r="O111" s="2">
        <f t="shared" si="9"/>
        <v>61</v>
      </c>
      <c r="P111" s="2">
        <f t="shared" si="10"/>
        <v>61</v>
      </c>
      <c r="Q111" s="2">
        <f t="shared" si="11"/>
        <v>61</v>
      </c>
      <c r="R111" s="2">
        <f t="shared" si="12"/>
        <v>61</v>
      </c>
      <c r="S111" s="2">
        <f t="shared" si="13"/>
        <v>61</v>
      </c>
      <c r="T111" s="2">
        <f t="shared" si="14"/>
        <v>61</v>
      </c>
      <c r="U111" s="2">
        <f t="shared" si="15"/>
        <v>61</v>
      </c>
      <c r="V111" s="2">
        <f t="shared" si="16"/>
        <v>61</v>
      </c>
      <c r="W111" s="2">
        <f t="shared" si="17"/>
        <v>61</v>
      </c>
      <c r="X111" s="2">
        <f t="shared" si="18"/>
        <v>61</v>
      </c>
      <c r="Y111" s="2">
        <f t="shared" si="19"/>
        <v>61</v>
      </c>
      <c r="Z111" s="2">
        <f t="shared" si="20"/>
        <v>61</v>
      </c>
      <c r="AA111" s="2">
        <f t="shared" si="21"/>
        <v>61</v>
      </c>
      <c r="AB111" s="2">
        <f t="shared" si="22"/>
        <v>61</v>
      </c>
      <c r="AC111" s="2">
        <f t="shared" si="23"/>
        <v>61</v>
      </c>
      <c r="AD111" s="2">
        <f t="shared" si="24"/>
        <v>61</v>
      </c>
      <c r="AE111" s="2">
        <f t="shared" si="25"/>
        <v>61</v>
      </c>
      <c r="AF111" s="2">
        <f t="shared" si="26"/>
        <v>61</v>
      </c>
      <c r="AG111" s="2">
        <f t="shared" si="27"/>
        <v>61</v>
      </c>
      <c r="AH111" s="2">
        <f t="shared" si="28"/>
        <v>61</v>
      </c>
      <c r="AI111" s="2">
        <f t="shared" si="29"/>
        <v>61</v>
      </c>
      <c r="AJ111" s="2">
        <f t="shared" si="30"/>
        <v>61</v>
      </c>
      <c r="AK111" s="2">
        <f t="shared" si="31"/>
        <v>61</v>
      </c>
      <c r="AL111" s="2">
        <f t="shared" si="32"/>
        <v>61</v>
      </c>
      <c r="AM111" s="2">
        <f t="shared" si="33"/>
        <v>61</v>
      </c>
      <c r="AN111" s="2">
        <f t="shared" si="34"/>
        <v>61</v>
      </c>
      <c r="AO111" s="2">
        <f t="shared" si="35"/>
        <v>61</v>
      </c>
      <c r="AP111" s="2">
        <f t="shared" si="36"/>
        <v>61</v>
      </c>
      <c r="AQ111" s="2">
        <f t="shared" si="37"/>
        <v>61</v>
      </c>
      <c r="AR111" s="2">
        <f t="shared" si="38"/>
        <v>61</v>
      </c>
      <c r="AS111" s="2">
        <f t="shared" si="39"/>
        <v>61</v>
      </c>
      <c r="AT111" s="2">
        <f t="shared" si="40"/>
        <v>61</v>
      </c>
      <c r="AU111" s="2">
        <f t="shared" si="41"/>
        <v>61</v>
      </c>
      <c r="AV111" s="2">
        <f t="shared" si="42"/>
        <v>61</v>
      </c>
      <c r="AW111" s="2">
        <f t="shared" si="43"/>
        <v>61</v>
      </c>
      <c r="AX111" s="2">
        <f t="shared" si="44"/>
        <v>61</v>
      </c>
      <c r="AY111" s="2">
        <f t="shared" si="45"/>
        <v>61</v>
      </c>
      <c r="AZ111" s="2">
        <f t="shared" si="46"/>
        <v>61</v>
      </c>
      <c r="BA111" s="2">
        <f t="shared" si="47"/>
        <v>61</v>
      </c>
      <c r="BB111" s="2">
        <f t="shared" si="48"/>
        <v>61</v>
      </c>
      <c r="BC111" s="2">
        <f t="shared" si="49"/>
        <v>61</v>
      </c>
      <c r="BD111" s="2">
        <f t="shared" si="50"/>
        <v>61</v>
      </c>
      <c r="BE111" s="2">
        <f t="shared" si="51"/>
        <v>61</v>
      </c>
      <c r="BF111" s="2">
        <f t="shared" si="52"/>
        <v>61</v>
      </c>
      <c r="BG111" s="2">
        <f t="shared" si="53"/>
        <v>61</v>
      </c>
      <c r="BH111" s="2">
        <f t="shared" si="54"/>
        <v>61</v>
      </c>
      <c r="BI111" s="2">
        <f t="shared" si="55"/>
        <v>61</v>
      </c>
      <c r="BJ111" s="2">
        <f t="shared" si="56"/>
        <v>61</v>
      </c>
      <c r="BK111" s="2">
        <f t="shared" si="57"/>
        <v>61</v>
      </c>
      <c r="BL111" s="2">
        <f t="shared" si="58"/>
        <v>61</v>
      </c>
      <c r="BM111" s="2">
        <f t="shared" si="59"/>
        <v>61</v>
      </c>
      <c r="BN111" s="2">
        <f t="shared" si="60"/>
        <v>61</v>
      </c>
      <c r="BO111" s="2">
        <f t="shared" si="61"/>
        <v>61</v>
      </c>
      <c r="BP111" s="2">
        <f t="shared" si="62"/>
        <v>61</v>
      </c>
      <c r="BQ111" s="2">
        <f t="shared" si="63"/>
        <v>61</v>
      </c>
    </row>
    <row r="112" spans="2:69" hidden="1" x14ac:dyDescent="0.3">
      <c r="J112" s="2">
        <f t="shared" si="4"/>
        <v>61</v>
      </c>
      <c r="K112" s="2">
        <f t="shared" si="5"/>
        <v>61</v>
      </c>
      <c r="L112" s="2">
        <f t="shared" si="6"/>
        <v>61</v>
      </c>
      <c r="M112" s="2">
        <f t="shared" si="7"/>
        <v>61</v>
      </c>
      <c r="N112" s="2">
        <f t="shared" si="8"/>
        <v>61</v>
      </c>
      <c r="O112" s="2">
        <f t="shared" si="9"/>
        <v>61</v>
      </c>
      <c r="P112" s="2">
        <f t="shared" si="10"/>
        <v>61</v>
      </c>
      <c r="Q112" s="2">
        <f t="shared" si="11"/>
        <v>61</v>
      </c>
      <c r="R112" s="2">
        <f t="shared" si="12"/>
        <v>61</v>
      </c>
      <c r="S112" s="2">
        <f t="shared" si="13"/>
        <v>61</v>
      </c>
      <c r="T112" s="2">
        <f t="shared" si="14"/>
        <v>61</v>
      </c>
      <c r="U112" s="2">
        <f t="shared" si="15"/>
        <v>61</v>
      </c>
      <c r="V112" s="2">
        <f t="shared" si="16"/>
        <v>61</v>
      </c>
      <c r="W112" s="2">
        <f t="shared" si="17"/>
        <v>61</v>
      </c>
      <c r="X112" s="2">
        <f t="shared" si="18"/>
        <v>61</v>
      </c>
      <c r="Y112" s="2">
        <f t="shared" si="19"/>
        <v>61</v>
      </c>
      <c r="Z112" s="2">
        <f t="shared" si="20"/>
        <v>61</v>
      </c>
      <c r="AA112" s="2">
        <f t="shared" si="21"/>
        <v>61</v>
      </c>
      <c r="AB112" s="2">
        <f t="shared" si="22"/>
        <v>61</v>
      </c>
      <c r="AC112" s="2">
        <f t="shared" si="23"/>
        <v>61</v>
      </c>
      <c r="AD112" s="2">
        <f t="shared" si="24"/>
        <v>61</v>
      </c>
      <c r="AE112" s="2">
        <f t="shared" si="25"/>
        <v>61</v>
      </c>
      <c r="AF112" s="2">
        <f t="shared" si="26"/>
        <v>61</v>
      </c>
      <c r="AG112" s="2">
        <f t="shared" si="27"/>
        <v>61</v>
      </c>
      <c r="AH112" s="2">
        <f t="shared" si="28"/>
        <v>61</v>
      </c>
      <c r="AI112" s="2">
        <f t="shared" si="29"/>
        <v>61</v>
      </c>
      <c r="AJ112" s="2">
        <f t="shared" si="30"/>
        <v>61</v>
      </c>
      <c r="AK112" s="2">
        <f t="shared" si="31"/>
        <v>61</v>
      </c>
      <c r="AL112" s="2">
        <f t="shared" si="32"/>
        <v>61</v>
      </c>
      <c r="AM112" s="2">
        <f t="shared" si="33"/>
        <v>61</v>
      </c>
      <c r="AN112" s="2">
        <f t="shared" si="34"/>
        <v>61</v>
      </c>
      <c r="AO112" s="2">
        <f t="shared" si="35"/>
        <v>61</v>
      </c>
      <c r="AP112" s="2">
        <f t="shared" si="36"/>
        <v>61</v>
      </c>
      <c r="AQ112" s="2">
        <f t="shared" si="37"/>
        <v>61</v>
      </c>
      <c r="AR112" s="2">
        <f t="shared" si="38"/>
        <v>61</v>
      </c>
      <c r="AS112" s="2">
        <f t="shared" si="39"/>
        <v>61</v>
      </c>
      <c r="AT112" s="2">
        <f t="shared" si="40"/>
        <v>61</v>
      </c>
      <c r="AU112" s="2">
        <f t="shared" si="41"/>
        <v>61</v>
      </c>
      <c r="AV112" s="2">
        <f t="shared" si="42"/>
        <v>61</v>
      </c>
      <c r="AW112" s="2">
        <f t="shared" si="43"/>
        <v>61</v>
      </c>
      <c r="AX112" s="2">
        <f t="shared" si="44"/>
        <v>61</v>
      </c>
      <c r="AY112" s="2">
        <f t="shared" si="45"/>
        <v>61</v>
      </c>
      <c r="AZ112" s="2">
        <f t="shared" si="46"/>
        <v>61</v>
      </c>
      <c r="BA112" s="2">
        <f t="shared" si="47"/>
        <v>61</v>
      </c>
      <c r="BB112" s="2">
        <f t="shared" si="48"/>
        <v>61</v>
      </c>
      <c r="BC112" s="2">
        <f t="shared" si="49"/>
        <v>61</v>
      </c>
      <c r="BD112" s="2">
        <f t="shared" si="50"/>
        <v>61</v>
      </c>
      <c r="BE112" s="2">
        <f t="shared" si="51"/>
        <v>61</v>
      </c>
      <c r="BF112" s="2">
        <f t="shared" si="52"/>
        <v>61</v>
      </c>
      <c r="BG112" s="2">
        <f t="shared" si="53"/>
        <v>61</v>
      </c>
      <c r="BH112" s="2">
        <f t="shared" si="54"/>
        <v>61</v>
      </c>
      <c r="BI112" s="2">
        <f t="shared" si="55"/>
        <v>61</v>
      </c>
      <c r="BJ112" s="2">
        <f t="shared" si="56"/>
        <v>61</v>
      </c>
      <c r="BK112" s="2">
        <f t="shared" si="57"/>
        <v>61</v>
      </c>
      <c r="BL112" s="2">
        <f t="shared" si="58"/>
        <v>61</v>
      </c>
      <c r="BM112" s="2">
        <f t="shared" si="59"/>
        <v>61</v>
      </c>
      <c r="BN112" s="2">
        <f t="shared" si="60"/>
        <v>61</v>
      </c>
      <c r="BO112" s="2">
        <f t="shared" si="61"/>
        <v>61</v>
      </c>
      <c r="BP112" s="2">
        <f t="shared" si="62"/>
        <v>61</v>
      </c>
      <c r="BQ112" s="2">
        <f t="shared" si="63"/>
        <v>61</v>
      </c>
    </row>
    <row r="113" spans="10:69" hidden="1" x14ac:dyDescent="0.3">
      <c r="J113" s="2">
        <f t="shared" si="4"/>
        <v>61</v>
      </c>
      <c r="K113" s="2">
        <f t="shared" si="5"/>
        <v>61</v>
      </c>
      <c r="L113" s="2">
        <f t="shared" si="6"/>
        <v>61</v>
      </c>
      <c r="M113" s="2">
        <f t="shared" si="7"/>
        <v>61</v>
      </c>
      <c r="N113" s="2">
        <f t="shared" si="8"/>
        <v>61</v>
      </c>
      <c r="O113" s="2">
        <f t="shared" si="9"/>
        <v>61</v>
      </c>
      <c r="P113" s="2">
        <f t="shared" si="10"/>
        <v>61</v>
      </c>
      <c r="Q113" s="2">
        <f t="shared" si="11"/>
        <v>61</v>
      </c>
      <c r="R113" s="2">
        <f t="shared" si="12"/>
        <v>61</v>
      </c>
      <c r="S113" s="2">
        <f t="shared" si="13"/>
        <v>61</v>
      </c>
      <c r="T113" s="2">
        <f t="shared" si="14"/>
        <v>61</v>
      </c>
      <c r="U113" s="2">
        <f t="shared" si="15"/>
        <v>61</v>
      </c>
      <c r="V113" s="2">
        <f t="shared" si="16"/>
        <v>61</v>
      </c>
      <c r="W113" s="2">
        <f t="shared" si="17"/>
        <v>61</v>
      </c>
      <c r="X113" s="2">
        <f t="shared" si="18"/>
        <v>61</v>
      </c>
      <c r="Y113" s="2">
        <f t="shared" si="19"/>
        <v>61</v>
      </c>
      <c r="Z113" s="2">
        <f t="shared" si="20"/>
        <v>61</v>
      </c>
      <c r="AA113" s="2">
        <f t="shared" si="21"/>
        <v>61</v>
      </c>
      <c r="AB113" s="2">
        <f t="shared" si="22"/>
        <v>61</v>
      </c>
      <c r="AC113" s="2">
        <f t="shared" si="23"/>
        <v>61</v>
      </c>
      <c r="AD113" s="2">
        <f t="shared" si="24"/>
        <v>61</v>
      </c>
      <c r="AE113" s="2">
        <f t="shared" si="25"/>
        <v>61</v>
      </c>
      <c r="AF113" s="2">
        <f t="shared" si="26"/>
        <v>61</v>
      </c>
      <c r="AG113" s="2">
        <f t="shared" si="27"/>
        <v>61</v>
      </c>
      <c r="AH113" s="2">
        <f t="shared" si="28"/>
        <v>61</v>
      </c>
      <c r="AI113" s="2">
        <f t="shared" si="29"/>
        <v>61</v>
      </c>
      <c r="AJ113" s="2">
        <f t="shared" si="30"/>
        <v>61</v>
      </c>
      <c r="AK113" s="2">
        <f t="shared" si="31"/>
        <v>61</v>
      </c>
      <c r="AL113" s="2">
        <f t="shared" si="32"/>
        <v>61</v>
      </c>
      <c r="AM113" s="2">
        <f t="shared" si="33"/>
        <v>61</v>
      </c>
      <c r="AN113" s="2">
        <f t="shared" si="34"/>
        <v>61</v>
      </c>
      <c r="AO113" s="2">
        <f t="shared" si="35"/>
        <v>61</v>
      </c>
      <c r="AP113" s="2">
        <f t="shared" si="36"/>
        <v>61</v>
      </c>
      <c r="AQ113" s="2">
        <f t="shared" si="37"/>
        <v>61</v>
      </c>
      <c r="AR113" s="2">
        <f t="shared" si="38"/>
        <v>61</v>
      </c>
      <c r="AS113" s="2">
        <f t="shared" si="39"/>
        <v>61</v>
      </c>
      <c r="AT113" s="2">
        <f t="shared" si="40"/>
        <v>61</v>
      </c>
      <c r="AU113" s="2">
        <f t="shared" si="41"/>
        <v>61</v>
      </c>
      <c r="AV113" s="2">
        <f t="shared" si="42"/>
        <v>61</v>
      </c>
      <c r="AW113" s="2">
        <f t="shared" si="43"/>
        <v>61</v>
      </c>
      <c r="AX113" s="2">
        <f t="shared" si="44"/>
        <v>61</v>
      </c>
      <c r="AY113" s="2">
        <f t="shared" si="45"/>
        <v>61</v>
      </c>
      <c r="AZ113" s="2">
        <f t="shared" si="46"/>
        <v>61</v>
      </c>
      <c r="BA113" s="2">
        <f t="shared" si="47"/>
        <v>61</v>
      </c>
      <c r="BB113" s="2">
        <f t="shared" si="48"/>
        <v>61</v>
      </c>
      <c r="BC113" s="2">
        <f t="shared" si="49"/>
        <v>61</v>
      </c>
      <c r="BD113" s="2">
        <f t="shared" si="50"/>
        <v>61</v>
      </c>
      <c r="BE113" s="2">
        <f t="shared" si="51"/>
        <v>61</v>
      </c>
      <c r="BF113" s="2">
        <f t="shared" si="52"/>
        <v>61</v>
      </c>
      <c r="BG113" s="2">
        <f t="shared" si="53"/>
        <v>61</v>
      </c>
      <c r="BH113" s="2">
        <f t="shared" si="54"/>
        <v>61</v>
      </c>
      <c r="BI113" s="2">
        <f t="shared" si="55"/>
        <v>61</v>
      </c>
      <c r="BJ113" s="2">
        <f t="shared" si="56"/>
        <v>61</v>
      </c>
      <c r="BK113" s="2">
        <f t="shared" si="57"/>
        <v>61</v>
      </c>
      <c r="BL113" s="2">
        <f t="shared" si="58"/>
        <v>61</v>
      </c>
      <c r="BM113" s="2">
        <f t="shared" si="59"/>
        <v>61</v>
      </c>
      <c r="BN113" s="2">
        <f t="shared" si="60"/>
        <v>61</v>
      </c>
      <c r="BO113" s="2">
        <f t="shared" si="61"/>
        <v>61</v>
      </c>
      <c r="BP113" s="2">
        <f t="shared" si="62"/>
        <v>61</v>
      </c>
      <c r="BQ113" s="2">
        <f t="shared" si="63"/>
        <v>61</v>
      </c>
    </row>
    <row r="114" spans="10:69" hidden="1" x14ac:dyDescent="0.3">
      <c r="J114" s="2">
        <f t="shared" si="4"/>
        <v>61</v>
      </c>
      <c r="K114" s="2">
        <f t="shared" si="5"/>
        <v>61</v>
      </c>
      <c r="L114" s="2">
        <f t="shared" si="6"/>
        <v>61</v>
      </c>
      <c r="M114" s="2">
        <f t="shared" si="7"/>
        <v>61</v>
      </c>
      <c r="N114" s="2">
        <f t="shared" si="8"/>
        <v>61</v>
      </c>
      <c r="O114" s="2">
        <f t="shared" si="9"/>
        <v>61</v>
      </c>
      <c r="P114" s="2">
        <f t="shared" si="10"/>
        <v>61</v>
      </c>
      <c r="Q114" s="2">
        <f t="shared" si="11"/>
        <v>61</v>
      </c>
      <c r="R114" s="2">
        <f t="shared" si="12"/>
        <v>61</v>
      </c>
      <c r="S114" s="2">
        <f t="shared" si="13"/>
        <v>61</v>
      </c>
      <c r="T114" s="2">
        <f t="shared" si="14"/>
        <v>61</v>
      </c>
      <c r="U114" s="2">
        <f t="shared" si="15"/>
        <v>61</v>
      </c>
      <c r="V114" s="2">
        <f t="shared" si="16"/>
        <v>61</v>
      </c>
      <c r="W114" s="2">
        <f t="shared" si="17"/>
        <v>61</v>
      </c>
      <c r="X114" s="2">
        <f t="shared" si="18"/>
        <v>61</v>
      </c>
      <c r="Y114" s="2">
        <f t="shared" si="19"/>
        <v>61</v>
      </c>
      <c r="Z114" s="2">
        <f t="shared" si="20"/>
        <v>61</v>
      </c>
      <c r="AA114" s="2">
        <f t="shared" si="21"/>
        <v>61</v>
      </c>
      <c r="AB114" s="2">
        <f t="shared" si="22"/>
        <v>61</v>
      </c>
      <c r="AC114" s="2">
        <f t="shared" si="23"/>
        <v>61</v>
      </c>
      <c r="AD114" s="2">
        <f t="shared" si="24"/>
        <v>61</v>
      </c>
      <c r="AE114" s="2">
        <f t="shared" si="25"/>
        <v>61</v>
      </c>
      <c r="AF114" s="2">
        <f t="shared" si="26"/>
        <v>61</v>
      </c>
      <c r="AG114" s="2">
        <f t="shared" si="27"/>
        <v>61</v>
      </c>
      <c r="AH114" s="2">
        <f t="shared" si="28"/>
        <v>61</v>
      </c>
      <c r="AI114" s="2">
        <f t="shared" si="29"/>
        <v>61</v>
      </c>
      <c r="AJ114" s="2">
        <f t="shared" si="30"/>
        <v>61</v>
      </c>
      <c r="AK114" s="2">
        <f t="shared" si="31"/>
        <v>61</v>
      </c>
      <c r="AL114" s="2">
        <f t="shared" si="32"/>
        <v>61</v>
      </c>
      <c r="AM114" s="2">
        <f t="shared" si="33"/>
        <v>61</v>
      </c>
      <c r="AN114" s="2">
        <f t="shared" si="34"/>
        <v>61</v>
      </c>
      <c r="AO114" s="2">
        <f t="shared" si="35"/>
        <v>61</v>
      </c>
      <c r="AP114" s="2">
        <f t="shared" si="36"/>
        <v>61</v>
      </c>
      <c r="AQ114" s="2">
        <f t="shared" si="37"/>
        <v>61</v>
      </c>
      <c r="AR114" s="2">
        <f t="shared" si="38"/>
        <v>61</v>
      </c>
      <c r="AS114" s="2">
        <f t="shared" si="39"/>
        <v>61</v>
      </c>
      <c r="AT114" s="2">
        <f t="shared" si="40"/>
        <v>61</v>
      </c>
      <c r="AU114" s="2">
        <f t="shared" si="41"/>
        <v>61</v>
      </c>
      <c r="AV114" s="2">
        <f t="shared" si="42"/>
        <v>61</v>
      </c>
      <c r="AW114" s="2">
        <f t="shared" si="43"/>
        <v>61</v>
      </c>
      <c r="AX114" s="2">
        <f t="shared" si="44"/>
        <v>61</v>
      </c>
      <c r="AY114" s="2">
        <f t="shared" si="45"/>
        <v>61</v>
      </c>
      <c r="AZ114" s="2">
        <f t="shared" si="46"/>
        <v>61</v>
      </c>
      <c r="BA114" s="2">
        <f t="shared" si="47"/>
        <v>61</v>
      </c>
      <c r="BB114" s="2">
        <f t="shared" si="48"/>
        <v>61</v>
      </c>
      <c r="BC114" s="2">
        <f t="shared" si="49"/>
        <v>61</v>
      </c>
      <c r="BD114" s="2">
        <f t="shared" si="50"/>
        <v>61</v>
      </c>
      <c r="BE114" s="2">
        <f t="shared" si="51"/>
        <v>61</v>
      </c>
      <c r="BF114" s="2">
        <f t="shared" si="52"/>
        <v>61</v>
      </c>
      <c r="BG114" s="2">
        <f t="shared" si="53"/>
        <v>61</v>
      </c>
      <c r="BH114" s="2">
        <f t="shared" si="54"/>
        <v>61</v>
      </c>
      <c r="BI114" s="2">
        <f t="shared" si="55"/>
        <v>61</v>
      </c>
      <c r="BJ114" s="2">
        <f t="shared" si="56"/>
        <v>61</v>
      </c>
      <c r="BK114" s="2">
        <f t="shared" si="57"/>
        <v>61</v>
      </c>
      <c r="BL114" s="2">
        <f t="shared" si="58"/>
        <v>61</v>
      </c>
      <c r="BM114" s="2">
        <f t="shared" si="59"/>
        <v>61</v>
      </c>
      <c r="BN114" s="2">
        <f t="shared" si="60"/>
        <v>61</v>
      </c>
      <c r="BO114" s="2">
        <f t="shared" si="61"/>
        <v>61</v>
      </c>
      <c r="BP114" s="2">
        <f t="shared" si="62"/>
        <v>61</v>
      </c>
      <c r="BQ114" s="2">
        <f t="shared" si="63"/>
        <v>61</v>
      </c>
    </row>
    <row r="115" spans="10:69" hidden="1" x14ac:dyDescent="0.3">
      <c r="J115" s="2">
        <f t="shared" si="4"/>
        <v>61</v>
      </c>
      <c r="K115" s="2">
        <f t="shared" si="5"/>
        <v>61</v>
      </c>
      <c r="L115" s="2">
        <f t="shared" si="6"/>
        <v>61</v>
      </c>
      <c r="M115" s="2">
        <f t="shared" si="7"/>
        <v>61</v>
      </c>
      <c r="N115" s="2">
        <f t="shared" si="8"/>
        <v>61</v>
      </c>
      <c r="O115" s="2">
        <f t="shared" si="9"/>
        <v>61</v>
      </c>
      <c r="P115" s="2">
        <f t="shared" si="10"/>
        <v>61</v>
      </c>
      <c r="Q115" s="2">
        <f t="shared" si="11"/>
        <v>61</v>
      </c>
      <c r="R115" s="2">
        <f t="shared" si="12"/>
        <v>61</v>
      </c>
      <c r="S115" s="2">
        <f t="shared" si="13"/>
        <v>61</v>
      </c>
      <c r="T115" s="2">
        <f t="shared" si="14"/>
        <v>61</v>
      </c>
      <c r="U115" s="2">
        <f t="shared" si="15"/>
        <v>61</v>
      </c>
      <c r="V115" s="2">
        <f t="shared" si="16"/>
        <v>61</v>
      </c>
      <c r="W115" s="2">
        <f t="shared" si="17"/>
        <v>61</v>
      </c>
      <c r="X115" s="2">
        <f t="shared" si="18"/>
        <v>61</v>
      </c>
      <c r="Y115" s="2">
        <f t="shared" si="19"/>
        <v>61</v>
      </c>
      <c r="Z115" s="2">
        <f t="shared" si="20"/>
        <v>61</v>
      </c>
      <c r="AA115" s="2">
        <f t="shared" si="21"/>
        <v>61</v>
      </c>
      <c r="AB115" s="2">
        <f t="shared" si="22"/>
        <v>61</v>
      </c>
      <c r="AC115" s="2">
        <f t="shared" si="23"/>
        <v>61</v>
      </c>
      <c r="AD115" s="2">
        <f t="shared" si="24"/>
        <v>61</v>
      </c>
      <c r="AE115" s="2">
        <f t="shared" si="25"/>
        <v>61</v>
      </c>
      <c r="AF115" s="2">
        <f t="shared" si="26"/>
        <v>61</v>
      </c>
      <c r="AG115" s="2">
        <f t="shared" si="27"/>
        <v>61</v>
      </c>
      <c r="AH115" s="2">
        <f t="shared" si="28"/>
        <v>61</v>
      </c>
      <c r="AI115" s="2">
        <f t="shared" si="29"/>
        <v>61</v>
      </c>
      <c r="AJ115" s="2">
        <f t="shared" si="30"/>
        <v>61</v>
      </c>
      <c r="AK115" s="2">
        <f t="shared" si="31"/>
        <v>61</v>
      </c>
      <c r="AL115" s="2">
        <f t="shared" si="32"/>
        <v>61</v>
      </c>
      <c r="AM115" s="2">
        <f t="shared" si="33"/>
        <v>61</v>
      </c>
      <c r="AN115" s="2">
        <f t="shared" si="34"/>
        <v>61</v>
      </c>
      <c r="AO115" s="2">
        <f t="shared" si="35"/>
        <v>61</v>
      </c>
      <c r="AP115" s="2">
        <f t="shared" si="36"/>
        <v>61</v>
      </c>
      <c r="AQ115" s="2">
        <f t="shared" si="37"/>
        <v>61</v>
      </c>
      <c r="AR115" s="2">
        <f t="shared" si="38"/>
        <v>61</v>
      </c>
      <c r="AS115" s="2">
        <f t="shared" si="39"/>
        <v>61</v>
      </c>
      <c r="AT115" s="2">
        <f t="shared" si="40"/>
        <v>61</v>
      </c>
      <c r="AU115" s="2">
        <f t="shared" si="41"/>
        <v>61</v>
      </c>
      <c r="AV115" s="2">
        <f t="shared" si="42"/>
        <v>61</v>
      </c>
      <c r="AW115" s="2">
        <f t="shared" si="43"/>
        <v>61</v>
      </c>
      <c r="AX115" s="2">
        <f t="shared" si="44"/>
        <v>61</v>
      </c>
      <c r="AY115" s="2">
        <f t="shared" si="45"/>
        <v>61</v>
      </c>
      <c r="AZ115" s="2">
        <f t="shared" si="46"/>
        <v>61</v>
      </c>
      <c r="BA115" s="2">
        <f t="shared" si="47"/>
        <v>61</v>
      </c>
      <c r="BB115" s="2">
        <f t="shared" si="48"/>
        <v>61</v>
      </c>
      <c r="BC115" s="2">
        <f t="shared" si="49"/>
        <v>61</v>
      </c>
      <c r="BD115" s="2">
        <f t="shared" si="50"/>
        <v>61</v>
      </c>
      <c r="BE115" s="2">
        <f t="shared" si="51"/>
        <v>61</v>
      </c>
      <c r="BF115" s="2">
        <f t="shared" si="52"/>
        <v>61</v>
      </c>
      <c r="BG115" s="2">
        <f t="shared" si="53"/>
        <v>61</v>
      </c>
      <c r="BH115" s="2">
        <f t="shared" si="54"/>
        <v>61</v>
      </c>
      <c r="BI115" s="2">
        <f t="shared" si="55"/>
        <v>61</v>
      </c>
      <c r="BJ115" s="2">
        <f t="shared" si="56"/>
        <v>61</v>
      </c>
      <c r="BK115" s="2">
        <f t="shared" si="57"/>
        <v>61</v>
      </c>
      <c r="BL115" s="2">
        <f t="shared" si="58"/>
        <v>61</v>
      </c>
      <c r="BM115" s="2">
        <f t="shared" si="59"/>
        <v>61</v>
      </c>
      <c r="BN115" s="2">
        <f t="shared" si="60"/>
        <v>61</v>
      </c>
      <c r="BO115" s="2">
        <f t="shared" si="61"/>
        <v>61</v>
      </c>
      <c r="BP115" s="2">
        <f t="shared" si="62"/>
        <v>61</v>
      </c>
      <c r="BQ115" s="2">
        <f t="shared" si="63"/>
        <v>61</v>
      </c>
    </row>
    <row r="116" spans="10:69" hidden="1" x14ac:dyDescent="0.3">
      <c r="J116" s="2">
        <f t="shared" si="4"/>
        <v>61</v>
      </c>
      <c r="K116" s="2">
        <f t="shared" si="5"/>
        <v>61</v>
      </c>
      <c r="L116" s="2">
        <f t="shared" si="6"/>
        <v>61</v>
      </c>
      <c r="M116" s="2">
        <f t="shared" si="7"/>
        <v>61</v>
      </c>
      <c r="N116" s="2">
        <f t="shared" si="8"/>
        <v>61</v>
      </c>
      <c r="O116" s="2">
        <f t="shared" si="9"/>
        <v>61</v>
      </c>
      <c r="P116" s="2">
        <f t="shared" si="10"/>
        <v>61</v>
      </c>
      <c r="Q116" s="2">
        <f t="shared" si="11"/>
        <v>61</v>
      </c>
      <c r="R116" s="2">
        <f t="shared" si="12"/>
        <v>61</v>
      </c>
      <c r="S116" s="2">
        <f t="shared" si="13"/>
        <v>61</v>
      </c>
      <c r="T116" s="2">
        <f t="shared" si="14"/>
        <v>61</v>
      </c>
      <c r="U116" s="2">
        <f t="shared" si="15"/>
        <v>61</v>
      </c>
      <c r="V116" s="2">
        <f t="shared" si="16"/>
        <v>61</v>
      </c>
      <c r="W116" s="2">
        <f t="shared" si="17"/>
        <v>61</v>
      </c>
      <c r="X116" s="2">
        <f t="shared" si="18"/>
        <v>61</v>
      </c>
      <c r="Y116" s="2">
        <f t="shared" si="19"/>
        <v>61</v>
      </c>
      <c r="Z116" s="2">
        <f t="shared" si="20"/>
        <v>61</v>
      </c>
      <c r="AA116" s="2">
        <f t="shared" si="21"/>
        <v>61</v>
      </c>
      <c r="AB116" s="2">
        <f t="shared" si="22"/>
        <v>61</v>
      </c>
      <c r="AC116" s="2">
        <f t="shared" si="23"/>
        <v>61</v>
      </c>
      <c r="AD116" s="2">
        <f t="shared" si="24"/>
        <v>61</v>
      </c>
      <c r="AE116" s="2">
        <f t="shared" si="25"/>
        <v>61</v>
      </c>
      <c r="AF116" s="2">
        <f t="shared" si="26"/>
        <v>61</v>
      </c>
      <c r="AG116" s="2">
        <f t="shared" si="27"/>
        <v>61</v>
      </c>
      <c r="AH116" s="2">
        <f t="shared" si="28"/>
        <v>61</v>
      </c>
      <c r="AI116" s="2">
        <f t="shared" si="29"/>
        <v>61</v>
      </c>
      <c r="AJ116" s="2">
        <f t="shared" si="30"/>
        <v>61</v>
      </c>
      <c r="AK116" s="2">
        <f t="shared" si="31"/>
        <v>61</v>
      </c>
      <c r="AL116" s="2">
        <f t="shared" si="32"/>
        <v>61</v>
      </c>
      <c r="AM116" s="2">
        <f t="shared" si="33"/>
        <v>61</v>
      </c>
      <c r="AN116" s="2">
        <f t="shared" si="34"/>
        <v>61</v>
      </c>
      <c r="AO116" s="2">
        <f t="shared" si="35"/>
        <v>61</v>
      </c>
      <c r="AP116" s="2">
        <f t="shared" si="36"/>
        <v>61</v>
      </c>
      <c r="AQ116" s="2">
        <f t="shared" si="37"/>
        <v>61</v>
      </c>
      <c r="AR116" s="2">
        <f t="shared" si="38"/>
        <v>61</v>
      </c>
      <c r="AS116" s="2">
        <f t="shared" si="39"/>
        <v>61</v>
      </c>
      <c r="AT116" s="2">
        <f t="shared" si="40"/>
        <v>61</v>
      </c>
      <c r="AU116" s="2">
        <f t="shared" si="41"/>
        <v>61</v>
      </c>
      <c r="AV116" s="2">
        <f t="shared" si="42"/>
        <v>61</v>
      </c>
      <c r="AW116" s="2">
        <f t="shared" si="43"/>
        <v>61</v>
      </c>
      <c r="AX116" s="2">
        <f t="shared" si="44"/>
        <v>61</v>
      </c>
      <c r="AY116" s="2">
        <f t="shared" si="45"/>
        <v>61</v>
      </c>
      <c r="AZ116" s="2">
        <f t="shared" si="46"/>
        <v>61</v>
      </c>
      <c r="BA116" s="2">
        <f t="shared" si="47"/>
        <v>61</v>
      </c>
      <c r="BB116" s="2">
        <f t="shared" si="48"/>
        <v>61</v>
      </c>
      <c r="BC116" s="2">
        <f t="shared" si="49"/>
        <v>61</v>
      </c>
      <c r="BD116" s="2">
        <f t="shared" si="50"/>
        <v>61</v>
      </c>
      <c r="BE116" s="2">
        <f t="shared" si="51"/>
        <v>61</v>
      </c>
      <c r="BF116" s="2">
        <f t="shared" si="52"/>
        <v>61</v>
      </c>
      <c r="BG116" s="2">
        <f t="shared" si="53"/>
        <v>61</v>
      </c>
      <c r="BH116" s="2">
        <f t="shared" si="54"/>
        <v>61</v>
      </c>
      <c r="BI116" s="2">
        <f t="shared" si="55"/>
        <v>61</v>
      </c>
      <c r="BJ116" s="2">
        <f t="shared" si="56"/>
        <v>61</v>
      </c>
      <c r="BK116" s="2">
        <f t="shared" si="57"/>
        <v>61</v>
      </c>
      <c r="BL116" s="2">
        <f t="shared" si="58"/>
        <v>61</v>
      </c>
      <c r="BM116" s="2">
        <f t="shared" si="59"/>
        <v>61</v>
      </c>
      <c r="BN116" s="2">
        <f t="shared" si="60"/>
        <v>61</v>
      </c>
      <c r="BO116" s="2">
        <f t="shared" si="61"/>
        <v>61</v>
      </c>
      <c r="BP116" s="2">
        <f t="shared" si="62"/>
        <v>61</v>
      </c>
      <c r="BQ116" s="2">
        <f t="shared" si="63"/>
        <v>61</v>
      </c>
    </row>
    <row r="117" spans="10:69" hidden="1" x14ac:dyDescent="0.3">
      <c r="J117" s="2">
        <f t="shared" si="4"/>
        <v>61</v>
      </c>
      <c r="K117" s="2">
        <f t="shared" si="5"/>
        <v>61</v>
      </c>
      <c r="L117" s="2">
        <f t="shared" si="6"/>
        <v>61</v>
      </c>
      <c r="M117" s="2">
        <f t="shared" si="7"/>
        <v>61</v>
      </c>
      <c r="N117" s="2">
        <f t="shared" si="8"/>
        <v>61</v>
      </c>
      <c r="O117" s="2">
        <f t="shared" si="9"/>
        <v>61</v>
      </c>
      <c r="P117" s="2">
        <f t="shared" si="10"/>
        <v>61</v>
      </c>
      <c r="Q117" s="2">
        <f t="shared" si="11"/>
        <v>61</v>
      </c>
      <c r="R117" s="2">
        <f t="shared" si="12"/>
        <v>61</v>
      </c>
      <c r="S117" s="2">
        <f t="shared" si="13"/>
        <v>61</v>
      </c>
      <c r="T117" s="2">
        <f t="shared" si="14"/>
        <v>61</v>
      </c>
      <c r="U117" s="2">
        <f t="shared" si="15"/>
        <v>61</v>
      </c>
      <c r="V117" s="2">
        <f t="shared" si="16"/>
        <v>61</v>
      </c>
      <c r="W117" s="2">
        <f t="shared" si="17"/>
        <v>61</v>
      </c>
      <c r="X117" s="2">
        <f t="shared" si="18"/>
        <v>61</v>
      </c>
      <c r="Y117" s="2">
        <f t="shared" si="19"/>
        <v>61</v>
      </c>
      <c r="Z117" s="2">
        <f t="shared" si="20"/>
        <v>61</v>
      </c>
      <c r="AA117" s="2">
        <f t="shared" si="21"/>
        <v>61</v>
      </c>
      <c r="AB117" s="2">
        <f t="shared" si="22"/>
        <v>61</v>
      </c>
      <c r="AC117" s="2">
        <f t="shared" si="23"/>
        <v>61</v>
      </c>
      <c r="AD117" s="2">
        <f t="shared" si="24"/>
        <v>61</v>
      </c>
      <c r="AE117" s="2">
        <f t="shared" si="25"/>
        <v>61</v>
      </c>
      <c r="AF117" s="2">
        <f t="shared" si="26"/>
        <v>61</v>
      </c>
      <c r="AG117" s="2">
        <f t="shared" si="27"/>
        <v>61</v>
      </c>
      <c r="AH117" s="2">
        <f t="shared" si="28"/>
        <v>61</v>
      </c>
      <c r="AI117" s="2">
        <f t="shared" si="29"/>
        <v>61</v>
      </c>
      <c r="AJ117" s="2">
        <f t="shared" si="30"/>
        <v>61</v>
      </c>
      <c r="AK117" s="2">
        <f t="shared" si="31"/>
        <v>61</v>
      </c>
      <c r="AL117" s="2">
        <f t="shared" si="32"/>
        <v>61</v>
      </c>
      <c r="AM117" s="2">
        <f t="shared" si="33"/>
        <v>61</v>
      </c>
      <c r="AN117" s="2">
        <f t="shared" si="34"/>
        <v>61</v>
      </c>
      <c r="AO117" s="2">
        <f t="shared" si="35"/>
        <v>61</v>
      </c>
      <c r="AP117" s="2">
        <f t="shared" si="36"/>
        <v>61</v>
      </c>
      <c r="AQ117" s="2">
        <f t="shared" si="37"/>
        <v>61</v>
      </c>
      <c r="AR117" s="2">
        <f t="shared" si="38"/>
        <v>61</v>
      </c>
      <c r="AS117" s="2">
        <f t="shared" si="39"/>
        <v>61</v>
      </c>
      <c r="AT117" s="2">
        <f t="shared" si="40"/>
        <v>61</v>
      </c>
      <c r="AU117" s="2">
        <f t="shared" si="41"/>
        <v>61</v>
      </c>
      <c r="AV117" s="2">
        <f t="shared" si="42"/>
        <v>61</v>
      </c>
      <c r="AW117" s="2">
        <f t="shared" si="43"/>
        <v>61</v>
      </c>
      <c r="AX117" s="2">
        <f t="shared" si="44"/>
        <v>61</v>
      </c>
      <c r="AY117" s="2">
        <f t="shared" si="45"/>
        <v>61</v>
      </c>
      <c r="AZ117" s="2">
        <f t="shared" si="46"/>
        <v>61</v>
      </c>
      <c r="BA117" s="2">
        <f t="shared" si="47"/>
        <v>61</v>
      </c>
      <c r="BB117" s="2">
        <f t="shared" si="48"/>
        <v>61</v>
      </c>
      <c r="BC117" s="2">
        <f t="shared" si="49"/>
        <v>61</v>
      </c>
      <c r="BD117" s="2">
        <f t="shared" si="50"/>
        <v>61</v>
      </c>
      <c r="BE117" s="2">
        <f t="shared" si="51"/>
        <v>61</v>
      </c>
      <c r="BF117" s="2">
        <f t="shared" si="52"/>
        <v>61</v>
      </c>
      <c r="BG117" s="2">
        <f t="shared" si="53"/>
        <v>61</v>
      </c>
      <c r="BH117" s="2">
        <f t="shared" si="54"/>
        <v>61</v>
      </c>
      <c r="BI117" s="2">
        <f t="shared" si="55"/>
        <v>61</v>
      </c>
      <c r="BJ117" s="2">
        <f t="shared" si="56"/>
        <v>61</v>
      </c>
      <c r="BK117" s="2">
        <f t="shared" si="57"/>
        <v>61</v>
      </c>
      <c r="BL117" s="2">
        <f t="shared" si="58"/>
        <v>61</v>
      </c>
      <c r="BM117" s="2">
        <f t="shared" si="59"/>
        <v>61</v>
      </c>
      <c r="BN117" s="2">
        <f t="shared" si="60"/>
        <v>61</v>
      </c>
      <c r="BO117" s="2">
        <f t="shared" si="61"/>
        <v>61</v>
      </c>
      <c r="BP117" s="2">
        <f t="shared" si="62"/>
        <v>61</v>
      </c>
      <c r="BQ117" s="2">
        <f t="shared" si="63"/>
        <v>61</v>
      </c>
    </row>
    <row r="118" spans="10:69" hidden="1" x14ac:dyDescent="0.3">
      <c r="J118" s="2">
        <f t="shared" si="4"/>
        <v>61</v>
      </c>
      <c r="K118" s="2">
        <f t="shared" si="5"/>
        <v>61</v>
      </c>
      <c r="L118" s="2">
        <f t="shared" si="6"/>
        <v>61</v>
      </c>
      <c r="M118" s="2">
        <f t="shared" si="7"/>
        <v>61</v>
      </c>
      <c r="N118" s="2">
        <f t="shared" si="8"/>
        <v>61</v>
      </c>
      <c r="O118" s="2">
        <f t="shared" si="9"/>
        <v>61</v>
      </c>
      <c r="P118" s="2">
        <f t="shared" si="10"/>
        <v>61</v>
      </c>
      <c r="Q118" s="2">
        <f t="shared" si="11"/>
        <v>61</v>
      </c>
      <c r="R118" s="2">
        <f t="shared" si="12"/>
        <v>61</v>
      </c>
      <c r="S118" s="2">
        <f t="shared" si="13"/>
        <v>61</v>
      </c>
      <c r="T118" s="2">
        <f t="shared" si="14"/>
        <v>61</v>
      </c>
      <c r="U118" s="2">
        <f t="shared" si="15"/>
        <v>61</v>
      </c>
      <c r="V118" s="2">
        <f t="shared" si="16"/>
        <v>61</v>
      </c>
      <c r="W118" s="2">
        <f t="shared" si="17"/>
        <v>61</v>
      </c>
      <c r="X118" s="2">
        <f t="shared" si="18"/>
        <v>61</v>
      </c>
      <c r="Y118" s="2">
        <f t="shared" si="19"/>
        <v>61</v>
      </c>
      <c r="Z118" s="2">
        <f t="shared" si="20"/>
        <v>61</v>
      </c>
      <c r="AA118" s="2">
        <f t="shared" si="21"/>
        <v>61</v>
      </c>
      <c r="AB118" s="2">
        <f t="shared" si="22"/>
        <v>61</v>
      </c>
      <c r="AC118" s="2">
        <f t="shared" si="23"/>
        <v>61</v>
      </c>
      <c r="AD118" s="2">
        <f t="shared" si="24"/>
        <v>61</v>
      </c>
      <c r="AE118" s="2">
        <f t="shared" si="25"/>
        <v>61</v>
      </c>
      <c r="AF118" s="2">
        <f t="shared" si="26"/>
        <v>61</v>
      </c>
      <c r="AG118" s="2">
        <f t="shared" si="27"/>
        <v>61</v>
      </c>
      <c r="AH118" s="2">
        <f t="shared" si="28"/>
        <v>61</v>
      </c>
      <c r="AI118" s="2">
        <f t="shared" si="29"/>
        <v>61</v>
      </c>
      <c r="AJ118" s="2">
        <f t="shared" si="30"/>
        <v>61</v>
      </c>
      <c r="AK118" s="2">
        <f t="shared" si="31"/>
        <v>61</v>
      </c>
      <c r="AL118" s="2">
        <f t="shared" si="32"/>
        <v>61</v>
      </c>
      <c r="AM118" s="2">
        <f t="shared" si="33"/>
        <v>61</v>
      </c>
      <c r="AN118" s="2">
        <f t="shared" si="34"/>
        <v>61</v>
      </c>
      <c r="AO118" s="2">
        <f t="shared" si="35"/>
        <v>61</v>
      </c>
      <c r="AP118" s="2">
        <f t="shared" si="36"/>
        <v>61</v>
      </c>
      <c r="AQ118" s="2">
        <f t="shared" si="37"/>
        <v>61</v>
      </c>
      <c r="AR118" s="2">
        <f t="shared" si="38"/>
        <v>61</v>
      </c>
      <c r="AS118" s="2">
        <f t="shared" si="39"/>
        <v>61</v>
      </c>
      <c r="AT118" s="2">
        <f t="shared" si="40"/>
        <v>61</v>
      </c>
      <c r="AU118" s="2">
        <f t="shared" si="41"/>
        <v>61</v>
      </c>
      <c r="AV118" s="2">
        <f t="shared" si="42"/>
        <v>61</v>
      </c>
      <c r="AW118" s="2">
        <f t="shared" si="43"/>
        <v>61</v>
      </c>
      <c r="AX118" s="2">
        <f t="shared" si="44"/>
        <v>61</v>
      </c>
      <c r="AY118" s="2">
        <f t="shared" si="45"/>
        <v>61</v>
      </c>
      <c r="AZ118" s="2">
        <f t="shared" si="46"/>
        <v>61</v>
      </c>
      <c r="BA118" s="2">
        <f t="shared" si="47"/>
        <v>61</v>
      </c>
      <c r="BB118" s="2">
        <f t="shared" si="48"/>
        <v>61</v>
      </c>
      <c r="BC118" s="2">
        <f t="shared" si="49"/>
        <v>61</v>
      </c>
      <c r="BD118" s="2">
        <f t="shared" si="50"/>
        <v>61</v>
      </c>
      <c r="BE118" s="2">
        <f t="shared" si="51"/>
        <v>61</v>
      </c>
      <c r="BF118" s="2">
        <f t="shared" si="52"/>
        <v>61</v>
      </c>
      <c r="BG118" s="2">
        <f t="shared" si="53"/>
        <v>61</v>
      </c>
      <c r="BH118" s="2">
        <f t="shared" si="54"/>
        <v>61</v>
      </c>
      <c r="BI118" s="2">
        <f t="shared" si="55"/>
        <v>61</v>
      </c>
      <c r="BJ118" s="2">
        <f t="shared" si="56"/>
        <v>61</v>
      </c>
      <c r="BK118" s="2">
        <f t="shared" si="57"/>
        <v>61</v>
      </c>
      <c r="BL118" s="2">
        <f t="shared" si="58"/>
        <v>61</v>
      </c>
      <c r="BM118" s="2">
        <f t="shared" si="59"/>
        <v>61</v>
      </c>
      <c r="BN118" s="2">
        <f t="shared" si="60"/>
        <v>61</v>
      </c>
      <c r="BO118" s="2">
        <f t="shared" si="61"/>
        <v>61</v>
      </c>
      <c r="BP118" s="2">
        <f t="shared" si="62"/>
        <v>61</v>
      </c>
      <c r="BQ118" s="2">
        <f t="shared" si="63"/>
        <v>61</v>
      </c>
    </row>
    <row r="119" spans="10:69" hidden="1" x14ac:dyDescent="0.3">
      <c r="J119" s="2">
        <f t="shared" si="4"/>
        <v>61</v>
      </c>
      <c r="K119" s="2">
        <f t="shared" si="5"/>
        <v>61</v>
      </c>
      <c r="L119" s="2">
        <f t="shared" si="6"/>
        <v>61</v>
      </c>
      <c r="M119" s="2">
        <f t="shared" si="7"/>
        <v>61</v>
      </c>
      <c r="N119" s="2">
        <f t="shared" si="8"/>
        <v>61</v>
      </c>
      <c r="O119" s="2">
        <f t="shared" si="9"/>
        <v>61</v>
      </c>
      <c r="P119" s="2">
        <f t="shared" si="10"/>
        <v>61</v>
      </c>
      <c r="Q119" s="2">
        <f t="shared" si="11"/>
        <v>61</v>
      </c>
      <c r="R119" s="2">
        <f t="shared" si="12"/>
        <v>61</v>
      </c>
      <c r="S119" s="2">
        <f t="shared" si="13"/>
        <v>61</v>
      </c>
      <c r="T119" s="2">
        <f t="shared" si="14"/>
        <v>61</v>
      </c>
      <c r="U119" s="2">
        <f t="shared" si="15"/>
        <v>61</v>
      </c>
      <c r="V119" s="2">
        <f t="shared" si="16"/>
        <v>61</v>
      </c>
      <c r="W119" s="2">
        <f t="shared" si="17"/>
        <v>61</v>
      </c>
      <c r="X119" s="2">
        <f t="shared" si="18"/>
        <v>61</v>
      </c>
      <c r="Y119" s="2">
        <f t="shared" si="19"/>
        <v>61</v>
      </c>
      <c r="Z119" s="2">
        <f t="shared" si="20"/>
        <v>61</v>
      </c>
      <c r="AA119" s="2">
        <f t="shared" si="21"/>
        <v>61</v>
      </c>
      <c r="AB119" s="2">
        <f t="shared" si="22"/>
        <v>61</v>
      </c>
      <c r="AC119" s="2">
        <f t="shared" si="23"/>
        <v>61</v>
      </c>
      <c r="AD119" s="2">
        <f t="shared" si="24"/>
        <v>61</v>
      </c>
      <c r="AE119" s="2">
        <f t="shared" si="25"/>
        <v>61</v>
      </c>
      <c r="AF119" s="2">
        <f t="shared" si="26"/>
        <v>61</v>
      </c>
      <c r="AG119" s="2">
        <f t="shared" si="27"/>
        <v>61</v>
      </c>
      <c r="AH119" s="2">
        <f t="shared" si="28"/>
        <v>61</v>
      </c>
      <c r="AI119" s="2">
        <f t="shared" si="29"/>
        <v>61</v>
      </c>
      <c r="AJ119" s="2">
        <f t="shared" si="30"/>
        <v>61</v>
      </c>
      <c r="AK119" s="2">
        <f t="shared" si="31"/>
        <v>61</v>
      </c>
      <c r="AL119" s="2">
        <f t="shared" si="32"/>
        <v>61</v>
      </c>
      <c r="AM119" s="2">
        <f t="shared" si="33"/>
        <v>61</v>
      </c>
      <c r="AN119" s="2">
        <f t="shared" si="34"/>
        <v>61</v>
      </c>
      <c r="AO119" s="2">
        <f t="shared" si="35"/>
        <v>61</v>
      </c>
      <c r="AP119" s="2">
        <f t="shared" si="36"/>
        <v>61</v>
      </c>
      <c r="AQ119" s="2">
        <f t="shared" si="37"/>
        <v>61</v>
      </c>
      <c r="AR119" s="2">
        <f t="shared" si="38"/>
        <v>61</v>
      </c>
      <c r="AS119" s="2">
        <f t="shared" si="39"/>
        <v>61</v>
      </c>
      <c r="AT119" s="2">
        <f t="shared" si="40"/>
        <v>61</v>
      </c>
      <c r="AU119" s="2">
        <f t="shared" si="41"/>
        <v>61</v>
      </c>
      <c r="AV119" s="2">
        <f t="shared" si="42"/>
        <v>61</v>
      </c>
      <c r="AW119" s="2">
        <f t="shared" si="43"/>
        <v>61</v>
      </c>
      <c r="AX119" s="2">
        <f t="shared" si="44"/>
        <v>61</v>
      </c>
      <c r="AY119" s="2">
        <f t="shared" si="45"/>
        <v>61</v>
      </c>
      <c r="AZ119" s="2">
        <f t="shared" si="46"/>
        <v>61</v>
      </c>
      <c r="BA119" s="2">
        <f t="shared" si="47"/>
        <v>61</v>
      </c>
      <c r="BB119" s="2">
        <f t="shared" si="48"/>
        <v>61</v>
      </c>
      <c r="BC119" s="2">
        <f t="shared" si="49"/>
        <v>61</v>
      </c>
      <c r="BD119" s="2">
        <f t="shared" si="50"/>
        <v>61</v>
      </c>
      <c r="BE119" s="2">
        <f t="shared" si="51"/>
        <v>61</v>
      </c>
      <c r="BF119" s="2">
        <f t="shared" si="52"/>
        <v>61</v>
      </c>
      <c r="BG119" s="2">
        <f t="shared" si="53"/>
        <v>61</v>
      </c>
      <c r="BH119" s="2">
        <f t="shared" si="54"/>
        <v>61</v>
      </c>
      <c r="BI119" s="2">
        <f t="shared" si="55"/>
        <v>61</v>
      </c>
      <c r="BJ119" s="2">
        <f t="shared" si="56"/>
        <v>61</v>
      </c>
      <c r="BK119" s="2">
        <f t="shared" si="57"/>
        <v>61</v>
      </c>
      <c r="BL119" s="2">
        <f t="shared" si="58"/>
        <v>61</v>
      </c>
      <c r="BM119" s="2">
        <f t="shared" si="59"/>
        <v>61</v>
      </c>
      <c r="BN119" s="2">
        <f t="shared" si="60"/>
        <v>61</v>
      </c>
      <c r="BO119" s="2">
        <f t="shared" si="61"/>
        <v>61</v>
      </c>
      <c r="BP119" s="2">
        <f t="shared" si="62"/>
        <v>61</v>
      </c>
      <c r="BQ119" s="2">
        <f t="shared" si="63"/>
        <v>61</v>
      </c>
    </row>
    <row r="120" spans="10:69" hidden="1" x14ac:dyDescent="0.3">
      <c r="J120" s="2">
        <f t="shared" si="4"/>
        <v>61</v>
      </c>
      <c r="K120" s="2">
        <f t="shared" si="5"/>
        <v>61</v>
      </c>
      <c r="L120" s="2">
        <f t="shared" si="6"/>
        <v>61</v>
      </c>
      <c r="M120" s="2">
        <f t="shared" si="7"/>
        <v>61</v>
      </c>
      <c r="N120" s="2">
        <f t="shared" si="8"/>
        <v>61</v>
      </c>
      <c r="O120" s="2">
        <f t="shared" si="9"/>
        <v>61</v>
      </c>
      <c r="P120" s="2">
        <f t="shared" si="10"/>
        <v>61</v>
      </c>
      <c r="Q120" s="2">
        <f t="shared" si="11"/>
        <v>61</v>
      </c>
      <c r="R120" s="2">
        <f t="shared" si="12"/>
        <v>61</v>
      </c>
      <c r="S120" s="2">
        <f t="shared" si="13"/>
        <v>61</v>
      </c>
      <c r="T120" s="2">
        <f t="shared" si="14"/>
        <v>61</v>
      </c>
      <c r="U120" s="2">
        <f t="shared" si="15"/>
        <v>61</v>
      </c>
      <c r="V120" s="2">
        <f t="shared" si="16"/>
        <v>61</v>
      </c>
      <c r="W120" s="2">
        <f t="shared" si="17"/>
        <v>61</v>
      </c>
      <c r="X120" s="2">
        <f t="shared" si="18"/>
        <v>61</v>
      </c>
      <c r="Y120" s="2">
        <f t="shared" si="19"/>
        <v>61</v>
      </c>
      <c r="Z120" s="2">
        <f t="shared" si="20"/>
        <v>61</v>
      </c>
      <c r="AA120" s="2">
        <f t="shared" si="21"/>
        <v>61</v>
      </c>
      <c r="AB120" s="2">
        <f t="shared" si="22"/>
        <v>61</v>
      </c>
      <c r="AC120" s="2">
        <f t="shared" si="23"/>
        <v>61</v>
      </c>
      <c r="AD120" s="2">
        <f t="shared" si="24"/>
        <v>61</v>
      </c>
      <c r="AE120" s="2">
        <f t="shared" si="25"/>
        <v>61</v>
      </c>
      <c r="AF120" s="2">
        <f t="shared" si="26"/>
        <v>61</v>
      </c>
      <c r="AG120" s="2">
        <f t="shared" si="27"/>
        <v>61</v>
      </c>
      <c r="AH120" s="2">
        <f t="shared" si="28"/>
        <v>61</v>
      </c>
      <c r="AI120" s="2">
        <f t="shared" si="29"/>
        <v>61</v>
      </c>
      <c r="AJ120" s="2">
        <f t="shared" si="30"/>
        <v>61</v>
      </c>
      <c r="AK120" s="2">
        <f t="shared" si="31"/>
        <v>61</v>
      </c>
      <c r="AL120" s="2">
        <f t="shared" si="32"/>
        <v>61</v>
      </c>
      <c r="AM120" s="2">
        <f t="shared" si="33"/>
        <v>61</v>
      </c>
      <c r="AN120" s="2">
        <f t="shared" si="34"/>
        <v>61</v>
      </c>
      <c r="AO120" s="2">
        <f t="shared" si="35"/>
        <v>61</v>
      </c>
      <c r="AP120" s="2">
        <f t="shared" si="36"/>
        <v>61</v>
      </c>
      <c r="AQ120" s="2">
        <f t="shared" si="37"/>
        <v>61</v>
      </c>
      <c r="AR120" s="2">
        <f t="shared" si="38"/>
        <v>61</v>
      </c>
      <c r="AS120" s="2">
        <f t="shared" si="39"/>
        <v>61</v>
      </c>
      <c r="AT120" s="2">
        <f t="shared" si="40"/>
        <v>61</v>
      </c>
      <c r="AU120" s="2">
        <f t="shared" si="41"/>
        <v>61</v>
      </c>
      <c r="AV120" s="2">
        <f t="shared" si="42"/>
        <v>61</v>
      </c>
      <c r="AW120" s="2">
        <f t="shared" si="43"/>
        <v>61</v>
      </c>
      <c r="AX120" s="2">
        <f t="shared" si="44"/>
        <v>61</v>
      </c>
      <c r="AY120" s="2">
        <f t="shared" si="45"/>
        <v>61</v>
      </c>
      <c r="AZ120" s="2">
        <f t="shared" si="46"/>
        <v>61</v>
      </c>
      <c r="BA120" s="2">
        <f t="shared" si="47"/>
        <v>61</v>
      </c>
      <c r="BB120" s="2">
        <f t="shared" si="48"/>
        <v>61</v>
      </c>
      <c r="BC120" s="2">
        <f t="shared" si="49"/>
        <v>61</v>
      </c>
      <c r="BD120" s="2">
        <f t="shared" si="50"/>
        <v>61</v>
      </c>
      <c r="BE120" s="2">
        <f t="shared" si="51"/>
        <v>61</v>
      </c>
      <c r="BF120" s="2">
        <f t="shared" si="52"/>
        <v>61</v>
      </c>
      <c r="BG120" s="2">
        <f t="shared" si="53"/>
        <v>61</v>
      </c>
      <c r="BH120" s="2">
        <f t="shared" si="54"/>
        <v>61</v>
      </c>
      <c r="BI120" s="2">
        <f t="shared" si="55"/>
        <v>61</v>
      </c>
      <c r="BJ120" s="2">
        <f t="shared" si="56"/>
        <v>61</v>
      </c>
      <c r="BK120" s="2">
        <f t="shared" si="57"/>
        <v>61</v>
      </c>
      <c r="BL120" s="2">
        <f t="shared" si="58"/>
        <v>61</v>
      </c>
      <c r="BM120" s="2">
        <f t="shared" si="59"/>
        <v>61</v>
      </c>
      <c r="BN120" s="2">
        <f t="shared" si="60"/>
        <v>61</v>
      </c>
      <c r="BO120" s="2">
        <f t="shared" si="61"/>
        <v>61</v>
      </c>
      <c r="BP120" s="2">
        <f t="shared" si="62"/>
        <v>61</v>
      </c>
      <c r="BQ120" s="2">
        <f t="shared" si="63"/>
        <v>61</v>
      </c>
    </row>
    <row r="121" spans="10:69" hidden="1" x14ac:dyDescent="0.3">
      <c r="J121" s="2">
        <f t="shared" si="4"/>
        <v>61</v>
      </c>
      <c r="K121" s="2">
        <f t="shared" si="5"/>
        <v>61</v>
      </c>
      <c r="L121" s="2">
        <f t="shared" si="6"/>
        <v>61</v>
      </c>
      <c r="M121" s="2">
        <f t="shared" si="7"/>
        <v>61</v>
      </c>
      <c r="N121" s="2">
        <f t="shared" si="8"/>
        <v>61</v>
      </c>
      <c r="O121" s="2">
        <f t="shared" si="9"/>
        <v>61</v>
      </c>
      <c r="P121" s="2">
        <f t="shared" si="10"/>
        <v>61</v>
      </c>
      <c r="Q121" s="2">
        <f t="shared" si="11"/>
        <v>61</v>
      </c>
      <c r="R121" s="2">
        <f t="shared" si="12"/>
        <v>61</v>
      </c>
      <c r="S121" s="2">
        <f t="shared" si="13"/>
        <v>61</v>
      </c>
      <c r="T121" s="2">
        <f t="shared" si="14"/>
        <v>61</v>
      </c>
      <c r="U121" s="2">
        <f t="shared" si="15"/>
        <v>61</v>
      </c>
      <c r="V121" s="2">
        <f t="shared" si="16"/>
        <v>61</v>
      </c>
      <c r="W121" s="2">
        <f t="shared" si="17"/>
        <v>61</v>
      </c>
      <c r="X121" s="2">
        <f t="shared" si="18"/>
        <v>61</v>
      </c>
      <c r="Y121" s="2">
        <f t="shared" si="19"/>
        <v>61</v>
      </c>
      <c r="Z121" s="2">
        <f t="shared" si="20"/>
        <v>61</v>
      </c>
      <c r="AA121" s="2">
        <f t="shared" si="21"/>
        <v>61</v>
      </c>
      <c r="AB121" s="2">
        <f t="shared" si="22"/>
        <v>61</v>
      </c>
      <c r="AC121" s="2">
        <f t="shared" si="23"/>
        <v>61</v>
      </c>
      <c r="AD121" s="2">
        <f t="shared" si="24"/>
        <v>61</v>
      </c>
      <c r="AE121" s="2">
        <f t="shared" si="25"/>
        <v>61</v>
      </c>
      <c r="AF121" s="2">
        <f t="shared" si="26"/>
        <v>61</v>
      </c>
      <c r="AG121" s="2">
        <f t="shared" si="27"/>
        <v>61</v>
      </c>
      <c r="AH121" s="2">
        <f t="shared" si="28"/>
        <v>61</v>
      </c>
      <c r="AI121" s="2">
        <f t="shared" si="29"/>
        <v>61</v>
      </c>
      <c r="AJ121" s="2">
        <f t="shared" si="30"/>
        <v>61</v>
      </c>
      <c r="AK121" s="2">
        <f t="shared" si="31"/>
        <v>61</v>
      </c>
      <c r="AL121" s="2">
        <f t="shared" si="32"/>
        <v>61</v>
      </c>
      <c r="AM121" s="2">
        <f t="shared" si="33"/>
        <v>61</v>
      </c>
      <c r="AN121" s="2">
        <f t="shared" si="34"/>
        <v>61</v>
      </c>
      <c r="AO121" s="2">
        <f t="shared" si="35"/>
        <v>61</v>
      </c>
      <c r="AP121" s="2">
        <f t="shared" si="36"/>
        <v>61</v>
      </c>
      <c r="AQ121" s="2">
        <f t="shared" si="37"/>
        <v>61</v>
      </c>
      <c r="AR121" s="2">
        <f t="shared" si="38"/>
        <v>61</v>
      </c>
      <c r="AS121" s="2">
        <f t="shared" si="39"/>
        <v>61</v>
      </c>
      <c r="AT121" s="2">
        <f t="shared" si="40"/>
        <v>61</v>
      </c>
      <c r="AU121" s="2">
        <f t="shared" si="41"/>
        <v>61</v>
      </c>
      <c r="AV121" s="2">
        <f t="shared" si="42"/>
        <v>61</v>
      </c>
      <c r="AW121" s="2">
        <f t="shared" si="43"/>
        <v>61</v>
      </c>
      <c r="AX121" s="2">
        <f t="shared" si="44"/>
        <v>61</v>
      </c>
      <c r="AY121" s="2">
        <f t="shared" si="45"/>
        <v>61</v>
      </c>
      <c r="AZ121" s="2">
        <f t="shared" si="46"/>
        <v>61</v>
      </c>
      <c r="BA121" s="2">
        <f t="shared" si="47"/>
        <v>61</v>
      </c>
      <c r="BB121" s="2">
        <f t="shared" si="48"/>
        <v>61</v>
      </c>
      <c r="BC121" s="2">
        <f t="shared" si="49"/>
        <v>61</v>
      </c>
      <c r="BD121" s="2">
        <f t="shared" si="50"/>
        <v>61</v>
      </c>
      <c r="BE121" s="2">
        <f t="shared" si="51"/>
        <v>61</v>
      </c>
      <c r="BF121" s="2">
        <f t="shared" si="52"/>
        <v>61</v>
      </c>
      <c r="BG121" s="2">
        <f t="shared" si="53"/>
        <v>61</v>
      </c>
      <c r="BH121" s="2">
        <f t="shared" si="54"/>
        <v>61</v>
      </c>
      <c r="BI121" s="2">
        <f t="shared" si="55"/>
        <v>61</v>
      </c>
      <c r="BJ121" s="2">
        <f t="shared" si="56"/>
        <v>61</v>
      </c>
      <c r="BK121" s="2">
        <f t="shared" si="57"/>
        <v>61</v>
      </c>
      <c r="BL121" s="2">
        <f t="shared" si="58"/>
        <v>61</v>
      </c>
      <c r="BM121" s="2">
        <f t="shared" si="59"/>
        <v>61</v>
      </c>
      <c r="BN121" s="2">
        <f t="shared" si="60"/>
        <v>61</v>
      </c>
      <c r="BO121" s="2">
        <f t="shared" si="61"/>
        <v>61</v>
      </c>
      <c r="BP121" s="2">
        <f t="shared" si="62"/>
        <v>61</v>
      </c>
      <c r="BQ121" s="2">
        <f t="shared" si="63"/>
        <v>61</v>
      </c>
    </row>
    <row r="122" spans="10:69" hidden="1" x14ac:dyDescent="0.3">
      <c r="J122" s="2">
        <f t="shared" si="4"/>
        <v>61</v>
      </c>
      <c r="K122" s="2">
        <f t="shared" si="5"/>
        <v>61</v>
      </c>
      <c r="L122" s="2">
        <f t="shared" si="6"/>
        <v>61</v>
      </c>
      <c r="M122" s="2">
        <f t="shared" si="7"/>
        <v>61</v>
      </c>
      <c r="N122" s="2">
        <f t="shared" si="8"/>
        <v>61</v>
      </c>
      <c r="O122" s="2">
        <f t="shared" si="9"/>
        <v>61</v>
      </c>
      <c r="P122" s="2">
        <f t="shared" si="10"/>
        <v>61</v>
      </c>
      <c r="Q122" s="2">
        <f t="shared" si="11"/>
        <v>61</v>
      </c>
      <c r="R122" s="2">
        <f t="shared" si="12"/>
        <v>61</v>
      </c>
      <c r="S122" s="2">
        <f t="shared" si="13"/>
        <v>61</v>
      </c>
      <c r="T122" s="2">
        <f t="shared" si="14"/>
        <v>61</v>
      </c>
      <c r="U122" s="2">
        <f t="shared" si="15"/>
        <v>61</v>
      </c>
      <c r="V122" s="2">
        <f t="shared" si="16"/>
        <v>61</v>
      </c>
      <c r="W122" s="2">
        <f t="shared" si="17"/>
        <v>61</v>
      </c>
      <c r="X122" s="2">
        <f t="shared" si="18"/>
        <v>61</v>
      </c>
      <c r="Y122" s="2">
        <f t="shared" si="19"/>
        <v>61</v>
      </c>
      <c r="Z122" s="2">
        <f t="shared" si="20"/>
        <v>61</v>
      </c>
      <c r="AA122" s="2">
        <f t="shared" si="21"/>
        <v>61</v>
      </c>
      <c r="AB122" s="2">
        <f t="shared" si="22"/>
        <v>61</v>
      </c>
      <c r="AC122" s="2">
        <f t="shared" si="23"/>
        <v>61</v>
      </c>
      <c r="AD122" s="2">
        <f t="shared" si="24"/>
        <v>61</v>
      </c>
      <c r="AE122" s="2">
        <f t="shared" si="25"/>
        <v>61</v>
      </c>
      <c r="AF122" s="2">
        <f t="shared" si="26"/>
        <v>61</v>
      </c>
      <c r="AG122" s="2">
        <f t="shared" si="27"/>
        <v>61</v>
      </c>
      <c r="AH122" s="2">
        <f t="shared" si="28"/>
        <v>61</v>
      </c>
      <c r="AI122" s="2">
        <f t="shared" si="29"/>
        <v>61</v>
      </c>
      <c r="AJ122" s="2">
        <f t="shared" si="30"/>
        <v>61</v>
      </c>
      <c r="AK122" s="2">
        <f t="shared" si="31"/>
        <v>61</v>
      </c>
      <c r="AL122" s="2">
        <f t="shared" si="32"/>
        <v>61</v>
      </c>
      <c r="AM122" s="2">
        <f t="shared" si="33"/>
        <v>61</v>
      </c>
      <c r="AN122" s="2">
        <f t="shared" si="34"/>
        <v>61</v>
      </c>
      <c r="AO122" s="2">
        <f t="shared" si="35"/>
        <v>61</v>
      </c>
      <c r="AP122" s="2">
        <f t="shared" si="36"/>
        <v>61</v>
      </c>
      <c r="AQ122" s="2">
        <f t="shared" si="37"/>
        <v>61</v>
      </c>
      <c r="AR122" s="2">
        <f t="shared" si="38"/>
        <v>61</v>
      </c>
      <c r="AS122" s="2">
        <f t="shared" si="39"/>
        <v>61</v>
      </c>
      <c r="AT122" s="2">
        <f t="shared" si="40"/>
        <v>61</v>
      </c>
      <c r="AU122" s="2">
        <f t="shared" si="41"/>
        <v>61</v>
      </c>
      <c r="AV122" s="2">
        <f t="shared" si="42"/>
        <v>61</v>
      </c>
      <c r="AW122" s="2">
        <f t="shared" si="43"/>
        <v>61</v>
      </c>
      <c r="AX122" s="2">
        <f t="shared" si="44"/>
        <v>61</v>
      </c>
      <c r="AY122" s="2">
        <f t="shared" si="45"/>
        <v>61</v>
      </c>
      <c r="AZ122" s="2">
        <f t="shared" si="46"/>
        <v>61</v>
      </c>
      <c r="BA122" s="2">
        <f t="shared" si="47"/>
        <v>61</v>
      </c>
      <c r="BB122" s="2">
        <f t="shared" si="48"/>
        <v>61</v>
      </c>
      <c r="BC122" s="2">
        <f t="shared" si="49"/>
        <v>61</v>
      </c>
      <c r="BD122" s="2">
        <f t="shared" si="50"/>
        <v>61</v>
      </c>
      <c r="BE122" s="2">
        <f t="shared" si="51"/>
        <v>61</v>
      </c>
      <c r="BF122" s="2">
        <f t="shared" si="52"/>
        <v>61</v>
      </c>
      <c r="BG122" s="2">
        <f t="shared" si="53"/>
        <v>61</v>
      </c>
      <c r="BH122" s="2">
        <f t="shared" si="54"/>
        <v>61</v>
      </c>
      <c r="BI122" s="2">
        <f t="shared" si="55"/>
        <v>61</v>
      </c>
      <c r="BJ122" s="2">
        <f t="shared" si="56"/>
        <v>61</v>
      </c>
      <c r="BK122" s="2">
        <f t="shared" si="57"/>
        <v>61</v>
      </c>
      <c r="BL122" s="2">
        <f t="shared" si="58"/>
        <v>61</v>
      </c>
      <c r="BM122" s="2">
        <f t="shared" si="59"/>
        <v>61</v>
      </c>
      <c r="BN122" s="2">
        <f t="shared" si="60"/>
        <v>61</v>
      </c>
      <c r="BO122" s="2">
        <f t="shared" si="61"/>
        <v>61</v>
      </c>
      <c r="BP122" s="2">
        <f t="shared" si="62"/>
        <v>61</v>
      </c>
      <c r="BQ122" s="2">
        <f t="shared" si="63"/>
        <v>61</v>
      </c>
    </row>
    <row r="123" spans="10:69" hidden="1" x14ac:dyDescent="0.3">
      <c r="J123" s="2">
        <f t="shared" si="4"/>
        <v>61</v>
      </c>
      <c r="K123" s="2">
        <f t="shared" si="5"/>
        <v>61</v>
      </c>
      <c r="L123" s="2">
        <f t="shared" si="6"/>
        <v>61</v>
      </c>
      <c r="M123" s="2">
        <f t="shared" si="7"/>
        <v>61</v>
      </c>
      <c r="N123" s="2">
        <f t="shared" si="8"/>
        <v>61</v>
      </c>
      <c r="O123" s="2">
        <f t="shared" si="9"/>
        <v>61</v>
      </c>
      <c r="P123" s="2">
        <f t="shared" si="10"/>
        <v>61</v>
      </c>
      <c r="Q123" s="2">
        <f t="shared" si="11"/>
        <v>61</v>
      </c>
      <c r="R123" s="2">
        <f t="shared" si="12"/>
        <v>61</v>
      </c>
      <c r="S123" s="2">
        <f t="shared" si="13"/>
        <v>61</v>
      </c>
      <c r="T123" s="2">
        <f t="shared" si="14"/>
        <v>61</v>
      </c>
      <c r="U123" s="2">
        <f t="shared" si="15"/>
        <v>61</v>
      </c>
      <c r="V123" s="2">
        <f t="shared" si="16"/>
        <v>61</v>
      </c>
      <c r="W123" s="2">
        <f t="shared" si="17"/>
        <v>61</v>
      </c>
      <c r="X123" s="2">
        <f t="shared" si="18"/>
        <v>61</v>
      </c>
      <c r="Y123" s="2">
        <f t="shared" si="19"/>
        <v>61</v>
      </c>
      <c r="Z123" s="2">
        <f t="shared" si="20"/>
        <v>61</v>
      </c>
      <c r="AA123" s="2">
        <f t="shared" si="21"/>
        <v>61</v>
      </c>
      <c r="AB123" s="2">
        <f t="shared" si="22"/>
        <v>61</v>
      </c>
      <c r="AC123" s="2">
        <f t="shared" si="23"/>
        <v>61</v>
      </c>
      <c r="AD123" s="2">
        <f t="shared" si="24"/>
        <v>61</v>
      </c>
      <c r="AE123" s="2">
        <f t="shared" si="25"/>
        <v>61</v>
      </c>
      <c r="AF123" s="2">
        <f t="shared" si="26"/>
        <v>61</v>
      </c>
      <c r="AG123" s="2">
        <f t="shared" si="27"/>
        <v>61</v>
      </c>
      <c r="AH123" s="2">
        <f t="shared" si="28"/>
        <v>61</v>
      </c>
      <c r="AI123" s="2">
        <f t="shared" si="29"/>
        <v>61</v>
      </c>
      <c r="AJ123" s="2">
        <f t="shared" si="30"/>
        <v>61</v>
      </c>
      <c r="AK123" s="2">
        <f t="shared" si="31"/>
        <v>61</v>
      </c>
      <c r="AL123" s="2">
        <f t="shared" si="32"/>
        <v>61</v>
      </c>
      <c r="AM123" s="2">
        <f t="shared" si="33"/>
        <v>61</v>
      </c>
      <c r="AN123" s="2">
        <f t="shared" si="34"/>
        <v>61</v>
      </c>
      <c r="AO123" s="2">
        <f t="shared" si="35"/>
        <v>61</v>
      </c>
      <c r="AP123" s="2">
        <f t="shared" si="36"/>
        <v>61</v>
      </c>
      <c r="AQ123" s="2">
        <f t="shared" si="37"/>
        <v>61</v>
      </c>
      <c r="AR123" s="2">
        <f t="shared" si="38"/>
        <v>61</v>
      </c>
      <c r="AS123" s="2">
        <f t="shared" si="39"/>
        <v>61</v>
      </c>
      <c r="AT123" s="2">
        <f t="shared" si="40"/>
        <v>61</v>
      </c>
      <c r="AU123" s="2">
        <f t="shared" si="41"/>
        <v>61</v>
      </c>
      <c r="AV123" s="2">
        <f t="shared" si="42"/>
        <v>61</v>
      </c>
      <c r="AW123" s="2">
        <f t="shared" si="43"/>
        <v>61</v>
      </c>
      <c r="AX123" s="2">
        <f t="shared" si="44"/>
        <v>61</v>
      </c>
      <c r="AY123" s="2">
        <f t="shared" si="45"/>
        <v>61</v>
      </c>
      <c r="AZ123" s="2">
        <f t="shared" si="46"/>
        <v>61</v>
      </c>
      <c r="BA123" s="2">
        <f t="shared" si="47"/>
        <v>61</v>
      </c>
      <c r="BB123" s="2">
        <f t="shared" si="48"/>
        <v>61</v>
      </c>
      <c r="BC123" s="2">
        <f t="shared" si="49"/>
        <v>61</v>
      </c>
      <c r="BD123" s="2">
        <f t="shared" si="50"/>
        <v>61</v>
      </c>
      <c r="BE123" s="2">
        <f t="shared" si="51"/>
        <v>61</v>
      </c>
      <c r="BF123" s="2">
        <f t="shared" si="52"/>
        <v>61</v>
      </c>
      <c r="BG123" s="2">
        <f t="shared" si="53"/>
        <v>61</v>
      </c>
      <c r="BH123" s="2">
        <f t="shared" si="54"/>
        <v>61</v>
      </c>
      <c r="BI123" s="2">
        <f t="shared" si="55"/>
        <v>61</v>
      </c>
      <c r="BJ123" s="2">
        <f t="shared" si="56"/>
        <v>61</v>
      </c>
      <c r="BK123" s="2">
        <f t="shared" si="57"/>
        <v>61</v>
      </c>
      <c r="BL123" s="2">
        <f t="shared" si="58"/>
        <v>61</v>
      </c>
      <c r="BM123" s="2">
        <f t="shared" si="59"/>
        <v>61</v>
      </c>
      <c r="BN123" s="2">
        <f t="shared" si="60"/>
        <v>61</v>
      </c>
      <c r="BO123" s="2">
        <f t="shared" si="61"/>
        <v>61</v>
      </c>
      <c r="BP123" s="2">
        <f t="shared" si="62"/>
        <v>61</v>
      </c>
      <c r="BQ123" s="2">
        <f t="shared" si="63"/>
        <v>61</v>
      </c>
    </row>
    <row r="124" spans="10:69" hidden="1" x14ac:dyDescent="0.3">
      <c r="J124" s="2">
        <f t="shared" si="4"/>
        <v>61</v>
      </c>
      <c r="K124" s="2">
        <f t="shared" si="5"/>
        <v>61</v>
      </c>
      <c r="L124" s="2">
        <f t="shared" si="6"/>
        <v>61</v>
      </c>
      <c r="M124" s="2">
        <f t="shared" si="7"/>
        <v>61</v>
      </c>
      <c r="N124" s="2">
        <f t="shared" si="8"/>
        <v>61</v>
      </c>
      <c r="O124" s="2">
        <f t="shared" si="9"/>
        <v>61</v>
      </c>
      <c r="P124" s="2">
        <f t="shared" si="10"/>
        <v>61</v>
      </c>
      <c r="Q124" s="2">
        <f t="shared" si="11"/>
        <v>61</v>
      </c>
      <c r="R124" s="2">
        <f t="shared" si="12"/>
        <v>61</v>
      </c>
      <c r="S124" s="2">
        <f t="shared" si="13"/>
        <v>61</v>
      </c>
      <c r="T124" s="2">
        <f t="shared" si="14"/>
        <v>61</v>
      </c>
      <c r="U124" s="2">
        <f t="shared" si="15"/>
        <v>61</v>
      </c>
      <c r="V124" s="2">
        <f t="shared" si="16"/>
        <v>61</v>
      </c>
      <c r="W124" s="2">
        <f t="shared" si="17"/>
        <v>61</v>
      </c>
      <c r="X124" s="2">
        <f t="shared" si="18"/>
        <v>61</v>
      </c>
      <c r="Y124" s="2">
        <f t="shared" si="19"/>
        <v>61</v>
      </c>
      <c r="Z124" s="2">
        <f t="shared" si="20"/>
        <v>61</v>
      </c>
      <c r="AA124" s="2">
        <f t="shared" si="21"/>
        <v>61</v>
      </c>
      <c r="AB124" s="2">
        <f t="shared" si="22"/>
        <v>61</v>
      </c>
      <c r="AC124" s="2">
        <f t="shared" si="23"/>
        <v>61</v>
      </c>
      <c r="AD124" s="2">
        <f t="shared" si="24"/>
        <v>61</v>
      </c>
      <c r="AE124" s="2">
        <f t="shared" si="25"/>
        <v>61</v>
      </c>
      <c r="AF124" s="2">
        <f t="shared" si="26"/>
        <v>61</v>
      </c>
      <c r="AG124" s="2">
        <f t="shared" si="27"/>
        <v>61</v>
      </c>
      <c r="AH124" s="2">
        <f t="shared" si="28"/>
        <v>61</v>
      </c>
      <c r="AI124" s="2">
        <f t="shared" si="29"/>
        <v>61</v>
      </c>
      <c r="AJ124" s="2">
        <f t="shared" si="30"/>
        <v>61</v>
      </c>
      <c r="AK124" s="2">
        <f t="shared" si="31"/>
        <v>61</v>
      </c>
      <c r="AL124" s="2">
        <f t="shared" si="32"/>
        <v>61</v>
      </c>
      <c r="AM124" s="2">
        <f t="shared" si="33"/>
        <v>61</v>
      </c>
      <c r="AN124" s="2">
        <f t="shared" si="34"/>
        <v>61</v>
      </c>
      <c r="AO124" s="2">
        <f t="shared" si="35"/>
        <v>61</v>
      </c>
      <c r="AP124" s="2">
        <f t="shared" si="36"/>
        <v>61</v>
      </c>
      <c r="AQ124" s="2">
        <f t="shared" si="37"/>
        <v>61</v>
      </c>
      <c r="AR124" s="2">
        <f t="shared" si="38"/>
        <v>61</v>
      </c>
      <c r="AS124" s="2">
        <f t="shared" si="39"/>
        <v>61</v>
      </c>
      <c r="AT124" s="2">
        <f t="shared" si="40"/>
        <v>61</v>
      </c>
      <c r="AU124" s="2">
        <f t="shared" si="41"/>
        <v>61</v>
      </c>
      <c r="AV124" s="2">
        <f t="shared" si="42"/>
        <v>61</v>
      </c>
      <c r="AW124" s="2">
        <f t="shared" si="43"/>
        <v>61</v>
      </c>
      <c r="AX124" s="2">
        <f t="shared" si="44"/>
        <v>61</v>
      </c>
      <c r="AY124" s="2">
        <f t="shared" si="45"/>
        <v>61</v>
      </c>
      <c r="AZ124" s="2">
        <f t="shared" si="46"/>
        <v>61</v>
      </c>
      <c r="BA124" s="2">
        <f t="shared" si="47"/>
        <v>61</v>
      </c>
      <c r="BB124" s="2">
        <f t="shared" si="48"/>
        <v>61</v>
      </c>
      <c r="BC124" s="2">
        <f t="shared" si="49"/>
        <v>61</v>
      </c>
      <c r="BD124" s="2">
        <f t="shared" si="50"/>
        <v>61</v>
      </c>
      <c r="BE124" s="2">
        <f t="shared" si="51"/>
        <v>61</v>
      </c>
      <c r="BF124" s="2">
        <f t="shared" si="52"/>
        <v>61</v>
      </c>
      <c r="BG124" s="2">
        <f t="shared" si="53"/>
        <v>61</v>
      </c>
      <c r="BH124" s="2">
        <f t="shared" si="54"/>
        <v>61</v>
      </c>
      <c r="BI124" s="2">
        <f t="shared" si="55"/>
        <v>61</v>
      </c>
      <c r="BJ124" s="2">
        <f t="shared" si="56"/>
        <v>61</v>
      </c>
      <c r="BK124" s="2">
        <f t="shared" si="57"/>
        <v>61</v>
      </c>
      <c r="BL124" s="2">
        <f t="shared" si="58"/>
        <v>61</v>
      </c>
      <c r="BM124" s="2">
        <f t="shared" si="59"/>
        <v>61</v>
      </c>
      <c r="BN124" s="2">
        <f t="shared" si="60"/>
        <v>61</v>
      </c>
      <c r="BO124" s="2">
        <f t="shared" si="61"/>
        <v>61</v>
      </c>
      <c r="BP124" s="2">
        <f t="shared" si="62"/>
        <v>61</v>
      </c>
      <c r="BQ124" s="2">
        <f t="shared" si="63"/>
        <v>61</v>
      </c>
    </row>
    <row r="125" spans="10:69" hidden="1" x14ac:dyDescent="0.3">
      <c r="J125" s="2">
        <f t="shared" si="4"/>
        <v>61</v>
      </c>
      <c r="K125" s="2">
        <f t="shared" si="5"/>
        <v>61</v>
      </c>
      <c r="L125" s="2">
        <f t="shared" si="6"/>
        <v>61</v>
      </c>
      <c r="M125" s="2">
        <f t="shared" si="7"/>
        <v>61</v>
      </c>
      <c r="N125" s="2">
        <f t="shared" si="8"/>
        <v>61</v>
      </c>
      <c r="O125" s="2">
        <f t="shared" si="9"/>
        <v>61</v>
      </c>
      <c r="P125" s="2">
        <f t="shared" si="10"/>
        <v>61</v>
      </c>
      <c r="Q125" s="2">
        <f t="shared" si="11"/>
        <v>61</v>
      </c>
      <c r="R125" s="2">
        <f t="shared" si="12"/>
        <v>61</v>
      </c>
      <c r="S125" s="2">
        <f t="shared" si="13"/>
        <v>61</v>
      </c>
      <c r="T125" s="2">
        <f t="shared" si="14"/>
        <v>61</v>
      </c>
      <c r="U125" s="2">
        <f t="shared" si="15"/>
        <v>61</v>
      </c>
      <c r="V125" s="2">
        <f t="shared" si="16"/>
        <v>61</v>
      </c>
      <c r="W125" s="2">
        <f t="shared" si="17"/>
        <v>61</v>
      </c>
      <c r="X125" s="2">
        <f t="shared" si="18"/>
        <v>61</v>
      </c>
      <c r="Y125" s="2">
        <f t="shared" si="19"/>
        <v>61</v>
      </c>
      <c r="Z125" s="2">
        <f t="shared" si="20"/>
        <v>61</v>
      </c>
      <c r="AA125" s="2">
        <f t="shared" si="21"/>
        <v>61</v>
      </c>
      <c r="AB125" s="2">
        <f t="shared" si="22"/>
        <v>61</v>
      </c>
      <c r="AC125" s="2">
        <f t="shared" si="23"/>
        <v>61</v>
      </c>
      <c r="AD125" s="2">
        <f t="shared" si="24"/>
        <v>61</v>
      </c>
      <c r="AE125" s="2">
        <f t="shared" si="25"/>
        <v>61</v>
      </c>
      <c r="AF125" s="2">
        <f t="shared" si="26"/>
        <v>61</v>
      </c>
      <c r="AG125" s="2">
        <f t="shared" si="27"/>
        <v>61</v>
      </c>
      <c r="AH125" s="2">
        <f t="shared" si="28"/>
        <v>61</v>
      </c>
      <c r="AI125" s="2">
        <f t="shared" si="29"/>
        <v>61</v>
      </c>
      <c r="AJ125" s="2">
        <f t="shared" si="30"/>
        <v>61</v>
      </c>
      <c r="AK125" s="2">
        <f t="shared" si="31"/>
        <v>61</v>
      </c>
      <c r="AL125" s="2">
        <f t="shared" si="32"/>
        <v>61</v>
      </c>
      <c r="AM125" s="2">
        <f t="shared" si="33"/>
        <v>61</v>
      </c>
      <c r="AN125" s="2">
        <f t="shared" si="34"/>
        <v>61</v>
      </c>
      <c r="AO125" s="2">
        <f t="shared" si="35"/>
        <v>61</v>
      </c>
      <c r="AP125" s="2">
        <f t="shared" si="36"/>
        <v>61</v>
      </c>
      <c r="AQ125" s="2">
        <f t="shared" si="37"/>
        <v>61</v>
      </c>
      <c r="AR125" s="2">
        <f t="shared" si="38"/>
        <v>61</v>
      </c>
      <c r="AS125" s="2">
        <f t="shared" si="39"/>
        <v>61</v>
      </c>
      <c r="AT125" s="2">
        <f t="shared" si="40"/>
        <v>61</v>
      </c>
      <c r="AU125" s="2">
        <f t="shared" si="41"/>
        <v>61</v>
      </c>
      <c r="AV125" s="2">
        <f t="shared" si="42"/>
        <v>61</v>
      </c>
      <c r="AW125" s="2">
        <f t="shared" si="43"/>
        <v>61</v>
      </c>
      <c r="AX125" s="2">
        <f t="shared" si="44"/>
        <v>61</v>
      </c>
      <c r="AY125" s="2">
        <f t="shared" si="45"/>
        <v>61</v>
      </c>
      <c r="AZ125" s="2">
        <f t="shared" si="46"/>
        <v>61</v>
      </c>
      <c r="BA125" s="2">
        <f t="shared" si="47"/>
        <v>61</v>
      </c>
      <c r="BB125" s="2">
        <f t="shared" si="48"/>
        <v>61</v>
      </c>
      <c r="BC125" s="2">
        <f t="shared" si="49"/>
        <v>61</v>
      </c>
      <c r="BD125" s="2">
        <f t="shared" si="50"/>
        <v>61</v>
      </c>
      <c r="BE125" s="2">
        <f t="shared" si="51"/>
        <v>61</v>
      </c>
      <c r="BF125" s="2">
        <f t="shared" si="52"/>
        <v>61</v>
      </c>
      <c r="BG125" s="2">
        <f t="shared" si="53"/>
        <v>61</v>
      </c>
      <c r="BH125" s="2">
        <f t="shared" si="54"/>
        <v>61</v>
      </c>
      <c r="BI125" s="2">
        <f t="shared" si="55"/>
        <v>61</v>
      </c>
      <c r="BJ125" s="2">
        <f t="shared" si="56"/>
        <v>61</v>
      </c>
      <c r="BK125" s="2">
        <f t="shared" si="57"/>
        <v>61</v>
      </c>
      <c r="BL125" s="2">
        <f t="shared" si="58"/>
        <v>61</v>
      </c>
      <c r="BM125" s="2">
        <f t="shared" si="59"/>
        <v>61</v>
      </c>
      <c r="BN125" s="2">
        <f t="shared" si="60"/>
        <v>61</v>
      </c>
      <c r="BO125" s="2">
        <f t="shared" si="61"/>
        <v>61</v>
      </c>
      <c r="BP125" s="2">
        <f t="shared" si="62"/>
        <v>61</v>
      </c>
      <c r="BQ125" s="2">
        <f t="shared" si="63"/>
        <v>61</v>
      </c>
    </row>
    <row r="126" spans="10:69" ht="16.2" hidden="1" thickBot="1" x14ac:dyDescent="0.35">
      <c r="J126" s="2">
        <f t="shared" si="4"/>
        <v>61</v>
      </c>
      <c r="K126" s="2">
        <f t="shared" si="5"/>
        <v>61</v>
      </c>
      <c r="L126" s="2">
        <f t="shared" si="6"/>
        <v>61</v>
      </c>
      <c r="M126" s="2">
        <f t="shared" si="7"/>
        <v>61</v>
      </c>
      <c r="N126" s="2">
        <f t="shared" si="8"/>
        <v>61</v>
      </c>
      <c r="O126" s="2">
        <f t="shared" si="9"/>
        <v>61</v>
      </c>
      <c r="P126" s="2">
        <f t="shared" si="10"/>
        <v>61</v>
      </c>
      <c r="Q126" s="2">
        <f t="shared" si="11"/>
        <v>61</v>
      </c>
      <c r="R126" s="2">
        <f t="shared" si="12"/>
        <v>61</v>
      </c>
      <c r="S126" s="2">
        <f t="shared" si="13"/>
        <v>61</v>
      </c>
      <c r="T126" s="2">
        <f t="shared" si="14"/>
        <v>61</v>
      </c>
      <c r="U126" s="2">
        <f t="shared" si="15"/>
        <v>61</v>
      </c>
      <c r="V126" s="2">
        <f t="shared" si="16"/>
        <v>61</v>
      </c>
      <c r="W126" s="2">
        <f t="shared" si="17"/>
        <v>61</v>
      </c>
      <c r="X126" s="2">
        <f t="shared" si="18"/>
        <v>61</v>
      </c>
      <c r="Y126" s="2">
        <f t="shared" si="19"/>
        <v>61</v>
      </c>
      <c r="Z126" s="2">
        <f t="shared" si="20"/>
        <v>61</v>
      </c>
      <c r="AA126" s="2">
        <f t="shared" si="21"/>
        <v>61</v>
      </c>
      <c r="AB126" s="2">
        <f t="shared" si="22"/>
        <v>61</v>
      </c>
      <c r="AC126" s="2">
        <f t="shared" si="23"/>
        <v>61</v>
      </c>
      <c r="AD126" s="2">
        <f t="shared" si="24"/>
        <v>61</v>
      </c>
      <c r="AE126" s="2">
        <f t="shared" si="25"/>
        <v>61</v>
      </c>
      <c r="AF126" s="2">
        <f t="shared" si="26"/>
        <v>61</v>
      </c>
      <c r="AG126" s="2">
        <f t="shared" si="27"/>
        <v>61</v>
      </c>
      <c r="AH126" s="2">
        <f t="shared" si="28"/>
        <v>61</v>
      </c>
      <c r="AI126" s="2">
        <f t="shared" si="29"/>
        <v>61</v>
      </c>
      <c r="AJ126" s="2">
        <f t="shared" si="30"/>
        <v>61</v>
      </c>
      <c r="AK126" s="2">
        <f t="shared" si="31"/>
        <v>61</v>
      </c>
      <c r="AL126" s="2">
        <f t="shared" si="32"/>
        <v>61</v>
      </c>
      <c r="AM126" s="2">
        <f t="shared" si="33"/>
        <v>61</v>
      </c>
      <c r="AN126" s="2">
        <f t="shared" si="34"/>
        <v>61</v>
      </c>
      <c r="AO126" s="2">
        <f t="shared" si="35"/>
        <v>61</v>
      </c>
      <c r="AP126" s="2">
        <f t="shared" si="36"/>
        <v>61</v>
      </c>
      <c r="AQ126" s="2">
        <f t="shared" si="37"/>
        <v>61</v>
      </c>
      <c r="AR126" s="2">
        <f t="shared" si="38"/>
        <v>61</v>
      </c>
      <c r="AS126" s="2">
        <f t="shared" si="39"/>
        <v>61</v>
      </c>
      <c r="AT126" s="2">
        <f t="shared" si="40"/>
        <v>61</v>
      </c>
      <c r="AU126" s="2">
        <f t="shared" si="41"/>
        <v>61</v>
      </c>
      <c r="AV126" s="2">
        <f t="shared" si="42"/>
        <v>61</v>
      </c>
      <c r="AW126" s="2">
        <f t="shared" si="43"/>
        <v>61</v>
      </c>
      <c r="AX126" s="2">
        <f t="shared" si="44"/>
        <v>61</v>
      </c>
      <c r="AY126" s="2">
        <f t="shared" si="45"/>
        <v>61</v>
      </c>
      <c r="AZ126" s="2">
        <f t="shared" si="46"/>
        <v>61</v>
      </c>
      <c r="BA126" s="2">
        <f t="shared" si="47"/>
        <v>61</v>
      </c>
      <c r="BB126" s="2">
        <f t="shared" si="48"/>
        <v>61</v>
      </c>
      <c r="BC126" s="2">
        <f t="shared" si="49"/>
        <v>61</v>
      </c>
      <c r="BD126" s="2">
        <f t="shared" si="50"/>
        <v>61</v>
      </c>
      <c r="BE126" s="2">
        <f t="shared" si="51"/>
        <v>61</v>
      </c>
      <c r="BF126" s="2">
        <f t="shared" si="52"/>
        <v>61</v>
      </c>
      <c r="BG126" s="2">
        <f t="shared" si="53"/>
        <v>61</v>
      </c>
      <c r="BH126" s="2">
        <f t="shared" si="54"/>
        <v>61</v>
      </c>
      <c r="BI126" s="2">
        <f t="shared" si="55"/>
        <v>61</v>
      </c>
      <c r="BJ126" s="2">
        <f t="shared" si="56"/>
        <v>61</v>
      </c>
      <c r="BK126" s="2">
        <f t="shared" si="57"/>
        <v>61</v>
      </c>
      <c r="BL126" s="2">
        <f t="shared" si="58"/>
        <v>61</v>
      </c>
      <c r="BM126" s="2">
        <f t="shared" si="59"/>
        <v>61</v>
      </c>
      <c r="BN126" s="2">
        <f t="shared" si="60"/>
        <v>61</v>
      </c>
      <c r="BO126" s="2">
        <f t="shared" si="61"/>
        <v>61</v>
      </c>
      <c r="BP126" s="2">
        <f t="shared" si="62"/>
        <v>61</v>
      </c>
      <c r="BQ126" s="2">
        <f t="shared" si="63"/>
        <v>61</v>
      </c>
    </row>
    <row r="127" spans="10:69" hidden="1" x14ac:dyDescent="0.3">
      <c r="J127" s="56" t="str">
        <f>IF(Deltagarlista!$K$3=4,IF(ISBLANK(Deltagarlista!$C129),"",IF(ISBLANK(Arrangörslista!C$8),"",IFERROR(VLOOKUP($F127,Arrangörslista!C$8:$AG$45,16,FALSE),IF(ISBLANK(Deltagarlista!$C129),"",IF(ISBLANK(Arrangörslista!C$8),"",IFERROR(VLOOKUP($F127,Arrangörslista!D$8:$AG$45,16,FALSE),"DNS")))))),IF(Deltagarlista!$K$3=2,
IF(ISBLANK(Deltagarlista!$C129),"",IF(ISBLANK(Arrangörslista!C$8),"",IF($GV127=J$64," DNS ",IFERROR(VLOOKUP($F127,Arrangörslista!C$8:$AG$45,16,FALSE),"DNS")))),IF(ISBLANK(Deltagarlista!$C129),"",IF(ISBLANK(Arrangörslista!C$8),"",IFERROR(VLOOKUP($F127,Arrangörslista!C$8:$AG$45,16,FALSE),"DNS")))))</f>
        <v/>
      </c>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row>
    <row r="128" spans="10:69" x14ac:dyDescent="0.3">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row>
    <row r="129" spans="10:233" x14ac:dyDescent="0.3">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48"/>
      <c r="BS129" s="48"/>
      <c r="BT129" s="48"/>
      <c r="BU129" s="69"/>
      <c r="BV129" s="66"/>
      <c r="BW129" s="66"/>
      <c r="BX129" s="66"/>
      <c r="BY129" s="66"/>
      <c r="BZ129" s="66"/>
      <c r="CA129" s="66"/>
      <c r="CB129" s="66"/>
      <c r="CC129" s="66"/>
      <c r="CD129" s="66"/>
      <c r="CE129" s="66"/>
      <c r="CF129" s="66"/>
      <c r="CG129" s="66"/>
      <c r="CH129" s="66"/>
      <c r="CI129" s="66"/>
      <c r="CJ129" s="66"/>
      <c r="CK129" s="66"/>
      <c r="CL129" s="66"/>
      <c r="CM129" s="66"/>
      <c r="CN129" s="66"/>
      <c r="CO129" s="66"/>
      <c r="CP129" s="66"/>
      <c r="CQ129" s="66"/>
      <c r="CR129" s="66"/>
      <c r="CS129" s="66"/>
      <c r="CT129" s="66"/>
      <c r="CU129" s="66"/>
      <c r="CV129" s="66"/>
      <c r="CW129" s="66"/>
      <c r="CX129" s="66"/>
      <c r="CY129" s="66"/>
      <c r="CZ129" s="66"/>
      <c r="DA129" s="66"/>
      <c r="DB129" s="66"/>
      <c r="DC129" s="66"/>
      <c r="DD129" s="66"/>
      <c r="DE129" s="66"/>
      <c r="DF129" s="66"/>
      <c r="DG129" s="66"/>
      <c r="DH129" s="66"/>
      <c r="DI129" s="66"/>
      <c r="DJ129" s="66"/>
      <c r="DK129" s="66"/>
      <c r="DL129" s="66"/>
      <c r="DM129" s="66"/>
      <c r="DN129" s="66"/>
      <c r="DO129" s="66"/>
      <c r="DP129" s="66"/>
      <c r="DQ129" s="66"/>
      <c r="DR129" s="66"/>
      <c r="DS129" s="66"/>
      <c r="DT129" s="66"/>
      <c r="DU129" s="66"/>
      <c r="DV129" s="66"/>
      <c r="DW129" s="66"/>
      <c r="DX129" s="66"/>
      <c r="DY129" s="66"/>
      <c r="DZ129" s="66"/>
      <c r="EA129" s="66"/>
      <c r="EB129" s="66"/>
      <c r="EC129" s="66"/>
      <c r="ED129" s="66"/>
      <c r="EE129" s="66"/>
      <c r="EF129" s="66"/>
      <c r="EG129" s="66"/>
      <c r="EH129" s="69"/>
      <c r="EI129" s="69"/>
      <c r="EJ129" s="69"/>
      <c r="EK129" s="69"/>
      <c r="EL129" s="69"/>
      <c r="EM129" s="69"/>
      <c r="EN129" s="69"/>
      <c r="EO129" s="69"/>
      <c r="EP129" s="69"/>
      <c r="EQ129" s="69"/>
      <c r="ER129" s="69"/>
      <c r="ES129" s="69"/>
      <c r="ET129" s="69"/>
      <c r="EU129" s="69"/>
      <c r="EV129" s="69"/>
      <c r="EW129" s="69"/>
      <c r="EX129" s="69"/>
      <c r="EY129" s="69"/>
      <c r="EZ129" s="69"/>
      <c r="FA129" s="69"/>
      <c r="FB129" s="69"/>
      <c r="FC129" s="69"/>
      <c r="FD129" s="69"/>
      <c r="FE129" s="69"/>
      <c r="FF129" s="69"/>
      <c r="FG129" s="69"/>
      <c r="FH129" s="69"/>
      <c r="FI129" s="69"/>
      <c r="FJ129" s="69"/>
      <c r="FK129" s="69"/>
      <c r="FL129" s="69"/>
      <c r="FM129" s="69"/>
      <c r="FN129" s="69"/>
      <c r="FO129" s="69"/>
      <c r="FP129" s="69"/>
      <c r="FQ129" s="69"/>
      <c r="FR129" s="69"/>
      <c r="FS129" s="69"/>
      <c r="FT129" s="69"/>
      <c r="FU129" s="69"/>
      <c r="FV129" s="69"/>
      <c r="FW129" s="69"/>
      <c r="FX129" s="69"/>
      <c r="FY129" s="69"/>
      <c r="FZ129" s="69"/>
      <c r="GA129" s="69"/>
      <c r="GB129" s="69"/>
      <c r="GC129" s="69"/>
      <c r="GD129" s="69"/>
      <c r="GE129" s="69"/>
      <c r="GF129" s="69"/>
      <c r="GG129" s="69"/>
      <c r="GH129" s="69"/>
      <c r="GI129" s="69"/>
      <c r="GJ129" s="69"/>
      <c r="GK129" s="69"/>
      <c r="GL129" s="69"/>
      <c r="GM129" s="69"/>
      <c r="GN129" s="69"/>
      <c r="GO129" s="69"/>
      <c r="GP129" s="69"/>
      <c r="GQ129" s="69"/>
      <c r="GR129" s="69"/>
      <c r="GS129" s="69"/>
      <c r="GT129" s="69"/>
      <c r="GU129" s="69"/>
      <c r="GV129" s="69"/>
      <c r="GW129" s="69"/>
      <c r="GX129" s="69"/>
      <c r="GY129" s="2"/>
      <c r="GZ129" s="2"/>
      <c r="HA129" s="2"/>
      <c r="HB129" s="2"/>
      <c r="HC129" s="2"/>
      <c r="HD129" s="2"/>
      <c r="HE129" s="2"/>
      <c r="HF129" s="2"/>
      <c r="HG129" s="2"/>
      <c r="HH129" s="2"/>
      <c r="HI129" s="2"/>
      <c r="HJ129" s="2"/>
      <c r="HK129" s="2"/>
      <c r="HL129" s="2"/>
      <c r="HM129" s="2"/>
      <c r="HN129" s="2"/>
      <c r="HO129" s="2"/>
      <c r="HP129" s="2"/>
      <c r="HQ129" s="2"/>
      <c r="HR129" s="2"/>
      <c r="HS129" s="2"/>
      <c r="HT129" s="2"/>
      <c r="HU129" s="2"/>
      <c r="HV129" s="2"/>
      <c r="HW129" s="2"/>
      <c r="HX129" s="2"/>
      <c r="HY129" s="2"/>
    </row>
    <row r="130" spans="10:233" x14ac:dyDescent="0.3">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48"/>
      <c r="BS130" s="48"/>
      <c r="BT130" s="48"/>
      <c r="BU130" s="69"/>
      <c r="BV130" s="66"/>
      <c r="BW130" s="66"/>
      <c r="BX130" s="66"/>
      <c r="BY130" s="66"/>
      <c r="BZ130" s="66"/>
      <c r="CA130" s="66"/>
      <c r="CB130" s="66"/>
      <c r="CC130" s="66"/>
      <c r="CD130" s="66"/>
      <c r="CE130" s="66"/>
      <c r="CF130" s="66"/>
      <c r="CG130" s="66"/>
      <c r="CH130" s="66"/>
      <c r="CI130" s="66"/>
      <c r="CJ130" s="66"/>
      <c r="CK130" s="66"/>
      <c r="CL130" s="66"/>
      <c r="CM130" s="66"/>
      <c r="CN130" s="66"/>
      <c r="CO130" s="66"/>
      <c r="CP130" s="66"/>
      <c r="CQ130" s="66"/>
      <c r="CR130" s="66"/>
      <c r="CS130" s="66"/>
      <c r="CT130" s="66"/>
      <c r="CU130" s="66"/>
      <c r="CV130" s="66"/>
      <c r="CW130" s="66"/>
      <c r="CX130" s="66"/>
      <c r="CY130" s="66"/>
      <c r="CZ130" s="66"/>
      <c r="DA130" s="66"/>
      <c r="DB130" s="66"/>
      <c r="DC130" s="66"/>
      <c r="DD130" s="66"/>
      <c r="DE130" s="66"/>
      <c r="DF130" s="66"/>
      <c r="DG130" s="66"/>
      <c r="DH130" s="66"/>
      <c r="DI130" s="66"/>
      <c r="DJ130" s="66"/>
      <c r="DK130" s="66"/>
      <c r="DL130" s="66"/>
      <c r="DM130" s="66"/>
      <c r="DN130" s="66"/>
      <c r="DO130" s="66"/>
      <c r="DP130" s="66"/>
      <c r="DQ130" s="66"/>
      <c r="DR130" s="66"/>
      <c r="DS130" s="66"/>
      <c r="DT130" s="66"/>
      <c r="DU130" s="66"/>
      <c r="DV130" s="66"/>
      <c r="DW130" s="66"/>
      <c r="DX130" s="66"/>
      <c r="DY130" s="66"/>
      <c r="DZ130" s="66"/>
      <c r="EA130" s="66"/>
      <c r="EB130" s="66"/>
      <c r="EC130" s="66"/>
      <c r="ED130" s="66"/>
      <c r="EE130" s="66"/>
      <c r="EF130" s="66"/>
      <c r="EG130" s="66"/>
      <c r="EH130" s="69"/>
      <c r="EI130" s="69"/>
      <c r="EJ130" s="69"/>
      <c r="EK130" s="69"/>
      <c r="EL130" s="69"/>
      <c r="EM130" s="69"/>
      <c r="EN130" s="69"/>
      <c r="EO130" s="69"/>
      <c r="EP130" s="69"/>
      <c r="EQ130" s="69"/>
      <c r="ER130" s="69"/>
      <c r="ES130" s="69"/>
      <c r="ET130" s="69"/>
      <c r="EU130" s="69"/>
      <c r="EV130" s="69"/>
      <c r="EW130" s="69"/>
      <c r="EX130" s="69"/>
      <c r="EY130" s="69"/>
      <c r="EZ130" s="69"/>
      <c r="FA130" s="69"/>
      <c r="FB130" s="69"/>
      <c r="FC130" s="69"/>
      <c r="FD130" s="69"/>
      <c r="FE130" s="69"/>
      <c r="FF130" s="69"/>
      <c r="FG130" s="69"/>
      <c r="FH130" s="69"/>
      <c r="FI130" s="69"/>
      <c r="FJ130" s="69"/>
      <c r="FK130" s="69"/>
      <c r="FL130" s="69"/>
      <c r="FM130" s="69"/>
      <c r="FN130" s="69"/>
      <c r="FO130" s="69"/>
      <c r="FP130" s="69"/>
      <c r="FQ130" s="69"/>
      <c r="FR130" s="69"/>
      <c r="FS130" s="69"/>
      <c r="FT130" s="69"/>
      <c r="FU130" s="69"/>
      <c r="FV130" s="69"/>
      <c r="FW130" s="69"/>
      <c r="FX130" s="69"/>
      <c r="FY130" s="69"/>
      <c r="FZ130" s="69"/>
      <c r="GA130" s="69"/>
      <c r="GB130" s="69"/>
      <c r="GC130" s="69"/>
      <c r="GD130" s="69"/>
      <c r="GE130" s="69"/>
      <c r="GF130" s="69"/>
      <c r="GG130" s="69"/>
      <c r="GH130" s="69"/>
      <c r="GI130" s="69"/>
      <c r="GJ130" s="69"/>
      <c r="GK130" s="69"/>
      <c r="GL130" s="69"/>
      <c r="GM130" s="69"/>
      <c r="GN130" s="69"/>
      <c r="GO130" s="69"/>
      <c r="GP130" s="69"/>
      <c r="GQ130" s="69"/>
      <c r="GR130" s="69"/>
      <c r="GS130" s="69"/>
      <c r="GT130" s="69"/>
      <c r="GU130" s="69"/>
      <c r="GV130" s="69"/>
      <c r="GW130" s="69"/>
      <c r="GX130" s="69"/>
      <c r="GY130" s="2"/>
      <c r="GZ130" s="2"/>
      <c r="HA130" s="2"/>
      <c r="HB130" s="2"/>
      <c r="HC130" s="2"/>
      <c r="HD130" s="2"/>
      <c r="HE130" s="2"/>
      <c r="HF130" s="2"/>
      <c r="HG130" s="2"/>
      <c r="HH130" s="2"/>
      <c r="HI130" s="2"/>
      <c r="HJ130" s="2"/>
      <c r="HK130" s="2"/>
      <c r="HL130" s="2"/>
      <c r="HM130" s="2"/>
      <c r="HN130" s="2"/>
      <c r="HO130" s="2"/>
      <c r="HP130" s="2"/>
      <c r="HQ130" s="2"/>
      <c r="HR130" s="2"/>
      <c r="HS130" s="2"/>
      <c r="HT130" s="2"/>
      <c r="HU130" s="2"/>
      <c r="HV130" s="2"/>
      <c r="HW130" s="2"/>
      <c r="HX130" s="2"/>
      <c r="HY130" s="2"/>
    </row>
    <row r="131" spans="10:233" x14ac:dyDescent="0.3">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48"/>
      <c r="BS131" s="48"/>
      <c r="BT131" s="48"/>
      <c r="BU131" s="69"/>
      <c r="BV131" s="66"/>
      <c r="BW131" s="66"/>
      <c r="BX131" s="66"/>
      <c r="BY131" s="66"/>
      <c r="BZ131" s="66"/>
      <c r="CA131" s="66"/>
      <c r="CB131" s="66"/>
      <c r="CC131" s="66"/>
      <c r="CD131" s="66"/>
      <c r="CE131" s="66"/>
      <c r="CF131" s="66"/>
      <c r="CG131" s="66"/>
      <c r="CH131" s="66"/>
      <c r="CI131" s="66"/>
      <c r="CJ131" s="66"/>
      <c r="CK131" s="66"/>
      <c r="CL131" s="66"/>
      <c r="CM131" s="66"/>
      <c r="CN131" s="66"/>
      <c r="CO131" s="66"/>
      <c r="CP131" s="66"/>
      <c r="CQ131" s="66"/>
      <c r="CR131" s="66"/>
      <c r="CS131" s="66"/>
      <c r="CT131" s="66"/>
      <c r="CU131" s="66"/>
      <c r="CV131" s="66"/>
      <c r="CW131" s="66"/>
      <c r="CX131" s="66"/>
      <c r="CY131" s="66"/>
      <c r="CZ131" s="66"/>
      <c r="DA131" s="66"/>
      <c r="DB131" s="66"/>
      <c r="DC131" s="66"/>
      <c r="DD131" s="66"/>
      <c r="DE131" s="66"/>
      <c r="DF131" s="66"/>
      <c r="DG131" s="66"/>
      <c r="DH131" s="66"/>
      <c r="DI131" s="66"/>
      <c r="DJ131" s="66"/>
      <c r="DK131" s="66"/>
      <c r="DL131" s="66"/>
      <c r="DM131" s="66"/>
      <c r="DN131" s="66"/>
      <c r="DO131" s="66"/>
      <c r="DP131" s="66"/>
      <c r="DQ131" s="66"/>
      <c r="DR131" s="66"/>
      <c r="DS131" s="66"/>
      <c r="DT131" s="66"/>
      <c r="DU131" s="66"/>
      <c r="DV131" s="66"/>
      <c r="DW131" s="66"/>
      <c r="DX131" s="66"/>
      <c r="DY131" s="66"/>
      <c r="DZ131" s="66"/>
      <c r="EA131" s="66"/>
      <c r="EB131" s="66"/>
      <c r="EC131" s="66"/>
      <c r="ED131" s="66"/>
      <c r="EE131" s="66"/>
      <c r="EF131" s="66"/>
      <c r="EG131" s="66"/>
      <c r="EH131" s="69"/>
      <c r="EI131" s="69"/>
      <c r="EJ131" s="69"/>
      <c r="EK131" s="69"/>
      <c r="EL131" s="69"/>
      <c r="EM131" s="69"/>
      <c r="EN131" s="69"/>
      <c r="EO131" s="69"/>
      <c r="EP131" s="69"/>
      <c r="EQ131" s="69"/>
      <c r="ER131" s="69"/>
      <c r="ES131" s="69"/>
      <c r="ET131" s="69"/>
      <c r="EU131" s="69"/>
      <c r="EV131" s="69"/>
      <c r="EW131" s="69"/>
      <c r="EX131" s="69"/>
      <c r="EY131" s="69"/>
      <c r="EZ131" s="69"/>
      <c r="FA131" s="69"/>
      <c r="FB131" s="69"/>
      <c r="FC131" s="69"/>
      <c r="FD131" s="69"/>
      <c r="FE131" s="69"/>
      <c r="FF131" s="69"/>
      <c r="FG131" s="69"/>
      <c r="FH131" s="69"/>
      <c r="FI131" s="69"/>
      <c r="FJ131" s="69"/>
      <c r="FK131" s="69"/>
      <c r="FL131" s="69"/>
      <c r="FM131" s="69"/>
      <c r="FN131" s="69"/>
      <c r="FO131" s="69"/>
      <c r="FP131" s="69"/>
      <c r="FQ131" s="69"/>
      <c r="FR131" s="69"/>
      <c r="FS131" s="69"/>
      <c r="FT131" s="69"/>
      <c r="FU131" s="69"/>
      <c r="FV131" s="69"/>
      <c r="FW131" s="69"/>
      <c r="FX131" s="69"/>
      <c r="FY131" s="69"/>
      <c r="FZ131" s="69"/>
      <c r="GA131" s="69"/>
      <c r="GB131" s="69"/>
      <c r="GC131" s="69"/>
      <c r="GD131" s="69"/>
      <c r="GE131" s="69"/>
      <c r="GF131" s="69"/>
      <c r="GG131" s="69"/>
      <c r="GH131" s="69"/>
      <c r="GI131" s="69"/>
      <c r="GJ131" s="69"/>
      <c r="GK131" s="69"/>
      <c r="GL131" s="69"/>
      <c r="GM131" s="69"/>
      <c r="GN131" s="69"/>
      <c r="GO131" s="69"/>
      <c r="GP131" s="69"/>
      <c r="GQ131" s="69"/>
      <c r="GR131" s="69"/>
      <c r="GS131" s="69"/>
      <c r="GT131" s="69"/>
      <c r="GU131" s="69"/>
      <c r="GV131" s="69"/>
      <c r="GW131" s="69"/>
      <c r="GX131" s="69"/>
      <c r="GY131" s="2"/>
      <c r="GZ131" s="2"/>
      <c r="HA131" s="2"/>
      <c r="HB131" s="2"/>
      <c r="HC131" s="2"/>
      <c r="HD131" s="2"/>
      <c r="HE131" s="2"/>
      <c r="HF131" s="2"/>
      <c r="HG131" s="2"/>
      <c r="HH131" s="2"/>
      <c r="HI131" s="2"/>
      <c r="HJ131" s="2"/>
      <c r="HK131" s="2"/>
      <c r="HL131" s="2"/>
      <c r="HM131" s="2"/>
      <c r="HN131" s="2"/>
      <c r="HO131" s="2"/>
      <c r="HP131" s="2"/>
      <c r="HQ131" s="2"/>
      <c r="HR131" s="2"/>
      <c r="HS131" s="2"/>
      <c r="HT131" s="2"/>
      <c r="HU131" s="2"/>
      <c r="HV131" s="2"/>
      <c r="HW131" s="2"/>
      <c r="HX131" s="2"/>
      <c r="HY131" s="2"/>
    </row>
    <row r="132" spans="10:233" x14ac:dyDescent="0.3">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48"/>
      <c r="BS132" s="48"/>
      <c r="BT132" s="48"/>
      <c r="BU132" s="69"/>
      <c r="BV132" s="66"/>
      <c r="BW132" s="66"/>
      <c r="BX132" s="66"/>
      <c r="BY132" s="66"/>
      <c r="BZ132" s="66"/>
      <c r="CA132" s="66"/>
      <c r="CB132" s="66"/>
      <c r="CC132" s="66"/>
      <c r="CD132" s="66"/>
      <c r="CE132" s="66"/>
      <c r="CF132" s="66"/>
      <c r="CG132" s="66"/>
      <c r="CH132" s="66"/>
      <c r="CI132" s="66"/>
      <c r="CJ132" s="66"/>
      <c r="CK132" s="66"/>
      <c r="CL132" s="66"/>
      <c r="CM132" s="66"/>
      <c r="CN132" s="66"/>
      <c r="CO132" s="66"/>
      <c r="CP132" s="66"/>
      <c r="CQ132" s="66"/>
      <c r="CR132" s="66"/>
      <c r="CS132" s="66"/>
      <c r="CT132" s="66"/>
      <c r="CU132" s="66"/>
      <c r="CV132" s="66"/>
      <c r="CW132" s="66"/>
      <c r="CX132" s="66"/>
      <c r="CY132" s="66"/>
      <c r="CZ132" s="66"/>
      <c r="DA132" s="66"/>
      <c r="DB132" s="66"/>
      <c r="DC132" s="66"/>
      <c r="DD132" s="66"/>
      <c r="DE132" s="66"/>
      <c r="DF132" s="66"/>
      <c r="DG132" s="66"/>
      <c r="DH132" s="66"/>
      <c r="DI132" s="66"/>
      <c r="DJ132" s="66"/>
      <c r="DK132" s="66"/>
      <c r="DL132" s="66"/>
      <c r="DM132" s="66"/>
      <c r="DN132" s="66"/>
      <c r="DO132" s="66"/>
      <c r="DP132" s="66"/>
      <c r="DQ132" s="66"/>
      <c r="DR132" s="66"/>
      <c r="DS132" s="66"/>
      <c r="DT132" s="66"/>
      <c r="DU132" s="66"/>
      <c r="DV132" s="66"/>
      <c r="DW132" s="66"/>
      <c r="DX132" s="66"/>
      <c r="DY132" s="66"/>
      <c r="DZ132" s="66"/>
      <c r="EA132" s="66"/>
      <c r="EB132" s="66"/>
      <c r="EC132" s="66"/>
      <c r="ED132" s="66"/>
      <c r="EE132" s="66"/>
      <c r="EF132" s="66"/>
      <c r="EG132" s="66"/>
      <c r="EH132" s="69"/>
      <c r="EI132" s="69"/>
      <c r="EJ132" s="69"/>
      <c r="EK132" s="69"/>
      <c r="EL132" s="69"/>
      <c r="EM132" s="69"/>
      <c r="EN132" s="69"/>
      <c r="EO132" s="69"/>
      <c r="EP132" s="69"/>
      <c r="EQ132" s="69"/>
      <c r="ER132" s="69"/>
      <c r="ES132" s="69"/>
      <c r="ET132" s="69"/>
      <c r="EU132" s="69"/>
      <c r="EV132" s="69"/>
      <c r="EW132" s="69"/>
      <c r="EX132" s="69"/>
      <c r="EY132" s="69"/>
      <c r="EZ132" s="69"/>
      <c r="FA132" s="69"/>
      <c r="FB132" s="69"/>
      <c r="FC132" s="69"/>
      <c r="FD132" s="69"/>
      <c r="FE132" s="69"/>
      <c r="FF132" s="69"/>
      <c r="FG132" s="69"/>
      <c r="FH132" s="69"/>
      <c r="FI132" s="69"/>
      <c r="FJ132" s="69"/>
      <c r="FK132" s="69"/>
      <c r="FL132" s="69"/>
      <c r="FM132" s="69"/>
      <c r="FN132" s="69"/>
      <c r="FO132" s="69"/>
      <c r="FP132" s="69"/>
      <c r="FQ132" s="69"/>
      <c r="FR132" s="69"/>
      <c r="FS132" s="69"/>
      <c r="FT132" s="69"/>
      <c r="FU132" s="69"/>
      <c r="FV132" s="69"/>
      <c r="FW132" s="69"/>
      <c r="FX132" s="69"/>
      <c r="FY132" s="69"/>
      <c r="FZ132" s="69"/>
      <c r="GA132" s="69"/>
      <c r="GB132" s="69"/>
      <c r="GC132" s="69"/>
      <c r="GD132" s="69"/>
      <c r="GE132" s="69"/>
      <c r="GF132" s="69"/>
      <c r="GG132" s="69"/>
      <c r="GH132" s="69"/>
      <c r="GI132" s="69"/>
      <c r="GJ132" s="69"/>
      <c r="GK132" s="69"/>
      <c r="GL132" s="69"/>
      <c r="GM132" s="69"/>
      <c r="GN132" s="69"/>
      <c r="GO132" s="69"/>
      <c r="GP132" s="69"/>
      <c r="GQ132" s="69"/>
      <c r="GR132" s="69"/>
      <c r="GS132" s="69"/>
      <c r="GT132" s="69"/>
      <c r="GU132" s="69"/>
      <c r="GV132" s="69"/>
      <c r="GW132" s="69"/>
      <c r="GX132" s="69"/>
      <c r="GY132" s="2"/>
      <c r="GZ132" s="2"/>
      <c r="HA132" s="2"/>
      <c r="HB132" s="2"/>
      <c r="HC132" s="2"/>
      <c r="HD132" s="2"/>
      <c r="HE132" s="2"/>
      <c r="HF132" s="2"/>
      <c r="HG132" s="2"/>
      <c r="HH132" s="2"/>
      <c r="HI132" s="2"/>
      <c r="HJ132" s="2"/>
      <c r="HK132" s="2"/>
      <c r="HL132" s="2"/>
      <c r="HM132" s="2"/>
      <c r="HN132" s="2"/>
      <c r="HO132" s="2"/>
      <c r="HP132" s="2"/>
      <c r="HQ132" s="2"/>
      <c r="HR132" s="2"/>
      <c r="HS132" s="2"/>
      <c r="HT132" s="2"/>
      <c r="HU132" s="2"/>
      <c r="HV132" s="2"/>
      <c r="HW132" s="2"/>
      <c r="HX132" s="2"/>
      <c r="HY132" s="2"/>
    </row>
    <row r="141" spans="10:233" x14ac:dyDescent="0.3">
      <c r="K141" s="70"/>
      <c r="L141" s="70"/>
      <c r="M141" s="70"/>
    </row>
  </sheetData>
  <sheetProtection password="CA51" sheet="1" objects="1" scenarios="1"/>
  <sortState ref="C4:GT63">
    <sortCondition ref="H4:H63"/>
    <sortCondition ref="EK4:EK63"/>
    <sortCondition ref="EL4:EL63"/>
    <sortCondition ref="EM4:EM63"/>
    <sortCondition ref="EN4:EN63"/>
    <sortCondition ref="EO4:EO63"/>
    <sortCondition ref="EP4:EP63"/>
    <sortCondition ref="EQ4:EQ63"/>
    <sortCondition ref="ER4:ER63"/>
    <sortCondition ref="ES4:ES63"/>
    <sortCondition ref="ET4:ET63"/>
    <sortCondition ref="EU4:EU63"/>
    <sortCondition ref="EV4:EV63"/>
    <sortCondition ref="EW4:EW63"/>
    <sortCondition ref="EX4:EX63"/>
    <sortCondition ref="EY4:EY63"/>
    <sortCondition ref="EZ4:EZ63"/>
    <sortCondition ref="FA4:FA63"/>
    <sortCondition ref="FB4:FB63"/>
    <sortCondition ref="FC4:FC63"/>
    <sortCondition ref="FD4:FD63"/>
    <sortCondition ref="FE4:FE63"/>
    <sortCondition ref="FF4:FF63"/>
    <sortCondition ref="FG4:FG63"/>
    <sortCondition ref="FH4:FH63"/>
    <sortCondition ref="FI4:FI63"/>
    <sortCondition ref="FJ4:FJ63"/>
    <sortCondition ref="FK4:FK63"/>
    <sortCondition ref="FL4:FL63"/>
    <sortCondition ref="FM4:FM63"/>
    <sortCondition ref="FN4:FN63"/>
    <sortCondition ref="FO4:FO63"/>
    <sortCondition ref="FP4:FP63"/>
    <sortCondition ref="FQ4:FQ63"/>
    <sortCondition ref="FR4:FR63"/>
    <sortCondition ref="FS4:FS63"/>
    <sortCondition ref="FT4:FT63"/>
    <sortCondition ref="FU4:FU63"/>
    <sortCondition ref="FV4:FV63"/>
    <sortCondition ref="FW4:FW63"/>
    <sortCondition ref="FX4:FX63"/>
    <sortCondition ref="FY4:FY63"/>
    <sortCondition ref="FZ4:FZ63"/>
    <sortCondition ref="GA4:GA63"/>
    <sortCondition ref="GB4:GB63"/>
    <sortCondition ref="GC4:GC63"/>
    <sortCondition ref="GD4:GD63"/>
    <sortCondition ref="GE4:GE63"/>
    <sortCondition ref="GF4:GF63"/>
    <sortCondition ref="GG4:GG63"/>
    <sortCondition ref="GH4:GH63"/>
    <sortCondition ref="GI4:GI63"/>
    <sortCondition ref="GJ4:GJ63"/>
    <sortCondition ref="GK4:GK63"/>
    <sortCondition ref="GL4:GL63"/>
    <sortCondition ref="GM4:GM63"/>
    <sortCondition ref="GN4:GN63"/>
    <sortCondition ref="GO4:GO63"/>
    <sortCondition ref="GP4:GP63"/>
    <sortCondition ref="GQ4:GQ63"/>
    <sortCondition ref="GR4:GR63"/>
    <sortCondition ref="GT4:GT63"/>
  </sortState>
  <mergeCells count="1">
    <mergeCell ref="AE2:AG2"/>
  </mergeCells>
  <conditionalFormatting sqref="D4:D63">
    <cfRule type="cellIs" dxfId="25" priority="1" operator="equal">
      <formula>"GM   GUL"</formula>
    </cfRule>
    <cfRule type="cellIs" dxfId="24" priority="2" operator="equal">
      <formula>"GM   BLÅ"</formula>
    </cfRule>
    <cfRule type="cellIs" dxfId="23" priority="3" operator="equal">
      <formula>"GM   RÖD"</formula>
    </cfRule>
    <cfRule type="cellIs" dxfId="22" priority="4" operator="equal">
      <formula>"GM   GRÖN"</formula>
    </cfRule>
    <cfRule type="cellIs" dxfId="21" priority="14" operator="equal">
      <formula>"BLÅ"</formula>
    </cfRule>
    <cfRule type="cellIs" dxfId="20" priority="15" operator="equal">
      <formula>"GUL"</formula>
    </cfRule>
    <cfRule type="cellIs" dxfId="19" priority="16" operator="equal">
      <formula>"RÖD"</formula>
    </cfRule>
    <cfRule type="cellIs" dxfId="18" priority="17" operator="equal">
      <formula>"GRÖN"</formula>
    </cfRule>
  </conditionalFormatting>
  <conditionalFormatting sqref="J4:J63 M4:M63 P4:P63 S4:S63 V4:V63 Y4:Y63 AB4:AB63 AE4:AE63 AH4:AH63 AK4:AK63 AN4:AN63 AQ4:AQ63 AT4:AT63 AW4:AW63 AZ4:AZ63 BC4:BC63 BF4:BF63 BI4:BI63 BL4:BL63 BO4:BO63">
    <cfRule type="cellIs" dxfId="17" priority="8" operator="equal">
      <formula>" DNS "</formula>
    </cfRule>
  </conditionalFormatting>
  <conditionalFormatting sqref="K4:K63 N4:N63 Q4:Q63 T4:T63 W4:W63 Z4:Z63 AC4:AC63 AF4:AF63 AI4:AI63 AL4:AL63 AO4:AO63 AR4:AR63 AU4:AU63 AX4:AX63 BA4:BA63 BD4:BD63 BG4:BG63 BJ4:BJ63 BM4:BM63 BP4:BP63">
    <cfRule type="cellIs" dxfId="16" priority="7" operator="equal">
      <formula>" DNS "</formula>
    </cfRule>
  </conditionalFormatting>
  <conditionalFormatting sqref="O4:O63 L4:L63 R4:R63 U4:U63 X4:X63 AA4:AA63 AD4:AD63 AG4:AG63 AJ4:AJ63 AM4:AM63 AP4:AP63 AS4:AS63 AV4:AV63 AY4:AY63 BB4:BB63 BE4:BE63 BH4:BH63 BK4:BK63 BN4:BN63 BQ4:BQ63">
    <cfRule type="cellIs" dxfId="15" priority="6" operator="equal">
      <formula>" DNS "</formula>
    </cfRule>
  </conditionalFormatting>
  <pageMargins left="0.23622047244094491" right="0.23622047244094491" top="0.74803149606299213" bottom="0.74803149606299213" header="0.31496062992125984" footer="0.31496062992125984"/>
  <pageSetup paperSize="9" orientation="portrait" r:id="rId1"/>
  <headerFooter>
    <oddFooter>&amp;A</oddFooter>
  </headerFooter>
  <extLst>
    <ext xmlns:x14="http://schemas.microsoft.com/office/spreadsheetml/2009/9/main" uri="{78C0D931-6437-407d-A8EE-F0AAD7539E65}">
      <x14:conditionalFormattings>
        <x14:conditionalFormatting xmlns:xm="http://schemas.microsoft.com/office/excel/2006/main">
          <x14:cfRule type="expression" priority="10" id="{16A8E222-7818-4EA1-980B-ED9561BE7711}">
            <xm:f>OR(Deltagarlista!$K$3=1,Deltagarlista!$K$3=4)</xm:f>
            <x14:dxf>
              <border>
                <left style="thin">
                  <color auto="1"/>
                </left>
                <vertical/>
                <horizontal/>
              </border>
            </x14:dxf>
          </x14:cfRule>
          <xm:sqref>AP4:AP63 AT4:AT63 AX4:AX63 BB4:BB63 BF4:BF63 BJ4:BJ63 BN4:BN63 N4:N63 R4:R63 V4:V63 Z4:Z63 AD4:AD63 AH4:AH63 AL4:AL63</xm:sqref>
        </x14:conditionalFormatting>
        <x14:conditionalFormatting xmlns:xm="http://schemas.microsoft.com/office/excel/2006/main">
          <x14:cfRule type="expression" priority="9" id="{E2E446AA-E049-4210-ABCA-60F1D09D7E28}">
            <xm:f>Deltagarlista!$K$3=2</xm:f>
            <x14:dxf>
              <border>
                <left style="thin">
                  <color auto="1"/>
                </left>
                <vertical/>
                <horizontal/>
              </border>
            </x14:dxf>
          </x14:cfRule>
          <xm:sqref>AN4:AN63 AQ4:AQ63 AT4:AT63 AW4:AW63 AZ4:AZ63 BC4:BC63 BF4:BF63 BI4:BI63 BL4:BL63 BO4:BO63 M4:M63 P4:P63 S4:S63 V4:V63 Y4:Y63 AB4:AB63 AE4:AE63 AH4:AH63 AK4:AK63</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Resultatlista1">
    <tabColor theme="0"/>
  </sheetPr>
  <dimension ref="A1:HY141"/>
  <sheetViews>
    <sheetView zoomScale="90" zoomScaleNormal="90" workbookViewId="0"/>
  </sheetViews>
  <sheetFormatPr defaultColWidth="8.90625" defaultRowHeight="15.6" x14ac:dyDescent="0.3"/>
  <cols>
    <col min="1" max="1" width="3.81640625" style="1" customWidth="1"/>
    <col min="2" max="2" width="3.7265625" style="1" customWidth="1"/>
    <col min="3" max="3" width="14.54296875" style="1" customWidth="1"/>
    <col min="4" max="4" width="3.6328125" style="1" hidden="1" customWidth="1"/>
    <col min="5" max="5" width="3.81640625" style="1" customWidth="1"/>
    <col min="6" max="6" width="4.08984375" style="89" customWidth="1"/>
    <col min="7" max="7" width="8.36328125" style="1" customWidth="1"/>
    <col min="8" max="8" width="5.54296875" style="1" customWidth="1"/>
    <col min="9" max="9" width="5.81640625" style="1" customWidth="1"/>
    <col min="10" max="69" width="4.81640625" style="1" customWidth="1"/>
    <col min="70" max="70" width="7" style="47" customWidth="1"/>
    <col min="71" max="71" width="8.36328125" style="47" hidden="1" customWidth="1"/>
    <col min="72" max="72" width="7" style="47" hidden="1" customWidth="1"/>
    <col min="73" max="73" width="7" style="62" hidden="1" customWidth="1"/>
    <col min="74" max="74" width="5" style="61" hidden="1" customWidth="1"/>
    <col min="75" max="137" width="4.81640625" style="61" hidden="1" customWidth="1"/>
    <col min="138" max="206" width="8.90625" style="62" hidden="1" customWidth="1"/>
    <col min="207" max="207" width="8.90625" style="1" customWidth="1"/>
    <col min="208" max="16384" width="8.90625" style="1"/>
  </cols>
  <sheetData>
    <row r="1" spans="1:206" ht="21" customHeight="1" thickBot="1" x14ac:dyDescent="0.35">
      <c r="A1" s="1" t="s">
        <v>55</v>
      </c>
      <c r="C1" s="4" t="s">
        <v>16</v>
      </c>
      <c r="D1" s="4"/>
      <c r="L1" s="4">
        <f>SUM(SUM(BV4:EC4)-(ROUNDDOWN(Arrangörslista!U5/3,1))*($BW$3+1))</f>
        <v>0</v>
      </c>
      <c r="M1" s="4"/>
      <c r="N1" s="4">
        <f>SUM(BV4:EC4)</f>
        <v>0</v>
      </c>
      <c r="O1" s="4">
        <f>ROUNDDOWN(Arrangörslista!U5/3,1)</f>
        <v>0</v>
      </c>
      <c r="P1" s="4">
        <f>$BW$3+1</f>
        <v>1</v>
      </c>
      <c r="GV1" s="65" t="s">
        <v>56</v>
      </c>
    </row>
    <row r="2" spans="1:206" ht="42" customHeight="1" thickBot="1" x14ac:dyDescent="0.7">
      <c r="B2" s="206" t="s">
        <v>92</v>
      </c>
      <c r="C2" s="98"/>
      <c r="D2" s="98"/>
      <c r="E2" s="99"/>
      <c r="F2" s="100"/>
      <c r="G2" s="99"/>
      <c r="H2" s="99"/>
      <c r="I2" s="101"/>
      <c r="J2" s="208" t="str">
        <f>IF(ISBLANK(Deltagarlista!P7),"",Deltagarlista!P7)</f>
        <v/>
      </c>
      <c r="K2" s="209"/>
      <c r="L2" s="209"/>
      <c r="M2" s="209"/>
      <c r="N2" s="210"/>
      <c r="O2" s="210"/>
      <c r="P2" s="210"/>
      <c r="Q2" s="210"/>
      <c r="R2" s="261" t="str">
        <f>CONCATENATE(IF(ISBLANK(Deltagarlista!P11),"",Deltagarlista!P11),"   ",IF(ISBLANK(Deltagarlista!P13),"",Deltagarlista!P13))</f>
        <v xml:space="preserve">   </v>
      </c>
      <c r="S2" s="261"/>
      <c r="T2" s="261"/>
      <c r="U2" s="261"/>
      <c r="V2" s="261"/>
      <c r="W2" s="261"/>
      <c r="X2" s="261"/>
      <c r="Y2" s="261"/>
      <c r="Z2" s="261"/>
      <c r="AA2" s="261"/>
      <c r="AB2" s="214"/>
      <c r="AC2" s="214"/>
      <c r="AD2" s="214"/>
      <c r="AE2" s="260"/>
      <c r="AF2" s="260"/>
      <c r="AG2" s="260"/>
      <c r="AH2" s="215"/>
      <c r="AI2" s="215"/>
      <c r="AJ2" s="215"/>
      <c r="AK2" s="215"/>
      <c r="AL2" s="215"/>
      <c r="AM2" s="215"/>
      <c r="AN2" s="215"/>
      <c r="AO2" s="215"/>
      <c r="AP2" s="215"/>
      <c r="AQ2" s="215"/>
      <c r="AR2" s="215"/>
      <c r="AS2" s="215"/>
      <c r="AT2" s="215"/>
      <c r="AU2" s="215"/>
      <c r="AV2" s="215"/>
      <c r="AW2" s="215"/>
      <c r="AX2" s="215"/>
      <c r="AY2" s="215"/>
      <c r="AZ2" s="215"/>
      <c r="BA2" s="215"/>
      <c r="BB2" s="215"/>
      <c r="BC2" s="215"/>
      <c r="BD2" s="215"/>
      <c r="BE2" s="215"/>
      <c r="BF2" s="215"/>
      <c r="BG2" s="215"/>
      <c r="BH2" s="215"/>
      <c r="BI2" s="215"/>
      <c r="BJ2" s="104"/>
      <c r="BK2" s="104"/>
      <c r="BL2" s="104"/>
      <c r="BM2" s="104"/>
      <c r="BN2" s="104"/>
      <c r="BO2" s="104"/>
      <c r="BP2" s="104"/>
      <c r="BQ2" s="84"/>
      <c r="BR2" s="48"/>
      <c r="BS2" s="48"/>
      <c r="BW2" s="61" t="s">
        <v>35</v>
      </c>
      <c r="GV2" s="65" t="s">
        <v>53</v>
      </c>
      <c r="GX2" s="62">
        <f>IF(Arrangörslista!$U$5=1,Arrangörslista!C6,IF(Arrangörslista!$U$5=2,Arrangörslista!D6,IF(Arrangörslista!$U$5=3,Arrangörslista!E6,IF(Arrangörslista!$U$5=4,Arrangörslista!F6,IF(Arrangörslista!$U$5=5,Arrangörslista!G6,IF(Arrangörslista!$U$5=6,Arrangörslista!H6,IF(Arrangörslista!$U$5=7,Arrangörslista!I6,IF(Arrangörslista!$U$5=8,Arrangörslista!J6,IF(Arrangörslista!$U$5=9,Arrangörslista!K6,IF(Arrangörslista!$U$5=10,Arrangörslista!L6,IF(Arrangörslista!$U$5=11,Arrangörslista!M6,IF(Arrangörslista!$U$5=12,Arrangörslista!N6,IF(Arrangörslista!$U$5=13,Arrangörslista!O6,IF(Arrangörslista!$U$5=14,Arrangörslista!P6,IF(Arrangörslista!$U$5=15,Arrangörslista!Q6,IF(Arrangörslista!$U$5=16,Arrangörslista!C51,IF(Arrangörslista!$U$5=17,Arrangörslista!D51,IF(Arrangörslista!$U$5=18,Arrangörslista!E51,IF(Arrangörslista!$U$5=19,Arrangörslista!F51,IF(Arrangörslista!$U$5=20,Arrangörslista!G51,IF(Arrangörslista!$U$5=21,Arrangörslista!H51,IF(Arrangörslista!$U$5=22,Arrangörslista!I51,IF(Arrangörslista!$U$5=23,Arrangörslista!J51, IF(Arrangörslista!$U$5=24,Arrangörslista!K51, IF(Arrangörslista!$U$5=25,Arrangörslista!L51, IF(Arrangörslista!$U$5=26,Arrangörslista!M51, IF(Arrangörslista!$U$5=27,Arrangörslista!N51, IF(Arrangörslista!$U$5=28,Arrangörslista!O51, IF(Arrangörslista!$U$5=29,Arrangörslista!P51, IF(Arrangörslista!$U$5=30,Arrangörslista!Q51, IF(Arrangörslista!$U$5=31,Arrangörslista!C96, IF(Arrangörslista!$U$5=32,Arrangörslista!D96, IF(Arrangörslista!$U$5=33,Arrangörslista!E96, IF(Arrangörslista!$U$5=34,Arrangörslista!F96, IF(Arrangörslista!$U$5=35,Arrangörslista!G96, IF(Arrangörslista!$U$5=36,Arrangörslista!H96, IF(Arrangörslista!$U$5=37,Arrangörslista!I96, IF(Arrangörslista!$U$5=38,Arrangörslista!J96, IF(Arrangörslista!$U$5=39,Arrangörslista!K96, IF(Arrangörslista!$U$5=40,Arrangörslista!L96, IF(Arrangörslista!$U$5=41,Arrangörslista!M96, IF(Arrangörslista!$U$5=42,Arrangörslista!N96, IF(Arrangörslista!$U$5=43,Arrangörslista!O96, IF(Arrangörslista!$U$5=44,Arrangörslista!P96, IF(Arrangörslista!$U$5=45,Arrangörslista!Q96, IF(Arrangörslista!$U$5=46,Arrangörslista!C141, IF(Arrangörslista!$U$5=47,Arrangörslista!D141, IF(Arrangörslista!$U$5=48,Arrangörslista!E141, IF(Arrangörslista!$U$5=49,Arrangörslista!F141, IF(Arrangörslista!$U$5=50,Arrangörslista!G141, IF(Arrangörslista!$U$5=51,Arrangörslista!H141, IF(Arrangörslista!$U$5=52,Arrangörslista!I141, IF(Arrangörslista!$U$5=53,Arrangörslista!J141, IF(Arrangörslista!$U$5=54,Arrangörslista!K141, IF(Arrangörslista!$U$5=55,Arrangörslista!L141, IF(Arrangörslista!$U$5=56,Arrangörslista!M141, IF(Arrangörslista!$U$5=57,Arrangörslista!N141, IF(Arrangörslista!$U$5=58,Arrangörslista!O141, IF(Arrangörslista!$U$5=59,Arrangörslista!P141, IF(Arrangörslista!$U$5=60,Arrangörslista!Q141,0))))))))))))))))))))))))))))))))))))))))))))))))))))))))))))</f>
        <v>0</v>
      </c>
    </row>
    <row r="3" spans="1:206" ht="78" customHeight="1" thickBot="1" x14ac:dyDescent="0.35">
      <c r="B3" s="16" t="s">
        <v>44</v>
      </c>
      <c r="C3" s="14" t="s">
        <v>1</v>
      </c>
      <c r="D3" s="105" t="s">
        <v>88</v>
      </c>
      <c r="E3" s="11" t="s">
        <v>11</v>
      </c>
      <c r="F3" s="11" t="s">
        <v>4</v>
      </c>
      <c r="G3" s="15" t="s">
        <v>3</v>
      </c>
      <c r="H3" s="6" t="s">
        <v>13</v>
      </c>
      <c r="I3" s="6" t="s">
        <v>14</v>
      </c>
      <c r="J3" s="55" t="str">
        <f>IF(Arrangörslista!$U$5&gt;0,1,"")</f>
        <v/>
      </c>
      <c r="K3" s="55" t="str">
        <f>IF(Deltagarlista!$K$3=4,IF(Arrangörslista!$U$5&gt;2,2,""),IF(Arrangörslista!$U$5&gt;1,2,""))</f>
        <v/>
      </c>
      <c r="L3" s="55" t="str">
        <f>IF(Deltagarlista!$K$3=4,IF(Arrangörslista!$U$5&gt;4,3,""),IF(Arrangörslista!$U$5&gt;2,3,""))</f>
        <v/>
      </c>
      <c r="M3" s="55" t="str">
        <f>IF(Deltagarlista!$K$3=4,IF(Arrangörslista!$U$5&gt;6,4,""),IF(Arrangörslista!$U$5&gt;3,4,""))</f>
        <v/>
      </c>
      <c r="N3" s="55" t="str">
        <f>IF(Deltagarlista!$K$3=4,IF(Arrangörslista!$U$5&gt;8,5,""),IF(Arrangörslista!$U$5&gt;4,5,""))</f>
        <v/>
      </c>
      <c r="O3" s="55" t="str">
        <f>IF(Deltagarlista!$K$3=4,IF(Arrangörslista!$U$5&gt;10,6,""),IF(Arrangörslista!$U$5&gt;5,6,""))</f>
        <v/>
      </c>
      <c r="P3" s="55" t="str">
        <f>IF(Deltagarlista!$K$3=4,IF(Arrangörslista!$U$5&gt;12,7,""),IF(Arrangörslista!$U$5&gt;6,7,""))</f>
        <v/>
      </c>
      <c r="Q3" s="55" t="str">
        <f>IF(Deltagarlista!$K$3=4,IF(Arrangörslista!$U$5&gt;14,8,""),IF(Arrangörslista!$U$5&gt;7,8,""))</f>
        <v/>
      </c>
      <c r="R3" s="55" t="str">
        <f>IF(Deltagarlista!$K$3=4,IF(Arrangörslista!$U$5&gt;16,9,""),IF(Arrangörslista!$U$5&gt;8,9,""))</f>
        <v/>
      </c>
      <c r="S3" s="55" t="str">
        <f>IF(Deltagarlista!$K$3=4,IF(Arrangörslista!$U$5&gt;18,10,""),IF(Arrangörslista!$U$5&gt;9,10,""))</f>
        <v/>
      </c>
      <c r="T3" s="55" t="str">
        <f>IF(Deltagarlista!$K$3=4,IF(Arrangörslista!$U$5&gt;20,11,""),IF(Arrangörslista!$U$5&gt;10,11,""))</f>
        <v/>
      </c>
      <c r="U3" s="55" t="str">
        <f>IF(Deltagarlista!$K$3=4,IF(Arrangörslista!$U$5&gt;22,12,""),IF(Arrangörslista!$U$5&gt;11,12,""))</f>
        <v/>
      </c>
      <c r="V3" s="55" t="str">
        <f>IF(Deltagarlista!$K$3=4,IF(Arrangörslista!$U$5&gt;24,13,""),IF(Arrangörslista!$U$5&gt;12,13,""))</f>
        <v/>
      </c>
      <c r="W3" s="55" t="str">
        <f>IF(Deltagarlista!$K$3=4,IF(Arrangörslista!$U$5&gt;26,14,""),IF(Arrangörslista!$U$5&gt;13,14,""))</f>
        <v/>
      </c>
      <c r="X3" s="55" t="str">
        <f>IF(Deltagarlista!$K$3=4,IF(Arrangörslista!$U$5&gt;28,15,""),IF(Arrangörslista!$U$5&gt;14,15,""))</f>
        <v/>
      </c>
      <c r="Y3" s="55" t="str">
        <f>IF(Deltagarlista!$K$3=4,IF(Arrangörslista!$U$5&gt;30,16,""),IF(Arrangörslista!$U$5&gt;15,16,""))</f>
        <v/>
      </c>
      <c r="Z3" s="55" t="str">
        <f>IF(Deltagarlista!$K$3=4,IF(Arrangörslista!$U$5&gt;32,17,""),IF(Arrangörslista!$U$5&gt;16,17,""))</f>
        <v/>
      </c>
      <c r="AA3" s="55" t="str">
        <f>IF(Deltagarlista!$K$3=4,IF(Arrangörslista!$U$5&gt;34,18,""),IF(Arrangörslista!$U$5&gt;17,18,""))</f>
        <v/>
      </c>
      <c r="AB3" s="55" t="str">
        <f>IF(Deltagarlista!$K$3=4,IF(Arrangörslista!$U$5&gt;36,19,""),IF(Arrangörslista!$U$5&gt;18,19,""))</f>
        <v/>
      </c>
      <c r="AC3" s="55" t="str">
        <f>IF(Deltagarlista!$K$3=4,IF(Arrangörslista!$U$5&gt;38,20,""),IF(Arrangörslista!$U$5&gt;19,20,""))</f>
        <v/>
      </c>
      <c r="AD3" s="55" t="str">
        <f>IF(Deltagarlista!$K$3=4,IF(Arrangörslista!$U$5&gt;40,21,""),IF(Arrangörslista!$U$5&gt;20,21,""))</f>
        <v/>
      </c>
      <c r="AE3" s="55" t="str">
        <f>IF(Deltagarlista!$K$3=4,IF(Arrangörslista!$U$5&gt;42,22,""),IF(Arrangörslista!$U$5&gt;21,22,""))</f>
        <v/>
      </c>
      <c r="AF3" s="55" t="str">
        <f>IF(Deltagarlista!$K$3=4,IF(Arrangörslista!$U$5&gt;44,23,""),IF(Arrangörslista!$U$5&gt;22,23,""))</f>
        <v/>
      </c>
      <c r="AG3" s="55" t="str">
        <f>IF(Deltagarlista!$K$3=4,IF(Arrangörslista!$U$5&gt;46,24,""),IF(Arrangörslista!$U$5&gt;23,24,""))</f>
        <v/>
      </c>
      <c r="AH3" s="55" t="str">
        <f>IF(Deltagarlista!$K$3=4,IF(Arrangörslista!$U$5&gt;48,25,""),IF(Arrangörslista!$U$5&gt;24,25,""))</f>
        <v/>
      </c>
      <c r="AI3" s="55" t="str">
        <f>IF(Deltagarlista!$K$3=4,IF(Arrangörslista!$U$5&gt;50,26,""),IF(Arrangörslista!$U$5&gt;25,26,""))</f>
        <v/>
      </c>
      <c r="AJ3" s="55" t="str">
        <f>IF(Deltagarlista!$K$3=4,IF(Arrangörslista!$U$5&gt;52,27,""),IF(Arrangörslista!$U$5&gt;26,27,""))</f>
        <v/>
      </c>
      <c r="AK3" s="55" t="str">
        <f>IF(Deltagarlista!$K$3=4,IF(Arrangörslista!$U$5&gt;54,28,""),IF(Arrangörslista!$U$5&gt;27,28,""))</f>
        <v/>
      </c>
      <c r="AL3" s="55" t="str">
        <f>IF(Deltagarlista!$K$3=4,IF(Arrangörslista!$U$5&gt;56,29,""),IF(Arrangörslista!$U$5&gt;28,29,""))</f>
        <v/>
      </c>
      <c r="AM3" s="55" t="str">
        <f>IF(Deltagarlista!$K$3=4,IF(Arrangörslista!$U$5&gt;58,30,""),IF(Arrangörslista!$U$5&gt;29,30,""))</f>
        <v/>
      </c>
      <c r="AN3" s="55" t="str">
        <f>IF(Deltagarlista!$K$3&lt;&gt;4,IF(Arrangörslista!$U$5&gt;30,31,""),"")</f>
        <v/>
      </c>
      <c r="AO3" s="55" t="str">
        <f>IF(Deltagarlista!$K$3&lt;&gt;4,IF(Arrangörslista!$U$5&gt;31,32,""),"")</f>
        <v/>
      </c>
      <c r="AP3" s="55" t="str">
        <f>IF(Deltagarlista!$K$3&lt;&gt;4,IF(Arrangörslista!$U$5&gt;32,33,""),"")</f>
        <v/>
      </c>
      <c r="AQ3" s="55" t="str">
        <f>IF(Deltagarlista!$K$3&lt;&gt;4,IF(Arrangörslista!$U$5&gt;33,34,""),"")</f>
        <v/>
      </c>
      <c r="AR3" s="55" t="str">
        <f>IF(Deltagarlista!$K$3&lt;&gt;4,IF(Arrangörslista!$U$5&gt;34,35,""),"")</f>
        <v/>
      </c>
      <c r="AS3" s="55" t="str">
        <f>IF(Deltagarlista!$K$3&lt;&gt;4,IF(Arrangörslista!$U$5&gt;35,36,""),"")</f>
        <v/>
      </c>
      <c r="AT3" s="55" t="str">
        <f>IF(Deltagarlista!$K$3&lt;&gt;4,IF(Arrangörslista!$U$5&gt;36,37,""),"")</f>
        <v/>
      </c>
      <c r="AU3" s="55" t="str">
        <f>IF(Deltagarlista!$K$3&lt;&gt;4,IF(Arrangörslista!$U$5&gt;37,38,""),"")</f>
        <v/>
      </c>
      <c r="AV3" s="55" t="str">
        <f>IF(Deltagarlista!$K$3&lt;&gt;4,IF(Arrangörslista!$U$5&gt;38,39,""),"")</f>
        <v/>
      </c>
      <c r="AW3" s="55" t="str">
        <f>IF(Deltagarlista!$K$3&lt;&gt;4,IF(Arrangörslista!$U$5&gt;39,40,""),"")</f>
        <v/>
      </c>
      <c r="AX3" s="55" t="str">
        <f>IF(Deltagarlista!$K$3&lt;&gt;4,IF(Arrangörslista!$U$5&gt;40,41,""),"")</f>
        <v/>
      </c>
      <c r="AY3" s="55" t="str">
        <f>IF(Deltagarlista!$K$3&lt;&gt;4,IF(Arrangörslista!$U$5&gt;41,42,""),"")</f>
        <v/>
      </c>
      <c r="AZ3" s="55" t="str">
        <f>IF(Deltagarlista!$K$3&lt;&gt;4,IF(Arrangörslista!$U$5&gt;42,43,""),"")</f>
        <v/>
      </c>
      <c r="BA3" s="55" t="str">
        <f>IF(Deltagarlista!$K$3&lt;&gt;4,IF(Arrangörslista!$U$5&gt;43,44,""),"")</f>
        <v/>
      </c>
      <c r="BB3" s="55" t="str">
        <f>IF(Deltagarlista!$K$3&lt;&gt;4,IF(Arrangörslista!$U$5&gt;44,45,""),"")</f>
        <v/>
      </c>
      <c r="BC3" s="55" t="str">
        <f>IF(Deltagarlista!$K$3&lt;&gt;4,IF(Arrangörslista!$U$5&gt;45,46,""),"")</f>
        <v/>
      </c>
      <c r="BD3" s="55" t="str">
        <f>IF(Deltagarlista!$K$3&lt;&gt;4,IF(Arrangörslista!$U$5&gt;46,47,""),"")</f>
        <v/>
      </c>
      <c r="BE3" s="55" t="str">
        <f>IF(Deltagarlista!$K$3&lt;&gt;4,IF(Arrangörslista!$U$5&gt;47,48,""),"")</f>
        <v/>
      </c>
      <c r="BF3" s="55" t="str">
        <f>IF(Deltagarlista!$K$3&lt;&gt;4,IF(Arrangörslista!$U$5&gt;48,49,""),"")</f>
        <v/>
      </c>
      <c r="BG3" s="55" t="str">
        <f>IF(Deltagarlista!$K$3&lt;&gt;4,IF(Arrangörslista!$U$5&gt;49,50,""),"")</f>
        <v/>
      </c>
      <c r="BH3" s="55" t="str">
        <f>IF(Deltagarlista!$K$3&lt;&gt;4,IF(Arrangörslista!$U$5&gt;50,51,""),"")</f>
        <v/>
      </c>
      <c r="BI3" s="55" t="str">
        <f>IF(Deltagarlista!$K$3&lt;&gt;4,IF(Arrangörslista!$U$5&gt;51,52,""),"")</f>
        <v/>
      </c>
      <c r="BJ3" s="55" t="str">
        <f>IF(Deltagarlista!$K$3&lt;&gt;4,IF(Arrangörslista!$U$5&gt;52,53,""),"")</f>
        <v/>
      </c>
      <c r="BK3" s="55" t="str">
        <f>IF(Deltagarlista!$K$3&lt;&gt;4,IF(Arrangörslista!$U$5&gt;53,54,""),"")</f>
        <v/>
      </c>
      <c r="BL3" s="55" t="str">
        <f>IF(Deltagarlista!$K$3&lt;&gt;4,IF(Arrangörslista!$U$5&gt;54,55,""),"")</f>
        <v/>
      </c>
      <c r="BM3" s="55" t="str">
        <f>IF(Deltagarlista!$K$3&lt;&gt;4,IF(Arrangörslista!$U$5&gt;55,56,""),"")</f>
        <v/>
      </c>
      <c r="BN3" s="55" t="str">
        <f>IF(Deltagarlista!$K$3&lt;&gt;4,IF(Arrangörslista!$U$5&gt;56,57,""),"")</f>
        <v/>
      </c>
      <c r="BO3" s="55" t="str">
        <f>IF(Deltagarlista!$K$3&lt;&gt;4,IF(Arrangörslista!$U$5&gt;57,58,""),"")</f>
        <v/>
      </c>
      <c r="BP3" s="55" t="str">
        <f>IF(Deltagarlista!$K$3&lt;&gt;4,IF(Arrangörslista!$U$5&gt;58,59,""),"")</f>
        <v/>
      </c>
      <c r="BQ3" s="22" t="str">
        <f>IF(Deltagarlista!$K$3&lt;&gt;4,IF(Arrangörslista!$U$5&gt;59,60,""),"")</f>
        <v/>
      </c>
      <c r="BR3" s="49"/>
      <c r="BS3" s="49"/>
      <c r="BT3" s="50"/>
      <c r="BU3" s="61" t="s">
        <v>73</v>
      </c>
      <c r="BW3" s="68">
        <f>SUM(EG4:EG63)</f>
        <v>0</v>
      </c>
      <c r="CA3" s="61" t="s">
        <v>36</v>
      </c>
      <c r="EE3" s="61" t="s">
        <v>37</v>
      </c>
      <c r="EG3" s="61" t="s">
        <v>38</v>
      </c>
      <c r="EH3" s="61"/>
      <c r="EI3" s="61"/>
      <c r="EK3" s="62" t="s">
        <v>32</v>
      </c>
      <c r="EL3" s="62" t="s">
        <v>33</v>
      </c>
      <c r="EM3" s="62" t="s">
        <v>34</v>
      </c>
      <c r="GT3" s="62" t="s">
        <v>43</v>
      </c>
      <c r="GV3" s="65" t="s">
        <v>7</v>
      </c>
      <c r="GW3" s="62" t="s">
        <v>54</v>
      </c>
    </row>
    <row r="4" spans="1:206" x14ac:dyDescent="0.3">
      <c r="B4" s="22" t="str">
        <f>IF((COUNTIF(Deltagarlista!$H$5:$H$64,"GM"))&gt;0,1,"")</f>
        <v/>
      </c>
      <c r="C4" s="91" t="str">
        <f>IF(ISBLANK(Deltagarlista!C13),"",Deltagarlista!C13)</f>
        <v/>
      </c>
      <c r="D4" s="107" t="str">
        <f>CONCATENATE(IF(Deltagarlista!H13="GM","GM   ",""), IF(OR(Deltagarlista!$K$3=4,Deltagarlista!$K$3=2),Deltagarlista!I13,""))</f>
        <v/>
      </c>
      <c r="E4" s="7" t="str">
        <f>IF(ISBLANK(Deltagarlista!D13),"",Deltagarlista!D13)</f>
        <v/>
      </c>
      <c r="F4" s="7" t="str">
        <f>IF(ISBLANK(Deltagarlista!E13),"",Deltagarlista!E13)</f>
        <v/>
      </c>
      <c r="G4" s="94" t="str">
        <f>IF(ISBLANK(Deltagarlista!F13),"",Deltagarlista!F13)</f>
        <v/>
      </c>
      <c r="H4" s="12" t="str">
        <f>IF(ISBLANK(Deltagarlista!C13),"",BU4-EE4)</f>
        <v/>
      </c>
      <c r="I4" s="76" t="str">
        <f>IF(ISBLANK(Deltagarlista!C13),"",IF(AND(Deltagarlista!$K$3=2,Deltagarlista!$L$3&lt;37),SUM(SUM(BV4:EC4)-(ROUNDDOWN(Arrangörslista!$U$5/3,1))*($BW$3+1)),SUM(BV4:EC4)))</f>
        <v/>
      </c>
      <c r="J4" s="77" t="str">
        <f>IF(Deltagarlista!$K$3=4,IF(ISBLANK(Deltagarlista!$C13),"",IF(ISBLANK(Arrangörslista!C$8),"",IFERROR(VLOOKUP($F4,Arrangörslista!C$8:$AG$45,16,FALSE),IF(ISBLANK(Deltagarlista!$C13),"",IF(ISBLANK(Arrangörslista!C$8),"",IFERROR(VLOOKUP($F4,Arrangörslista!D$8:$AG$45,16,FALSE),"DNS")))))),IF(Deltagarlista!$K$3=2,
IF(ISBLANK(Deltagarlista!$C13),"",IF(ISBLANK(Arrangörslista!C$8),"",IF($GV4=J$64," DNS ",IFERROR(VLOOKUP($F4,Arrangörslista!C$8:$AG$45,16,FALSE),"DNS")))),IF(ISBLANK(Deltagarlista!$C13),"",IF(ISBLANK(Arrangörslista!C$8),"",IFERROR(VLOOKUP($F4,Arrangörslista!C$8:$AG$45,16,FALSE),"DNS")))))</f>
        <v/>
      </c>
      <c r="K4" s="56" t="str">
        <f>IF(Deltagarlista!$K$3=4,IF(ISBLANK(Deltagarlista!$C13),"",IF(ISBLANK(Arrangörslista!E$8),"",IFERROR(VLOOKUP($F4,Arrangörslista!E$8:$AG$45,16,FALSE),IF(ISBLANK(Deltagarlista!$C13),"",IF(ISBLANK(Arrangörslista!E$8),"",IFERROR(VLOOKUP($F4,Arrangörslista!F$8:$AG$45,16,FALSE),"DNS")))))),IF(Deltagarlista!$K$3=2,
IF(ISBLANK(Deltagarlista!$C13),"",IF(ISBLANK(Arrangörslista!D$8),"",IF($GV4=K$64," DNS ",IFERROR(VLOOKUP($F4,Arrangörslista!D$8:$AG$45,16,FALSE),"DNS")))),IF(ISBLANK(Deltagarlista!$C13),"",IF(ISBLANK(Arrangörslista!D$8),"",IFERROR(VLOOKUP($F4,Arrangörslista!D$8:$AG$45,16,FALSE),"DNS")))))</f>
        <v/>
      </c>
      <c r="L4" s="56" t="str">
        <f>IF(Deltagarlista!$K$3=4,IF(ISBLANK(Deltagarlista!$C13),"",IF(ISBLANK(Arrangörslista!G$8),"",IFERROR(VLOOKUP($F4,Arrangörslista!G$8:$AG$45,16,FALSE),IF(ISBLANK(Deltagarlista!$C13),"",IF(ISBLANK(Arrangörslista!G$8),"",IFERROR(VLOOKUP($F4,Arrangörslista!H$8:$AG$45,16,FALSE),"DNS")))))),IF(Deltagarlista!$K$3=2,
IF(ISBLANK(Deltagarlista!$C13),"",IF(ISBLANK(Arrangörslista!E$8),"",IF($GV4=L$64," DNS ",IFERROR(VLOOKUP($F4,Arrangörslista!E$8:$AG$45,16,FALSE),"DNS")))),IF(ISBLANK(Deltagarlista!$C13),"",IF(ISBLANK(Arrangörslista!E$8),"",IFERROR(VLOOKUP($F4,Arrangörslista!E$8:$AG$45,16,FALSE),"DNS")))))</f>
        <v/>
      </c>
      <c r="M4" s="56" t="str">
        <f>IF(Deltagarlista!$K$3=4,IF(ISBLANK(Deltagarlista!$C13),"",IF(ISBLANK(Arrangörslista!I$8),"",IFERROR(VLOOKUP($F4,Arrangörslista!I$8:$AG$45,16,FALSE),IF(ISBLANK(Deltagarlista!$C13),"",IF(ISBLANK(Arrangörslista!I$8),"",IFERROR(VLOOKUP($F4,Arrangörslista!J$8:$AG$45,16,FALSE),"DNS")))))),IF(Deltagarlista!$K$3=2,
IF(ISBLANK(Deltagarlista!$C13),"",IF(ISBLANK(Arrangörslista!F$8),"",IF($GV4=M$64," DNS ",IFERROR(VLOOKUP($F4,Arrangörslista!F$8:$AG$45,16,FALSE),"DNS")))),IF(ISBLANK(Deltagarlista!$C13),"",IF(ISBLANK(Arrangörslista!F$8),"",IFERROR(VLOOKUP($F4,Arrangörslista!F$8:$AG$45,16,FALSE),"DNS")))))</f>
        <v/>
      </c>
      <c r="N4" s="56" t="str">
        <f>IF(Deltagarlista!$K$3=4,IF(ISBLANK(Deltagarlista!$C13),"",IF(ISBLANK(Arrangörslista!K$8),"",IFERROR(VLOOKUP($F4,Arrangörslista!K$8:$AG$45,16,FALSE),IF(ISBLANK(Deltagarlista!$C13),"",IF(ISBLANK(Arrangörslista!K$8),"",IFERROR(VLOOKUP($F4,Arrangörslista!L$8:$AG$45,16,FALSE),"DNS")))))),IF(Deltagarlista!$K$3=2,
IF(ISBLANK(Deltagarlista!$C13),"",IF(ISBLANK(Arrangörslista!G$8),"",IF($GV4=N$64," DNS ",IFERROR(VLOOKUP($F4,Arrangörslista!G$8:$AG$45,16,FALSE),"DNS")))),IF(ISBLANK(Deltagarlista!$C13),"",IF(ISBLANK(Arrangörslista!G$8),"",IFERROR(VLOOKUP($F4,Arrangörslista!G$8:$AG$45,16,FALSE),"DNS")))))</f>
        <v/>
      </c>
      <c r="O4" s="56" t="str">
        <f>IF(Deltagarlista!$K$3=4,IF(ISBLANK(Deltagarlista!$C13),"",IF(ISBLANK(Arrangörslista!M$8),"",IFERROR(VLOOKUP($F4,Arrangörslista!M$8:$AG$45,16,FALSE),IF(ISBLANK(Deltagarlista!$C13),"",IF(ISBLANK(Arrangörslista!M$8),"",IFERROR(VLOOKUP($F4,Arrangörslista!N$8:$AG$45,16,FALSE),"DNS")))))),IF(Deltagarlista!$K$3=2,
IF(ISBLANK(Deltagarlista!$C13),"",IF(ISBLANK(Arrangörslista!H$8),"",IF($GV4=O$64," DNS ",IFERROR(VLOOKUP($F4,Arrangörslista!H$8:$AG$45,16,FALSE),"DNS")))),IF(ISBLANK(Deltagarlista!$C13),"",IF(ISBLANK(Arrangörslista!H$8),"",IFERROR(VLOOKUP($F4,Arrangörslista!H$8:$AG$45,16,FALSE),"DNS")))))</f>
        <v/>
      </c>
      <c r="P4" s="56" t="str">
        <f>IF(Deltagarlista!$K$3=4,IF(ISBLANK(Deltagarlista!$C13),"",IF(ISBLANK(Arrangörslista!O$8),"",IFERROR(VLOOKUP($F4,Arrangörslista!O$8:$AG$45,16,FALSE),IF(ISBLANK(Deltagarlista!$C13),"",IF(ISBLANK(Arrangörslista!O$8),"",IFERROR(VLOOKUP($F4,Arrangörslista!P$8:$AG$45,16,FALSE),"DNS")))))),IF(Deltagarlista!$K$3=2,
IF(ISBLANK(Deltagarlista!$C13),"",IF(ISBLANK(Arrangörslista!I$8),"",IF($GV4=P$64," DNS ",IFERROR(VLOOKUP($F4,Arrangörslista!I$8:$AG$45,16,FALSE),"DNS")))),IF(ISBLANK(Deltagarlista!$C13),"",IF(ISBLANK(Arrangörslista!I$8),"",IFERROR(VLOOKUP($F4,Arrangörslista!I$8:$AG$45,16,FALSE),"DNS")))))</f>
        <v/>
      </c>
      <c r="Q4" s="56" t="str">
        <f>IF(Deltagarlista!$K$3=4,IF(ISBLANK(Deltagarlista!$C13),"",IF(ISBLANK(Arrangörslista!Q$8),"",IFERROR(VLOOKUP($F4,Arrangörslista!Q$8:$AG$45,16,FALSE),IF(ISBLANK(Deltagarlista!$C13),"",IF(ISBLANK(Arrangörslista!Q$8),"",IFERROR(VLOOKUP($F4,Arrangörslista!C$53:$AG$90,16,FALSE),"DNS")))))),IF(Deltagarlista!$K$3=2,
IF(ISBLANK(Deltagarlista!$C13),"",IF(ISBLANK(Arrangörslista!J$8),"",IF($GV4=Q$64," DNS ",IFERROR(VLOOKUP($F4,Arrangörslista!J$8:$AG$45,16,FALSE),"DNS")))),IF(ISBLANK(Deltagarlista!$C13),"",IF(ISBLANK(Arrangörslista!J$8),"",IFERROR(VLOOKUP($F4,Arrangörslista!J$8:$AG$45,16,FALSE),"DNS")))))</f>
        <v/>
      </c>
      <c r="R4" s="56" t="str">
        <f>IF(Deltagarlista!$K$3=4,IF(ISBLANK(Deltagarlista!$C13),"",IF(ISBLANK(Arrangörslista!D$53),"",IFERROR(VLOOKUP($F4,Arrangörslista!D$53:$AG$90,16,FALSE),IF(ISBLANK(Deltagarlista!$C13),"",IF(ISBLANK(Arrangörslista!D$53),"",IFERROR(VLOOKUP($F4,Arrangörslista!E$53:$AG$90,16,FALSE),"DNS")))))),IF(Deltagarlista!$K$3=2,
IF(ISBLANK(Deltagarlista!$C13),"",IF(ISBLANK(Arrangörslista!K$8),"",IF($GV4=R$64," DNS ",IFERROR(VLOOKUP($F4,Arrangörslista!K$8:$AG$45,16,FALSE),"DNS")))),IF(ISBLANK(Deltagarlista!$C13),"",IF(ISBLANK(Arrangörslista!K$8),"",IFERROR(VLOOKUP($F4,Arrangörslista!K$8:$AG$45,16,FALSE),"DNS")))))</f>
        <v/>
      </c>
      <c r="S4" s="56" t="str">
        <f>IF(Deltagarlista!$K$3=4,IF(ISBLANK(Deltagarlista!$C13),"",IF(ISBLANK(Arrangörslista!F$53),"",IFERROR(VLOOKUP($F4,Arrangörslista!F$53:$AG$90,16,FALSE),IF(ISBLANK(Deltagarlista!$C13),"",IF(ISBLANK(Arrangörslista!F$53),"",IFERROR(VLOOKUP($F4,Arrangörslista!G$53:$AG$90,16,FALSE),"DNS")))))),IF(Deltagarlista!$K$3=2,
IF(ISBLANK(Deltagarlista!$C13),"",IF(ISBLANK(Arrangörslista!L$8),"",IF($GV4=S$64," DNS ",IFERROR(VLOOKUP($F4,Arrangörslista!L$8:$AG$45,16,FALSE),"DNS")))),IF(ISBLANK(Deltagarlista!$C13),"",IF(ISBLANK(Arrangörslista!L$8),"",IFERROR(VLOOKUP($F4,Arrangörslista!L$8:$AG$45,16,FALSE),"DNS")))))</f>
        <v/>
      </c>
      <c r="T4" s="56" t="str">
        <f>IF(Deltagarlista!$K$3=4,IF(ISBLANK(Deltagarlista!$C13),"",IF(ISBLANK(Arrangörslista!H$53),"",IFERROR(VLOOKUP($F4,Arrangörslista!H$53:$AG$90,16,FALSE),IF(ISBLANK(Deltagarlista!$C13),"",IF(ISBLANK(Arrangörslista!H$53),"",IFERROR(VLOOKUP($F4,Arrangörslista!I$53:$AG$90,16,FALSE),"DNS")))))),IF(Deltagarlista!$K$3=2,
IF(ISBLANK(Deltagarlista!$C13),"",IF(ISBLANK(Arrangörslista!M$8),"",IF($GV4=T$64," DNS ",IFERROR(VLOOKUP($F4,Arrangörslista!M$8:$AG$45,16,FALSE),"DNS")))),IF(ISBLANK(Deltagarlista!$C13),"",IF(ISBLANK(Arrangörslista!M$8),"",IFERROR(VLOOKUP($F4,Arrangörslista!M$8:$AG$45,16,FALSE),"DNS")))))</f>
        <v/>
      </c>
      <c r="U4" s="56" t="str">
        <f>IF(Deltagarlista!$K$3=4,IF(ISBLANK(Deltagarlista!$C13),"",IF(ISBLANK(Arrangörslista!J$53),"",IFERROR(VLOOKUP($F4,Arrangörslista!J$53:$AG$90,16,FALSE),IF(ISBLANK(Deltagarlista!$C13),"",IF(ISBLANK(Arrangörslista!J$53),"",IFERROR(VLOOKUP($F4,Arrangörslista!K$53:$AG$90,16,FALSE),"DNS")))))),IF(Deltagarlista!$K$3=2,
IF(ISBLANK(Deltagarlista!$C13),"",IF(ISBLANK(Arrangörslista!N$8),"",IF($GV4=U$64," DNS ",IFERROR(VLOOKUP($F4,Arrangörslista!N$8:$AG$45,16,FALSE),"DNS")))),IF(ISBLANK(Deltagarlista!$C13),"",IF(ISBLANK(Arrangörslista!N$8),"",IFERROR(VLOOKUP($F4,Arrangörslista!N$8:$AG$45,16,FALSE),"DNS")))))</f>
        <v/>
      </c>
      <c r="V4" s="56" t="str">
        <f>IF(Deltagarlista!$K$3=4,IF(ISBLANK(Deltagarlista!$C13),"",IF(ISBLANK(Arrangörslista!L$53),"",IFERROR(VLOOKUP($F4,Arrangörslista!L$53:$AG$90,16,FALSE),IF(ISBLANK(Deltagarlista!$C13),"",IF(ISBLANK(Arrangörslista!L$53),"",IFERROR(VLOOKUP($F4,Arrangörslista!M$53:$AG$90,16,FALSE),"DNS")))))),IF(Deltagarlista!$K$3=2,
IF(ISBLANK(Deltagarlista!$C13),"",IF(ISBLANK(Arrangörslista!O$8),"",IF($GV4=V$64," DNS ",IFERROR(VLOOKUP($F4,Arrangörslista!O$8:$AG$45,16,FALSE),"DNS")))),IF(ISBLANK(Deltagarlista!$C13),"",IF(ISBLANK(Arrangörslista!O$8),"",IFERROR(VLOOKUP($F4,Arrangörslista!O$8:$AG$45,16,FALSE),"DNS")))))</f>
        <v/>
      </c>
      <c r="W4" s="56" t="str">
        <f>IF(Deltagarlista!$K$3=4,IF(ISBLANK(Deltagarlista!$C13),"",IF(ISBLANK(Arrangörslista!N$53),"",IFERROR(VLOOKUP($F4,Arrangörslista!N$53:$AG$90,16,FALSE),IF(ISBLANK(Deltagarlista!$C13),"",IF(ISBLANK(Arrangörslista!N$53),"",IFERROR(VLOOKUP($F4,Arrangörslista!O$53:$AG$90,16,FALSE),"DNS")))))),IF(Deltagarlista!$K$3=2,
IF(ISBLANK(Deltagarlista!$C13),"",IF(ISBLANK(Arrangörslista!P$8),"",IF($GV4=W$64," DNS ",IFERROR(VLOOKUP($F4,Arrangörslista!P$8:$AG$45,16,FALSE),"DNS")))),IF(ISBLANK(Deltagarlista!$C13),"",IF(ISBLANK(Arrangörslista!P$8),"",IFERROR(VLOOKUP($F4,Arrangörslista!P$8:$AG$45,16,FALSE),"DNS")))))</f>
        <v/>
      </c>
      <c r="X4" s="56" t="str">
        <f>IF(Deltagarlista!$K$3=4,IF(ISBLANK(Deltagarlista!$C13),"",IF(ISBLANK(Arrangörslista!P$53),"",IFERROR(VLOOKUP($F4,Arrangörslista!P$53:$AG$90,16,FALSE),IF(ISBLANK(Deltagarlista!$C13),"",IF(ISBLANK(Arrangörslista!P$53),"",IFERROR(VLOOKUP($F4,Arrangörslista!Q$53:$AG$90,16,FALSE),"DNS")))))),IF(Deltagarlista!$K$3=2,
IF(ISBLANK(Deltagarlista!$C13),"",IF(ISBLANK(Arrangörslista!Q$8),"",IF($GV4=X$64," DNS ",IFERROR(VLOOKUP($F4,Arrangörslista!Q$8:$AG$45,16,FALSE),"DNS")))),IF(ISBLANK(Deltagarlista!$C13),"",IF(ISBLANK(Arrangörslista!Q$8),"",IFERROR(VLOOKUP($F4,Arrangörslista!Q$8:$AG$45,16,FALSE),"DNS")))))</f>
        <v/>
      </c>
      <c r="Y4" s="56" t="str">
        <f>IF(Deltagarlista!$K$3=4,IF(ISBLANK(Deltagarlista!$C13),"",IF(ISBLANK(Arrangörslista!C$98),"",IFERROR(VLOOKUP($F4,Arrangörslista!C$98:$AG$135,16,FALSE),IF(ISBLANK(Deltagarlista!$C13),"",IF(ISBLANK(Arrangörslista!C$98),"",IFERROR(VLOOKUP($F4,Arrangörslista!D$98:$AG$135,16,FALSE),"DNS")))))),IF(Deltagarlista!$K$3=2,
IF(ISBLANK(Deltagarlista!$C13),"",IF(ISBLANK(Arrangörslista!C$53),"",IF($GV4=Y$64," DNS ",IFERROR(VLOOKUP($F4,Arrangörslista!C$53:$AG$90,16,FALSE),"DNS")))),IF(ISBLANK(Deltagarlista!$C13),"",IF(ISBLANK(Arrangörslista!C$53),"",IFERROR(VLOOKUP($F4,Arrangörslista!C$53:$AG$90,16,FALSE),"DNS")))))</f>
        <v/>
      </c>
      <c r="Z4" s="56" t="str">
        <f>IF(Deltagarlista!$K$3=4,IF(ISBLANK(Deltagarlista!$C13),"",IF(ISBLANK(Arrangörslista!E$98),"",IFERROR(VLOOKUP($F4,Arrangörslista!E$98:$AG$135,16,FALSE),IF(ISBLANK(Deltagarlista!$C13),"",IF(ISBLANK(Arrangörslista!E$98),"",IFERROR(VLOOKUP($F4,Arrangörslista!F$98:$AG$135,16,FALSE),"DNS")))))),IF(Deltagarlista!$K$3=2,
IF(ISBLANK(Deltagarlista!$C13),"",IF(ISBLANK(Arrangörslista!D$53),"",IF($GV4=Z$64," DNS ",IFERROR(VLOOKUP($F4,Arrangörslista!D$53:$AG$90,16,FALSE),"DNS")))),IF(ISBLANK(Deltagarlista!$C13),"",IF(ISBLANK(Arrangörslista!D$53),"",IFERROR(VLOOKUP($F4,Arrangörslista!D$53:$AG$90,16,FALSE),"DNS")))))</f>
        <v/>
      </c>
      <c r="AA4" s="56" t="str">
        <f>IF(Deltagarlista!$K$3=4,IF(ISBLANK(Deltagarlista!$C13),"",IF(ISBLANK(Arrangörslista!G$98),"",IFERROR(VLOOKUP($F4,Arrangörslista!G$98:$AG$135,16,FALSE),IF(ISBLANK(Deltagarlista!$C13),"",IF(ISBLANK(Arrangörslista!G$98),"",IFERROR(VLOOKUP($F4,Arrangörslista!H$98:$AG$135,16,FALSE),"DNS")))))),IF(Deltagarlista!$K$3=2,
IF(ISBLANK(Deltagarlista!$C13),"",IF(ISBLANK(Arrangörslista!E$53),"",IF($GV4=AA$64," DNS ",IFERROR(VLOOKUP($F4,Arrangörslista!E$53:$AG$90,16,FALSE),"DNS")))),IF(ISBLANK(Deltagarlista!$C13),"",IF(ISBLANK(Arrangörslista!E$53),"",IFERROR(VLOOKUP($F4,Arrangörslista!E$53:$AG$90,16,FALSE),"DNS")))))</f>
        <v/>
      </c>
      <c r="AB4" s="56" t="str">
        <f>IF(Deltagarlista!$K$3=4,IF(ISBLANK(Deltagarlista!$C13),"",IF(ISBLANK(Arrangörslista!I$98),"",IFERROR(VLOOKUP($F4,Arrangörslista!I$98:$AG$135,16,FALSE),IF(ISBLANK(Deltagarlista!$C13),"",IF(ISBLANK(Arrangörslista!I$98),"",IFERROR(VLOOKUP($F4,Arrangörslista!J$98:$AG$135,16,FALSE),"DNS")))))),IF(Deltagarlista!$K$3=2,
IF(ISBLANK(Deltagarlista!$C13),"",IF(ISBLANK(Arrangörslista!F$53),"",IF($GV4=AB$64," DNS ",IFERROR(VLOOKUP($F4,Arrangörslista!F$53:$AG$90,16,FALSE),"DNS")))),IF(ISBLANK(Deltagarlista!$C13),"",IF(ISBLANK(Arrangörslista!F$53),"",IFERROR(VLOOKUP($F4,Arrangörslista!F$53:$AG$90,16,FALSE),"DNS")))))</f>
        <v/>
      </c>
      <c r="AC4" s="56" t="str">
        <f>IF(Deltagarlista!$K$3=4,IF(ISBLANK(Deltagarlista!$C13),"",IF(ISBLANK(Arrangörslista!K$98),"",IFERROR(VLOOKUP($F4,Arrangörslista!K$98:$AG$135,16,FALSE),IF(ISBLANK(Deltagarlista!$C13),"",IF(ISBLANK(Arrangörslista!K$98),"",IFERROR(VLOOKUP($F4,Arrangörslista!L$98:$AG$135,16,FALSE),"DNS")))))),IF(Deltagarlista!$K$3=2,
IF(ISBLANK(Deltagarlista!$C13),"",IF(ISBLANK(Arrangörslista!G$53),"",IF($GV4=AC$64," DNS ",IFERROR(VLOOKUP($F4,Arrangörslista!G$53:$AG$90,16,FALSE),"DNS")))),IF(ISBLANK(Deltagarlista!$C13),"",IF(ISBLANK(Arrangörslista!G$53),"",IFERROR(VLOOKUP($F4,Arrangörslista!G$53:$AG$90,16,FALSE),"DNS")))))</f>
        <v/>
      </c>
      <c r="AD4" s="56" t="str">
        <f>IF(Deltagarlista!$K$3=4,IF(ISBLANK(Deltagarlista!$C13),"",IF(ISBLANK(Arrangörslista!M$98),"",IFERROR(VLOOKUP($F4,Arrangörslista!M$98:$AG$135,16,FALSE),IF(ISBLANK(Deltagarlista!$C13),"",IF(ISBLANK(Arrangörslista!M$98),"",IFERROR(VLOOKUP($F4,Arrangörslista!N$98:$AG$135,16,FALSE),"DNS")))))),IF(Deltagarlista!$K$3=2,
IF(ISBLANK(Deltagarlista!$C13),"",IF(ISBLANK(Arrangörslista!H$53),"",IF($GV4=AD$64," DNS ",IFERROR(VLOOKUP($F4,Arrangörslista!H$53:$AG$90,16,FALSE),"DNS")))),IF(ISBLANK(Deltagarlista!$C13),"",IF(ISBLANK(Arrangörslista!H$53),"",IFERROR(VLOOKUP($F4,Arrangörslista!H$53:$AG$90,16,FALSE),"DNS")))))</f>
        <v/>
      </c>
      <c r="AE4" s="56" t="str">
        <f>IF(Deltagarlista!$K$3=4,IF(ISBLANK(Deltagarlista!$C13),"",IF(ISBLANK(Arrangörslista!O$98),"",IFERROR(VLOOKUP($F4,Arrangörslista!O$98:$AG$135,16,FALSE),IF(ISBLANK(Deltagarlista!$C13),"",IF(ISBLANK(Arrangörslista!O$98),"",IFERROR(VLOOKUP($F4,Arrangörslista!P$98:$AG$135,16,FALSE),"DNS")))))),IF(Deltagarlista!$K$3=2,
IF(ISBLANK(Deltagarlista!$C13),"",IF(ISBLANK(Arrangörslista!I$53),"",IF($GV4=AE$64," DNS ",IFERROR(VLOOKUP($F4,Arrangörslista!I$53:$AG$90,16,FALSE),"DNS")))),IF(ISBLANK(Deltagarlista!$C13),"",IF(ISBLANK(Arrangörslista!I$53),"",IFERROR(VLOOKUP($F4,Arrangörslista!I$53:$AG$90,16,FALSE),"DNS")))))</f>
        <v/>
      </c>
      <c r="AF4" s="56" t="str">
        <f>IF(Deltagarlista!$K$3=4,IF(ISBLANK(Deltagarlista!$C13),"",IF(ISBLANK(Arrangörslista!Q$98),"",IFERROR(VLOOKUP($F4,Arrangörslista!Q$98:$AG$135,16,FALSE),IF(ISBLANK(Deltagarlista!$C13),"",IF(ISBLANK(Arrangörslista!Q$98),"",IFERROR(VLOOKUP($F4,Arrangörslista!C$143:$AG$180,16,FALSE),"DNS")))))),IF(Deltagarlista!$K$3=2,
IF(ISBLANK(Deltagarlista!$C13),"",IF(ISBLANK(Arrangörslista!J$53),"",IF($GV4=AF$64," DNS ",IFERROR(VLOOKUP($F4,Arrangörslista!J$53:$AG$90,16,FALSE),"DNS")))),IF(ISBLANK(Deltagarlista!$C13),"",IF(ISBLANK(Arrangörslista!J$53),"",IFERROR(VLOOKUP($F4,Arrangörslista!J$53:$AG$90,16,FALSE),"DNS")))))</f>
        <v/>
      </c>
      <c r="AG4" s="56" t="str">
        <f>IF(Deltagarlista!$K$3=4,IF(ISBLANK(Deltagarlista!$C13),"",IF(ISBLANK(Arrangörslista!D$143),"",IFERROR(VLOOKUP($F4,Arrangörslista!D$143:$AG$180,16,FALSE),IF(ISBLANK(Deltagarlista!$C13),"",IF(ISBLANK(Arrangörslista!D$143),"",IFERROR(VLOOKUP($F4,Arrangörslista!E$143:$AG$180,16,FALSE),"DNS")))))),IF(Deltagarlista!$K$3=2,
IF(ISBLANK(Deltagarlista!$C13),"",IF(ISBLANK(Arrangörslista!K$53),"",IF($GV4=AG$64," DNS ",IFERROR(VLOOKUP($F4,Arrangörslista!K$53:$AG$90,16,FALSE),"DNS")))),IF(ISBLANK(Deltagarlista!$C13),"",IF(ISBLANK(Arrangörslista!K$53),"",IFERROR(VLOOKUP($F4,Arrangörslista!K$53:$AG$90,16,FALSE),"DNS")))))</f>
        <v/>
      </c>
      <c r="AH4" s="56" t="str">
        <f>IF(Deltagarlista!$K$3=4,IF(ISBLANK(Deltagarlista!$C13),"",IF(ISBLANK(Arrangörslista!F$143),"",IFERROR(VLOOKUP($F4,Arrangörslista!F$143:$AG$180,16,FALSE),IF(ISBLANK(Deltagarlista!$C13),"",IF(ISBLANK(Arrangörslista!F$143),"",IFERROR(VLOOKUP($F4,Arrangörslista!G$143:$AG$180,16,FALSE),"DNS")))))),IF(Deltagarlista!$K$3=2,
IF(ISBLANK(Deltagarlista!$C13),"",IF(ISBLANK(Arrangörslista!L$53),"",IF($GV4=AH$64," DNS ",IFERROR(VLOOKUP($F4,Arrangörslista!L$53:$AG$90,16,FALSE),"DNS")))),IF(ISBLANK(Deltagarlista!$C13),"",IF(ISBLANK(Arrangörslista!L$53),"",IFERROR(VLOOKUP($F4,Arrangörslista!L$53:$AG$90,16,FALSE),"DNS")))))</f>
        <v/>
      </c>
      <c r="AI4" s="56" t="str">
        <f>IF(Deltagarlista!$K$3=4,IF(ISBLANK(Deltagarlista!$C13),"",IF(ISBLANK(Arrangörslista!H$143),"",IFERROR(VLOOKUP($F4,Arrangörslista!H$143:$AG$180,16,FALSE),IF(ISBLANK(Deltagarlista!$C13),"",IF(ISBLANK(Arrangörslista!H$143),"",IFERROR(VLOOKUP($F4,Arrangörslista!I$143:$AG$180,16,FALSE),"DNS")))))),IF(Deltagarlista!$K$3=2,
IF(ISBLANK(Deltagarlista!$C13),"",IF(ISBLANK(Arrangörslista!M$53),"",IF($GV4=AI$64," DNS ",IFERROR(VLOOKUP($F4,Arrangörslista!M$53:$AG$90,16,FALSE),"DNS")))),IF(ISBLANK(Deltagarlista!$C13),"",IF(ISBLANK(Arrangörslista!M$53),"",IFERROR(VLOOKUP($F4,Arrangörslista!M$53:$AG$90,16,FALSE),"DNS")))))</f>
        <v/>
      </c>
      <c r="AJ4" s="56" t="str">
        <f>IF(Deltagarlista!$K$3=4,IF(ISBLANK(Deltagarlista!$C13),"",IF(ISBLANK(Arrangörslista!J$143),"",IFERROR(VLOOKUP($F4,Arrangörslista!J$143:$AG$180,16,FALSE),IF(ISBLANK(Deltagarlista!$C13),"",IF(ISBLANK(Arrangörslista!J$143),"",IFERROR(VLOOKUP($F4,Arrangörslista!K$143:$AG$180,16,FALSE),"DNS")))))),IF(Deltagarlista!$K$3=2,
IF(ISBLANK(Deltagarlista!$C13),"",IF(ISBLANK(Arrangörslista!N$53),"",IF($GV4=AJ$64," DNS ",IFERROR(VLOOKUP($F4,Arrangörslista!N$53:$AG$90,16,FALSE),"DNS")))),IF(ISBLANK(Deltagarlista!$C13),"",IF(ISBLANK(Arrangörslista!N$53),"",IFERROR(VLOOKUP($F4,Arrangörslista!N$53:$AG$90,16,FALSE),"DNS")))))</f>
        <v/>
      </c>
      <c r="AK4" s="56" t="str">
        <f>IF(Deltagarlista!$K$3=4,IF(ISBLANK(Deltagarlista!$C13),"",IF(ISBLANK(Arrangörslista!L$143),"",IFERROR(VLOOKUP($F4,Arrangörslista!L$143:$AG$180,16,FALSE),IF(ISBLANK(Deltagarlista!$C13),"",IF(ISBLANK(Arrangörslista!L$143),"",IFERROR(VLOOKUP($F4,Arrangörslista!M$143:$AG$180,16,FALSE),"DNS")))))),IF(Deltagarlista!$K$3=2,
IF(ISBLANK(Deltagarlista!$C13),"",IF(ISBLANK(Arrangörslista!O$53),"",IF($GV4=AK$64," DNS ",IFERROR(VLOOKUP($F4,Arrangörslista!O$53:$AG$90,16,FALSE),"DNS")))),IF(ISBLANK(Deltagarlista!$C13),"",IF(ISBLANK(Arrangörslista!O$53),"",IFERROR(VLOOKUP($F4,Arrangörslista!O$53:$AG$90,16,FALSE),"DNS")))))</f>
        <v/>
      </c>
      <c r="AL4" s="56" t="str">
        <f>IF(Deltagarlista!$K$3=4,IF(ISBLANK(Deltagarlista!$C13),"",IF(ISBLANK(Arrangörslista!N$143),"",IFERROR(VLOOKUP($F4,Arrangörslista!N$143:$AG$180,16,FALSE),IF(ISBLANK(Deltagarlista!$C13),"",IF(ISBLANK(Arrangörslista!N$143),"",IFERROR(VLOOKUP($F4,Arrangörslista!O$143:$AG$180,16,FALSE),"DNS")))))),IF(Deltagarlista!$K$3=2,
IF(ISBLANK(Deltagarlista!$C13),"",IF(ISBLANK(Arrangörslista!P$53),"",IF($GV4=AL$64," DNS ",IFERROR(VLOOKUP($F4,Arrangörslista!P$53:$AG$90,16,FALSE),"DNS")))),IF(ISBLANK(Deltagarlista!$C13),"",IF(ISBLANK(Arrangörslista!P$53),"",IFERROR(VLOOKUP($F4,Arrangörslista!P$53:$AG$90,16,FALSE),"DNS")))))</f>
        <v/>
      </c>
      <c r="AM4" s="56" t="str">
        <f>IF(Deltagarlista!$K$3=4,IF(ISBLANK(Deltagarlista!$C13),"",IF(ISBLANK(Arrangörslista!P$143),"",IFERROR(VLOOKUP($F4,Arrangörslista!P$143:$AG$180,16,FALSE),IF(ISBLANK(Deltagarlista!$C13),"",IF(ISBLANK(Arrangörslista!P$143),"",IFERROR(VLOOKUP($F4,Arrangörslista!Q$143:$AG$180,16,FALSE),"DNS")))))),IF(Deltagarlista!$K$3=2,
IF(ISBLANK(Deltagarlista!$C13),"",IF(ISBLANK(Arrangörslista!Q$53),"",IF($GV4=AM$64," DNS ",IFERROR(VLOOKUP($F4,Arrangörslista!Q$53:$AG$90,16,FALSE),"DNS")))),IF(ISBLANK(Deltagarlista!$C13),"",IF(ISBLANK(Arrangörslista!Q$53),"",IFERROR(VLOOKUP($F4,Arrangörslista!Q$53:$AG$90,16,FALSE),"DNS")))))</f>
        <v/>
      </c>
      <c r="AN4" s="56" t="str">
        <f>IF(Deltagarlista!$K$3=2,
IF(ISBLANK(Deltagarlista!$C13),"",IF(ISBLANK(Arrangörslista!C$98),"",IF($GV4=AN$64," DNS ",IFERROR(VLOOKUP($F4,Arrangörslista!C$98:$AG$135,16,FALSE), "DNS")))), IF(Deltagarlista!$K$3=1,IF(ISBLANK(Deltagarlista!$C13),"",IF(ISBLANK(Arrangörslista!C$98),"",IFERROR(VLOOKUP($F4,Arrangörslista!C$98:$AG$135,16,FALSE), "DNS"))),""))</f>
        <v/>
      </c>
      <c r="AO4" s="56" t="str">
        <f>IF(Deltagarlista!$K$3=2,
IF(ISBLANK(Deltagarlista!$C13),"",IF(ISBLANK(Arrangörslista!D$98),"",IF($GV4=AO$64," DNS ",IFERROR(VLOOKUP($F4,Arrangörslista!D$98:$AG$135,16,FALSE), "DNS")))), IF(Deltagarlista!$K$3=1,IF(ISBLANK(Deltagarlista!$C13),"",IF(ISBLANK(Arrangörslista!D$98),"",IFERROR(VLOOKUP($F4,Arrangörslista!D$98:$AG$135,16,FALSE), "DNS"))),""))</f>
        <v/>
      </c>
      <c r="AP4" s="56" t="str">
        <f>IF(Deltagarlista!$K$3=2,
IF(ISBLANK(Deltagarlista!$C13),"",IF(ISBLANK(Arrangörslista!E$98),"",IF($GV4=AP$64," DNS ",IFERROR(VLOOKUP($F4,Arrangörslista!E$98:$AG$135,16,FALSE), "DNS")))), IF(Deltagarlista!$K$3=1,IF(ISBLANK(Deltagarlista!$C13),"",IF(ISBLANK(Arrangörslista!E$98),"",IFERROR(VLOOKUP($F4,Arrangörslista!E$98:$AG$135,16,FALSE), "DNS"))),""))</f>
        <v/>
      </c>
      <c r="AQ4" s="56" t="str">
        <f>IF(Deltagarlista!$K$3=2,
IF(ISBLANK(Deltagarlista!$C13),"",IF(ISBLANK(Arrangörslista!F$98),"",IF($GV4=AQ$64," DNS ",IFERROR(VLOOKUP($F4,Arrangörslista!F$98:$AG$135,16,FALSE), "DNS")))), IF(Deltagarlista!$K$3=1,IF(ISBLANK(Deltagarlista!$C13),"",IF(ISBLANK(Arrangörslista!F$98),"",IFERROR(VLOOKUP($F4,Arrangörslista!F$98:$AG$135,16,FALSE), "DNS"))),""))</f>
        <v/>
      </c>
      <c r="AR4" s="56" t="str">
        <f>IF(Deltagarlista!$K$3=2,
IF(ISBLANK(Deltagarlista!$C13),"",IF(ISBLANK(Arrangörslista!G$98),"",IF($GV4=AR$64," DNS ",IFERROR(VLOOKUP($F4,Arrangörslista!G$98:$AG$135,16,FALSE), "DNS")))), IF(Deltagarlista!$K$3=1,IF(ISBLANK(Deltagarlista!$C13),"",IF(ISBLANK(Arrangörslista!G$98),"",IFERROR(VLOOKUP($F4,Arrangörslista!G$98:$AG$135,16,FALSE), "DNS"))),""))</f>
        <v/>
      </c>
      <c r="AS4" s="56" t="str">
        <f>IF(Deltagarlista!$K$3=2,
IF(ISBLANK(Deltagarlista!$C13),"",IF(ISBLANK(Arrangörslista!H$98),"",IF($GV4=AS$64," DNS ",IFERROR(VLOOKUP($F4,Arrangörslista!H$98:$AG$135,16,FALSE), "DNS")))), IF(Deltagarlista!$K$3=1,IF(ISBLANK(Deltagarlista!$C13),"",IF(ISBLANK(Arrangörslista!H$98),"",IFERROR(VLOOKUP($F4,Arrangörslista!H$98:$AG$135,16,FALSE), "DNS"))),""))</f>
        <v/>
      </c>
      <c r="AT4" s="56" t="str">
        <f>IF(Deltagarlista!$K$3=2,
IF(ISBLANK(Deltagarlista!$C13),"",IF(ISBLANK(Arrangörslista!I$98),"",IF($GV4=AT$64," DNS ",IFERROR(VLOOKUP($F4,Arrangörslista!I$98:$AG$135,16,FALSE), "DNS")))), IF(Deltagarlista!$K$3=1,IF(ISBLANK(Deltagarlista!$C13),"",IF(ISBLANK(Arrangörslista!I$98),"",IFERROR(VLOOKUP($F4,Arrangörslista!I$98:$AG$135,16,FALSE), "DNS"))),""))</f>
        <v/>
      </c>
      <c r="AU4" s="56" t="str">
        <f>IF(Deltagarlista!$K$3=2,
IF(ISBLANK(Deltagarlista!$C13),"",IF(ISBLANK(Arrangörslista!J$98),"",IF($GV4=AU$64," DNS ",IFERROR(VLOOKUP($F4,Arrangörslista!J$98:$AG$135,16,FALSE), "DNS")))), IF(Deltagarlista!$K$3=1,IF(ISBLANK(Deltagarlista!$C13),"",IF(ISBLANK(Arrangörslista!J$98),"",IFERROR(VLOOKUP($F4,Arrangörslista!J$98:$AG$135,16,FALSE), "DNS"))),""))</f>
        <v/>
      </c>
      <c r="AV4" s="56" t="str">
        <f>IF(Deltagarlista!$K$3=2,
IF(ISBLANK(Deltagarlista!$C13),"",IF(ISBLANK(Arrangörslista!K$98),"",IF($GV4=AV$64," DNS ",IFERROR(VLOOKUP($F4,Arrangörslista!K$98:$AG$135,16,FALSE), "DNS")))), IF(Deltagarlista!$K$3=1,IF(ISBLANK(Deltagarlista!$C13),"",IF(ISBLANK(Arrangörslista!K$98),"",IFERROR(VLOOKUP($F4,Arrangörslista!K$98:$AG$135,16,FALSE), "DNS"))),""))</f>
        <v/>
      </c>
      <c r="AW4" s="56" t="str">
        <f>IF(Deltagarlista!$K$3=2,
IF(ISBLANK(Deltagarlista!$C13),"",IF(ISBLANK(Arrangörslista!L$98),"",IF($GV4=AW$64," DNS ",IFERROR(VLOOKUP($F4,Arrangörslista!L$98:$AG$135,16,FALSE), "DNS")))), IF(Deltagarlista!$K$3=1,IF(ISBLANK(Deltagarlista!$C13),"",IF(ISBLANK(Arrangörslista!L$98),"",IFERROR(VLOOKUP($F4,Arrangörslista!L$98:$AG$135,16,FALSE), "DNS"))),""))</f>
        <v/>
      </c>
      <c r="AX4" s="56" t="str">
        <f>IF(Deltagarlista!$K$3=2,
IF(ISBLANK(Deltagarlista!$C13),"",IF(ISBLANK(Arrangörslista!M$98),"",IF($GV4=AX$64," DNS ",IFERROR(VLOOKUP($F4,Arrangörslista!M$98:$AG$135,16,FALSE), "DNS")))), IF(Deltagarlista!$K$3=1,IF(ISBLANK(Deltagarlista!$C13),"",IF(ISBLANK(Arrangörslista!M$98),"",IFERROR(VLOOKUP($F4,Arrangörslista!M$98:$AG$135,16,FALSE), "DNS"))),""))</f>
        <v/>
      </c>
      <c r="AY4" s="56" t="str">
        <f>IF(Deltagarlista!$K$3=2,
IF(ISBLANK(Deltagarlista!$C13),"",IF(ISBLANK(Arrangörslista!N$98),"",IF($GV4=AY$64," DNS ",IFERROR(VLOOKUP($F4,Arrangörslista!N$98:$AG$135,16,FALSE), "DNS")))), IF(Deltagarlista!$K$3=1,IF(ISBLANK(Deltagarlista!$C13),"",IF(ISBLANK(Arrangörslista!N$98),"",IFERROR(VLOOKUP($F4,Arrangörslista!N$98:$AG$135,16,FALSE), "DNS"))),""))</f>
        <v/>
      </c>
      <c r="AZ4" s="56" t="str">
        <f>IF(Deltagarlista!$K$3=2,
IF(ISBLANK(Deltagarlista!$C13),"",IF(ISBLANK(Arrangörslista!O$98),"",IF($GV4=AZ$64," DNS ",IFERROR(VLOOKUP($F4,Arrangörslista!O$98:$AG$135,16,FALSE), "DNS")))), IF(Deltagarlista!$K$3=1,IF(ISBLANK(Deltagarlista!$C13),"",IF(ISBLANK(Arrangörslista!O$98),"",IFERROR(VLOOKUP($F4,Arrangörslista!O$98:$AG$135,16,FALSE), "DNS"))),""))</f>
        <v/>
      </c>
      <c r="BA4" s="56" t="str">
        <f>IF(Deltagarlista!$K$3=2,
IF(ISBLANK(Deltagarlista!$C13),"",IF(ISBLANK(Arrangörslista!P$98),"",IF($GV4=BA$64," DNS ",IFERROR(VLOOKUP($F4,Arrangörslista!P$98:$AG$135,16,FALSE), "DNS")))), IF(Deltagarlista!$K$3=1,IF(ISBLANK(Deltagarlista!$C13),"",IF(ISBLANK(Arrangörslista!P$98),"",IFERROR(VLOOKUP($F4,Arrangörslista!P$98:$AG$135,16,FALSE), "DNS"))),""))</f>
        <v/>
      </c>
      <c r="BB4" s="56" t="str">
        <f>IF(Deltagarlista!$K$3=2,
IF(ISBLANK(Deltagarlista!$C13),"",IF(ISBLANK(Arrangörslista!Q$98),"",IF($GV4=BB$64," DNS ",IFERROR(VLOOKUP($F4,Arrangörslista!Q$98:$AG$135,16,FALSE), "DNS")))), IF(Deltagarlista!$K$3=1,IF(ISBLANK(Deltagarlista!$C13),"",IF(ISBLANK(Arrangörslista!Q$98),"",IFERROR(VLOOKUP($F4,Arrangörslista!Q$98:$AG$135,16,FALSE), "DNS"))),""))</f>
        <v/>
      </c>
      <c r="BC4" s="56" t="str">
        <f>IF(Deltagarlista!$K$3=2,
IF(ISBLANK(Deltagarlista!$C13),"",IF(ISBLANK(Arrangörslista!C$143),"",IF($GV4=BC$64," DNS ",IFERROR(VLOOKUP($F4,Arrangörslista!C$143:$AG$180,16,FALSE), "DNS")))), IF(Deltagarlista!$K$3=1,IF(ISBLANK(Deltagarlista!$C13),"",IF(ISBLANK(Arrangörslista!C$143),"",IFERROR(VLOOKUP($F4,Arrangörslista!C$143:$AG$180,16,FALSE), "DNS"))),""))</f>
        <v/>
      </c>
      <c r="BD4" s="56" t="str">
        <f>IF(Deltagarlista!$K$3=2,
IF(ISBLANK(Deltagarlista!$C13),"",IF(ISBLANK(Arrangörslista!D$143),"",IF($GV4=BD$64," DNS ",IFERROR(VLOOKUP($F4,Arrangörslista!D$143:$AG$180,16,FALSE), "DNS")))), IF(Deltagarlista!$K$3=1,IF(ISBLANK(Deltagarlista!$C13),"",IF(ISBLANK(Arrangörslista!D$143),"",IFERROR(VLOOKUP($F4,Arrangörslista!D$143:$AG$180,16,FALSE), "DNS"))),""))</f>
        <v/>
      </c>
      <c r="BE4" s="56" t="str">
        <f>IF(Deltagarlista!$K$3=2,
IF(ISBLANK(Deltagarlista!$C13),"",IF(ISBLANK(Arrangörslista!E$143),"",IF($GV4=BE$64," DNS ",IFERROR(VLOOKUP($F4,Arrangörslista!E$143:$AG$180,16,FALSE), "DNS")))), IF(Deltagarlista!$K$3=1,IF(ISBLANK(Deltagarlista!$C13),"",IF(ISBLANK(Arrangörslista!E$143),"",IFERROR(VLOOKUP($F4,Arrangörslista!E$143:$AG$180,16,FALSE), "DNS"))),""))</f>
        <v/>
      </c>
      <c r="BF4" s="56" t="str">
        <f>IF(Deltagarlista!$K$3=2,
IF(ISBLANK(Deltagarlista!$C13),"",IF(ISBLANK(Arrangörslista!F$143),"",IF($GV4=BF$64," DNS ",IFERROR(VLOOKUP($F4,Arrangörslista!F$143:$AG$180,16,FALSE), "DNS")))), IF(Deltagarlista!$K$3=1,IF(ISBLANK(Deltagarlista!$C13),"",IF(ISBLANK(Arrangörslista!F$143),"",IFERROR(VLOOKUP($F4,Arrangörslista!F$143:$AG$180,16,FALSE), "DNS"))),""))</f>
        <v/>
      </c>
      <c r="BG4" s="56" t="str">
        <f>IF(Deltagarlista!$K$3=2,
IF(ISBLANK(Deltagarlista!$C13),"",IF(ISBLANK(Arrangörslista!G$143),"",IF($GV4=BG$64," DNS ",IFERROR(VLOOKUP($F4,Arrangörslista!G$143:$AG$180,16,FALSE), "DNS")))), IF(Deltagarlista!$K$3=1,IF(ISBLANK(Deltagarlista!$C13),"",IF(ISBLANK(Arrangörslista!G$143),"",IFERROR(VLOOKUP($F4,Arrangörslista!G$143:$AG$180,16,FALSE), "DNS"))),""))</f>
        <v/>
      </c>
      <c r="BH4" s="56" t="str">
        <f>IF(Deltagarlista!$K$3=2,
IF(ISBLANK(Deltagarlista!$C13),"",IF(ISBLANK(Arrangörslista!H$143),"",IF($GV4=BH$64," DNS ",IFERROR(VLOOKUP($F4,Arrangörslista!H$143:$AG$180,16,FALSE), "DNS")))), IF(Deltagarlista!$K$3=1,IF(ISBLANK(Deltagarlista!$C13),"",IF(ISBLANK(Arrangörslista!H$143),"",IFERROR(VLOOKUP($F4,Arrangörslista!H$143:$AG$180,16,FALSE), "DNS"))),""))</f>
        <v/>
      </c>
      <c r="BI4" s="56" t="str">
        <f>IF(Deltagarlista!$K$3=2,
IF(ISBLANK(Deltagarlista!$C13),"",IF(ISBLANK(Arrangörslista!I$143),"",IF($GV4=BI$64," DNS ",IFERROR(VLOOKUP($F4,Arrangörslista!I$143:$AG$180,16,FALSE), "DNS")))), IF(Deltagarlista!$K$3=1,IF(ISBLANK(Deltagarlista!$C13),"",IF(ISBLANK(Arrangörslista!I$143),"",IFERROR(VLOOKUP($F4,Arrangörslista!I$143:$AG$180,16,FALSE), "DNS"))),""))</f>
        <v/>
      </c>
      <c r="BJ4" s="56" t="str">
        <f>IF(Deltagarlista!$K$3=2,
IF(ISBLANK(Deltagarlista!$C13),"",IF(ISBLANK(Arrangörslista!J$143),"",IF($GV4=BJ$64," DNS ",IFERROR(VLOOKUP($F4,Arrangörslista!J$143:$AG$180,16,FALSE), "DNS")))), IF(Deltagarlista!$K$3=1,IF(ISBLANK(Deltagarlista!$C13),"",IF(ISBLANK(Arrangörslista!J$143),"",IFERROR(VLOOKUP($F4,Arrangörslista!J$143:$AG$180,16,FALSE), "DNS"))),""))</f>
        <v/>
      </c>
      <c r="BK4" s="56" t="str">
        <f>IF(Deltagarlista!$K$3=2,
IF(ISBLANK(Deltagarlista!$C13),"",IF(ISBLANK(Arrangörslista!K$143),"",IF($GV4=BK$64," DNS ",IFERROR(VLOOKUP($F4,Arrangörslista!K$143:$AG$180,16,FALSE), "DNS")))), IF(Deltagarlista!$K$3=1,IF(ISBLANK(Deltagarlista!$C13),"",IF(ISBLANK(Arrangörslista!K$143),"",IFERROR(VLOOKUP($F4,Arrangörslista!K$143:$AG$180,16,FALSE), "DNS"))),""))</f>
        <v/>
      </c>
      <c r="BL4" s="56" t="str">
        <f>IF(Deltagarlista!$K$3=2,
IF(ISBLANK(Deltagarlista!$C13),"",IF(ISBLANK(Arrangörslista!L$143),"",IF($GV4=BL$64," DNS ",IFERROR(VLOOKUP($F4,Arrangörslista!L$143:$AG$180,16,FALSE), "DNS")))), IF(Deltagarlista!$K$3=1,IF(ISBLANK(Deltagarlista!$C13),"",IF(ISBLANK(Arrangörslista!L$143),"",IFERROR(VLOOKUP($F4,Arrangörslista!L$143:$AG$180,16,FALSE), "DNS"))),""))</f>
        <v/>
      </c>
      <c r="BM4" s="56" t="str">
        <f>IF(Deltagarlista!$K$3=2,
IF(ISBLANK(Deltagarlista!$C13),"",IF(ISBLANK(Arrangörslista!M$143),"",IF($GV4=BM$64," DNS ",IFERROR(VLOOKUP($F4,Arrangörslista!M$143:$AG$180,16,FALSE), "DNS")))), IF(Deltagarlista!$K$3=1,IF(ISBLANK(Deltagarlista!$C13),"",IF(ISBLANK(Arrangörslista!M$143),"",IFERROR(VLOOKUP($F4,Arrangörslista!M$143:$AG$180,16,FALSE), "DNS"))),""))</f>
        <v/>
      </c>
      <c r="BN4" s="56" t="str">
        <f>IF(Deltagarlista!$K$3=2,
IF(ISBLANK(Deltagarlista!$C13),"",IF(ISBLANK(Arrangörslista!N$143),"",IF($GV4=BN$64," DNS ",IFERROR(VLOOKUP($F4,Arrangörslista!N$143:$AG$180,16,FALSE), "DNS")))), IF(Deltagarlista!$K$3=1,IF(ISBLANK(Deltagarlista!$C13),"",IF(ISBLANK(Arrangörslista!N$143),"",IFERROR(VLOOKUP($F4,Arrangörslista!N$143:$AG$180,16,FALSE), "DNS"))),""))</f>
        <v/>
      </c>
      <c r="BO4" s="56" t="str">
        <f>IF(Deltagarlista!$K$3=2,
IF(ISBLANK(Deltagarlista!$C13),"",IF(ISBLANK(Arrangörslista!O$143),"",IF($GV4=BO$64," DNS ",IFERROR(VLOOKUP($F4,Arrangörslista!O$143:$AG$180,16,FALSE), "DNS")))), IF(Deltagarlista!$K$3=1,IF(ISBLANK(Deltagarlista!$C13),"",IF(ISBLANK(Arrangörslista!O$143),"",IFERROR(VLOOKUP($F4,Arrangörslista!O$143:$AG$180,16,FALSE), "DNS"))),""))</f>
        <v/>
      </c>
      <c r="BP4" s="56" t="str">
        <f>IF(Deltagarlista!$K$3=2,
IF(ISBLANK(Deltagarlista!$C13),"",IF(ISBLANK(Arrangörslista!P$143),"",IF($GV4=BP$64," DNS ",IFERROR(VLOOKUP($F4,Arrangörslista!P$143:$AG$180,16,FALSE), "DNS")))), IF(Deltagarlista!$K$3=1,IF(ISBLANK(Deltagarlista!$C13),"",IF(ISBLANK(Arrangörslista!P$143),"",IFERROR(VLOOKUP($F4,Arrangörslista!P$143:$AG$180,16,FALSE), "DNS"))),""))</f>
        <v/>
      </c>
      <c r="BQ4" s="78" t="str">
        <f>IF(Deltagarlista!$K$3=2,
IF(ISBLANK(Deltagarlista!$C13),"",IF(ISBLANK(Arrangörslista!Q$143),"",IF($GV4=BQ$64," DNS ",IFERROR(VLOOKUP($F4,Arrangörslista!Q$143:$AG$180,16,FALSE), "DNS")))), IF(Deltagarlista!$K$3=1,IF(ISBLANK(Deltagarlista!$C13),"",IF(ISBLANK(Arrangörslista!Q$143),"",IFERROR(VLOOKUP($F4,Arrangörslista!Q$143:$AG$180,16,FALSE), "DNS"))),""))</f>
        <v/>
      </c>
      <c r="BR4" s="51"/>
      <c r="BS4" s="50" t="str">
        <f t="shared" ref="BS4:BS35" si="0">IF(F4="","2",IF(OR(D4="GM   GRÖN",D4="GM   RÖD",D4="GM   BLÅ",D4="GM   GUL",D4="GM   "),"1","3"))</f>
        <v>2</v>
      </c>
      <c r="BT4" s="51"/>
      <c r="BU4" s="71">
        <f t="shared" ref="BU4:BU35" si="1">SUM(BV4:EC4)</f>
        <v>0</v>
      </c>
      <c r="BV4" s="61">
        <f t="shared" ref="BV4:BV35" si="2">IF(J4="",0,IF(OR(J4="DNF",J4="OCS",J4="DSQ",J4="DNS",J4=" DNS "),$BW$3+1,J4))</f>
        <v>0</v>
      </c>
      <c r="BW4" s="61">
        <f t="shared" ref="BW4:BW35" si="3">IF(K4="",0,IF(OR(K4="DNF",K4="OCS",K4="DSQ",K4="DNS",K4=" DNS "),$BW$3+1,K4))</f>
        <v>0</v>
      </c>
      <c r="BX4" s="61">
        <f t="shared" ref="BX4:BX35" si="4">IF(L4="",0,IF(OR(L4="DNF",L4="OCS",L4="DSQ",L4="DNS",L4=" DNS "),$BW$3+1,L4))</f>
        <v>0</v>
      </c>
      <c r="BY4" s="61">
        <f t="shared" ref="BY4:BY35" si="5">IF(M4="",0,IF(OR(M4="DNF",M4="OCS",M4="DSQ",M4="DNS",M4=" DNS "),$BW$3+1,M4))</f>
        <v>0</v>
      </c>
      <c r="BZ4" s="61">
        <f t="shared" ref="BZ4:BZ35" si="6">IF(N4="",0,IF(OR(N4="DNF",N4="OCS",N4="DSQ",N4="DNS",N4=" DNS "),$BW$3+1,N4))</f>
        <v>0</v>
      </c>
      <c r="CA4" s="61">
        <f t="shared" ref="CA4:CA35" si="7">IF(O4="",0,IF(OR(O4="DNF",O4="OCS",O4="DSQ",O4="DNS",O4=" DNS "),$BW$3+1,O4))</f>
        <v>0</v>
      </c>
      <c r="CB4" s="61">
        <f t="shared" ref="CB4:CB35" si="8">IF(P4="",0,IF(OR(P4="DNF",P4="OCS",P4="DSQ",P4="DNS",P4=" DNS "),$BW$3+1,P4))</f>
        <v>0</v>
      </c>
      <c r="CC4" s="61">
        <f t="shared" ref="CC4:CC35" si="9">IF(Q4="",0,IF(OR(Q4="DNF",Q4="OCS",Q4="DSQ",Q4="DNS",Q4=" DNS "),$BW$3+1,Q4))</f>
        <v>0</v>
      </c>
      <c r="CD4" s="61">
        <f t="shared" ref="CD4:CD35" si="10">IF(R4="",0,IF(OR(R4="DNF",R4="OCS",R4="DSQ",R4="DNS",R4=" DNS "),$BW$3+1,R4))</f>
        <v>0</v>
      </c>
      <c r="CE4" s="61">
        <f t="shared" ref="CE4:CE35" si="11">IF(S4="",0,IF(OR(S4="DNF",S4="OCS",S4="DSQ",S4="DNS",S4=" DNS "),$BW$3+1,S4))</f>
        <v>0</v>
      </c>
      <c r="CF4" s="61">
        <f t="shared" ref="CF4:CF35" si="12">IF(T4="",0,IF(OR(T4="DNF",T4="OCS",T4="DSQ",T4="DNS",T4=" DNS "),$BW$3+1,T4))</f>
        <v>0</v>
      </c>
      <c r="CG4" s="61">
        <f t="shared" ref="CG4:CG35" si="13">IF(U4="",0,IF(OR(U4="DNF",U4="OCS",U4="DSQ",U4="DNS",U4=" DNS "),$BW$3+1,U4))</f>
        <v>0</v>
      </c>
      <c r="CH4" s="61">
        <f t="shared" ref="CH4:CH35" si="14">IF(V4="",0,IF(OR(V4="DNF",V4="OCS",V4="DSQ",V4="DNS",V4=" DNS "),$BW$3+1,V4))</f>
        <v>0</v>
      </c>
      <c r="CI4" s="61">
        <f t="shared" ref="CI4:CI35" si="15">IF(W4="",0,IF(OR(W4="DNF",W4="OCS",W4="DSQ",W4="DNS",W4=" DNS "),$BW$3+1,W4))</f>
        <v>0</v>
      </c>
      <c r="CJ4" s="61">
        <f t="shared" ref="CJ4:CJ35" si="16">IF(X4="",0,IF(OR(X4="DNF",X4="OCS",X4="DSQ",X4="DNS",X4=" DNS "),$BW$3+1,X4))</f>
        <v>0</v>
      </c>
      <c r="CK4" s="61">
        <f t="shared" ref="CK4:CK35" si="17">IF(Y4="",0,IF(OR(Y4="DNF",Y4="OCS",Y4="DSQ",Y4="DNS",Y4=" DNS "),$BW$3+1,Y4))</f>
        <v>0</v>
      </c>
      <c r="CL4" s="61">
        <f t="shared" ref="CL4:CL35" si="18">IF(Z4="",0,IF(OR(Z4="DNF",Z4="OCS",Z4="DSQ",Z4="DNS",Z4=" DNS "),$BW$3+1,Z4))</f>
        <v>0</v>
      </c>
      <c r="CM4" s="61">
        <f t="shared" ref="CM4:CM35" si="19">IF(AA4="",0,IF(OR(AA4="DNF",AA4="OCS",AA4="DSQ",AA4="DNS",AA4=" DNS "),$BW$3+1,AA4))</f>
        <v>0</v>
      </c>
      <c r="CN4" s="61">
        <f t="shared" ref="CN4:CN35" si="20">IF(AB4="",0,IF(OR(AB4="DNF",AB4="OCS",AB4="DSQ",AB4="DNS",AB4=" DNS "),$BW$3+1,AB4))</f>
        <v>0</v>
      </c>
      <c r="CO4" s="61">
        <f t="shared" ref="CO4:CO35" si="21">IF(AC4="",0,IF(OR(AC4="DNF",AC4="OCS",AC4="DSQ",AC4="DNS",AC4=" DNS "),$BW$3+1,AC4))</f>
        <v>0</v>
      </c>
      <c r="CP4" s="61">
        <f t="shared" ref="CP4:CP35" si="22">IF(AD4="",0,IF(OR(AD4="DNF",AD4="OCS",AD4="DSQ",AD4="DNS",AD4=" DNS "),$BW$3+1,AD4))</f>
        <v>0</v>
      </c>
      <c r="CQ4" s="61">
        <f t="shared" ref="CQ4:CQ35" si="23">IF(AE4="",0,IF(OR(AE4="DNF",AE4="OCS",AE4="DSQ",AE4="DNS",AE4=" DNS "),$BW$3+1,AE4))</f>
        <v>0</v>
      </c>
      <c r="CR4" s="61">
        <f t="shared" ref="CR4:CR35" si="24">IF(AF4="",0,IF(OR(AF4="DNF",AF4="OCS",AF4="DSQ",AF4="DNS",AF4=" DNS "),$BW$3+1,AF4))</f>
        <v>0</v>
      </c>
      <c r="CS4" s="61">
        <f t="shared" ref="CS4:CS35" si="25">IF(AG4="",0,IF(OR(AG4="DNF",AG4="OCS",AG4="DSQ",AG4="DNS",AG4=" DNS "),$BW$3+1,AG4))</f>
        <v>0</v>
      </c>
      <c r="CT4" s="61">
        <f t="shared" ref="CT4:CT35" si="26">IF(AH4="",0,IF(OR(AH4="DNF",AH4="OCS",AH4="DSQ",AH4="DNS",AH4=" DNS "),$BW$3+1,AH4))</f>
        <v>0</v>
      </c>
      <c r="CU4" s="61">
        <f t="shared" ref="CU4:CU35" si="27">IF(AI4="",0,IF(OR(AI4="DNF",AI4="OCS",AI4="DSQ",AI4="DNS",AI4=" DNS "),$BW$3+1,AI4))</f>
        <v>0</v>
      </c>
      <c r="CV4" s="61">
        <f t="shared" ref="CV4:CV35" si="28">IF(AJ4="",0,IF(OR(AJ4="DNF",AJ4="OCS",AJ4="DSQ",AJ4="DNS",AJ4=" DNS "),$BW$3+1,AJ4))</f>
        <v>0</v>
      </c>
      <c r="CW4" s="61">
        <f t="shared" ref="CW4:CW35" si="29">IF(AK4="",0,IF(OR(AK4="DNF",AK4="OCS",AK4="DSQ",AK4="DNS",AK4=" DNS "),$BW$3+1,AK4))</f>
        <v>0</v>
      </c>
      <c r="CX4" s="61">
        <f t="shared" ref="CX4:CX35" si="30">IF(AL4="",0,IF(OR(AL4="DNF",AL4="OCS",AL4="DSQ",AL4="DNS",AL4=" DNS "),$BW$3+1,AL4))</f>
        <v>0</v>
      </c>
      <c r="CY4" s="61">
        <f t="shared" ref="CY4:CY35" si="31">IF(AM4="",0,IF(OR(AM4="DNF",AM4="OCS",AM4="DSQ",AM4="DNS",AM4=" DNS "),$BW$3+1,AM4))</f>
        <v>0</v>
      </c>
      <c r="CZ4" s="61">
        <f t="shared" ref="CZ4:CZ35" si="32">IF(AN4="",0,IF(OR(AN4="DNF",AN4="OCS",AN4="DSQ",AN4="DNS",AN4=" DNS "),$BW$3+1,AN4))</f>
        <v>0</v>
      </c>
      <c r="DA4" s="61">
        <f t="shared" ref="DA4:DA35" si="33">IF(AO4="",0,IF(OR(AO4="DNF",AO4="OCS",AO4="DSQ",AO4="DNS",AO4=" DNS "),$BW$3+1,AO4))</f>
        <v>0</v>
      </c>
      <c r="DB4" s="61">
        <f t="shared" ref="DB4:DB35" si="34">IF(AP4="",0,IF(OR(AP4="DNF",AP4="OCS",AP4="DSQ",AP4="DNS",AP4=" DNS "),$BW$3+1,AP4))</f>
        <v>0</v>
      </c>
      <c r="DC4" s="61">
        <f t="shared" ref="DC4:DC35" si="35">IF(AQ4="",0,IF(OR(AQ4="DNF",AQ4="OCS",AQ4="DSQ",AQ4="DNS",AQ4=" DNS "),$BW$3+1,AQ4))</f>
        <v>0</v>
      </c>
      <c r="DD4" s="61">
        <f t="shared" ref="DD4:DD35" si="36">IF(AR4="",0,IF(OR(AR4="DNF",AR4="OCS",AR4="DSQ",AR4="DNS",AR4=" DNS "),$BW$3+1,AR4))</f>
        <v>0</v>
      </c>
      <c r="DE4" s="61">
        <f t="shared" ref="DE4:DE35" si="37">IF(AS4="",0,IF(OR(AS4="DNF",AS4="OCS",AS4="DSQ",AS4="DNS",AS4=" DNS "),$BW$3+1,AS4))</f>
        <v>0</v>
      </c>
      <c r="DF4" s="61">
        <f t="shared" ref="DF4:DF35" si="38">IF(AT4="",0,IF(OR(AT4="DNF",AT4="OCS",AT4="DSQ",AT4="DNS",AT4=" DNS "),$BW$3+1,AT4))</f>
        <v>0</v>
      </c>
      <c r="DG4" s="61">
        <f t="shared" ref="DG4:DG35" si="39">IF(AU4="",0,IF(OR(AU4="DNF",AU4="OCS",AU4="DSQ",AU4="DNS",AU4=" DNS "),$BW$3+1,AU4))</f>
        <v>0</v>
      </c>
      <c r="DH4" s="61">
        <f t="shared" ref="DH4:DH35" si="40">IF(AV4="",0,IF(OR(AV4="DNF",AV4="OCS",AV4="DSQ",AV4="DNS",AV4=" DNS "),$BW$3+1,AV4))</f>
        <v>0</v>
      </c>
      <c r="DI4" s="61">
        <f t="shared" ref="DI4:DI35" si="41">IF(AW4="",0,IF(OR(AW4="DNF",AW4="OCS",AW4="DSQ",AW4="DNS",AW4=" DNS "),$BW$3+1,AW4))</f>
        <v>0</v>
      </c>
      <c r="DJ4" s="61">
        <f t="shared" ref="DJ4:DJ35" si="42">IF(AX4="",0,IF(OR(AX4="DNF",AX4="OCS",AX4="DSQ",AX4="DNS",AX4=" DNS "),$BW$3+1,AX4))</f>
        <v>0</v>
      </c>
      <c r="DK4" s="61">
        <f t="shared" ref="DK4:DK35" si="43">IF(AY4="",0,IF(OR(AY4="DNF",AY4="OCS",AY4="DSQ",AY4="DNS",AY4=" DNS "),$BW$3+1,AY4))</f>
        <v>0</v>
      </c>
      <c r="DL4" s="61">
        <f t="shared" ref="DL4:DL35" si="44">IF(AZ4="",0,IF(OR(AZ4="DNF",AZ4="OCS",AZ4="DSQ",AZ4="DNS",AZ4=" DNS "),$BW$3+1,AZ4))</f>
        <v>0</v>
      </c>
      <c r="DM4" s="61">
        <f t="shared" ref="DM4:DM35" si="45">IF(BA4="",0,IF(OR(BA4="DNF",BA4="OCS",BA4="DSQ",BA4="DNS",BA4=" DNS "),$BW$3+1,BA4))</f>
        <v>0</v>
      </c>
      <c r="DN4" s="61">
        <f t="shared" ref="DN4:DN35" si="46">IF(BB4="",0,IF(OR(BB4="DNF",BB4="OCS",BB4="DSQ",BB4="DNS",BB4=" DNS "),$BW$3+1,BB4))</f>
        <v>0</v>
      </c>
      <c r="DO4" s="61">
        <f t="shared" ref="DO4:DO35" si="47">IF(BC4="",0,IF(OR(BC4="DNF",BC4="OCS",BC4="DSQ",BC4="DNS",BC4=" DNS "),$BW$3+1,BC4))</f>
        <v>0</v>
      </c>
      <c r="DP4" s="61">
        <f t="shared" ref="DP4:DP35" si="48">IF(BD4="",0,IF(OR(BD4="DNF",BD4="OCS",BD4="DSQ",BD4="DNS",BD4=" DNS "),$BW$3+1,BD4))</f>
        <v>0</v>
      </c>
      <c r="DQ4" s="61">
        <f t="shared" ref="DQ4:DQ35" si="49">IF(BE4="",0,IF(OR(BE4="DNF",BE4="OCS",BE4="DSQ",BE4="DNS",BE4=" DNS "),$BW$3+1,BE4))</f>
        <v>0</v>
      </c>
      <c r="DR4" s="61">
        <f t="shared" ref="DR4:DR35" si="50">IF(BF4="",0,IF(OR(BF4="DNF",BF4="OCS",BF4="DSQ",BF4="DNS",BF4=" DNS "),$BW$3+1,BF4))</f>
        <v>0</v>
      </c>
      <c r="DS4" s="61">
        <f t="shared" ref="DS4:DS35" si="51">IF(BG4="",0,IF(OR(BG4="DNF",BG4="OCS",BG4="DSQ",BG4="DNS",BG4=" DNS "),$BW$3+1,BG4))</f>
        <v>0</v>
      </c>
      <c r="DT4" s="61">
        <f t="shared" ref="DT4:DT35" si="52">IF(BH4="",0,IF(OR(BH4="DNF",BH4="OCS",BH4="DSQ",BH4="DNS",BH4=" DNS "),$BW$3+1,BH4))</f>
        <v>0</v>
      </c>
      <c r="DU4" s="61">
        <f t="shared" ref="DU4:DU35" si="53">IF(BI4="",0,IF(OR(BI4="DNF",BI4="OCS",BI4="DSQ",BI4="DNS",BI4=" DNS "),$BW$3+1,BI4))</f>
        <v>0</v>
      </c>
      <c r="DV4" s="61">
        <f t="shared" ref="DV4:DV35" si="54">IF(BJ4="",0,IF(OR(BJ4="DNF",BJ4="OCS",BJ4="DSQ",BJ4="DNS",BJ4=" DNS "),$BW$3+1,BJ4))</f>
        <v>0</v>
      </c>
      <c r="DW4" s="61">
        <f t="shared" ref="DW4:DW35" si="55">IF(BK4="",0,IF(OR(BK4="DNF",BK4="OCS",BK4="DSQ",BK4="DNS",BK4=" DNS "),$BW$3+1,BK4))</f>
        <v>0</v>
      </c>
      <c r="DX4" s="61">
        <f t="shared" ref="DX4:DX35" si="56">IF(BL4="",0,IF(OR(BL4="DNF",BL4="OCS",BL4="DSQ",BL4="DNS",BL4=" DNS "),$BW$3+1,BL4))</f>
        <v>0</v>
      </c>
      <c r="DY4" s="61">
        <f t="shared" ref="DY4:DY35" si="57">IF(BM4="",0,IF(OR(BM4="DNF",BM4="OCS",BM4="DSQ",BM4="DNS",BM4=" DNS "),$BW$3+1,BM4))</f>
        <v>0</v>
      </c>
      <c r="DZ4" s="61">
        <f t="shared" ref="DZ4:DZ35" si="58">IF(BN4="",0,IF(OR(BN4="DNF",BN4="OCS",BN4="DSQ",BN4="DNS",BN4=" DNS "),$BW$3+1,BN4))</f>
        <v>0</v>
      </c>
      <c r="EA4" s="61">
        <f t="shared" ref="EA4:EA35" si="59">IF(BO4="",0,IF(OR(BO4="DNF",BO4="OCS",BO4="DSQ",BO4="DNS",BO4=" DNS "),$BW$3+1,BO4))</f>
        <v>0</v>
      </c>
      <c r="EB4" s="61">
        <f t="shared" ref="EB4:EB35" si="60">IF(BP4="",0,IF(OR(BP4="DNF",BP4="OCS",BP4="DSQ",BP4="DNS",BP4=" DNS "),$BW$3+1,BP4))</f>
        <v>0</v>
      </c>
      <c r="EC4" s="61">
        <f t="shared" ref="EC4:EC35" si="61">IF(BQ4="",0,IF(OR(BQ4="DNF",BQ4="OCS",BQ4="DSQ",BQ4="DNS",BQ4=" DNS "),$BW$3+1,BQ4))</f>
        <v>0</v>
      </c>
      <c r="EE4" s="61">
        <f xml:space="preserve">
IF(OR(Deltagarlista!$K$3=3,Deltagarlista!$K$3=4),
IF(Arrangörslista!$U$5&lt;8,0,
IF(Arrangörslista!$U$5&lt;16,SUM(LARGE(BV4:CJ4,1)),
IF(Arrangörslista!$U$5&lt;24,SUM(LARGE(BV4:CR4,{1;2})),
IF(Arrangörslista!$U$5&lt;32,SUM(LARGE(BV4:CZ4,{1;2;3})),
IF(Arrangörslista!$U$5&lt;40,SUM(LARGE(BV4:DH4,{1;2;3;4})),
IF(Arrangörslista!$U$5&lt;48,SUM(LARGE(BV4:DP4,{1;2;3;4;5})),
IF(Arrangörslista!$U$5&lt;56,SUM(LARGE(BV4:DX4,{1;2;3;4;5;6})),
IF(Arrangörslista!$U$5&lt;64,SUM(LARGE(BV4:EC4,{1;2;3;4;5;6;7})),0)))))))),
IF(Deltagarlista!$K$3=2,
IF(Arrangörslista!$U$5&lt;4,LARGE(BV4:BX4,1),
IF(Arrangörslista!$U$5&lt;7,SUM(LARGE(BV4:CA4,{1;2;3})),
IF(Arrangörslista!$U$5&lt;10,SUM(LARGE(BV4:CD4,{1;2;3;4})),
IF(Arrangörslista!$U$5&lt;13,SUM(LARGE(BV4:CG4,{1;2;3;4;5;6})),
IF(Arrangörslista!$U$5&lt;16,SUM(LARGE(BV4:CJ4,{1;2;3;4;5;6;7})),
IF(Arrangörslista!$U$5&lt;19,SUM(LARGE(BV4:CM4,{1;2;3;4;5;6;7;8;9})),
IF(Arrangörslista!$U$5&lt;22,SUM(LARGE(BV4:CP4,{1;2;3;4;5;6;7;8;9;10})),
IF(Arrangörslista!$U$5&lt;25,SUM(LARGE(BV4:CS4,{1;2;3;4;5;6;7;8;9;10;11;12})),
IF(Arrangörslista!$U$5&lt;28,SUM(LARGE(BV4:CV4,{1;2;3;4;5;6;7;8;9;10;11;12;13})),
IF(Arrangörslista!$U$5&lt;31,SUM(LARGE(BV4:CY4,{1;2;3;4;5;6;7;8;9;10;11;12;13;14;15})),
IF(Arrangörslista!$U$5&lt;34,SUM(LARGE(BV4:DB4,{1;2;3;4;5;6;7;8;9;10;11;12;13;14;15;16})),
IF(Arrangörslista!$U$5&lt;37,SUM(LARGE(BV4:DE4,{1;2;3;4;5;6;7;8;9;10;11;12;13;14;15;16;17;18})),
IF(Arrangörslista!$U$5&lt;40,SUM(LARGE(BV4:DH4,{1;2;3;4;5;6;7;8;9;10;11;12;13;14;15;16;17;18;19})),
IF(Arrangörslista!$U$5&lt;43,SUM(LARGE(BV4:DK4,{1;2;3;4;5;6;7;8;9;10;11;12;13;14;15;16;17;18;19;20;21})),
IF(Arrangörslista!$U$5&lt;46,SUM(LARGE(BV4:DN4,{1;2;3;4;5;6;7;8;9;10;11;12;13;14;15;16;17;18;19;20;21;22})),
IF(Arrangörslista!$U$5&lt;49,SUM(LARGE(BV4:DQ4,{1;2;3;4;5;6;7;8;9;10;11;12;13;14;15;16;17;18;19;20;21;22;23;24})),
IF(Arrangörslista!$U$5&lt;52,SUM(LARGE(BV4:DT4,{1;2;3;4;5;6;7;8;9;10;11;12;13;14;15;16;17;18;19;20;21;22;23;24;25})),
IF(Arrangörslista!$U$5&lt;55,SUM(LARGE(BV4:DW4,{1;2;3;4;5;6;7;8;9;10;11;12;13;14;15;16;17;18;19;20;21;22;23;24;25;26;27})),
IF(Arrangörslista!$U$5&lt;58,SUM(LARGE(BV4:DZ4,{1;2;3;4;5;6;7;8;9;10;11;12;13;14;15;16;17;18;19;20;21;22;23;24;25;26;27;28})),
IF(Arrangörslista!$U$5&lt;61,SUM(LARGE(BV4:EC4,{1;2;3;4;5;6;7;8;9;10;11;12;13;14;15;16;17;18;19;20;21;22;23;24;25;26;27;28;29;30})),0)))))))))))))))))))),
IF(Arrangörslista!$U$5&lt;4,0,
IF(Arrangörslista!$U$5&lt;8,SUM(LARGE(BV4:CB4,1)),
IF(Arrangörslista!$U$5&lt;12,SUM(LARGE(BV4:CF4,{1;2})),
IF(Arrangörslista!$U$5&lt;16,SUM(LARGE(BV4:CJ4,{1;2;3})),
IF(Arrangörslista!$U$5&lt;20,SUM(LARGE(BV4:CN4,{1;2;3;4})),
IF(Arrangörslista!$U$5&lt;24,SUM(LARGE(BV4:CR4,{1;2;3;4;5})),
IF(Arrangörslista!$U$5&lt;28,SUM(LARGE(BV4:CV4,{1;2;3;4;5;6})),
IF(Arrangörslista!$U$5&lt;32,SUM(LARGE(BV4:CZ4,{1;2;3;4;5;6;7})),
IF(Arrangörslista!$U$5&lt;36,SUM(LARGE(BV4:DD4,{1;2;3;4;5;6;7;8})),
IF(Arrangörslista!$U$5&lt;40,SUM(LARGE(BV4:DH4,{1;2;3;4;5;6;7;8;9})),
IF(Arrangörslista!$U$5&lt;44,SUM(LARGE(BV4:DL4,{1;2;3;4;5;6;7;8;9;10})),
IF(Arrangörslista!$U$5&lt;48,SUM(LARGE(BV4:DP4,{1;2;3;4;5;6;7;8;9;10;11})),
IF(Arrangörslista!$U$5&lt;52,SUM(LARGE(BV4:DT4,{1;2;3;4;5;6;7;8;9;10;11;12})),
IF(Arrangörslista!$U$5&lt;56,SUM(LARGE(BV4:DX4,{1;2;3;4;5;6;7;8;9;10;11;12;13})),
IF(Arrangörslista!$U$5&lt;60,SUM(LARGE(BV4:EB4,{1;2;3;4;5;6;7;8;9;10;11;12;13;14})),
IF(Arrangörslista!$U$5=60,SUM(LARGE(BV4:EC4,{1;2;3;4;5;6;7;8;9;10;11;12;13;14;15})),0))))))))))))))))))</f>
        <v>0</v>
      </c>
      <c r="EG4" s="67">
        <f t="shared" ref="EG4:EG35" si="62">IF(F4="",,1)</f>
        <v>0</v>
      </c>
      <c r="EH4" s="61"/>
      <c r="EI4" s="61"/>
      <c r="EK4" s="62">
        <f t="shared" ref="EK4:EK35" si="63">SMALL($J67:$BQ67,1)</f>
        <v>61</v>
      </c>
      <c r="EL4" s="62">
        <f t="shared" ref="EL4:EL35" si="64">SMALL($J67:$BQ67,2)</f>
        <v>61</v>
      </c>
      <c r="EM4" s="62">
        <f t="shared" ref="EM4:EM35" si="65">SMALL($J67:$BQ67,3)</f>
        <v>61</v>
      </c>
      <c r="EN4" s="62">
        <f t="shared" ref="EN4:EN35" si="66">SMALL($J67:$BQ67,4)</f>
        <v>61</v>
      </c>
      <c r="EO4" s="62">
        <f t="shared" ref="EO4:EO35" si="67">SMALL($J67:$BQ67,5)</f>
        <v>61</v>
      </c>
      <c r="EP4" s="62">
        <f t="shared" ref="EP4:EP35" si="68">SMALL($J67:$BQ67,6)</f>
        <v>61</v>
      </c>
      <c r="EQ4" s="62">
        <f t="shared" ref="EQ4:EQ35" si="69">SMALL($J67:$BQ67,7)</f>
        <v>61</v>
      </c>
      <c r="ER4" s="62">
        <f t="shared" ref="ER4:ER35" si="70">SMALL($J67:$BQ67,8)</f>
        <v>61</v>
      </c>
      <c r="ES4" s="62">
        <f t="shared" ref="ES4:ES35" si="71">SMALL($J67:$BQ67,9)</f>
        <v>61</v>
      </c>
      <c r="ET4" s="62">
        <f t="shared" ref="ET4:ET35" si="72">SMALL($J67:$BQ67,10)</f>
        <v>61</v>
      </c>
      <c r="EU4" s="62">
        <f t="shared" ref="EU4:EU35" si="73">SMALL($J67:$BQ67,11)</f>
        <v>61</v>
      </c>
      <c r="EV4" s="62">
        <f t="shared" ref="EV4:EV35" si="74">SMALL($J67:$BQ67,12)</f>
        <v>61</v>
      </c>
      <c r="EW4" s="62">
        <f t="shared" ref="EW4:EW35" si="75">SMALL($J67:$BQ67,13)</f>
        <v>61</v>
      </c>
      <c r="EX4" s="62">
        <f t="shared" ref="EX4:EX35" si="76">SMALL($J67:$BQ67,14)</f>
        <v>61</v>
      </c>
      <c r="EY4" s="62">
        <f t="shared" ref="EY4:EY35" si="77">SMALL($J67:$BQ67,15)</f>
        <v>61</v>
      </c>
      <c r="EZ4" s="62">
        <f t="shared" ref="EZ4:EZ35" si="78">SMALL($J67:$BQ67,16)</f>
        <v>61</v>
      </c>
      <c r="FA4" s="62">
        <f t="shared" ref="FA4:FA35" si="79">SMALL($J67:$BQ67,17)</f>
        <v>61</v>
      </c>
      <c r="FB4" s="62">
        <f t="shared" ref="FB4:FB35" si="80">SMALL($J67:$BQ67,18)</f>
        <v>61</v>
      </c>
      <c r="FC4" s="62">
        <f t="shared" ref="FC4:FC35" si="81">SMALL($J67:$BQ67,19)</f>
        <v>61</v>
      </c>
      <c r="FD4" s="62">
        <f t="shared" ref="FD4:FD35" si="82">SMALL($J67:$BQ67,20)</f>
        <v>61</v>
      </c>
      <c r="FE4" s="62">
        <f t="shared" ref="FE4:FE35" si="83">SMALL($J67:$BQ67,21)</f>
        <v>61</v>
      </c>
      <c r="FF4" s="62">
        <f t="shared" ref="FF4:FF35" si="84">SMALL($J67:$BQ67,22)</f>
        <v>61</v>
      </c>
      <c r="FG4" s="62">
        <f t="shared" ref="FG4:FG35" si="85">SMALL($J67:$BQ67,23)</f>
        <v>61</v>
      </c>
      <c r="FH4" s="62">
        <f t="shared" ref="FH4:FH35" si="86">SMALL($J67:$BQ67,24)</f>
        <v>61</v>
      </c>
      <c r="FI4" s="62">
        <f t="shared" ref="FI4:FI35" si="87">SMALL($J67:$BQ67,25)</f>
        <v>61</v>
      </c>
      <c r="FJ4" s="62">
        <f t="shared" ref="FJ4:FJ35" si="88">SMALL($J67:$BQ67,26)</f>
        <v>61</v>
      </c>
      <c r="FK4" s="62">
        <f t="shared" ref="FK4:FK35" si="89">SMALL($J67:$BQ67,27)</f>
        <v>61</v>
      </c>
      <c r="FL4" s="62">
        <f t="shared" ref="FL4:FL35" si="90">SMALL($J67:$BQ67,28)</f>
        <v>61</v>
      </c>
      <c r="FM4" s="62">
        <f t="shared" ref="FM4:FM35" si="91">SMALL($J67:$BQ67,29)</f>
        <v>61</v>
      </c>
      <c r="FN4" s="62">
        <f t="shared" ref="FN4:FN35" si="92">SMALL($J67:$BQ67,30)</f>
        <v>61</v>
      </c>
      <c r="FO4" s="62">
        <f t="shared" ref="FO4:FO35" si="93">SMALL($J67:$BQ67,31)</f>
        <v>61</v>
      </c>
      <c r="FP4" s="62">
        <f t="shared" ref="FP4:FP35" si="94">SMALL($J67:$BQ67,32)</f>
        <v>61</v>
      </c>
      <c r="FQ4" s="62">
        <f t="shared" ref="FQ4:FQ35" si="95">SMALL($J67:$BQ67,33)</f>
        <v>61</v>
      </c>
      <c r="FR4" s="62">
        <f t="shared" ref="FR4:FR35" si="96">SMALL($J67:$BQ67,34)</f>
        <v>61</v>
      </c>
      <c r="FS4" s="62">
        <f t="shared" ref="FS4:FS35" si="97">SMALL($J67:$BQ67,35)</f>
        <v>61</v>
      </c>
      <c r="FT4" s="62">
        <f t="shared" ref="FT4:FT35" si="98">SMALL($J67:$BQ67,36)</f>
        <v>61</v>
      </c>
      <c r="FU4" s="62">
        <f t="shared" ref="FU4:FU35" si="99">SMALL($J67:$BQ67,37)</f>
        <v>61</v>
      </c>
      <c r="FV4" s="62">
        <f t="shared" ref="FV4:FV35" si="100">SMALL($J67:$BQ67,38)</f>
        <v>61</v>
      </c>
      <c r="FW4" s="62">
        <f t="shared" ref="FW4:FW35" si="101">SMALL($J67:$BQ67,39)</f>
        <v>61</v>
      </c>
      <c r="FX4" s="62">
        <f t="shared" ref="FX4:FX35" si="102">SMALL($J67:$BQ67,40)</f>
        <v>61</v>
      </c>
      <c r="FY4" s="62">
        <f t="shared" ref="FY4:FY35" si="103">SMALL($J67:$BQ67,41)</f>
        <v>61</v>
      </c>
      <c r="FZ4" s="62">
        <f t="shared" ref="FZ4:FZ35" si="104">SMALL($J67:$BQ67,42)</f>
        <v>61</v>
      </c>
      <c r="GA4" s="62">
        <f t="shared" ref="GA4:GA35" si="105">SMALL($J67:$BQ67,43)</f>
        <v>61</v>
      </c>
      <c r="GB4" s="62">
        <f t="shared" ref="GB4:GB35" si="106">SMALL($J67:$BQ67,44)</f>
        <v>61</v>
      </c>
      <c r="GC4" s="62">
        <f t="shared" ref="GC4:GC35" si="107">SMALL($J67:$BQ67,45)</f>
        <v>61</v>
      </c>
      <c r="GD4" s="62">
        <f t="shared" ref="GD4:GD35" si="108">SMALL($J67:$BQ67,46)</f>
        <v>61</v>
      </c>
      <c r="GE4" s="62">
        <f t="shared" ref="GE4:GE35" si="109">SMALL($J67:$BQ67,47)</f>
        <v>61</v>
      </c>
      <c r="GF4" s="62">
        <f t="shared" ref="GF4:GF35" si="110">SMALL($J67:$BQ67,48)</f>
        <v>61</v>
      </c>
      <c r="GG4" s="62">
        <f t="shared" ref="GG4:GG35" si="111">SMALL($J67:$BQ67,49)</f>
        <v>61</v>
      </c>
      <c r="GH4" s="62">
        <f t="shared" ref="GH4:GH35" si="112">SMALL($J67:$BQ67,50)</f>
        <v>61</v>
      </c>
      <c r="GI4" s="62">
        <f t="shared" ref="GI4:GI35" si="113">SMALL($J67:$BQ67,51)</f>
        <v>61</v>
      </c>
      <c r="GJ4" s="62">
        <f t="shared" ref="GJ4:GJ35" si="114">SMALL($J67:$BQ67,52)</f>
        <v>61</v>
      </c>
      <c r="GK4" s="62">
        <f t="shared" ref="GK4:GK35" si="115">SMALL($J67:$BQ67,53)</f>
        <v>61</v>
      </c>
      <c r="GL4" s="62">
        <f t="shared" ref="GL4:GL35" si="116">SMALL($J67:$BQ67,54)</f>
        <v>61</v>
      </c>
      <c r="GM4" s="62">
        <f t="shared" ref="GM4:GM35" si="117">SMALL($J67:$BQ67,55)</f>
        <v>61</v>
      </c>
      <c r="GN4" s="62">
        <f t="shared" ref="GN4:GN35" si="118">SMALL($J67:$BQ67,56)</f>
        <v>61</v>
      </c>
      <c r="GO4" s="62">
        <f t="shared" ref="GO4:GO35" si="119">SMALL($J67:$BQ67,57)</f>
        <v>61</v>
      </c>
      <c r="GP4" s="62">
        <f t="shared" ref="GP4:GP35" si="120">SMALL($J67:$BQ67,58)</f>
        <v>61</v>
      </c>
      <c r="GQ4" s="62">
        <f t="shared" ref="GQ4:GQ35" si="121">SMALL($J67:$BQ67,59)</f>
        <v>61</v>
      </c>
      <c r="GR4" s="62">
        <f t="shared" ref="GR4:GR35" si="122">SMALL($J67:$BQ67,60)</f>
        <v>61</v>
      </c>
      <c r="GT4" s="62">
        <f>IF(Deltagarlista!$K$3=2,
IF(GW4="1",
      IF(Arrangörslista!$U$5=1,J67,
IF(Arrangörslista!$U$5=2,K67,
IF(Arrangörslista!$U$5=3,L67,
IF(Arrangörslista!$U$5=4,M67,
IF(Arrangörslista!$U$5=5,N67,
IF(Arrangörslista!$U$5=6,O67,
IF(Arrangörslista!$U$5=7,P67,
IF(Arrangörslista!$U$5=8,Q67,
IF(Arrangörslista!$U$5=9,R67,
IF(Arrangörslista!$U$5=10,S67,
IF(Arrangörslista!$U$5=11,T67,
IF(Arrangörslista!$U$5=12,U67,
IF(Arrangörslista!$U$5=13,V67,
IF(Arrangörslista!$U$5=14,W67,
IF(Arrangörslista!$U$5=15,X67,
IF(Arrangörslista!$U$5=16,Y67,IF(Arrangörslista!$U$5=17,Z67,IF(Arrangörslista!$U$5=18,AA67,IF(Arrangörslista!$U$5=19,AB67,IF(Arrangörslista!$U$5=20,AC67,IF(Arrangörslista!$U$5=21,AD67,IF(Arrangörslista!$U$5=22,AE67,IF(Arrangörslista!$U$5=23,AF67, IF(Arrangörslista!$U$5=24,AG67, IF(Arrangörslista!$U$5=25,AH67, IF(Arrangörslista!$U$5=26,AI67, IF(Arrangörslista!$U$5=27,AJ67, IF(Arrangörslista!$U$5=28,AK67, IF(Arrangörslista!$U$5=29,AL67, IF(Arrangörslista!$U$5=30,AM67, IF(Arrangörslista!$U$5=31,AN67, IF(Arrangörslista!$U$5=32,AO67, IF(Arrangörslista!$U$5=33,AP67, IF(Arrangörslista!$U$5=34,AQ67, IF(Arrangörslista!$U$5=35,AR67, IF(Arrangörslista!$U$5=36,AS67, IF(Arrangörslista!$U$5=37,AT67, IF(Arrangörslista!$U$5=38,AU67, IF(Arrangörslista!$U$5=39,AV67, IF(Arrangörslista!$U$5=40,AW67, IF(Arrangörslista!$U$5=41,AX67, IF(Arrangörslista!$U$5=42,AY67, IF(Arrangörslista!$U$5=43,AZ67, IF(Arrangörslista!$U$5=44,BA67, IF(Arrangörslista!$U$5=45,BB67, IF(Arrangörslista!$U$5=46,BC67, IF(Arrangörslista!$U$5=47,BD67, IF(Arrangörslista!$U$5=48,BE67, IF(Arrangörslista!$U$5=49,BF67, IF(Arrangörslista!$U$5=50,BG67, IF(Arrangörslista!$U$5=51,BH67, IF(Arrangörslista!$U$5=52,BI67, IF(Arrangörslista!$U$5=53,BJ67, IF(Arrangörslista!$U$5=54,BK67, IF(Arrangörslista!$U$5=55,BL67, IF(Arrangörslista!$U$5=56,BM67, IF(Arrangörslista!$U$5=57,BN67, IF(Arrangörslista!$U$5=58,BO67, IF(Arrangörslista!$U$5=59,BP67, IF(Arrangörslista!$U$5=60,BQ67,0))))))))))))))))))))))))))))))))))))))))))))))))))))))))))))),IF(Deltagarlista!$K$3=4, IF(Arrangörslista!$U$5=1,J67,
IF(Arrangörslista!$U$5=2,J67,
IF(Arrangörslista!$U$5=3,K67,
IF(Arrangörslista!$U$5=4,K67,
IF(Arrangörslista!$U$5=5,L67,
IF(Arrangörslista!$U$5=6,L67,
IF(Arrangörslista!$U$5=7,M67,
IF(Arrangörslista!$U$5=8,M67,
IF(Arrangörslista!$U$5=9,N67,
IF(Arrangörslista!$U$5=10,N67,
IF(Arrangörslista!$U$5=11,O67,
IF(Arrangörslista!$U$5=12,O67,
IF(Arrangörslista!$U$5=13,P67,
IF(Arrangörslista!$U$5=14,P67,
IF(Arrangörslista!$U$5=15,Q67,
IF(Arrangörslista!$U$5=16,Q67,
IF(Arrangörslista!$U$5=17,R67,
IF(Arrangörslista!$U$5=18,R67,
IF(Arrangörslista!$U$5=19,S67,
IF(Arrangörslista!$U$5=20,S67,
IF(Arrangörslista!$U$5=21,T67,
IF(Arrangörslista!$U$5=22,T67,IF(Arrangörslista!$U$5=23,U67, IF(Arrangörslista!$U$5=24,U67, IF(Arrangörslista!$U$5=25,V67, IF(Arrangörslista!$U$5=26,V67, IF(Arrangörslista!$U$5=27,W67, IF(Arrangörslista!$U$5=28,W67, IF(Arrangörslista!$U$5=29,X67, IF(Arrangörslista!$U$5=30,X67, IF(Arrangörslista!$U$5=31,X67, IF(Arrangörslista!$U$5=32,Y67, IF(Arrangörslista!$U$5=33,AO67, IF(Arrangörslista!$U$5=34,Y67, IF(Arrangörslista!$U$5=35,Z67, IF(Arrangörslista!$U$5=36,AR67, IF(Arrangörslista!$U$5=37,Z67, IF(Arrangörslista!$U$5=38,AA67, IF(Arrangörslista!$U$5=39,AU67, IF(Arrangörslista!$U$5=40,AA67, IF(Arrangörslista!$U$5=41,AB67, IF(Arrangörslista!$U$5=42,AX67, IF(Arrangörslista!$U$5=43,AB67, IF(Arrangörslista!$U$5=44,AC67, IF(Arrangörslista!$U$5=45,BA67, IF(Arrangörslista!$U$5=46,AC67, IF(Arrangörslista!$U$5=47,AD67, IF(Arrangörslista!$U$5=48,BD67, IF(Arrangörslista!$U$5=49,AD67, IF(Arrangörslista!$U$5=50,AE67, IF(Arrangörslista!$U$5=51,BG67, IF(Arrangörslista!$U$5=52,AE67, IF(Arrangörslista!$U$5=53,AF67, IF(Arrangörslista!$U$5=54,BJ67, IF(Arrangörslista!$U$5=55,AF67, IF(Arrangörslista!$U$5=56,AG67, IF(Arrangörslista!$U$5=57,BM67, IF(Arrangörslista!$U$5=58,AG67, IF(Arrangörslista!$U$5=59,AH67, IF(Arrangörslista!$U$5=60,AH67,0)))))))))))))))))))))))))))))))))))))))))))))))))))))))))))),IF(Arrangörslista!$U$5=1,J67,
IF(Arrangörslista!$U$5=2,K67,
IF(Arrangörslista!$U$5=3,L67,
IF(Arrangörslista!$U$5=4,M67,
IF(Arrangörslista!$U$5=5,N67,
IF(Arrangörslista!$U$5=6,O67,
IF(Arrangörslista!$U$5=7,P67,
IF(Arrangörslista!$U$5=8,Q67,
IF(Arrangörslista!$U$5=9,R67,
IF(Arrangörslista!$U$5=10,S67,
IF(Arrangörslista!$U$5=11,T67,
IF(Arrangörslista!$U$5=12,U67,
IF(Arrangörslista!$U$5=13,V67,
IF(Arrangörslista!$U$5=14,W67,
IF(Arrangörslista!$U$5=15,X67,
IF(Arrangörslista!$U$5=16,Y67,IF(Arrangörslista!$U$5=17,Z67,IF(Arrangörslista!$U$5=18,AA67,IF(Arrangörslista!$U$5=19,AB67,IF(Arrangörslista!$U$5=20,AC67,IF(Arrangörslista!$U$5=21,AD67,IF(Arrangörslista!$U$5=22,AE67,IF(Arrangörslista!$U$5=23,AF67, IF(Arrangörslista!$U$5=24,AG67, IF(Arrangörslista!$U$5=25,AH67, IF(Arrangörslista!$U$5=26,AI67, IF(Arrangörslista!$U$5=27,AJ67, IF(Arrangörslista!$U$5=28,AK67, IF(Arrangörslista!$U$5=29,AL67, IF(Arrangörslista!$U$5=30,AM67, IF(Arrangörslista!$U$5=31,AN67, IF(Arrangörslista!$U$5=32,AO67, IF(Arrangörslista!$U$5=33,AP67, IF(Arrangörslista!$U$5=34,AQ67, IF(Arrangörslista!$U$5=35,AR67, IF(Arrangörslista!$U$5=36,AS67, IF(Arrangörslista!$U$5=37,AT67, IF(Arrangörslista!$U$5=38,AU67, IF(Arrangörslista!$U$5=39,AV67, IF(Arrangörslista!$U$5=40,AW67, IF(Arrangörslista!$U$5=41,AX67, IF(Arrangörslista!$U$5=42,AY67, IF(Arrangörslista!$U$5=43,AZ67, IF(Arrangörslista!$U$5=44,BA67, IF(Arrangörslista!$U$5=45,BB67, IF(Arrangörslista!$U$5=46,BC67, IF(Arrangörslista!$U$5=47,BD67, IF(Arrangörslista!$U$5=48,BE67, IF(Arrangörslista!$U$5=49,BF67, IF(Arrangörslista!$U$5=50,BG67, IF(Arrangörslista!$U$5=51,BH67, IF(Arrangörslista!$U$5=52,BI67, IF(Arrangörslista!$U$5=53,BJ67, IF(Arrangörslista!$U$5=54,BK67, IF(Arrangörslista!$U$5=55,BL67, IF(Arrangörslista!$U$5=56,BM67, IF(Arrangörslista!$U$5=57,BN67, IF(Arrangörslista!$U$5=58,BO67, IF(Arrangörslista!$U$5=59,BP67, IF(Arrangörslista!$U$5=60,BQ67,0))))))))))))))))))))))))))))))))))))))))))))))))))))))))))))
))</f>
        <v>0</v>
      </c>
      <c r="GV4" s="65" t="str">
        <f>IFERROR(IF(VLOOKUP(F4,Deltagarlista!$E$5:$I$64,5,FALSE)="Grön","Gr",IF(VLOOKUP(F4,Deltagarlista!$E$5:$I$64,5,FALSE)="Röd","R",IF(VLOOKUP(F4,Deltagarlista!$E$5:$I$64,5,FALSE)="Blå","B","Gu"))),"")</f>
        <v/>
      </c>
      <c r="GW4" s="62" t="str">
        <f>IF(GV4="","",IF(AND($GX$2="R/B",OR(GV4="R",GV4="B")),"1",IF(AND($GX$2="G/R",OR(GV4="R",GV4="G")),"1",IF(AND($GX$2="G/B",OR(GV4="B",GV4="G")),"1","2"))))</f>
        <v/>
      </c>
    </row>
    <row r="5" spans="1:206" x14ac:dyDescent="0.3">
      <c r="B5" s="23" t="str">
        <f>IF((COUNTIF(Deltagarlista!$H$5:$H$64,"GM"))&gt;1,2,"")</f>
        <v/>
      </c>
      <c r="C5" s="92" t="str">
        <f>IF(ISBLANK(Deltagarlista!C23),"",Deltagarlista!C23)</f>
        <v/>
      </c>
      <c r="D5" s="109" t="str">
        <f>CONCATENATE(IF(Deltagarlista!H23="GM","GM   ",""), IF(OR(Deltagarlista!$K$3=4,Deltagarlista!$K$3=2),Deltagarlista!I23,""))</f>
        <v/>
      </c>
      <c r="E5" s="8" t="str">
        <f>IF(ISBLANK(Deltagarlista!D23),"",Deltagarlista!D23)</f>
        <v/>
      </c>
      <c r="F5" s="8" t="str">
        <f>IF(ISBLANK(Deltagarlista!E23),"",Deltagarlista!E23)</f>
        <v/>
      </c>
      <c r="G5" s="95" t="str">
        <f>IF(ISBLANK(Deltagarlista!F23),"",Deltagarlista!F23)</f>
        <v/>
      </c>
      <c r="H5" s="72" t="str">
        <f>IF(ISBLANK(Deltagarlista!C23),"",BU5-EE5)</f>
        <v/>
      </c>
      <c r="I5" s="13" t="str">
        <f>IF(ISBLANK(Deltagarlista!C23),"",IF(AND(Deltagarlista!$K$3=2,Deltagarlista!$L$3&lt;37),SUM(SUM(BV5:EC5)-(ROUNDDOWN(Arrangörslista!$U$5/3,1))*($BW$3+1)),SUM(BV5:EC5)))</f>
        <v/>
      </c>
      <c r="J5" s="79" t="str">
        <f>IF(Deltagarlista!$K$3=4,IF(ISBLANK(Deltagarlista!$C23),"",IF(ISBLANK(Arrangörslista!C$8),"",IFERROR(VLOOKUP($F5,Arrangörslista!C$8:$AG$45,16,FALSE),IF(ISBLANK(Deltagarlista!$C23),"",IF(ISBLANK(Arrangörslista!C$8),"",IFERROR(VLOOKUP($F5,Arrangörslista!D$8:$AG$45,16,FALSE),"DNS")))))),IF(Deltagarlista!$K$3=2,
IF(ISBLANK(Deltagarlista!$C23),"",IF(ISBLANK(Arrangörslista!C$8),"",IF($GV5=J$64," DNS ",IFERROR(VLOOKUP($F5,Arrangörslista!C$8:$AG$45,16,FALSE),"DNS")))),IF(ISBLANK(Deltagarlista!$C23),"",IF(ISBLANK(Arrangörslista!C$8),"",IFERROR(VLOOKUP($F5,Arrangörslista!C$8:$AG$45,16,FALSE),"DNS")))))</f>
        <v/>
      </c>
      <c r="K5" s="5" t="str">
        <f>IF(Deltagarlista!$K$3=4,IF(ISBLANK(Deltagarlista!$C23),"",IF(ISBLANK(Arrangörslista!E$8),"",IFERROR(VLOOKUP($F5,Arrangörslista!E$8:$AG$45,16,FALSE),IF(ISBLANK(Deltagarlista!$C23),"",IF(ISBLANK(Arrangörslista!E$8),"",IFERROR(VLOOKUP($F5,Arrangörslista!F$8:$AG$45,16,FALSE),"DNS")))))),IF(Deltagarlista!$K$3=2,
IF(ISBLANK(Deltagarlista!$C23),"",IF(ISBLANK(Arrangörslista!D$8),"",IF($GV5=K$64," DNS ",IFERROR(VLOOKUP($F5,Arrangörslista!D$8:$AG$45,16,FALSE),"DNS")))),IF(ISBLANK(Deltagarlista!$C23),"",IF(ISBLANK(Arrangörslista!D$8),"",IFERROR(VLOOKUP($F5,Arrangörslista!D$8:$AG$45,16,FALSE),"DNS")))))</f>
        <v/>
      </c>
      <c r="L5" s="5" t="str">
        <f>IF(Deltagarlista!$K$3=4,IF(ISBLANK(Deltagarlista!$C23),"",IF(ISBLANK(Arrangörslista!G$8),"",IFERROR(VLOOKUP($F5,Arrangörslista!G$8:$AG$45,16,FALSE),IF(ISBLANK(Deltagarlista!$C23),"",IF(ISBLANK(Arrangörslista!G$8),"",IFERROR(VLOOKUP($F5,Arrangörslista!H$8:$AG$45,16,FALSE),"DNS")))))),IF(Deltagarlista!$K$3=2,
IF(ISBLANK(Deltagarlista!$C23),"",IF(ISBLANK(Arrangörslista!E$8),"",IF($GV5=L$64," DNS ",IFERROR(VLOOKUP($F5,Arrangörslista!E$8:$AG$45,16,FALSE),"DNS")))),IF(ISBLANK(Deltagarlista!$C23),"",IF(ISBLANK(Arrangörslista!E$8),"",IFERROR(VLOOKUP($F5,Arrangörslista!E$8:$AG$45,16,FALSE),"DNS")))))</f>
        <v/>
      </c>
      <c r="M5" s="5" t="str">
        <f>IF(Deltagarlista!$K$3=4,IF(ISBLANK(Deltagarlista!$C23),"",IF(ISBLANK(Arrangörslista!I$8),"",IFERROR(VLOOKUP($F5,Arrangörslista!I$8:$AG$45,16,FALSE),IF(ISBLANK(Deltagarlista!$C23),"",IF(ISBLANK(Arrangörslista!I$8),"",IFERROR(VLOOKUP($F5,Arrangörslista!J$8:$AG$45,16,FALSE),"DNS")))))),IF(Deltagarlista!$K$3=2,
IF(ISBLANK(Deltagarlista!$C23),"",IF(ISBLANK(Arrangörslista!F$8),"",IF($GV5=M$64," DNS ",IFERROR(VLOOKUP($F5,Arrangörslista!F$8:$AG$45,16,FALSE),"DNS")))),IF(ISBLANK(Deltagarlista!$C23),"",IF(ISBLANK(Arrangörslista!F$8),"",IFERROR(VLOOKUP($F5,Arrangörslista!F$8:$AG$45,16,FALSE),"DNS")))))</f>
        <v/>
      </c>
      <c r="N5" s="5" t="str">
        <f>IF(Deltagarlista!$K$3=4,IF(ISBLANK(Deltagarlista!$C23),"",IF(ISBLANK(Arrangörslista!K$8),"",IFERROR(VLOOKUP($F5,Arrangörslista!K$8:$AG$45,16,FALSE),IF(ISBLANK(Deltagarlista!$C23),"",IF(ISBLANK(Arrangörslista!K$8),"",IFERROR(VLOOKUP($F5,Arrangörslista!L$8:$AG$45,16,FALSE),"DNS")))))),IF(Deltagarlista!$K$3=2,
IF(ISBLANK(Deltagarlista!$C23),"",IF(ISBLANK(Arrangörslista!G$8),"",IF($GV5=N$64," DNS ",IFERROR(VLOOKUP($F5,Arrangörslista!G$8:$AG$45,16,FALSE),"DNS")))),IF(ISBLANK(Deltagarlista!$C23),"",IF(ISBLANK(Arrangörslista!G$8),"",IFERROR(VLOOKUP($F5,Arrangörslista!G$8:$AG$45,16,FALSE),"DNS")))))</f>
        <v/>
      </c>
      <c r="O5" s="5" t="str">
        <f>IF(Deltagarlista!$K$3=4,IF(ISBLANK(Deltagarlista!$C23),"",IF(ISBLANK(Arrangörslista!M$8),"",IFERROR(VLOOKUP($F5,Arrangörslista!M$8:$AG$45,16,FALSE),IF(ISBLANK(Deltagarlista!$C23),"",IF(ISBLANK(Arrangörslista!M$8),"",IFERROR(VLOOKUP($F5,Arrangörslista!N$8:$AG$45,16,FALSE),"DNS")))))),IF(Deltagarlista!$K$3=2,
IF(ISBLANK(Deltagarlista!$C23),"",IF(ISBLANK(Arrangörslista!H$8),"",IF($GV5=O$64," DNS ",IFERROR(VLOOKUP($F5,Arrangörslista!H$8:$AG$45,16,FALSE),"DNS")))),IF(ISBLANK(Deltagarlista!$C23),"",IF(ISBLANK(Arrangörslista!H$8),"",IFERROR(VLOOKUP($F5,Arrangörslista!H$8:$AG$45,16,FALSE),"DNS")))))</f>
        <v/>
      </c>
      <c r="P5" s="5" t="str">
        <f>IF(Deltagarlista!$K$3=4,IF(ISBLANK(Deltagarlista!$C23),"",IF(ISBLANK(Arrangörslista!O$8),"",IFERROR(VLOOKUP($F5,Arrangörslista!O$8:$AG$45,16,FALSE),IF(ISBLANK(Deltagarlista!$C23),"",IF(ISBLANK(Arrangörslista!O$8),"",IFERROR(VLOOKUP($F5,Arrangörslista!P$8:$AG$45,16,FALSE),"DNS")))))),IF(Deltagarlista!$K$3=2,
IF(ISBLANK(Deltagarlista!$C23),"",IF(ISBLANK(Arrangörslista!I$8),"",IF($GV5=P$64," DNS ",IFERROR(VLOOKUP($F5,Arrangörslista!I$8:$AG$45,16,FALSE),"DNS")))),IF(ISBLANK(Deltagarlista!$C23),"",IF(ISBLANK(Arrangörslista!I$8),"",IFERROR(VLOOKUP($F5,Arrangörslista!I$8:$AG$45,16,FALSE),"DNS")))))</f>
        <v/>
      </c>
      <c r="Q5" s="5" t="str">
        <f>IF(Deltagarlista!$K$3=4,IF(ISBLANK(Deltagarlista!$C23),"",IF(ISBLANK(Arrangörslista!Q$8),"",IFERROR(VLOOKUP($F5,Arrangörslista!Q$8:$AG$45,16,FALSE),IF(ISBLANK(Deltagarlista!$C23),"",IF(ISBLANK(Arrangörslista!Q$8),"",IFERROR(VLOOKUP($F5,Arrangörslista!C$53:$AG$90,16,FALSE),"DNS")))))),IF(Deltagarlista!$K$3=2,
IF(ISBLANK(Deltagarlista!$C23),"",IF(ISBLANK(Arrangörslista!J$8),"",IF($GV5=Q$64," DNS ",IFERROR(VLOOKUP($F5,Arrangörslista!J$8:$AG$45,16,FALSE),"DNS")))),IF(ISBLANK(Deltagarlista!$C23),"",IF(ISBLANK(Arrangörslista!J$8),"",IFERROR(VLOOKUP($F5,Arrangörslista!J$8:$AG$45,16,FALSE),"DNS")))))</f>
        <v/>
      </c>
      <c r="R5" s="5" t="str">
        <f>IF(Deltagarlista!$K$3=4,IF(ISBLANK(Deltagarlista!$C23),"",IF(ISBLANK(Arrangörslista!D$53),"",IFERROR(VLOOKUP($F5,Arrangörslista!D$53:$AG$90,16,FALSE),IF(ISBLANK(Deltagarlista!$C23),"",IF(ISBLANK(Arrangörslista!D$53),"",IFERROR(VLOOKUP($F5,Arrangörslista!E$53:$AG$90,16,FALSE),"DNS")))))),IF(Deltagarlista!$K$3=2,
IF(ISBLANK(Deltagarlista!$C23),"",IF(ISBLANK(Arrangörslista!K$8),"",IF($GV5=R$64," DNS ",IFERROR(VLOOKUP($F5,Arrangörslista!K$8:$AG$45,16,FALSE),"DNS")))),IF(ISBLANK(Deltagarlista!$C23),"",IF(ISBLANK(Arrangörslista!K$8),"",IFERROR(VLOOKUP($F5,Arrangörslista!K$8:$AG$45,16,FALSE),"DNS")))))</f>
        <v/>
      </c>
      <c r="S5" s="5" t="str">
        <f>IF(Deltagarlista!$K$3=4,IF(ISBLANK(Deltagarlista!$C23),"",IF(ISBLANK(Arrangörslista!F$53),"",IFERROR(VLOOKUP($F5,Arrangörslista!F$53:$AG$90,16,FALSE),IF(ISBLANK(Deltagarlista!$C23),"",IF(ISBLANK(Arrangörslista!F$53),"",IFERROR(VLOOKUP($F5,Arrangörslista!G$53:$AG$90,16,FALSE),"DNS")))))),IF(Deltagarlista!$K$3=2,
IF(ISBLANK(Deltagarlista!$C23),"",IF(ISBLANK(Arrangörslista!L$8),"",IF($GV5=S$64," DNS ",IFERROR(VLOOKUP($F5,Arrangörslista!L$8:$AG$45,16,FALSE),"DNS")))),IF(ISBLANK(Deltagarlista!$C23),"",IF(ISBLANK(Arrangörslista!L$8),"",IFERROR(VLOOKUP($F5,Arrangörslista!L$8:$AG$45,16,FALSE),"DNS")))))</f>
        <v/>
      </c>
      <c r="T5" s="5" t="str">
        <f>IF(Deltagarlista!$K$3=4,IF(ISBLANK(Deltagarlista!$C23),"",IF(ISBLANK(Arrangörslista!H$53),"",IFERROR(VLOOKUP($F5,Arrangörslista!H$53:$AG$90,16,FALSE),IF(ISBLANK(Deltagarlista!$C23),"",IF(ISBLANK(Arrangörslista!H$53),"",IFERROR(VLOOKUP($F5,Arrangörslista!I$53:$AG$90,16,FALSE),"DNS")))))),IF(Deltagarlista!$K$3=2,
IF(ISBLANK(Deltagarlista!$C23),"",IF(ISBLANK(Arrangörslista!M$8),"",IF($GV5=T$64," DNS ",IFERROR(VLOOKUP($F5,Arrangörslista!M$8:$AG$45,16,FALSE),"DNS")))),IF(ISBLANK(Deltagarlista!$C23),"",IF(ISBLANK(Arrangörslista!M$8),"",IFERROR(VLOOKUP($F5,Arrangörslista!M$8:$AG$45,16,FALSE),"DNS")))))</f>
        <v/>
      </c>
      <c r="U5" s="5" t="str">
        <f>IF(Deltagarlista!$K$3=4,IF(ISBLANK(Deltagarlista!$C23),"",IF(ISBLANK(Arrangörslista!J$53),"",IFERROR(VLOOKUP($F5,Arrangörslista!J$53:$AG$90,16,FALSE),IF(ISBLANK(Deltagarlista!$C23),"",IF(ISBLANK(Arrangörslista!J$53),"",IFERROR(VLOOKUP($F5,Arrangörslista!K$53:$AG$90,16,FALSE),"DNS")))))),IF(Deltagarlista!$K$3=2,
IF(ISBLANK(Deltagarlista!$C23),"",IF(ISBLANK(Arrangörslista!N$8),"",IF($GV5=U$64," DNS ",IFERROR(VLOOKUP($F5,Arrangörslista!N$8:$AG$45,16,FALSE),"DNS")))),IF(ISBLANK(Deltagarlista!$C23),"",IF(ISBLANK(Arrangörslista!N$8),"",IFERROR(VLOOKUP($F5,Arrangörslista!N$8:$AG$45,16,FALSE),"DNS")))))</f>
        <v/>
      </c>
      <c r="V5" s="5" t="str">
        <f>IF(Deltagarlista!$K$3=4,IF(ISBLANK(Deltagarlista!$C23),"",IF(ISBLANK(Arrangörslista!L$53),"",IFERROR(VLOOKUP($F5,Arrangörslista!L$53:$AG$90,16,FALSE),IF(ISBLANK(Deltagarlista!$C23),"",IF(ISBLANK(Arrangörslista!L$53),"",IFERROR(VLOOKUP($F5,Arrangörslista!M$53:$AG$90,16,FALSE),"DNS")))))),IF(Deltagarlista!$K$3=2,
IF(ISBLANK(Deltagarlista!$C23),"",IF(ISBLANK(Arrangörslista!O$8),"",IF($GV5=V$64," DNS ",IFERROR(VLOOKUP($F5,Arrangörslista!O$8:$AG$45,16,FALSE),"DNS")))),IF(ISBLANK(Deltagarlista!$C23),"",IF(ISBLANK(Arrangörslista!O$8),"",IFERROR(VLOOKUP($F5,Arrangörslista!O$8:$AG$45,16,FALSE),"DNS")))))</f>
        <v/>
      </c>
      <c r="W5" s="5" t="str">
        <f>IF(Deltagarlista!$K$3=4,IF(ISBLANK(Deltagarlista!$C23),"",IF(ISBLANK(Arrangörslista!N$53),"",IFERROR(VLOOKUP($F5,Arrangörslista!N$53:$AG$90,16,FALSE),IF(ISBLANK(Deltagarlista!$C23),"",IF(ISBLANK(Arrangörslista!N$53),"",IFERROR(VLOOKUP($F5,Arrangörslista!O$53:$AG$90,16,FALSE),"DNS")))))),IF(Deltagarlista!$K$3=2,
IF(ISBLANK(Deltagarlista!$C23),"",IF(ISBLANK(Arrangörslista!P$8),"",IF($GV5=W$64," DNS ",IFERROR(VLOOKUP($F5,Arrangörslista!P$8:$AG$45,16,FALSE),"DNS")))),IF(ISBLANK(Deltagarlista!$C23),"",IF(ISBLANK(Arrangörslista!P$8),"",IFERROR(VLOOKUP($F5,Arrangörslista!P$8:$AG$45,16,FALSE),"DNS")))))</f>
        <v/>
      </c>
      <c r="X5" s="5" t="str">
        <f>IF(Deltagarlista!$K$3=4,IF(ISBLANK(Deltagarlista!$C23),"",IF(ISBLANK(Arrangörslista!P$53),"",IFERROR(VLOOKUP($F5,Arrangörslista!P$53:$AG$90,16,FALSE),IF(ISBLANK(Deltagarlista!$C23),"",IF(ISBLANK(Arrangörslista!P$53),"",IFERROR(VLOOKUP($F5,Arrangörslista!Q$53:$AG$90,16,FALSE),"DNS")))))),IF(Deltagarlista!$K$3=2,
IF(ISBLANK(Deltagarlista!$C23),"",IF(ISBLANK(Arrangörslista!Q$8),"",IF($GV5=X$64," DNS ",IFERROR(VLOOKUP($F5,Arrangörslista!Q$8:$AG$45,16,FALSE),"DNS")))),IF(ISBLANK(Deltagarlista!$C23),"",IF(ISBLANK(Arrangörslista!Q$8),"",IFERROR(VLOOKUP($F5,Arrangörslista!Q$8:$AG$45,16,FALSE),"DNS")))))</f>
        <v/>
      </c>
      <c r="Y5" s="5" t="str">
        <f>IF(Deltagarlista!$K$3=4,IF(ISBLANK(Deltagarlista!$C23),"",IF(ISBLANK(Arrangörslista!C$98),"",IFERROR(VLOOKUP($F5,Arrangörslista!C$98:$AG$135,16,FALSE),IF(ISBLANK(Deltagarlista!$C23),"",IF(ISBLANK(Arrangörslista!C$98),"",IFERROR(VLOOKUP($F5,Arrangörslista!D$98:$AG$135,16,FALSE),"DNS")))))),IF(Deltagarlista!$K$3=2,
IF(ISBLANK(Deltagarlista!$C23),"",IF(ISBLANK(Arrangörslista!C$53),"",IF($GV5=Y$64," DNS ",IFERROR(VLOOKUP($F5,Arrangörslista!C$53:$AG$90,16,FALSE),"DNS")))),IF(ISBLANK(Deltagarlista!$C23),"",IF(ISBLANK(Arrangörslista!C$53),"",IFERROR(VLOOKUP($F5,Arrangörslista!C$53:$AG$90,16,FALSE),"DNS")))))</f>
        <v/>
      </c>
      <c r="Z5" s="5" t="str">
        <f>IF(Deltagarlista!$K$3=4,IF(ISBLANK(Deltagarlista!$C23),"",IF(ISBLANK(Arrangörslista!E$98),"",IFERROR(VLOOKUP($F5,Arrangörslista!E$98:$AG$135,16,FALSE),IF(ISBLANK(Deltagarlista!$C23),"",IF(ISBLANK(Arrangörslista!E$98),"",IFERROR(VLOOKUP($F5,Arrangörslista!F$98:$AG$135,16,FALSE),"DNS")))))),IF(Deltagarlista!$K$3=2,
IF(ISBLANK(Deltagarlista!$C23),"",IF(ISBLANK(Arrangörslista!D$53),"",IF($GV5=Z$64," DNS ",IFERROR(VLOOKUP($F5,Arrangörslista!D$53:$AG$90,16,FALSE),"DNS")))),IF(ISBLANK(Deltagarlista!$C23),"",IF(ISBLANK(Arrangörslista!D$53),"",IFERROR(VLOOKUP($F5,Arrangörslista!D$53:$AG$90,16,FALSE),"DNS")))))</f>
        <v/>
      </c>
      <c r="AA5" s="5" t="str">
        <f>IF(Deltagarlista!$K$3=4,IF(ISBLANK(Deltagarlista!$C23),"",IF(ISBLANK(Arrangörslista!G$98),"",IFERROR(VLOOKUP($F5,Arrangörslista!G$98:$AG$135,16,FALSE),IF(ISBLANK(Deltagarlista!$C23),"",IF(ISBLANK(Arrangörslista!G$98),"",IFERROR(VLOOKUP($F5,Arrangörslista!H$98:$AG$135,16,FALSE),"DNS")))))),IF(Deltagarlista!$K$3=2,
IF(ISBLANK(Deltagarlista!$C23),"",IF(ISBLANK(Arrangörslista!E$53),"",IF($GV5=AA$64," DNS ",IFERROR(VLOOKUP($F5,Arrangörslista!E$53:$AG$90,16,FALSE),"DNS")))),IF(ISBLANK(Deltagarlista!$C23),"",IF(ISBLANK(Arrangörslista!E$53),"",IFERROR(VLOOKUP($F5,Arrangörslista!E$53:$AG$90,16,FALSE),"DNS")))))</f>
        <v/>
      </c>
      <c r="AB5" s="5" t="str">
        <f>IF(Deltagarlista!$K$3=4,IF(ISBLANK(Deltagarlista!$C23),"",IF(ISBLANK(Arrangörslista!I$98),"",IFERROR(VLOOKUP($F5,Arrangörslista!I$98:$AG$135,16,FALSE),IF(ISBLANK(Deltagarlista!$C23),"",IF(ISBLANK(Arrangörslista!I$98),"",IFERROR(VLOOKUP($F5,Arrangörslista!J$98:$AG$135,16,FALSE),"DNS")))))),IF(Deltagarlista!$K$3=2,
IF(ISBLANK(Deltagarlista!$C23),"",IF(ISBLANK(Arrangörslista!F$53),"",IF($GV5=AB$64," DNS ",IFERROR(VLOOKUP($F5,Arrangörslista!F$53:$AG$90,16,FALSE),"DNS")))),IF(ISBLANK(Deltagarlista!$C23),"",IF(ISBLANK(Arrangörslista!F$53),"",IFERROR(VLOOKUP($F5,Arrangörslista!F$53:$AG$90,16,FALSE),"DNS")))))</f>
        <v/>
      </c>
      <c r="AC5" s="5" t="str">
        <f>IF(Deltagarlista!$K$3=4,IF(ISBLANK(Deltagarlista!$C23),"",IF(ISBLANK(Arrangörslista!K$98),"",IFERROR(VLOOKUP($F5,Arrangörslista!K$98:$AG$135,16,FALSE),IF(ISBLANK(Deltagarlista!$C23),"",IF(ISBLANK(Arrangörslista!K$98),"",IFERROR(VLOOKUP($F5,Arrangörslista!L$98:$AG$135,16,FALSE),"DNS")))))),IF(Deltagarlista!$K$3=2,
IF(ISBLANK(Deltagarlista!$C23),"",IF(ISBLANK(Arrangörslista!G$53),"",IF($GV5=AC$64," DNS ",IFERROR(VLOOKUP($F5,Arrangörslista!G$53:$AG$90,16,FALSE),"DNS")))),IF(ISBLANK(Deltagarlista!$C23),"",IF(ISBLANK(Arrangörslista!G$53),"",IFERROR(VLOOKUP($F5,Arrangörslista!G$53:$AG$90,16,FALSE),"DNS")))))</f>
        <v/>
      </c>
      <c r="AD5" s="5" t="str">
        <f>IF(Deltagarlista!$K$3=4,IF(ISBLANK(Deltagarlista!$C23),"",IF(ISBLANK(Arrangörslista!M$98),"",IFERROR(VLOOKUP($F5,Arrangörslista!M$98:$AG$135,16,FALSE),IF(ISBLANK(Deltagarlista!$C23),"",IF(ISBLANK(Arrangörslista!M$98),"",IFERROR(VLOOKUP($F5,Arrangörslista!N$98:$AG$135,16,FALSE),"DNS")))))),IF(Deltagarlista!$K$3=2,
IF(ISBLANK(Deltagarlista!$C23),"",IF(ISBLANK(Arrangörslista!H$53),"",IF($GV5=AD$64," DNS ",IFERROR(VLOOKUP($F5,Arrangörslista!H$53:$AG$90,16,FALSE),"DNS")))),IF(ISBLANK(Deltagarlista!$C23),"",IF(ISBLANK(Arrangörslista!H$53),"",IFERROR(VLOOKUP($F5,Arrangörslista!H$53:$AG$90,16,FALSE),"DNS")))))</f>
        <v/>
      </c>
      <c r="AE5" s="5" t="str">
        <f>IF(Deltagarlista!$K$3=4,IF(ISBLANK(Deltagarlista!$C23),"",IF(ISBLANK(Arrangörslista!O$98),"",IFERROR(VLOOKUP($F5,Arrangörslista!O$98:$AG$135,16,FALSE),IF(ISBLANK(Deltagarlista!$C23),"",IF(ISBLANK(Arrangörslista!O$98),"",IFERROR(VLOOKUP($F5,Arrangörslista!P$98:$AG$135,16,FALSE),"DNS")))))),IF(Deltagarlista!$K$3=2,
IF(ISBLANK(Deltagarlista!$C23),"",IF(ISBLANK(Arrangörslista!I$53),"",IF($GV5=AE$64," DNS ",IFERROR(VLOOKUP($F5,Arrangörslista!I$53:$AG$90,16,FALSE),"DNS")))),IF(ISBLANK(Deltagarlista!$C23),"",IF(ISBLANK(Arrangörslista!I$53),"",IFERROR(VLOOKUP($F5,Arrangörslista!I$53:$AG$90,16,FALSE),"DNS")))))</f>
        <v/>
      </c>
      <c r="AF5" s="5" t="str">
        <f>IF(Deltagarlista!$K$3=4,IF(ISBLANK(Deltagarlista!$C23),"",IF(ISBLANK(Arrangörslista!Q$98),"",IFERROR(VLOOKUP($F5,Arrangörslista!Q$98:$AG$135,16,FALSE),IF(ISBLANK(Deltagarlista!$C23),"",IF(ISBLANK(Arrangörslista!Q$98),"",IFERROR(VLOOKUP($F5,Arrangörslista!C$143:$AG$180,16,FALSE),"DNS")))))),IF(Deltagarlista!$K$3=2,
IF(ISBLANK(Deltagarlista!$C23),"",IF(ISBLANK(Arrangörslista!J$53),"",IF($GV5=AF$64," DNS ",IFERROR(VLOOKUP($F5,Arrangörslista!J$53:$AG$90,16,FALSE),"DNS")))),IF(ISBLANK(Deltagarlista!$C23),"",IF(ISBLANK(Arrangörslista!J$53),"",IFERROR(VLOOKUP($F5,Arrangörslista!J$53:$AG$90,16,FALSE),"DNS")))))</f>
        <v/>
      </c>
      <c r="AG5" s="5" t="str">
        <f>IF(Deltagarlista!$K$3=4,IF(ISBLANK(Deltagarlista!$C23),"",IF(ISBLANK(Arrangörslista!D$143),"",IFERROR(VLOOKUP($F5,Arrangörslista!D$143:$AG$180,16,FALSE),IF(ISBLANK(Deltagarlista!$C23),"",IF(ISBLANK(Arrangörslista!D$143),"",IFERROR(VLOOKUP($F5,Arrangörslista!E$143:$AG$180,16,FALSE),"DNS")))))),IF(Deltagarlista!$K$3=2,
IF(ISBLANK(Deltagarlista!$C23),"",IF(ISBLANK(Arrangörslista!K$53),"",IF($GV5=AG$64," DNS ",IFERROR(VLOOKUP($F5,Arrangörslista!K$53:$AG$90,16,FALSE),"DNS")))),IF(ISBLANK(Deltagarlista!$C23),"",IF(ISBLANK(Arrangörslista!K$53),"",IFERROR(VLOOKUP($F5,Arrangörslista!K$53:$AG$90,16,FALSE),"DNS")))))</f>
        <v/>
      </c>
      <c r="AH5" s="5" t="str">
        <f>IF(Deltagarlista!$K$3=4,IF(ISBLANK(Deltagarlista!$C23),"",IF(ISBLANK(Arrangörslista!F$143),"",IFERROR(VLOOKUP($F5,Arrangörslista!F$143:$AG$180,16,FALSE),IF(ISBLANK(Deltagarlista!$C23),"",IF(ISBLANK(Arrangörslista!F$143),"",IFERROR(VLOOKUP($F5,Arrangörslista!G$143:$AG$180,16,FALSE),"DNS")))))),IF(Deltagarlista!$K$3=2,
IF(ISBLANK(Deltagarlista!$C23),"",IF(ISBLANK(Arrangörslista!L$53),"",IF($GV5=AH$64," DNS ",IFERROR(VLOOKUP($F5,Arrangörslista!L$53:$AG$90,16,FALSE),"DNS")))),IF(ISBLANK(Deltagarlista!$C23),"",IF(ISBLANK(Arrangörslista!L$53),"",IFERROR(VLOOKUP($F5,Arrangörslista!L$53:$AG$90,16,FALSE),"DNS")))))</f>
        <v/>
      </c>
      <c r="AI5" s="5" t="str">
        <f>IF(Deltagarlista!$K$3=4,IF(ISBLANK(Deltagarlista!$C23),"",IF(ISBLANK(Arrangörslista!H$143),"",IFERROR(VLOOKUP($F5,Arrangörslista!H$143:$AG$180,16,FALSE),IF(ISBLANK(Deltagarlista!$C23),"",IF(ISBLANK(Arrangörslista!H$143),"",IFERROR(VLOOKUP($F5,Arrangörslista!I$143:$AG$180,16,FALSE),"DNS")))))),IF(Deltagarlista!$K$3=2,
IF(ISBLANK(Deltagarlista!$C23),"",IF(ISBLANK(Arrangörslista!M$53),"",IF($GV5=AI$64," DNS ",IFERROR(VLOOKUP($F5,Arrangörslista!M$53:$AG$90,16,FALSE),"DNS")))),IF(ISBLANK(Deltagarlista!$C23),"",IF(ISBLANK(Arrangörslista!M$53),"",IFERROR(VLOOKUP($F5,Arrangörslista!M$53:$AG$90,16,FALSE),"DNS")))))</f>
        <v/>
      </c>
      <c r="AJ5" s="5" t="str">
        <f>IF(Deltagarlista!$K$3=4,IF(ISBLANK(Deltagarlista!$C23),"",IF(ISBLANK(Arrangörslista!J$143),"",IFERROR(VLOOKUP($F5,Arrangörslista!J$143:$AG$180,16,FALSE),IF(ISBLANK(Deltagarlista!$C23),"",IF(ISBLANK(Arrangörslista!J$143),"",IFERROR(VLOOKUP($F5,Arrangörslista!K$143:$AG$180,16,FALSE),"DNS")))))),IF(Deltagarlista!$K$3=2,
IF(ISBLANK(Deltagarlista!$C23),"",IF(ISBLANK(Arrangörslista!N$53),"",IF($GV5=AJ$64," DNS ",IFERROR(VLOOKUP($F5,Arrangörslista!N$53:$AG$90,16,FALSE),"DNS")))),IF(ISBLANK(Deltagarlista!$C23),"",IF(ISBLANK(Arrangörslista!N$53),"",IFERROR(VLOOKUP($F5,Arrangörslista!N$53:$AG$90,16,FALSE),"DNS")))))</f>
        <v/>
      </c>
      <c r="AK5" s="5" t="str">
        <f>IF(Deltagarlista!$K$3=4,IF(ISBLANK(Deltagarlista!$C23),"",IF(ISBLANK(Arrangörslista!L$143),"",IFERROR(VLOOKUP($F5,Arrangörslista!L$143:$AG$180,16,FALSE),IF(ISBLANK(Deltagarlista!$C23),"",IF(ISBLANK(Arrangörslista!L$143),"",IFERROR(VLOOKUP($F5,Arrangörslista!M$143:$AG$180,16,FALSE),"DNS")))))),IF(Deltagarlista!$K$3=2,
IF(ISBLANK(Deltagarlista!$C23),"",IF(ISBLANK(Arrangörslista!O$53),"",IF($GV5=AK$64," DNS ",IFERROR(VLOOKUP($F5,Arrangörslista!O$53:$AG$90,16,FALSE),"DNS")))),IF(ISBLANK(Deltagarlista!$C23),"",IF(ISBLANK(Arrangörslista!O$53),"",IFERROR(VLOOKUP($F5,Arrangörslista!O$53:$AG$90,16,FALSE),"DNS")))))</f>
        <v/>
      </c>
      <c r="AL5" s="5" t="str">
        <f>IF(Deltagarlista!$K$3=4,IF(ISBLANK(Deltagarlista!$C23),"",IF(ISBLANK(Arrangörslista!N$143),"",IFERROR(VLOOKUP($F5,Arrangörslista!N$143:$AG$180,16,FALSE),IF(ISBLANK(Deltagarlista!$C23),"",IF(ISBLANK(Arrangörslista!N$143),"",IFERROR(VLOOKUP($F5,Arrangörslista!O$143:$AG$180,16,FALSE),"DNS")))))),IF(Deltagarlista!$K$3=2,
IF(ISBLANK(Deltagarlista!$C23),"",IF(ISBLANK(Arrangörslista!P$53),"",IF($GV5=AL$64," DNS ",IFERROR(VLOOKUP($F5,Arrangörslista!P$53:$AG$90,16,FALSE),"DNS")))),IF(ISBLANK(Deltagarlista!$C23),"",IF(ISBLANK(Arrangörslista!P$53),"",IFERROR(VLOOKUP($F5,Arrangörslista!P$53:$AG$90,16,FALSE),"DNS")))))</f>
        <v/>
      </c>
      <c r="AM5" s="5" t="str">
        <f>IF(Deltagarlista!$K$3=4,IF(ISBLANK(Deltagarlista!$C23),"",IF(ISBLANK(Arrangörslista!P$143),"",IFERROR(VLOOKUP($F5,Arrangörslista!P$143:$AG$180,16,FALSE),IF(ISBLANK(Deltagarlista!$C23),"",IF(ISBLANK(Arrangörslista!P$143),"",IFERROR(VLOOKUP($F5,Arrangörslista!Q$143:$AG$180,16,FALSE),"DNS")))))),IF(Deltagarlista!$K$3=2,
IF(ISBLANK(Deltagarlista!$C23),"",IF(ISBLANK(Arrangörslista!Q$53),"",IF($GV5=AM$64," DNS ",IFERROR(VLOOKUP($F5,Arrangörslista!Q$53:$AG$90,16,FALSE),"DNS")))),IF(ISBLANK(Deltagarlista!$C23),"",IF(ISBLANK(Arrangörslista!Q$53),"",IFERROR(VLOOKUP($F5,Arrangörslista!Q$53:$AG$90,16,FALSE),"DNS")))))</f>
        <v/>
      </c>
      <c r="AN5" s="5" t="str">
        <f>IF(Deltagarlista!$K$3=2,
IF(ISBLANK(Deltagarlista!$C23),"",IF(ISBLANK(Arrangörslista!C$98),"",IF($GV5=AN$64," DNS ",IFERROR(VLOOKUP($F5,Arrangörslista!C$98:$AG$135,16,FALSE), "DNS")))), IF(Deltagarlista!$K$3=1,IF(ISBLANK(Deltagarlista!$C23),"",IF(ISBLANK(Arrangörslista!C$98),"",IFERROR(VLOOKUP($F5,Arrangörslista!C$98:$AG$135,16,FALSE), "DNS"))),""))</f>
        <v/>
      </c>
      <c r="AO5" s="5" t="str">
        <f>IF(Deltagarlista!$K$3=2,
IF(ISBLANK(Deltagarlista!$C23),"",IF(ISBLANK(Arrangörslista!D$98),"",IF($GV5=AO$64," DNS ",IFERROR(VLOOKUP($F5,Arrangörslista!D$98:$AG$135,16,FALSE), "DNS")))), IF(Deltagarlista!$K$3=1,IF(ISBLANK(Deltagarlista!$C23),"",IF(ISBLANK(Arrangörslista!D$98),"",IFERROR(VLOOKUP($F5,Arrangörslista!D$98:$AG$135,16,FALSE), "DNS"))),""))</f>
        <v/>
      </c>
      <c r="AP5" s="5" t="str">
        <f>IF(Deltagarlista!$K$3=2,
IF(ISBLANK(Deltagarlista!$C23),"",IF(ISBLANK(Arrangörslista!E$98),"",IF($GV5=AP$64," DNS ",IFERROR(VLOOKUP($F5,Arrangörslista!E$98:$AG$135,16,FALSE), "DNS")))), IF(Deltagarlista!$K$3=1,IF(ISBLANK(Deltagarlista!$C23),"",IF(ISBLANK(Arrangörslista!E$98),"",IFERROR(VLOOKUP($F5,Arrangörslista!E$98:$AG$135,16,FALSE), "DNS"))),""))</f>
        <v/>
      </c>
      <c r="AQ5" s="5" t="str">
        <f>IF(Deltagarlista!$K$3=2,
IF(ISBLANK(Deltagarlista!$C23),"",IF(ISBLANK(Arrangörslista!F$98),"",IF($GV5=AQ$64," DNS ",IFERROR(VLOOKUP($F5,Arrangörslista!F$98:$AG$135,16,FALSE), "DNS")))), IF(Deltagarlista!$K$3=1,IF(ISBLANK(Deltagarlista!$C23),"",IF(ISBLANK(Arrangörslista!F$98),"",IFERROR(VLOOKUP($F5,Arrangörslista!F$98:$AG$135,16,FALSE), "DNS"))),""))</f>
        <v/>
      </c>
      <c r="AR5" s="5" t="str">
        <f>IF(Deltagarlista!$K$3=2,
IF(ISBLANK(Deltagarlista!$C23),"",IF(ISBLANK(Arrangörslista!G$98),"",IF($GV5=AR$64," DNS ",IFERROR(VLOOKUP($F5,Arrangörslista!G$98:$AG$135,16,FALSE), "DNS")))), IF(Deltagarlista!$K$3=1,IF(ISBLANK(Deltagarlista!$C23),"",IF(ISBLANK(Arrangörslista!G$98),"",IFERROR(VLOOKUP($F5,Arrangörslista!G$98:$AG$135,16,FALSE), "DNS"))),""))</f>
        <v/>
      </c>
      <c r="AS5" s="5" t="str">
        <f>IF(Deltagarlista!$K$3=2,
IF(ISBLANK(Deltagarlista!$C23),"",IF(ISBLANK(Arrangörslista!H$98),"",IF($GV5=AS$64," DNS ",IFERROR(VLOOKUP($F5,Arrangörslista!H$98:$AG$135,16,FALSE), "DNS")))), IF(Deltagarlista!$K$3=1,IF(ISBLANK(Deltagarlista!$C23),"",IF(ISBLANK(Arrangörslista!H$98),"",IFERROR(VLOOKUP($F5,Arrangörslista!H$98:$AG$135,16,FALSE), "DNS"))),""))</f>
        <v/>
      </c>
      <c r="AT5" s="5" t="str">
        <f>IF(Deltagarlista!$K$3=2,
IF(ISBLANK(Deltagarlista!$C23),"",IF(ISBLANK(Arrangörslista!I$98),"",IF($GV5=AT$64," DNS ",IFERROR(VLOOKUP($F5,Arrangörslista!I$98:$AG$135,16,FALSE), "DNS")))), IF(Deltagarlista!$K$3=1,IF(ISBLANK(Deltagarlista!$C23),"",IF(ISBLANK(Arrangörslista!I$98),"",IFERROR(VLOOKUP($F5,Arrangörslista!I$98:$AG$135,16,FALSE), "DNS"))),""))</f>
        <v/>
      </c>
      <c r="AU5" s="5" t="str">
        <f>IF(Deltagarlista!$K$3=2,
IF(ISBLANK(Deltagarlista!$C23),"",IF(ISBLANK(Arrangörslista!J$98),"",IF($GV5=AU$64," DNS ",IFERROR(VLOOKUP($F5,Arrangörslista!J$98:$AG$135,16,FALSE), "DNS")))), IF(Deltagarlista!$K$3=1,IF(ISBLANK(Deltagarlista!$C23),"",IF(ISBLANK(Arrangörslista!J$98),"",IFERROR(VLOOKUP($F5,Arrangörslista!J$98:$AG$135,16,FALSE), "DNS"))),""))</f>
        <v/>
      </c>
      <c r="AV5" s="5" t="str">
        <f>IF(Deltagarlista!$K$3=2,
IF(ISBLANK(Deltagarlista!$C23),"",IF(ISBLANK(Arrangörslista!K$98),"",IF($GV5=AV$64," DNS ",IFERROR(VLOOKUP($F5,Arrangörslista!K$98:$AG$135,16,FALSE), "DNS")))), IF(Deltagarlista!$K$3=1,IF(ISBLANK(Deltagarlista!$C23),"",IF(ISBLANK(Arrangörslista!K$98),"",IFERROR(VLOOKUP($F5,Arrangörslista!K$98:$AG$135,16,FALSE), "DNS"))),""))</f>
        <v/>
      </c>
      <c r="AW5" s="5" t="str">
        <f>IF(Deltagarlista!$K$3=2,
IF(ISBLANK(Deltagarlista!$C23),"",IF(ISBLANK(Arrangörslista!L$98),"",IF($GV5=AW$64," DNS ",IFERROR(VLOOKUP($F5,Arrangörslista!L$98:$AG$135,16,FALSE), "DNS")))), IF(Deltagarlista!$K$3=1,IF(ISBLANK(Deltagarlista!$C23),"",IF(ISBLANK(Arrangörslista!L$98),"",IFERROR(VLOOKUP($F5,Arrangörslista!L$98:$AG$135,16,FALSE), "DNS"))),""))</f>
        <v/>
      </c>
      <c r="AX5" s="5" t="str">
        <f>IF(Deltagarlista!$K$3=2,
IF(ISBLANK(Deltagarlista!$C23),"",IF(ISBLANK(Arrangörslista!M$98),"",IF($GV5=AX$64," DNS ",IFERROR(VLOOKUP($F5,Arrangörslista!M$98:$AG$135,16,FALSE), "DNS")))), IF(Deltagarlista!$K$3=1,IF(ISBLANK(Deltagarlista!$C23),"",IF(ISBLANK(Arrangörslista!M$98),"",IFERROR(VLOOKUP($F5,Arrangörslista!M$98:$AG$135,16,FALSE), "DNS"))),""))</f>
        <v/>
      </c>
      <c r="AY5" s="5" t="str">
        <f>IF(Deltagarlista!$K$3=2,
IF(ISBLANK(Deltagarlista!$C23),"",IF(ISBLANK(Arrangörslista!N$98),"",IF($GV5=AY$64," DNS ",IFERROR(VLOOKUP($F5,Arrangörslista!N$98:$AG$135,16,FALSE), "DNS")))), IF(Deltagarlista!$K$3=1,IF(ISBLANK(Deltagarlista!$C23),"",IF(ISBLANK(Arrangörslista!N$98),"",IFERROR(VLOOKUP($F5,Arrangörslista!N$98:$AG$135,16,FALSE), "DNS"))),""))</f>
        <v/>
      </c>
      <c r="AZ5" s="5" t="str">
        <f>IF(Deltagarlista!$K$3=2,
IF(ISBLANK(Deltagarlista!$C23),"",IF(ISBLANK(Arrangörslista!O$98),"",IF($GV5=AZ$64," DNS ",IFERROR(VLOOKUP($F5,Arrangörslista!O$98:$AG$135,16,FALSE), "DNS")))), IF(Deltagarlista!$K$3=1,IF(ISBLANK(Deltagarlista!$C23),"",IF(ISBLANK(Arrangörslista!O$98),"",IFERROR(VLOOKUP($F5,Arrangörslista!O$98:$AG$135,16,FALSE), "DNS"))),""))</f>
        <v/>
      </c>
      <c r="BA5" s="5" t="str">
        <f>IF(Deltagarlista!$K$3=2,
IF(ISBLANK(Deltagarlista!$C23),"",IF(ISBLANK(Arrangörslista!P$98),"",IF($GV5=BA$64," DNS ",IFERROR(VLOOKUP($F5,Arrangörslista!P$98:$AG$135,16,FALSE), "DNS")))), IF(Deltagarlista!$K$3=1,IF(ISBLANK(Deltagarlista!$C23),"",IF(ISBLANK(Arrangörslista!P$98),"",IFERROR(VLOOKUP($F5,Arrangörslista!P$98:$AG$135,16,FALSE), "DNS"))),""))</f>
        <v/>
      </c>
      <c r="BB5" s="5" t="str">
        <f>IF(Deltagarlista!$K$3=2,
IF(ISBLANK(Deltagarlista!$C23),"",IF(ISBLANK(Arrangörslista!Q$98),"",IF($GV5=BB$64," DNS ",IFERROR(VLOOKUP($F5,Arrangörslista!Q$98:$AG$135,16,FALSE), "DNS")))), IF(Deltagarlista!$K$3=1,IF(ISBLANK(Deltagarlista!$C23),"",IF(ISBLANK(Arrangörslista!Q$98),"",IFERROR(VLOOKUP($F5,Arrangörslista!Q$98:$AG$135,16,FALSE), "DNS"))),""))</f>
        <v/>
      </c>
      <c r="BC5" s="5" t="str">
        <f>IF(Deltagarlista!$K$3=2,
IF(ISBLANK(Deltagarlista!$C23),"",IF(ISBLANK(Arrangörslista!C$143),"",IF($GV5=BC$64," DNS ",IFERROR(VLOOKUP($F5,Arrangörslista!C$143:$AG$180,16,FALSE), "DNS")))), IF(Deltagarlista!$K$3=1,IF(ISBLANK(Deltagarlista!$C23),"",IF(ISBLANK(Arrangörslista!C$143),"",IFERROR(VLOOKUP($F5,Arrangörslista!C$143:$AG$180,16,FALSE), "DNS"))),""))</f>
        <v/>
      </c>
      <c r="BD5" s="5" t="str">
        <f>IF(Deltagarlista!$K$3=2,
IF(ISBLANK(Deltagarlista!$C23),"",IF(ISBLANK(Arrangörslista!D$143),"",IF($GV5=BD$64," DNS ",IFERROR(VLOOKUP($F5,Arrangörslista!D$143:$AG$180,16,FALSE), "DNS")))), IF(Deltagarlista!$K$3=1,IF(ISBLANK(Deltagarlista!$C23),"",IF(ISBLANK(Arrangörslista!D$143),"",IFERROR(VLOOKUP($F5,Arrangörslista!D$143:$AG$180,16,FALSE), "DNS"))),""))</f>
        <v/>
      </c>
      <c r="BE5" s="5" t="str">
        <f>IF(Deltagarlista!$K$3=2,
IF(ISBLANK(Deltagarlista!$C23),"",IF(ISBLANK(Arrangörslista!E$143),"",IF($GV5=BE$64," DNS ",IFERROR(VLOOKUP($F5,Arrangörslista!E$143:$AG$180,16,FALSE), "DNS")))), IF(Deltagarlista!$K$3=1,IF(ISBLANK(Deltagarlista!$C23),"",IF(ISBLANK(Arrangörslista!E$143),"",IFERROR(VLOOKUP($F5,Arrangörslista!E$143:$AG$180,16,FALSE), "DNS"))),""))</f>
        <v/>
      </c>
      <c r="BF5" s="5" t="str">
        <f>IF(Deltagarlista!$K$3=2,
IF(ISBLANK(Deltagarlista!$C23),"",IF(ISBLANK(Arrangörslista!F$143),"",IF($GV5=BF$64," DNS ",IFERROR(VLOOKUP($F5,Arrangörslista!F$143:$AG$180,16,FALSE), "DNS")))), IF(Deltagarlista!$K$3=1,IF(ISBLANK(Deltagarlista!$C23),"",IF(ISBLANK(Arrangörslista!F$143),"",IFERROR(VLOOKUP($F5,Arrangörslista!F$143:$AG$180,16,FALSE), "DNS"))),""))</f>
        <v/>
      </c>
      <c r="BG5" s="5" t="str">
        <f>IF(Deltagarlista!$K$3=2,
IF(ISBLANK(Deltagarlista!$C23),"",IF(ISBLANK(Arrangörslista!G$143),"",IF($GV5=BG$64," DNS ",IFERROR(VLOOKUP($F5,Arrangörslista!G$143:$AG$180,16,FALSE), "DNS")))), IF(Deltagarlista!$K$3=1,IF(ISBLANK(Deltagarlista!$C23),"",IF(ISBLANK(Arrangörslista!G$143),"",IFERROR(VLOOKUP($F5,Arrangörslista!G$143:$AG$180,16,FALSE), "DNS"))),""))</f>
        <v/>
      </c>
      <c r="BH5" s="5" t="str">
        <f>IF(Deltagarlista!$K$3=2,
IF(ISBLANK(Deltagarlista!$C23),"",IF(ISBLANK(Arrangörslista!H$143),"",IF($GV5=BH$64," DNS ",IFERROR(VLOOKUP($F5,Arrangörslista!H$143:$AG$180,16,FALSE), "DNS")))), IF(Deltagarlista!$K$3=1,IF(ISBLANK(Deltagarlista!$C23),"",IF(ISBLANK(Arrangörslista!H$143),"",IFERROR(VLOOKUP($F5,Arrangörslista!H$143:$AG$180,16,FALSE), "DNS"))),""))</f>
        <v/>
      </c>
      <c r="BI5" s="5" t="str">
        <f>IF(Deltagarlista!$K$3=2,
IF(ISBLANK(Deltagarlista!$C23),"",IF(ISBLANK(Arrangörslista!I$143),"",IF($GV5=BI$64," DNS ",IFERROR(VLOOKUP($F5,Arrangörslista!I$143:$AG$180,16,FALSE), "DNS")))), IF(Deltagarlista!$K$3=1,IF(ISBLANK(Deltagarlista!$C23),"",IF(ISBLANK(Arrangörslista!I$143),"",IFERROR(VLOOKUP($F5,Arrangörslista!I$143:$AG$180,16,FALSE), "DNS"))),""))</f>
        <v/>
      </c>
      <c r="BJ5" s="5" t="str">
        <f>IF(Deltagarlista!$K$3=2,
IF(ISBLANK(Deltagarlista!$C23),"",IF(ISBLANK(Arrangörslista!J$143),"",IF($GV5=BJ$64," DNS ",IFERROR(VLOOKUP($F5,Arrangörslista!J$143:$AG$180,16,FALSE), "DNS")))), IF(Deltagarlista!$K$3=1,IF(ISBLANK(Deltagarlista!$C23),"",IF(ISBLANK(Arrangörslista!J$143),"",IFERROR(VLOOKUP($F5,Arrangörslista!J$143:$AG$180,16,FALSE), "DNS"))),""))</f>
        <v/>
      </c>
      <c r="BK5" s="5" t="str">
        <f>IF(Deltagarlista!$K$3=2,
IF(ISBLANK(Deltagarlista!$C23),"",IF(ISBLANK(Arrangörslista!K$143),"",IF($GV5=BK$64," DNS ",IFERROR(VLOOKUP($F5,Arrangörslista!K$143:$AG$180,16,FALSE), "DNS")))), IF(Deltagarlista!$K$3=1,IF(ISBLANK(Deltagarlista!$C23),"",IF(ISBLANK(Arrangörslista!K$143),"",IFERROR(VLOOKUP($F5,Arrangörslista!K$143:$AG$180,16,FALSE), "DNS"))),""))</f>
        <v/>
      </c>
      <c r="BL5" s="5" t="str">
        <f>IF(Deltagarlista!$K$3=2,
IF(ISBLANK(Deltagarlista!$C23),"",IF(ISBLANK(Arrangörslista!L$143),"",IF($GV5=BL$64," DNS ",IFERROR(VLOOKUP($F5,Arrangörslista!L$143:$AG$180,16,FALSE), "DNS")))), IF(Deltagarlista!$K$3=1,IF(ISBLANK(Deltagarlista!$C23),"",IF(ISBLANK(Arrangörslista!L$143),"",IFERROR(VLOOKUP($F5,Arrangörslista!L$143:$AG$180,16,FALSE), "DNS"))),""))</f>
        <v/>
      </c>
      <c r="BM5" s="5" t="str">
        <f>IF(Deltagarlista!$K$3=2,
IF(ISBLANK(Deltagarlista!$C23),"",IF(ISBLANK(Arrangörslista!M$143),"",IF($GV5=BM$64," DNS ",IFERROR(VLOOKUP($F5,Arrangörslista!M$143:$AG$180,16,FALSE), "DNS")))), IF(Deltagarlista!$K$3=1,IF(ISBLANK(Deltagarlista!$C23),"",IF(ISBLANK(Arrangörslista!M$143),"",IFERROR(VLOOKUP($F5,Arrangörslista!M$143:$AG$180,16,FALSE), "DNS"))),""))</f>
        <v/>
      </c>
      <c r="BN5" s="5" t="str">
        <f>IF(Deltagarlista!$K$3=2,
IF(ISBLANK(Deltagarlista!$C23),"",IF(ISBLANK(Arrangörslista!N$143),"",IF($GV5=BN$64," DNS ",IFERROR(VLOOKUP($F5,Arrangörslista!N$143:$AG$180,16,FALSE), "DNS")))), IF(Deltagarlista!$K$3=1,IF(ISBLANK(Deltagarlista!$C23),"",IF(ISBLANK(Arrangörslista!N$143),"",IFERROR(VLOOKUP($F5,Arrangörslista!N$143:$AG$180,16,FALSE), "DNS"))),""))</f>
        <v/>
      </c>
      <c r="BO5" s="5" t="str">
        <f>IF(Deltagarlista!$K$3=2,
IF(ISBLANK(Deltagarlista!$C23),"",IF(ISBLANK(Arrangörslista!O$143),"",IF($GV5=BO$64," DNS ",IFERROR(VLOOKUP($F5,Arrangörslista!O$143:$AG$180,16,FALSE), "DNS")))), IF(Deltagarlista!$K$3=1,IF(ISBLANK(Deltagarlista!$C23),"",IF(ISBLANK(Arrangörslista!O$143),"",IFERROR(VLOOKUP($F5,Arrangörslista!O$143:$AG$180,16,FALSE), "DNS"))),""))</f>
        <v/>
      </c>
      <c r="BP5" s="5" t="str">
        <f>IF(Deltagarlista!$K$3=2,
IF(ISBLANK(Deltagarlista!$C23),"",IF(ISBLANK(Arrangörslista!P$143),"",IF($GV5=BP$64," DNS ",IFERROR(VLOOKUP($F5,Arrangörslista!P$143:$AG$180,16,FALSE), "DNS")))), IF(Deltagarlista!$K$3=1,IF(ISBLANK(Deltagarlista!$C23),"",IF(ISBLANK(Arrangörslista!P$143),"",IFERROR(VLOOKUP($F5,Arrangörslista!P$143:$AG$180,16,FALSE), "DNS"))),""))</f>
        <v/>
      </c>
      <c r="BQ5" s="80" t="str">
        <f>IF(Deltagarlista!$K$3=2,
IF(ISBLANK(Deltagarlista!$C23),"",IF(ISBLANK(Arrangörslista!Q$143),"",IF($GV5=BQ$64," DNS ",IFERROR(VLOOKUP($F5,Arrangörslista!Q$143:$AG$180,16,FALSE), "DNS")))), IF(Deltagarlista!$K$3=1,IF(ISBLANK(Deltagarlista!$C23),"",IF(ISBLANK(Arrangörslista!Q$143),"",IFERROR(VLOOKUP($F5,Arrangörslista!Q$143:$AG$180,16,FALSE), "DNS"))),""))</f>
        <v/>
      </c>
      <c r="BR5" s="51"/>
      <c r="BS5" s="50" t="str">
        <f t="shared" si="0"/>
        <v>2</v>
      </c>
      <c r="BT5" s="51"/>
      <c r="BU5" s="71">
        <f t="shared" si="1"/>
        <v>0</v>
      </c>
      <c r="BV5" s="61">
        <f t="shared" si="2"/>
        <v>0</v>
      </c>
      <c r="BW5" s="61">
        <f t="shared" si="3"/>
        <v>0</v>
      </c>
      <c r="BX5" s="61">
        <f t="shared" si="4"/>
        <v>0</v>
      </c>
      <c r="BY5" s="61">
        <f t="shared" si="5"/>
        <v>0</v>
      </c>
      <c r="BZ5" s="61">
        <f t="shared" si="6"/>
        <v>0</v>
      </c>
      <c r="CA5" s="61">
        <f t="shared" si="7"/>
        <v>0</v>
      </c>
      <c r="CB5" s="61">
        <f t="shared" si="8"/>
        <v>0</v>
      </c>
      <c r="CC5" s="61">
        <f t="shared" si="9"/>
        <v>0</v>
      </c>
      <c r="CD5" s="61">
        <f t="shared" si="10"/>
        <v>0</v>
      </c>
      <c r="CE5" s="61">
        <f t="shared" si="11"/>
        <v>0</v>
      </c>
      <c r="CF5" s="61">
        <f t="shared" si="12"/>
        <v>0</v>
      </c>
      <c r="CG5" s="61">
        <f t="shared" si="13"/>
        <v>0</v>
      </c>
      <c r="CH5" s="61">
        <f t="shared" si="14"/>
        <v>0</v>
      </c>
      <c r="CI5" s="61">
        <f t="shared" si="15"/>
        <v>0</v>
      </c>
      <c r="CJ5" s="61">
        <f t="shared" si="16"/>
        <v>0</v>
      </c>
      <c r="CK5" s="61">
        <f t="shared" si="17"/>
        <v>0</v>
      </c>
      <c r="CL5" s="61">
        <f t="shared" si="18"/>
        <v>0</v>
      </c>
      <c r="CM5" s="61">
        <f t="shared" si="19"/>
        <v>0</v>
      </c>
      <c r="CN5" s="61">
        <f t="shared" si="20"/>
        <v>0</v>
      </c>
      <c r="CO5" s="61">
        <f t="shared" si="21"/>
        <v>0</v>
      </c>
      <c r="CP5" s="61">
        <f t="shared" si="22"/>
        <v>0</v>
      </c>
      <c r="CQ5" s="61">
        <f t="shared" si="23"/>
        <v>0</v>
      </c>
      <c r="CR5" s="61">
        <f t="shared" si="24"/>
        <v>0</v>
      </c>
      <c r="CS5" s="61">
        <f t="shared" si="25"/>
        <v>0</v>
      </c>
      <c r="CT5" s="61">
        <f t="shared" si="26"/>
        <v>0</v>
      </c>
      <c r="CU5" s="61">
        <f t="shared" si="27"/>
        <v>0</v>
      </c>
      <c r="CV5" s="61">
        <f t="shared" si="28"/>
        <v>0</v>
      </c>
      <c r="CW5" s="61">
        <f t="shared" si="29"/>
        <v>0</v>
      </c>
      <c r="CX5" s="61">
        <f t="shared" si="30"/>
        <v>0</v>
      </c>
      <c r="CY5" s="61">
        <f t="shared" si="31"/>
        <v>0</v>
      </c>
      <c r="CZ5" s="61">
        <f t="shared" si="32"/>
        <v>0</v>
      </c>
      <c r="DA5" s="61">
        <f t="shared" si="33"/>
        <v>0</v>
      </c>
      <c r="DB5" s="61">
        <f t="shared" si="34"/>
        <v>0</v>
      </c>
      <c r="DC5" s="61">
        <f t="shared" si="35"/>
        <v>0</v>
      </c>
      <c r="DD5" s="61">
        <f t="shared" si="36"/>
        <v>0</v>
      </c>
      <c r="DE5" s="61">
        <f t="shared" si="37"/>
        <v>0</v>
      </c>
      <c r="DF5" s="61">
        <f t="shared" si="38"/>
        <v>0</v>
      </c>
      <c r="DG5" s="61">
        <f t="shared" si="39"/>
        <v>0</v>
      </c>
      <c r="DH5" s="61">
        <f t="shared" si="40"/>
        <v>0</v>
      </c>
      <c r="DI5" s="61">
        <f t="shared" si="41"/>
        <v>0</v>
      </c>
      <c r="DJ5" s="61">
        <f t="shared" si="42"/>
        <v>0</v>
      </c>
      <c r="DK5" s="61">
        <f t="shared" si="43"/>
        <v>0</v>
      </c>
      <c r="DL5" s="61">
        <f t="shared" si="44"/>
        <v>0</v>
      </c>
      <c r="DM5" s="61">
        <f t="shared" si="45"/>
        <v>0</v>
      </c>
      <c r="DN5" s="61">
        <f t="shared" si="46"/>
        <v>0</v>
      </c>
      <c r="DO5" s="61">
        <f t="shared" si="47"/>
        <v>0</v>
      </c>
      <c r="DP5" s="61">
        <f t="shared" si="48"/>
        <v>0</v>
      </c>
      <c r="DQ5" s="61">
        <f t="shared" si="49"/>
        <v>0</v>
      </c>
      <c r="DR5" s="61">
        <f t="shared" si="50"/>
        <v>0</v>
      </c>
      <c r="DS5" s="61">
        <f t="shared" si="51"/>
        <v>0</v>
      </c>
      <c r="DT5" s="61">
        <f t="shared" si="52"/>
        <v>0</v>
      </c>
      <c r="DU5" s="61">
        <f t="shared" si="53"/>
        <v>0</v>
      </c>
      <c r="DV5" s="61">
        <f t="shared" si="54"/>
        <v>0</v>
      </c>
      <c r="DW5" s="61">
        <f t="shared" si="55"/>
        <v>0</v>
      </c>
      <c r="DX5" s="61">
        <f t="shared" si="56"/>
        <v>0</v>
      </c>
      <c r="DY5" s="61">
        <f t="shared" si="57"/>
        <v>0</v>
      </c>
      <c r="DZ5" s="61">
        <f t="shared" si="58"/>
        <v>0</v>
      </c>
      <c r="EA5" s="61">
        <f t="shared" si="59"/>
        <v>0</v>
      </c>
      <c r="EB5" s="61">
        <f t="shared" si="60"/>
        <v>0</v>
      </c>
      <c r="EC5" s="61">
        <f t="shared" si="61"/>
        <v>0</v>
      </c>
      <c r="EE5" s="61">
        <f xml:space="preserve">
IF(OR(Deltagarlista!$K$3=3,Deltagarlista!$K$3=4),
IF(Arrangörslista!$U$5&lt;8,0,
IF(Arrangörslista!$U$5&lt;16,SUM(LARGE(BV5:CJ5,1)),
IF(Arrangörslista!$U$5&lt;24,SUM(LARGE(BV5:CR5,{1;2})),
IF(Arrangörslista!$U$5&lt;32,SUM(LARGE(BV5:CZ5,{1;2;3})),
IF(Arrangörslista!$U$5&lt;40,SUM(LARGE(BV5:DH5,{1;2;3;4})),
IF(Arrangörslista!$U$5&lt;48,SUM(LARGE(BV5:DP5,{1;2;3;4;5})),
IF(Arrangörslista!$U$5&lt;56,SUM(LARGE(BV5:DX5,{1;2;3;4;5;6})),
IF(Arrangörslista!$U$5&lt;64,SUM(LARGE(BV5:EC5,{1;2;3;4;5;6;7})),0)))))))),
IF(Deltagarlista!$K$3=2,
IF(Arrangörslista!$U$5&lt;4,LARGE(BV5:BX5,1),
IF(Arrangörslista!$U$5&lt;7,SUM(LARGE(BV5:CA5,{1;2;3})),
IF(Arrangörslista!$U$5&lt;10,SUM(LARGE(BV5:CD5,{1;2;3;4})),
IF(Arrangörslista!$U$5&lt;13,SUM(LARGE(BV5:CG5,{1;2;3;4;5;6})),
IF(Arrangörslista!$U$5&lt;16,SUM(LARGE(BV5:CJ5,{1;2;3;4;5;6;7})),
IF(Arrangörslista!$U$5&lt;19,SUM(LARGE(BV5:CM5,{1;2;3;4;5;6;7;8;9})),
IF(Arrangörslista!$U$5&lt;22,SUM(LARGE(BV5:CP5,{1;2;3;4;5;6;7;8;9;10})),
IF(Arrangörslista!$U$5&lt;25,SUM(LARGE(BV5:CS5,{1;2;3;4;5;6;7;8;9;10;11;12})),
IF(Arrangörslista!$U$5&lt;28,SUM(LARGE(BV5:CV5,{1;2;3;4;5;6;7;8;9;10;11;12;13})),
IF(Arrangörslista!$U$5&lt;31,SUM(LARGE(BV5:CY5,{1;2;3;4;5;6;7;8;9;10;11;12;13;14;15})),
IF(Arrangörslista!$U$5&lt;34,SUM(LARGE(BV5:DB5,{1;2;3;4;5;6;7;8;9;10;11;12;13;14;15;16})),
IF(Arrangörslista!$U$5&lt;37,SUM(LARGE(BV5:DE5,{1;2;3;4;5;6;7;8;9;10;11;12;13;14;15;16;17;18})),
IF(Arrangörslista!$U$5&lt;40,SUM(LARGE(BV5:DH5,{1;2;3;4;5;6;7;8;9;10;11;12;13;14;15;16;17;18;19})),
IF(Arrangörslista!$U$5&lt;43,SUM(LARGE(BV5:DK5,{1;2;3;4;5;6;7;8;9;10;11;12;13;14;15;16;17;18;19;20;21})),
IF(Arrangörslista!$U$5&lt;46,SUM(LARGE(BV5:DN5,{1;2;3;4;5;6;7;8;9;10;11;12;13;14;15;16;17;18;19;20;21;22})),
IF(Arrangörslista!$U$5&lt;49,SUM(LARGE(BV5:DQ5,{1;2;3;4;5;6;7;8;9;10;11;12;13;14;15;16;17;18;19;20;21;22;23;24})),
IF(Arrangörslista!$U$5&lt;52,SUM(LARGE(BV5:DT5,{1;2;3;4;5;6;7;8;9;10;11;12;13;14;15;16;17;18;19;20;21;22;23;24;25})),
IF(Arrangörslista!$U$5&lt;55,SUM(LARGE(BV5:DW5,{1;2;3;4;5;6;7;8;9;10;11;12;13;14;15;16;17;18;19;20;21;22;23;24;25;26;27})),
IF(Arrangörslista!$U$5&lt;58,SUM(LARGE(BV5:DZ5,{1;2;3;4;5;6;7;8;9;10;11;12;13;14;15;16;17;18;19;20;21;22;23;24;25;26;27;28})),
IF(Arrangörslista!$U$5&lt;61,SUM(LARGE(BV5:EC5,{1;2;3;4;5;6;7;8;9;10;11;12;13;14;15;16;17;18;19;20;21;22;23;24;25;26;27;28;29;30})),0)))))))))))))))))))),
IF(Arrangörslista!$U$5&lt;4,0,
IF(Arrangörslista!$U$5&lt;8,SUM(LARGE(BV5:CB5,1)),
IF(Arrangörslista!$U$5&lt;12,SUM(LARGE(BV5:CF5,{1;2})),
IF(Arrangörslista!$U$5&lt;16,SUM(LARGE(BV5:CJ5,{1;2;3})),
IF(Arrangörslista!$U$5&lt;20,SUM(LARGE(BV5:CN5,{1;2;3;4})),
IF(Arrangörslista!$U$5&lt;24,SUM(LARGE(BV5:CR5,{1;2;3;4;5})),
IF(Arrangörslista!$U$5&lt;28,SUM(LARGE(BV5:CV5,{1;2;3;4;5;6})),
IF(Arrangörslista!$U$5&lt;32,SUM(LARGE(BV5:CZ5,{1;2;3;4;5;6;7})),
IF(Arrangörslista!$U$5&lt;36,SUM(LARGE(BV5:DD5,{1;2;3;4;5;6;7;8})),
IF(Arrangörslista!$U$5&lt;40,SUM(LARGE(BV5:DH5,{1;2;3;4;5;6;7;8;9})),
IF(Arrangörslista!$U$5&lt;44,SUM(LARGE(BV5:DL5,{1;2;3;4;5;6;7;8;9;10})),
IF(Arrangörslista!$U$5&lt;48,SUM(LARGE(BV5:DP5,{1;2;3;4;5;6;7;8;9;10;11})),
IF(Arrangörslista!$U$5&lt;52,SUM(LARGE(BV5:DT5,{1;2;3;4;5;6;7;8;9;10;11;12})),
IF(Arrangörslista!$U$5&lt;56,SUM(LARGE(BV5:DX5,{1;2;3;4;5;6;7;8;9;10;11;12;13})),
IF(Arrangörslista!$U$5&lt;60,SUM(LARGE(BV5:EB5,{1;2;3;4;5;6;7;8;9;10;11;12;13;14})),
IF(Arrangörslista!$U$5=60,SUM(LARGE(BV5:EC5,{1;2;3;4;5;6;7;8;9;10;11;12;13;14;15})),0))))))))))))))))))</f>
        <v>0</v>
      </c>
      <c r="EG5" s="67">
        <f t="shared" si="62"/>
        <v>0</v>
      </c>
      <c r="EH5" s="61"/>
      <c r="EI5" s="61"/>
      <c r="EK5" s="62">
        <f t="shared" si="63"/>
        <v>61</v>
      </c>
      <c r="EL5" s="62">
        <f t="shared" si="64"/>
        <v>61</v>
      </c>
      <c r="EM5" s="62">
        <f t="shared" si="65"/>
        <v>61</v>
      </c>
      <c r="EN5" s="62">
        <f t="shared" si="66"/>
        <v>61</v>
      </c>
      <c r="EO5" s="62">
        <f t="shared" si="67"/>
        <v>61</v>
      </c>
      <c r="EP5" s="62">
        <f t="shared" si="68"/>
        <v>61</v>
      </c>
      <c r="EQ5" s="62">
        <f t="shared" si="69"/>
        <v>61</v>
      </c>
      <c r="ER5" s="62">
        <f t="shared" si="70"/>
        <v>61</v>
      </c>
      <c r="ES5" s="62">
        <f t="shared" si="71"/>
        <v>61</v>
      </c>
      <c r="ET5" s="62">
        <f t="shared" si="72"/>
        <v>61</v>
      </c>
      <c r="EU5" s="62">
        <f t="shared" si="73"/>
        <v>61</v>
      </c>
      <c r="EV5" s="62">
        <f t="shared" si="74"/>
        <v>61</v>
      </c>
      <c r="EW5" s="62">
        <f t="shared" si="75"/>
        <v>61</v>
      </c>
      <c r="EX5" s="62">
        <f t="shared" si="76"/>
        <v>61</v>
      </c>
      <c r="EY5" s="62">
        <f t="shared" si="77"/>
        <v>61</v>
      </c>
      <c r="EZ5" s="62">
        <f t="shared" si="78"/>
        <v>61</v>
      </c>
      <c r="FA5" s="62">
        <f t="shared" si="79"/>
        <v>61</v>
      </c>
      <c r="FB5" s="62">
        <f t="shared" si="80"/>
        <v>61</v>
      </c>
      <c r="FC5" s="62">
        <f t="shared" si="81"/>
        <v>61</v>
      </c>
      <c r="FD5" s="62">
        <f t="shared" si="82"/>
        <v>61</v>
      </c>
      <c r="FE5" s="62">
        <f t="shared" si="83"/>
        <v>61</v>
      </c>
      <c r="FF5" s="62">
        <f t="shared" si="84"/>
        <v>61</v>
      </c>
      <c r="FG5" s="62">
        <f t="shared" si="85"/>
        <v>61</v>
      </c>
      <c r="FH5" s="62">
        <f t="shared" si="86"/>
        <v>61</v>
      </c>
      <c r="FI5" s="62">
        <f t="shared" si="87"/>
        <v>61</v>
      </c>
      <c r="FJ5" s="62">
        <f t="shared" si="88"/>
        <v>61</v>
      </c>
      <c r="FK5" s="62">
        <f t="shared" si="89"/>
        <v>61</v>
      </c>
      <c r="FL5" s="62">
        <f t="shared" si="90"/>
        <v>61</v>
      </c>
      <c r="FM5" s="62">
        <f t="shared" si="91"/>
        <v>61</v>
      </c>
      <c r="FN5" s="62">
        <f t="shared" si="92"/>
        <v>61</v>
      </c>
      <c r="FO5" s="62">
        <f t="shared" si="93"/>
        <v>61</v>
      </c>
      <c r="FP5" s="62">
        <f t="shared" si="94"/>
        <v>61</v>
      </c>
      <c r="FQ5" s="62">
        <f t="shared" si="95"/>
        <v>61</v>
      </c>
      <c r="FR5" s="62">
        <f t="shared" si="96"/>
        <v>61</v>
      </c>
      <c r="FS5" s="62">
        <f t="shared" si="97"/>
        <v>61</v>
      </c>
      <c r="FT5" s="62">
        <f t="shared" si="98"/>
        <v>61</v>
      </c>
      <c r="FU5" s="62">
        <f t="shared" si="99"/>
        <v>61</v>
      </c>
      <c r="FV5" s="62">
        <f t="shared" si="100"/>
        <v>61</v>
      </c>
      <c r="FW5" s="62">
        <f t="shared" si="101"/>
        <v>61</v>
      </c>
      <c r="FX5" s="62">
        <f t="shared" si="102"/>
        <v>61</v>
      </c>
      <c r="FY5" s="62">
        <f t="shared" si="103"/>
        <v>61</v>
      </c>
      <c r="FZ5" s="62">
        <f t="shared" si="104"/>
        <v>61</v>
      </c>
      <c r="GA5" s="62">
        <f t="shared" si="105"/>
        <v>61</v>
      </c>
      <c r="GB5" s="62">
        <f t="shared" si="106"/>
        <v>61</v>
      </c>
      <c r="GC5" s="62">
        <f t="shared" si="107"/>
        <v>61</v>
      </c>
      <c r="GD5" s="62">
        <f t="shared" si="108"/>
        <v>61</v>
      </c>
      <c r="GE5" s="62">
        <f t="shared" si="109"/>
        <v>61</v>
      </c>
      <c r="GF5" s="62">
        <f t="shared" si="110"/>
        <v>61</v>
      </c>
      <c r="GG5" s="62">
        <f t="shared" si="111"/>
        <v>61</v>
      </c>
      <c r="GH5" s="62">
        <f t="shared" si="112"/>
        <v>61</v>
      </c>
      <c r="GI5" s="62">
        <f t="shared" si="113"/>
        <v>61</v>
      </c>
      <c r="GJ5" s="62">
        <f t="shared" si="114"/>
        <v>61</v>
      </c>
      <c r="GK5" s="62">
        <f t="shared" si="115"/>
        <v>61</v>
      </c>
      <c r="GL5" s="62">
        <f t="shared" si="116"/>
        <v>61</v>
      </c>
      <c r="GM5" s="62">
        <f t="shared" si="117"/>
        <v>61</v>
      </c>
      <c r="GN5" s="62">
        <f t="shared" si="118"/>
        <v>61</v>
      </c>
      <c r="GO5" s="62">
        <f t="shared" si="119"/>
        <v>61</v>
      </c>
      <c r="GP5" s="62">
        <f t="shared" si="120"/>
        <v>61</v>
      </c>
      <c r="GQ5" s="62">
        <f t="shared" si="121"/>
        <v>61</v>
      </c>
      <c r="GR5" s="62">
        <f t="shared" si="122"/>
        <v>61</v>
      </c>
      <c r="GT5" s="62">
        <f>IF(Deltagarlista!$K$3=2,
IF(GW5="1",
      IF(Arrangörslista!$U$5=1,J68,
IF(Arrangörslista!$U$5=2,K68,
IF(Arrangörslista!$U$5=3,L68,
IF(Arrangörslista!$U$5=4,M68,
IF(Arrangörslista!$U$5=5,N68,
IF(Arrangörslista!$U$5=6,O68,
IF(Arrangörslista!$U$5=7,P68,
IF(Arrangörslista!$U$5=8,Q68,
IF(Arrangörslista!$U$5=9,R68,
IF(Arrangörslista!$U$5=10,S68,
IF(Arrangörslista!$U$5=11,T68,
IF(Arrangörslista!$U$5=12,U68,
IF(Arrangörslista!$U$5=13,V68,
IF(Arrangörslista!$U$5=14,W68,
IF(Arrangörslista!$U$5=15,X68,
IF(Arrangörslista!$U$5=16,Y68,IF(Arrangörslista!$U$5=17,Z68,IF(Arrangörslista!$U$5=18,AA68,IF(Arrangörslista!$U$5=19,AB68,IF(Arrangörslista!$U$5=20,AC68,IF(Arrangörslista!$U$5=21,AD68,IF(Arrangörslista!$U$5=22,AE68,IF(Arrangörslista!$U$5=23,AF68, IF(Arrangörslista!$U$5=24,AG68, IF(Arrangörslista!$U$5=25,AH68, IF(Arrangörslista!$U$5=26,AI68, IF(Arrangörslista!$U$5=27,AJ68, IF(Arrangörslista!$U$5=28,AK68, IF(Arrangörslista!$U$5=29,AL68, IF(Arrangörslista!$U$5=30,AM68, IF(Arrangörslista!$U$5=31,AN68, IF(Arrangörslista!$U$5=32,AO68, IF(Arrangörslista!$U$5=33,AP68, IF(Arrangörslista!$U$5=34,AQ68, IF(Arrangörslista!$U$5=35,AR68, IF(Arrangörslista!$U$5=36,AS68, IF(Arrangörslista!$U$5=37,AT68, IF(Arrangörslista!$U$5=38,AU68, IF(Arrangörslista!$U$5=39,AV68, IF(Arrangörslista!$U$5=40,AW68, IF(Arrangörslista!$U$5=41,AX68, IF(Arrangörslista!$U$5=42,AY68, IF(Arrangörslista!$U$5=43,AZ68, IF(Arrangörslista!$U$5=44,BA68, IF(Arrangörslista!$U$5=45,BB68, IF(Arrangörslista!$U$5=46,BC68, IF(Arrangörslista!$U$5=47,BD68, IF(Arrangörslista!$U$5=48,BE68, IF(Arrangörslista!$U$5=49,BF68, IF(Arrangörslista!$U$5=50,BG68, IF(Arrangörslista!$U$5=51,BH68, IF(Arrangörslista!$U$5=52,BI68, IF(Arrangörslista!$U$5=53,BJ68, IF(Arrangörslista!$U$5=54,BK68, IF(Arrangörslista!$U$5=55,BL68, IF(Arrangörslista!$U$5=56,BM68, IF(Arrangörslista!$U$5=57,BN68, IF(Arrangörslista!$U$5=58,BO68, IF(Arrangörslista!$U$5=59,BP68, IF(Arrangörslista!$U$5=60,BQ68,0))))))))))))))))))))))))))))))))))))))))))))))))))))))))))))),IF(Deltagarlista!$K$3=4, IF(Arrangörslista!$U$5=1,J68,
IF(Arrangörslista!$U$5=2,J68,
IF(Arrangörslista!$U$5=3,K68,
IF(Arrangörslista!$U$5=4,K68,
IF(Arrangörslista!$U$5=5,L68,
IF(Arrangörslista!$U$5=6,L68,
IF(Arrangörslista!$U$5=7,M68,
IF(Arrangörslista!$U$5=8,M68,
IF(Arrangörslista!$U$5=9,N68,
IF(Arrangörslista!$U$5=10,N68,
IF(Arrangörslista!$U$5=11,O68,
IF(Arrangörslista!$U$5=12,O68,
IF(Arrangörslista!$U$5=13,P68,
IF(Arrangörslista!$U$5=14,P68,
IF(Arrangörslista!$U$5=15,Q68,
IF(Arrangörslista!$U$5=16,Q68,
IF(Arrangörslista!$U$5=17,R68,
IF(Arrangörslista!$U$5=18,R68,
IF(Arrangörslista!$U$5=19,S68,
IF(Arrangörslista!$U$5=20,S68,
IF(Arrangörslista!$U$5=21,T68,
IF(Arrangörslista!$U$5=22,T68,IF(Arrangörslista!$U$5=23,U68, IF(Arrangörslista!$U$5=24,U68, IF(Arrangörslista!$U$5=25,V68, IF(Arrangörslista!$U$5=26,V68, IF(Arrangörslista!$U$5=27,W68, IF(Arrangörslista!$U$5=28,W68, IF(Arrangörslista!$U$5=29,X68, IF(Arrangörslista!$U$5=30,X68, IF(Arrangörslista!$U$5=31,X68, IF(Arrangörslista!$U$5=32,Y68, IF(Arrangörslista!$U$5=33,AO68, IF(Arrangörslista!$U$5=34,Y68, IF(Arrangörslista!$U$5=35,Z68, IF(Arrangörslista!$U$5=36,AR68, IF(Arrangörslista!$U$5=37,Z68, IF(Arrangörslista!$U$5=38,AA68, IF(Arrangörslista!$U$5=39,AU68, IF(Arrangörslista!$U$5=40,AA68, IF(Arrangörslista!$U$5=41,AB68, IF(Arrangörslista!$U$5=42,AX68, IF(Arrangörslista!$U$5=43,AB68, IF(Arrangörslista!$U$5=44,AC68, IF(Arrangörslista!$U$5=45,BA68, IF(Arrangörslista!$U$5=46,AC68, IF(Arrangörslista!$U$5=47,AD68, IF(Arrangörslista!$U$5=48,BD68, IF(Arrangörslista!$U$5=49,AD68, IF(Arrangörslista!$U$5=50,AE68, IF(Arrangörslista!$U$5=51,BG68, IF(Arrangörslista!$U$5=52,AE68, IF(Arrangörslista!$U$5=53,AF68, IF(Arrangörslista!$U$5=54,BJ68, IF(Arrangörslista!$U$5=55,AF68, IF(Arrangörslista!$U$5=56,AG68, IF(Arrangörslista!$U$5=57,BM68, IF(Arrangörslista!$U$5=58,AG68, IF(Arrangörslista!$U$5=59,AH68, IF(Arrangörslista!$U$5=60,AH68,0)))))))))))))))))))))))))))))))))))))))))))))))))))))))))))),IF(Arrangörslista!$U$5=1,J68,
IF(Arrangörslista!$U$5=2,K68,
IF(Arrangörslista!$U$5=3,L68,
IF(Arrangörslista!$U$5=4,M68,
IF(Arrangörslista!$U$5=5,N68,
IF(Arrangörslista!$U$5=6,O68,
IF(Arrangörslista!$U$5=7,P68,
IF(Arrangörslista!$U$5=8,Q68,
IF(Arrangörslista!$U$5=9,R68,
IF(Arrangörslista!$U$5=10,S68,
IF(Arrangörslista!$U$5=11,T68,
IF(Arrangörslista!$U$5=12,U68,
IF(Arrangörslista!$U$5=13,V68,
IF(Arrangörslista!$U$5=14,W68,
IF(Arrangörslista!$U$5=15,X68,
IF(Arrangörslista!$U$5=16,Y68,IF(Arrangörslista!$U$5=17,Z68,IF(Arrangörslista!$U$5=18,AA68,IF(Arrangörslista!$U$5=19,AB68,IF(Arrangörslista!$U$5=20,AC68,IF(Arrangörslista!$U$5=21,AD68,IF(Arrangörslista!$U$5=22,AE68,IF(Arrangörslista!$U$5=23,AF68, IF(Arrangörslista!$U$5=24,AG68, IF(Arrangörslista!$U$5=25,AH68, IF(Arrangörslista!$U$5=26,AI68, IF(Arrangörslista!$U$5=27,AJ68, IF(Arrangörslista!$U$5=28,AK68, IF(Arrangörslista!$U$5=29,AL68, IF(Arrangörslista!$U$5=30,AM68, IF(Arrangörslista!$U$5=31,AN68, IF(Arrangörslista!$U$5=32,AO68, IF(Arrangörslista!$U$5=33,AP68, IF(Arrangörslista!$U$5=34,AQ68, IF(Arrangörslista!$U$5=35,AR68, IF(Arrangörslista!$U$5=36,AS68, IF(Arrangörslista!$U$5=37,AT68, IF(Arrangörslista!$U$5=38,AU68, IF(Arrangörslista!$U$5=39,AV68, IF(Arrangörslista!$U$5=40,AW68, IF(Arrangörslista!$U$5=41,AX68, IF(Arrangörslista!$U$5=42,AY68, IF(Arrangörslista!$U$5=43,AZ68, IF(Arrangörslista!$U$5=44,BA68, IF(Arrangörslista!$U$5=45,BB68, IF(Arrangörslista!$U$5=46,BC68, IF(Arrangörslista!$U$5=47,BD68, IF(Arrangörslista!$U$5=48,BE68, IF(Arrangörslista!$U$5=49,BF68, IF(Arrangörslista!$U$5=50,BG68, IF(Arrangörslista!$U$5=51,BH68, IF(Arrangörslista!$U$5=52,BI68, IF(Arrangörslista!$U$5=53,BJ68, IF(Arrangörslista!$U$5=54,BK68, IF(Arrangörslista!$U$5=55,BL68, IF(Arrangörslista!$U$5=56,BM68, IF(Arrangörslista!$U$5=57,BN68, IF(Arrangörslista!$U$5=58,BO68, IF(Arrangörslista!$U$5=59,BP68, IF(Arrangörslista!$U$5=60,BQ68,0))))))))))))))))))))))))))))))))))))))))))))))))))))))))))))
))</f>
        <v>0</v>
      </c>
      <c r="GV5" s="65" t="str">
        <f>IFERROR(IF(VLOOKUP(F5,Deltagarlista!$E$5:$I$64,5,FALSE)="Grön","Gr",IF(VLOOKUP(F5,Deltagarlista!$E$5:$I$64,5,FALSE)="Röd","R",IF(VLOOKUP(F5,Deltagarlista!$E$5:$I$64,5,FALSE)="Blå","B","Gu"))),"")</f>
        <v/>
      </c>
      <c r="GW5" s="62" t="str">
        <f t="shared" ref="GW5:GW9" si="123">IF(GV5="","",IF(AND($GX$2="R/B",OR(GV5="R",GV5="B")),"1",IF(AND($GX$2="G/R",OR(GV5="R",GV5="G")),"1",IF(AND($GX$2="G/B",OR(GV5="B",GV5="G")),"1","2"))))</f>
        <v/>
      </c>
    </row>
    <row r="6" spans="1:206" x14ac:dyDescent="0.3">
      <c r="B6" s="23" t="str">
        <f>IF((COUNTIF(Deltagarlista!$H$5:$H$64,"GM"))&gt;2,3,"")</f>
        <v/>
      </c>
      <c r="C6" s="92" t="str">
        <f>IF(ISBLANK(Deltagarlista!C35),"",Deltagarlista!C35)</f>
        <v/>
      </c>
      <c r="D6" s="109" t="str">
        <f>CONCATENATE(IF(Deltagarlista!H35="GM","GM   ",""), IF(OR(Deltagarlista!$K$3=4,Deltagarlista!$K$3=2),Deltagarlista!I35,""))</f>
        <v/>
      </c>
      <c r="E6" s="8" t="str">
        <f>IF(ISBLANK(Deltagarlista!D35),"",Deltagarlista!D35)</f>
        <v/>
      </c>
      <c r="F6" s="8" t="str">
        <f>IF(ISBLANK(Deltagarlista!E35),"",Deltagarlista!E35)</f>
        <v/>
      </c>
      <c r="G6" s="95" t="str">
        <f>IF(ISBLANK(Deltagarlista!F35),"",Deltagarlista!F35)</f>
        <v/>
      </c>
      <c r="H6" s="72" t="str">
        <f>IF(ISBLANK(Deltagarlista!C35),"",BU6-EE6)</f>
        <v/>
      </c>
      <c r="I6" s="13" t="str">
        <f>IF(ISBLANK(Deltagarlista!C35),"",IF(AND(Deltagarlista!$K$3=2,Deltagarlista!$L$3&lt;37),SUM(SUM(BV6:EC6)-(ROUNDDOWN(Arrangörslista!$U$5/3,1))*($BW$3+1)),SUM(BV6:EC6)))</f>
        <v/>
      </c>
      <c r="J6" s="79" t="str">
        <f>IF(Deltagarlista!$K$3=4,IF(ISBLANK(Deltagarlista!$C35),"",IF(ISBLANK(Arrangörslista!C$8),"",IFERROR(VLOOKUP($F6,Arrangörslista!C$8:$AG$45,16,FALSE),IF(ISBLANK(Deltagarlista!$C35),"",IF(ISBLANK(Arrangörslista!C$8),"",IFERROR(VLOOKUP($F6,Arrangörslista!D$8:$AG$45,16,FALSE),"DNS")))))),IF(Deltagarlista!$K$3=2,
IF(ISBLANK(Deltagarlista!$C35),"",IF(ISBLANK(Arrangörslista!C$8),"",IF($GV6=J$64," DNS ",IFERROR(VLOOKUP($F6,Arrangörslista!C$8:$AG$45,16,FALSE),"DNS")))),IF(ISBLANK(Deltagarlista!$C35),"",IF(ISBLANK(Arrangörslista!C$8),"",IFERROR(VLOOKUP($F6,Arrangörslista!C$8:$AG$45,16,FALSE),"DNS")))))</f>
        <v/>
      </c>
      <c r="K6" s="5" t="str">
        <f>IF(Deltagarlista!$K$3=4,IF(ISBLANK(Deltagarlista!$C35),"",IF(ISBLANK(Arrangörslista!E$8),"",IFERROR(VLOOKUP($F6,Arrangörslista!E$8:$AG$45,16,FALSE),IF(ISBLANK(Deltagarlista!$C35),"",IF(ISBLANK(Arrangörslista!E$8),"",IFERROR(VLOOKUP($F6,Arrangörslista!F$8:$AG$45,16,FALSE),"DNS")))))),IF(Deltagarlista!$K$3=2,
IF(ISBLANK(Deltagarlista!$C35),"",IF(ISBLANK(Arrangörslista!D$8),"",IF($GV6=K$64," DNS ",IFERROR(VLOOKUP($F6,Arrangörslista!D$8:$AG$45,16,FALSE),"DNS")))),IF(ISBLANK(Deltagarlista!$C35),"",IF(ISBLANK(Arrangörslista!D$8),"",IFERROR(VLOOKUP($F6,Arrangörslista!D$8:$AG$45,16,FALSE),"DNS")))))</f>
        <v/>
      </c>
      <c r="L6" s="5" t="str">
        <f>IF(Deltagarlista!$K$3=4,IF(ISBLANK(Deltagarlista!$C35),"",IF(ISBLANK(Arrangörslista!G$8),"",IFERROR(VLOOKUP($F6,Arrangörslista!G$8:$AG$45,16,FALSE),IF(ISBLANK(Deltagarlista!$C35),"",IF(ISBLANK(Arrangörslista!G$8),"",IFERROR(VLOOKUP($F6,Arrangörslista!H$8:$AG$45,16,FALSE),"DNS")))))),IF(Deltagarlista!$K$3=2,
IF(ISBLANK(Deltagarlista!$C35),"",IF(ISBLANK(Arrangörslista!E$8),"",IF($GV6=L$64," DNS ",IFERROR(VLOOKUP($F6,Arrangörslista!E$8:$AG$45,16,FALSE),"DNS")))),IF(ISBLANK(Deltagarlista!$C35),"",IF(ISBLANK(Arrangörslista!E$8),"",IFERROR(VLOOKUP($F6,Arrangörslista!E$8:$AG$45,16,FALSE),"DNS")))))</f>
        <v/>
      </c>
      <c r="M6" s="5" t="str">
        <f>IF(Deltagarlista!$K$3=4,IF(ISBLANK(Deltagarlista!$C35),"",IF(ISBLANK(Arrangörslista!I$8),"",IFERROR(VLOOKUP($F6,Arrangörslista!I$8:$AG$45,16,FALSE),IF(ISBLANK(Deltagarlista!$C35),"",IF(ISBLANK(Arrangörslista!I$8),"",IFERROR(VLOOKUP($F6,Arrangörslista!J$8:$AG$45,16,FALSE),"DNS")))))),IF(Deltagarlista!$K$3=2,
IF(ISBLANK(Deltagarlista!$C35),"",IF(ISBLANK(Arrangörslista!F$8),"",IF($GV6=M$64," DNS ",IFERROR(VLOOKUP($F6,Arrangörslista!F$8:$AG$45,16,FALSE),"DNS")))),IF(ISBLANK(Deltagarlista!$C35),"",IF(ISBLANK(Arrangörslista!F$8),"",IFERROR(VLOOKUP($F6,Arrangörslista!F$8:$AG$45,16,FALSE),"DNS")))))</f>
        <v/>
      </c>
      <c r="N6" s="5" t="str">
        <f>IF(Deltagarlista!$K$3=4,IF(ISBLANK(Deltagarlista!$C35),"",IF(ISBLANK(Arrangörslista!K$8),"",IFERROR(VLOOKUP($F6,Arrangörslista!K$8:$AG$45,16,FALSE),IF(ISBLANK(Deltagarlista!$C35),"",IF(ISBLANK(Arrangörslista!K$8),"",IFERROR(VLOOKUP($F6,Arrangörslista!L$8:$AG$45,16,FALSE),"DNS")))))),IF(Deltagarlista!$K$3=2,
IF(ISBLANK(Deltagarlista!$C35),"",IF(ISBLANK(Arrangörslista!G$8),"",IF($GV6=N$64," DNS ",IFERROR(VLOOKUP($F6,Arrangörslista!G$8:$AG$45,16,FALSE),"DNS")))),IF(ISBLANK(Deltagarlista!$C35),"",IF(ISBLANK(Arrangörslista!G$8),"",IFERROR(VLOOKUP($F6,Arrangörslista!G$8:$AG$45,16,FALSE),"DNS")))))</f>
        <v/>
      </c>
      <c r="O6" s="5" t="str">
        <f>IF(Deltagarlista!$K$3=4,IF(ISBLANK(Deltagarlista!$C35),"",IF(ISBLANK(Arrangörslista!M$8),"",IFERROR(VLOOKUP($F6,Arrangörslista!M$8:$AG$45,16,FALSE),IF(ISBLANK(Deltagarlista!$C35),"",IF(ISBLANK(Arrangörslista!M$8),"",IFERROR(VLOOKUP($F6,Arrangörslista!N$8:$AG$45,16,FALSE),"DNS")))))),IF(Deltagarlista!$K$3=2,
IF(ISBLANK(Deltagarlista!$C35),"",IF(ISBLANK(Arrangörslista!H$8),"",IF($GV6=O$64," DNS ",IFERROR(VLOOKUP($F6,Arrangörslista!H$8:$AG$45,16,FALSE),"DNS")))),IF(ISBLANK(Deltagarlista!$C35),"",IF(ISBLANK(Arrangörslista!H$8),"",IFERROR(VLOOKUP($F6,Arrangörslista!H$8:$AG$45,16,FALSE),"DNS")))))</f>
        <v/>
      </c>
      <c r="P6" s="5" t="str">
        <f>IF(Deltagarlista!$K$3=4,IF(ISBLANK(Deltagarlista!$C35),"",IF(ISBLANK(Arrangörslista!O$8),"",IFERROR(VLOOKUP($F6,Arrangörslista!O$8:$AG$45,16,FALSE),IF(ISBLANK(Deltagarlista!$C35),"",IF(ISBLANK(Arrangörslista!O$8),"",IFERROR(VLOOKUP($F6,Arrangörslista!P$8:$AG$45,16,FALSE),"DNS")))))),IF(Deltagarlista!$K$3=2,
IF(ISBLANK(Deltagarlista!$C35),"",IF(ISBLANK(Arrangörslista!I$8),"",IF($GV6=P$64," DNS ",IFERROR(VLOOKUP($F6,Arrangörslista!I$8:$AG$45,16,FALSE),"DNS")))),IF(ISBLANK(Deltagarlista!$C35),"",IF(ISBLANK(Arrangörslista!I$8),"",IFERROR(VLOOKUP($F6,Arrangörslista!I$8:$AG$45,16,FALSE),"DNS")))))</f>
        <v/>
      </c>
      <c r="Q6" s="5" t="str">
        <f>IF(Deltagarlista!$K$3=4,IF(ISBLANK(Deltagarlista!$C35),"",IF(ISBLANK(Arrangörslista!Q$8),"",IFERROR(VLOOKUP($F6,Arrangörslista!Q$8:$AG$45,16,FALSE),IF(ISBLANK(Deltagarlista!$C35),"",IF(ISBLANK(Arrangörslista!Q$8),"",IFERROR(VLOOKUP($F6,Arrangörslista!C$53:$AG$90,16,FALSE),"DNS")))))),IF(Deltagarlista!$K$3=2,
IF(ISBLANK(Deltagarlista!$C35),"",IF(ISBLANK(Arrangörslista!J$8),"",IF($GV6=Q$64," DNS ",IFERROR(VLOOKUP($F6,Arrangörslista!J$8:$AG$45,16,FALSE),"DNS")))),IF(ISBLANK(Deltagarlista!$C35),"",IF(ISBLANK(Arrangörslista!J$8),"",IFERROR(VLOOKUP($F6,Arrangörslista!J$8:$AG$45,16,FALSE),"DNS")))))</f>
        <v/>
      </c>
      <c r="R6" s="5" t="str">
        <f>IF(Deltagarlista!$K$3=4,IF(ISBLANK(Deltagarlista!$C35),"",IF(ISBLANK(Arrangörslista!D$53),"",IFERROR(VLOOKUP($F6,Arrangörslista!D$53:$AG$90,16,FALSE),IF(ISBLANK(Deltagarlista!$C35),"",IF(ISBLANK(Arrangörslista!D$53),"",IFERROR(VLOOKUP($F6,Arrangörslista!E$53:$AG$90,16,FALSE),"DNS")))))),IF(Deltagarlista!$K$3=2,
IF(ISBLANK(Deltagarlista!$C35),"",IF(ISBLANK(Arrangörslista!K$8),"",IF($GV6=R$64," DNS ",IFERROR(VLOOKUP($F6,Arrangörslista!K$8:$AG$45,16,FALSE),"DNS")))),IF(ISBLANK(Deltagarlista!$C35),"",IF(ISBLANK(Arrangörslista!K$8),"",IFERROR(VLOOKUP($F6,Arrangörslista!K$8:$AG$45,16,FALSE),"DNS")))))</f>
        <v/>
      </c>
      <c r="S6" s="5" t="str">
        <f>IF(Deltagarlista!$K$3=4,IF(ISBLANK(Deltagarlista!$C35),"",IF(ISBLANK(Arrangörslista!F$53),"",IFERROR(VLOOKUP($F6,Arrangörslista!F$53:$AG$90,16,FALSE),IF(ISBLANK(Deltagarlista!$C35),"",IF(ISBLANK(Arrangörslista!F$53),"",IFERROR(VLOOKUP($F6,Arrangörslista!G$53:$AG$90,16,FALSE),"DNS")))))),IF(Deltagarlista!$K$3=2,
IF(ISBLANK(Deltagarlista!$C35),"",IF(ISBLANK(Arrangörslista!L$8),"",IF($GV6=S$64," DNS ",IFERROR(VLOOKUP($F6,Arrangörslista!L$8:$AG$45,16,FALSE),"DNS")))),IF(ISBLANK(Deltagarlista!$C35),"",IF(ISBLANK(Arrangörslista!L$8),"",IFERROR(VLOOKUP($F6,Arrangörslista!L$8:$AG$45,16,FALSE),"DNS")))))</f>
        <v/>
      </c>
      <c r="T6" s="5" t="str">
        <f>IF(Deltagarlista!$K$3=4,IF(ISBLANK(Deltagarlista!$C35),"",IF(ISBLANK(Arrangörslista!H$53),"",IFERROR(VLOOKUP($F6,Arrangörslista!H$53:$AG$90,16,FALSE),IF(ISBLANK(Deltagarlista!$C35),"",IF(ISBLANK(Arrangörslista!H$53),"",IFERROR(VLOOKUP($F6,Arrangörslista!I$53:$AG$90,16,FALSE),"DNS")))))),IF(Deltagarlista!$K$3=2,
IF(ISBLANK(Deltagarlista!$C35),"",IF(ISBLANK(Arrangörslista!M$8),"",IF($GV6=T$64," DNS ",IFERROR(VLOOKUP($F6,Arrangörslista!M$8:$AG$45,16,FALSE),"DNS")))),IF(ISBLANK(Deltagarlista!$C35),"",IF(ISBLANK(Arrangörslista!M$8),"",IFERROR(VLOOKUP($F6,Arrangörslista!M$8:$AG$45,16,FALSE),"DNS")))))</f>
        <v/>
      </c>
      <c r="U6" s="5" t="str">
        <f>IF(Deltagarlista!$K$3=4,IF(ISBLANK(Deltagarlista!$C35),"",IF(ISBLANK(Arrangörslista!J$53),"",IFERROR(VLOOKUP($F6,Arrangörslista!J$53:$AG$90,16,FALSE),IF(ISBLANK(Deltagarlista!$C35),"",IF(ISBLANK(Arrangörslista!J$53),"",IFERROR(VLOOKUP($F6,Arrangörslista!K$53:$AG$90,16,FALSE),"DNS")))))),IF(Deltagarlista!$K$3=2,
IF(ISBLANK(Deltagarlista!$C35),"",IF(ISBLANK(Arrangörslista!N$8),"",IF($GV6=U$64," DNS ",IFERROR(VLOOKUP($F6,Arrangörslista!N$8:$AG$45,16,FALSE),"DNS")))),IF(ISBLANK(Deltagarlista!$C35),"",IF(ISBLANK(Arrangörslista!N$8),"",IFERROR(VLOOKUP($F6,Arrangörslista!N$8:$AG$45,16,FALSE),"DNS")))))</f>
        <v/>
      </c>
      <c r="V6" s="5" t="str">
        <f>IF(Deltagarlista!$K$3=4,IF(ISBLANK(Deltagarlista!$C35),"",IF(ISBLANK(Arrangörslista!L$53),"",IFERROR(VLOOKUP($F6,Arrangörslista!L$53:$AG$90,16,FALSE),IF(ISBLANK(Deltagarlista!$C35),"",IF(ISBLANK(Arrangörslista!L$53),"",IFERROR(VLOOKUP($F6,Arrangörslista!M$53:$AG$90,16,FALSE),"DNS")))))),IF(Deltagarlista!$K$3=2,
IF(ISBLANK(Deltagarlista!$C35),"",IF(ISBLANK(Arrangörslista!O$8),"",IF($GV6=V$64," DNS ",IFERROR(VLOOKUP($F6,Arrangörslista!O$8:$AG$45,16,FALSE),"DNS")))),IF(ISBLANK(Deltagarlista!$C35),"",IF(ISBLANK(Arrangörslista!O$8),"",IFERROR(VLOOKUP($F6,Arrangörslista!O$8:$AG$45,16,FALSE),"DNS")))))</f>
        <v/>
      </c>
      <c r="W6" s="5" t="str">
        <f>IF(Deltagarlista!$K$3=4,IF(ISBLANK(Deltagarlista!$C35),"",IF(ISBLANK(Arrangörslista!N$53),"",IFERROR(VLOOKUP($F6,Arrangörslista!N$53:$AG$90,16,FALSE),IF(ISBLANK(Deltagarlista!$C35),"",IF(ISBLANK(Arrangörslista!N$53),"",IFERROR(VLOOKUP($F6,Arrangörslista!O$53:$AG$90,16,FALSE),"DNS")))))),IF(Deltagarlista!$K$3=2,
IF(ISBLANK(Deltagarlista!$C35),"",IF(ISBLANK(Arrangörslista!P$8),"",IF($GV6=W$64," DNS ",IFERROR(VLOOKUP($F6,Arrangörslista!P$8:$AG$45,16,FALSE),"DNS")))),IF(ISBLANK(Deltagarlista!$C35),"",IF(ISBLANK(Arrangörslista!P$8),"",IFERROR(VLOOKUP($F6,Arrangörslista!P$8:$AG$45,16,FALSE),"DNS")))))</f>
        <v/>
      </c>
      <c r="X6" s="5" t="str">
        <f>IF(Deltagarlista!$K$3=4,IF(ISBLANK(Deltagarlista!$C35),"",IF(ISBLANK(Arrangörslista!P$53),"",IFERROR(VLOOKUP($F6,Arrangörslista!P$53:$AG$90,16,FALSE),IF(ISBLANK(Deltagarlista!$C35),"",IF(ISBLANK(Arrangörslista!P$53),"",IFERROR(VLOOKUP($F6,Arrangörslista!Q$53:$AG$90,16,FALSE),"DNS")))))),IF(Deltagarlista!$K$3=2,
IF(ISBLANK(Deltagarlista!$C35),"",IF(ISBLANK(Arrangörslista!Q$8),"",IF($GV6=X$64," DNS ",IFERROR(VLOOKUP($F6,Arrangörslista!Q$8:$AG$45,16,FALSE),"DNS")))),IF(ISBLANK(Deltagarlista!$C35),"",IF(ISBLANK(Arrangörslista!Q$8),"",IFERROR(VLOOKUP($F6,Arrangörslista!Q$8:$AG$45,16,FALSE),"DNS")))))</f>
        <v/>
      </c>
      <c r="Y6" s="5" t="str">
        <f>IF(Deltagarlista!$K$3=4,IF(ISBLANK(Deltagarlista!$C35),"",IF(ISBLANK(Arrangörslista!C$98),"",IFERROR(VLOOKUP($F6,Arrangörslista!C$98:$AG$135,16,FALSE),IF(ISBLANK(Deltagarlista!$C35),"",IF(ISBLANK(Arrangörslista!C$98),"",IFERROR(VLOOKUP($F6,Arrangörslista!D$98:$AG$135,16,FALSE),"DNS")))))),IF(Deltagarlista!$K$3=2,
IF(ISBLANK(Deltagarlista!$C35),"",IF(ISBLANK(Arrangörslista!C$53),"",IF($GV6=Y$64," DNS ",IFERROR(VLOOKUP($F6,Arrangörslista!C$53:$AG$90,16,FALSE),"DNS")))),IF(ISBLANK(Deltagarlista!$C35),"",IF(ISBLANK(Arrangörslista!C$53),"",IFERROR(VLOOKUP($F6,Arrangörslista!C$53:$AG$90,16,FALSE),"DNS")))))</f>
        <v/>
      </c>
      <c r="Z6" s="5" t="str">
        <f>IF(Deltagarlista!$K$3=4,IF(ISBLANK(Deltagarlista!$C35),"",IF(ISBLANK(Arrangörslista!E$98),"",IFERROR(VLOOKUP($F6,Arrangörslista!E$98:$AG$135,16,FALSE),IF(ISBLANK(Deltagarlista!$C35),"",IF(ISBLANK(Arrangörslista!E$98),"",IFERROR(VLOOKUP($F6,Arrangörslista!F$98:$AG$135,16,FALSE),"DNS")))))),IF(Deltagarlista!$K$3=2,
IF(ISBLANK(Deltagarlista!$C35),"",IF(ISBLANK(Arrangörslista!D$53),"",IF($GV6=Z$64," DNS ",IFERROR(VLOOKUP($F6,Arrangörslista!D$53:$AG$90,16,FALSE),"DNS")))),IF(ISBLANK(Deltagarlista!$C35),"",IF(ISBLANK(Arrangörslista!D$53),"",IFERROR(VLOOKUP($F6,Arrangörslista!D$53:$AG$90,16,FALSE),"DNS")))))</f>
        <v/>
      </c>
      <c r="AA6" s="5" t="str">
        <f>IF(Deltagarlista!$K$3=4,IF(ISBLANK(Deltagarlista!$C35),"",IF(ISBLANK(Arrangörslista!G$98),"",IFERROR(VLOOKUP($F6,Arrangörslista!G$98:$AG$135,16,FALSE),IF(ISBLANK(Deltagarlista!$C35),"",IF(ISBLANK(Arrangörslista!G$98),"",IFERROR(VLOOKUP($F6,Arrangörslista!H$98:$AG$135,16,FALSE),"DNS")))))),IF(Deltagarlista!$K$3=2,
IF(ISBLANK(Deltagarlista!$C35),"",IF(ISBLANK(Arrangörslista!E$53),"",IF($GV6=AA$64," DNS ",IFERROR(VLOOKUP($F6,Arrangörslista!E$53:$AG$90,16,FALSE),"DNS")))),IF(ISBLANK(Deltagarlista!$C35),"",IF(ISBLANK(Arrangörslista!E$53),"",IFERROR(VLOOKUP($F6,Arrangörslista!E$53:$AG$90,16,FALSE),"DNS")))))</f>
        <v/>
      </c>
      <c r="AB6" s="5" t="str">
        <f>IF(Deltagarlista!$K$3=4,IF(ISBLANK(Deltagarlista!$C35),"",IF(ISBLANK(Arrangörslista!I$98),"",IFERROR(VLOOKUP($F6,Arrangörslista!I$98:$AG$135,16,FALSE),IF(ISBLANK(Deltagarlista!$C35),"",IF(ISBLANK(Arrangörslista!I$98),"",IFERROR(VLOOKUP($F6,Arrangörslista!J$98:$AG$135,16,FALSE),"DNS")))))),IF(Deltagarlista!$K$3=2,
IF(ISBLANK(Deltagarlista!$C35),"",IF(ISBLANK(Arrangörslista!F$53),"",IF($GV6=AB$64," DNS ",IFERROR(VLOOKUP($F6,Arrangörslista!F$53:$AG$90,16,FALSE),"DNS")))),IF(ISBLANK(Deltagarlista!$C35),"",IF(ISBLANK(Arrangörslista!F$53),"",IFERROR(VLOOKUP($F6,Arrangörslista!F$53:$AG$90,16,FALSE),"DNS")))))</f>
        <v/>
      </c>
      <c r="AC6" s="5" t="str">
        <f>IF(Deltagarlista!$K$3=4,IF(ISBLANK(Deltagarlista!$C35),"",IF(ISBLANK(Arrangörslista!K$98),"",IFERROR(VLOOKUP($F6,Arrangörslista!K$98:$AG$135,16,FALSE),IF(ISBLANK(Deltagarlista!$C35),"",IF(ISBLANK(Arrangörslista!K$98),"",IFERROR(VLOOKUP($F6,Arrangörslista!L$98:$AG$135,16,FALSE),"DNS")))))),IF(Deltagarlista!$K$3=2,
IF(ISBLANK(Deltagarlista!$C35),"",IF(ISBLANK(Arrangörslista!G$53),"",IF($GV6=AC$64," DNS ",IFERROR(VLOOKUP($F6,Arrangörslista!G$53:$AG$90,16,FALSE),"DNS")))),IF(ISBLANK(Deltagarlista!$C35),"",IF(ISBLANK(Arrangörslista!G$53),"",IFERROR(VLOOKUP($F6,Arrangörslista!G$53:$AG$90,16,FALSE),"DNS")))))</f>
        <v/>
      </c>
      <c r="AD6" s="5" t="str">
        <f>IF(Deltagarlista!$K$3=4,IF(ISBLANK(Deltagarlista!$C35),"",IF(ISBLANK(Arrangörslista!M$98),"",IFERROR(VLOOKUP($F6,Arrangörslista!M$98:$AG$135,16,FALSE),IF(ISBLANK(Deltagarlista!$C35),"",IF(ISBLANK(Arrangörslista!M$98),"",IFERROR(VLOOKUP($F6,Arrangörslista!N$98:$AG$135,16,FALSE),"DNS")))))),IF(Deltagarlista!$K$3=2,
IF(ISBLANK(Deltagarlista!$C35),"",IF(ISBLANK(Arrangörslista!H$53),"",IF($GV6=AD$64," DNS ",IFERROR(VLOOKUP($F6,Arrangörslista!H$53:$AG$90,16,FALSE),"DNS")))),IF(ISBLANK(Deltagarlista!$C35),"",IF(ISBLANK(Arrangörslista!H$53),"",IFERROR(VLOOKUP($F6,Arrangörslista!H$53:$AG$90,16,FALSE),"DNS")))))</f>
        <v/>
      </c>
      <c r="AE6" s="5" t="str">
        <f>IF(Deltagarlista!$K$3=4,IF(ISBLANK(Deltagarlista!$C35),"",IF(ISBLANK(Arrangörslista!O$98),"",IFERROR(VLOOKUP($F6,Arrangörslista!O$98:$AG$135,16,FALSE),IF(ISBLANK(Deltagarlista!$C35),"",IF(ISBLANK(Arrangörslista!O$98),"",IFERROR(VLOOKUP($F6,Arrangörslista!P$98:$AG$135,16,FALSE),"DNS")))))),IF(Deltagarlista!$K$3=2,
IF(ISBLANK(Deltagarlista!$C35),"",IF(ISBLANK(Arrangörslista!I$53),"",IF($GV6=AE$64," DNS ",IFERROR(VLOOKUP($F6,Arrangörslista!I$53:$AG$90,16,FALSE),"DNS")))),IF(ISBLANK(Deltagarlista!$C35),"",IF(ISBLANK(Arrangörslista!I$53),"",IFERROR(VLOOKUP($F6,Arrangörslista!I$53:$AG$90,16,FALSE),"DNS")))))</f>
        <v/>
      </c>
      <c r="AF6" s="5" t="str">
        <f>IF(Deltagarlista!$K$3=4,IF(ISBLANK(Deltagarlista!$C35),"",IF(ISBLANK(Arrangörslista!Q$98),"",IFERROR(VLOOKUP($F6,Arrangörslista!Q$98:$AG$135,16,FALSE),IF(ISBLANK(Deltagarlista!$C35),"",IF(ISBLANK(Arrangörslista!Q$98),"",IFERROR(VLOOKUP($F6,Arrangörslista!C$143:$AG$180,16,FALSE),"DNS")))))),IF(Deltagarlista!$K$3=2,
IF(ISBLANK(Deltagarlista!$C35),"",IF(ISBLANK(Arrangörslista!J$53),"",IF($GV6=AF$64," DNS ",IFERROR(VLOOKUP($F6,Arrangörslista!J$53:$AG$90,16,FALSE),"DNS")))),IF(ISBLANK(Deltagarlista!$C35),"",IF(ISBLANK(Arrangörslista!J$53),"",IFERROR(VLOOKUP($F6,Arrangörslista!J$53:$AG$90,16,FALSE),"DNS")))))</f>
        <v/>
      </c>
      <c r="AG6" s="5" t="str">
        <f>IF(Deltagarlista!$K$3=4,IF(ISBLANK(Deltagarlista!$C35),"",IF(ISBLANK(Arrangörslista!D$143),"",IFERROR(VLOOKUP($F6,Arrangörslista!D$143:$AG$180,16,FALSE),IF(ISBLANK(Deltagarlista!$C35),"",IF(ISBLANK(Arrangörslista!D$143),"",IFERROR(VLOOKUP($F6,Arrangörslista!E$143:$AG$180,16,FALSE),"DNS")))))),IF(Deltagarlista!$K$3=2,
IF(ISBLANK(Deltagarlista!$C35),"",IF(ISBLANK(Arrangörslista!K$53),"",IF($GV6=AG$64," DNS ",IFERROR(VLOOKUP($F6,Arrangörslista!K$53:$AG$90,16,FALSE),"DNS")))),IF(ISBLANK(Deltagarlista!$C35),"",IF(ISBLANK(Arrangörslista!K$53),"",IFERROR(VLOOKUP($F6,Arrangörslista!K$53:$AG$90,16,FALSE),"DNS")))))</f>
        <v/>
      </c>
      <c r="AH6" s="5" t="str">
        <f>IF(Deltagarlista!$K$3=4,IF(ISBLANK(Deltagarlista!$C35),"",IF(ISBLANK(Arrangörslista!F$143),"",IFERROR(VLOOKUP($F6,Arrangörslista!F$143:$AG$180,16,FALSE),IF(ISBLANK(Deltagarlista!$C35),"",IF(ISBLANK(Arrangörslista!F$143),"",IFERROR(VLOOKUP($F6,Arrangörslista!G$143:$AG$180,16,FALSE),"DNS")))))),IF(Deltagarlista!$K$3=2,
IF(ISBLANK(Deltagarlista!$C35),"",IF(ISBLANK(Arrangörslista!L$53),"",IF($GV6=AH$64," DNS ",IFERROR(VLOOKUP($F6,Arrangörslista!L$53:$AG$90,16,FALSE),"DNS")))),IF(ISBLANK(Deltagarlista!$C35),"",IF(ISBLANK(Arrangörslista!L$53),"",IFERROR(VLOOKUP($F6,Arrangörslista!L$53:$AG$90,16,FALSE),"DNS")))))</f>
        <v/>
      </c>
      <c r="AI6" s="5" t="str">
        <f>IF(Deltagarlista!$K$3=4,IF(ISBLANK(Deltagarlista!$C35),"",IF(ISBLANK(Arrangörslista!H$143),"",IFERROR(VLOOKUP($F6,Arrangörslista!H$143:$AG$180,16,FALSE),IF(ISBLANK(Deltagarlista!$C35),"",IF(ISBLANK(Arrangörslista!H$143),"",IFERROR(VLOOKUP($F6,Arrangörslista!I$143:$AG$180,16,FALSE),"DNS")))))),IF(Deltagarlista!$K$3=2,
IF(ISBLANK(Deltagarlista!$C35),"",IF(ISBLANK(Arrangörslista!M$53),"",IF($GV6=AI$64," DNS ",IFERROR(VLOOKUP($F6,Arrangörslista!M$53:$AG$90,16,FALSE),"DNS")))),IF(ISBLANK(Deltagarlista!$C35),"",IF(ISBLANK(Arrangörslista!M$53),"",IFERROR(VLOOKUP($F6,Arrangörslista!M$53:$AG$90,16,FALSE),"DNS")))))</f>
        <v/>
      </c>
      <c r="AJ6" s="5" t="str">
        <f>IF(Deltagarlista!$K$3=4,IF(ISBLANK(Deltagarlista!$C35),"",IF(ISBLANK(Arrangörslista!J$143),"",IFERROR(VLOOKUP($F6,Arrangörslista!J$143:$AG$180,16,FALSE),IF(ISBLANK(Deltagarlista!$C35),"",IF(ISBLANK(Arrangörslista!J$143),"",IFERROR(VLOOKUP($F6,Arrangörslista!K$143:$AG$180,16,FALSE),"DNS")))))),IF(Deltagarlista!$K$3=2,
IF(ISBLANK(Deltagarlista!$C35),"",IF(ISBLANK(Arrangörslista!N$53),"",IF($GV6=AJ$64," DNS ",IFERROR(VLOOKUP($F6,Arrangörslista!N$53:$AG$90,16,FALSE),"DNS")))),IF(ISBLANK(Deltagarlista!$C35),"",IF(ISBLANK(Arrangörslista!N$53),"",IFERROR(VLOOKUP($F6,Arrangörslista!N$53:$AG$90,16,FALSE),"DNS")))))</f>
        <v/>
      </c>
      <c r="AK6" s="5" t="str">
        <f>IF(Deltagarlista!$K$3=4,IF(ISBLANK(Deltagarlista!$C35),"",IF(ISBLANK(Arrangörslista!L$143),"",IFERROR(VLOOKUP($F6,Arrangörslista!L$143:$AG$180,16,FALSE),IF(ISBLANK(Deltagarlista!$C35),"",IF(ISBLANK(Arrangörslista!L$143),"",IFERROR(VLOOKUP($F6,Arrangörslista!M$143:$AG$180,16,FALSE),"DNS")))))),IF(Deltagarlista!$K$3=2,
IF(ISBLANK(Deltagarlista!$C35),"",IF(ISBLANK(Arrangörslista!O$53),"",IF($GV6=AK$64," DNS ",IFERROR(VLOOKUP($F6,Arrangörslista!O$53:$AG$90,16,FALSE),"DNS")))),IF(ISBLANK(Deltagarlista!$C35),"",IF(ISBLANK(Arrangörslista!O$53),"",IFERROR(VLOOKUP($F6,Arrangörslista!O$53:$AG$90,16,FALSE),"DNS")))))</f>
        <v/>
      </c>
      <c r="AL6" s="5" t="str">
        <f>IF(Deltagarlista!$K$3=4,IF(ISBLANK(Deltagarlista!$C35),"",IF(ISBLANK(Arrangörslista!N$143),"",IFERROR(VLOOKUP($F6,Arrangörslista!N$143:$AG$180,16,FALSE),IF(ISBLANK(Deltagarlista!$C35),"",IF(ISBLANK(Arrangörslista!N$143),"",IFERROR(VLOOKUP($F6,Arrangörslista!O$143:$AG$180,16,FALSE),"DNS")))))),IF(Deltagarlista!$K$3=2,
IF(ISBLANK(Deltagarlista!$C35),"",IF(ISBLANK(Arrangörslista!P$53),"",IF($GV6=AL$64," DNS ",IFERROR(VLOOKUP($F6,Arrangörslista!P$53:$AG$90,16,FALSE),"DNS")))),IF(ISBLANK(Deltagarlista!$C35),"",IF(ISBLANK(Arrangörslista!P$53),"",IFERROR(VLOOKUP($F6,Arrangörslista!P$53:$AG$90,16,FALSE),"DNS")))))</f>
        <v/>
      </c>
      <c r="AM6" s="5" t="str">
        <f>IF(Deltagarlista!$K$3=4,IF(ISBLANK(Deltagarlista!$C35),"",IF(ISBLANK(Arrangörslista!P$143),"",IFERROR(VLOOKUP($F6,Arrangörslista!P$143:$AG$180,16,FALSE),IF(ISBLANK(Deltagarlista!$C35),"",IF(ISBLANK(Arrangörslista!P$143),"",IFERROR(VLOOKUP($F6,Arrangörslista!Q$143:$AG$180,16,FALSE),"DNS")))))),IF(Deltagarlista!$K$3=2,
IF(ISBLANK(Deltagarlista!$C35),"",IF(ISBLANK(Arrangörslista!Q$53),"",IF($GV6=AM$64," DNS ",IFERROR(VLOOKUP($F6,Arrangörslista!Q$53:$AG$90,16,FALSE),"DNS")))),IF(ISBLANK(Deltagarlista!$C35),"",IF(ISBLANK(Arrangörslista!Q$53),"",IFERROR(VLOOKUP($F6,Arrangörslista!Q$53:$AG$90,16,FALSE),"DNS")))))</f>
        <v/>
      </c>
      <c r="AN6" s="5" t="str">
        <f>IF(Deltagarlista!$K$3=2,
IF(ISBLANK(Deltagarlista!$C35),"",IF(ISBLANK(Arrangörslista!C$98),"",IF($GV6=AN$64," DNS ",IFERROR(VLOOKUP($F6,Arrangörslista!C$98:$AG$135,16,FALSE), "DNS")))), IF(Deltagarlista!$K$3=1,IF(ISBLANK(Deltagarlista!$C35),"",IF(ISBLANK(Arrangörslista!C$98),"",IFERROR(VLOOKUP($F6,Arrangörslista!C$98:$AG$135,16,FALSE), "DNS"))),""))</f>
        <v/>
      </c>
      <c r="AO6" s="5" t="str">
        <f>IF(Deltagarlista!$K$3=2,
IF(ISBLANK(Deltagarlista!$C35),"",IF(ISBLANK(Arrangörslista!D$98),"",IF($GV6=AO$64," DNS ",IFERROR(VLOOKUP($F6,Arrangörslista!D$98:$AG$135,16,FALSE), "DNS")))), IF(Deltagarlista!$K$3=1,IF(ISBLANK(Deltagarlista!$C35),"",IF(ISBLANK(Arrangörslista!D$98),"",IFERROR(VLOOKUP($F6,Arrangörslista!D$98:$AG$135,16,FALSE), "DNS"))),""))</f>
        <v/>
      </c>
      <c r="AP6" s="5" t="str">
        <f>IF(Deltagarlista!$K$3=2,
IF(ISBLANK(Deltagarlista!$C35),"",IF(ISBLANK(Arrangörslista!E$98),"",IF($GV6=AP$64," DNS ",IFERROR(VLOOKUP($F6,Arrangörslista!E$98:$AG$135,16,FALSE), "DNS")))), IF(Deltagarlista!$K$3=1,IF(ISBLANK(Deltagarlista!$C35),"",IF(ISBLANK(Arrangörslista!E$98),"",IFERROR(VLOOKUP($F6,Arrangörslista!E$98:$AG$135,16,FALSE), "DNS"))),""))</f>
        <v/>
      </c>
      <c r="AQ6" s="5" t="str">
        <f>IF(Deltagarlista!$K$3=2,
IF(ISBLANK(Deltagarlista!$C35),"",IF(ISBLANK(Arrangörslista!F$98),"",IF($GV6=AQ$64," DNS ",IFERROR(VLOOKUP($F6,Arrangörslista!F$98:$AG$135,16,FALSE), "DNS")))), IF(Deltagarlista!$K$3=1,IF(ISBLANK(Deltagarlista!$C35),"",IF(ISBLANK(Arrangörslista!F$98),"",IFERROR(VLOOKUP($F6,Arrangörslista!F$98:$AG$135,16,FALSE), "DNS"))),""))</f>
        <v/>
      </c>
      <c r="AR6" s="5" t="str">
        <f>IF(Deltagarlista!$K$3=2,
IF(ISBLANK(Deltagarlista!$C35),"",IF(ISBLANK(Arrangörslista!G$98),"",IF($GV6=AR$64," DNS ",IFERROR(VLOOKUP($F6,Arrangörslista!G$98:$AG$135,16,FALSE), "DNS")))), IF(Deltagarlista!$K$3=1,IF(ISBLANK(Deltagarlista!$C35),"",IF(ISBLANK(Arrangörslista!G$98),"",IFERROR(VLOOKUP($F6,Arrangörslista!G$98:$AG$135,16,FALSE), "DNS"))),""))</f>
        <v/>
      </c>
      <c r="AS6" s="5" t="str">
        <f>IF(Deltagarlista!$K$3=2,
IF(ISBLANK(Deltagarlista!$C35),"",IF(ISBLANK(Arrangörslista!H$98),"",IF($GV6=AS$64," DNS ",IFERROR(VLOOKUP($F6,Arrangörslista!H$98:$AG$135,16,FALSE), "DNS")))), IF(Deltagarlista!$K$3=1,IF(ISBLANK(Deltagarlista!$C35),"",IF(ISBLANK(Arrangörslista!H$98),"",IFERROR(VLOOKUP($F6,Arrangörslista!H$98:$AG$135,16,FALSE), "DNS"))),""))</f>
        <v/>
      </c>
      <c r="AT6" s="5" t="str">
        <f>IF(Deltagarlista!$K$3=2,
IF(ISBLANK(Deltagarlista!$C35),"",IF(ISBLANK(Arrangörslista!I$98),"",IF($GV6=AT$64," DNS ",IFERROR(VLOOKUP($F6,Arrangörslista!I$98:$AG$135,16,FALSE), "DNS")))), IF(Deltagarlista!$K$3=1,IF(ISBLANK(Deltagarlista!$C35),"",IF(ISBLANK(Arrangörslista!I$98),"",IFERROR(VLOOKUP($F6,Arrangörslista!I$98:$AG$135,16,FALSE), "DNS"))),""))</f>
        <v/>
      </c>
      <c r="AU6" s="5" t="str">
        <f>IF(Deltagarlista!$K$3=2,
IF(ISBLANK(Deltagarlista!$C35),"",IF(ISBLANK(Arrangörslista!J$98),"",IF($GV6=AU$64," DNS ",IFERROR(VLOOKUP($F6,Arrangörslista!J$98:$AG$135,16,FALSE), "DNS")))), IF(Deltagarlista!$K$3=1,IF(ISBLANK(Deltagarlista!$C35),"",IF(ISBLANK(Arrangörslista!J$98),"",IFERROR(VLOOKUP($F6,Arrangörslista!J$98:$AG$135,16,FALSE), "DNS"))),""))</f>
        <v/>
      </c>
      <c r="AV6" s="5" t="str">
        <f>IF(Deltagarlista!$K$3=2,
IF(ISBLANK(Deltagarlista!$C35),"",IF(ISBLANK(Arrangörslista!K$98),"",IF($GV6=AV$64," DNS ",IFERROR(VLOOKUP($F6,Arrangörslista!K$98:$AG$135,16,FALSE), "DNS")))), IF(Deltagarlista!$K$3=1,IF(ISBLANK(Deltagarlista!$C35),"",IF(ISBLANK(Arrangörslista!K$98),"",IFERROR(VLOOKUP($F6,Arrangörslista!K$98:$AG$135,16,FALSE), "DNS"))),""))</f>
        <v/>
      </c>
      <c r="AW6" s="5" t="str">
        <f>IF(Deltagarlista!$K$3=2,
IF(ISBLANK(Deltagarlista!$C35),"",IF(ISBLANK(Arrangörslista!L$98),"",IF($GV6=AW$64," DNS ",IFERROR(VLOOKUP($F6,Arrangörslista!L$98:$AG$135,16,FALSE), "DNS")))), IF(Deltagarlista!$K$3=1,IF(ISBLANK(Deltagarlista!$C35),"",IF(ISBLANK(Arrangörslista!L$98),"",IFERROR(VLOOKUP($F6,Arrangörslista!L$98:$AG$135,16,FALSE), "DNS"))),""))</f>
        <v/>
      </c>
      <c r="AX6" s="5" t="str">
        <f>IF(Deltagarlista!$K$3=2,
IF(ISBLANK(Deltagarlista!$C35),"",IF(ISBLANK(Arrangörslista!M$98),"",IF($GV6=AX$64," DNS ",IFERROR(VLOOKUP($F6,Arrangörslista!M$98:$AG$135,16,FALSE), "DNS")))), IF(Deltagarlista!$K$3=1,IF(ISBLANK(Deltagarlista!$C35),"",IF(ISBLANK(Arrangörslista!M$98),"",IFERROR(VLOOKUP($F6,Arrangörslista!M$98:$AG$135,16,FALSE), "DNS"))),""))</f>
        <v/>
      </c>
      <c r="AY6" s="5" t="str">
        <f>IF(Deltagarlista!$K$3=2,
IF(ISBLANK(Deltagarlista!$C35),"",IF(ISBLANK(Arrangörslista!N$98),"",IF($GV6=AY$64," DNS ",IFERROR(VLOOKUP($F6,Arrangörslista!N$98:$AG$135,16,FALSE), "DNS")))), IF(Deltagarlista!$K$3=1,IF(ISBLANK(Deltagarlista!$C35),"",IF(ISBLANK(Arrangörslista!N$98),"",IFERROR(VLOOKUP($F6,Arrangörslista!N$98:$AG$135,16,FALSE), "DNS"))),""))</f>
        <v/>
      </c>
      <c r="AZ6" s="5" t="str">
        <f>IF(Deltagarlista!$K$3=2,
IF(ISBLANK(Deltagarlista!$C35),"",IF(ISBLANK(Arrangörslista!O$98),"",IF($GV6=AZ$64," DNS ",IFERROR(VLOOKUP($F6,Arrangörslista!O$98:$AG$135,16,FALSE), "DNS")))), IF(Deltagarlista!$K$3=1,IF(ISBLANK(Deltagarlista!$C35),"",IF(ISBLANK(Arrangörslista!O$98),"",IFERROR(VLOOKUP($F6,Arrangörslista!O$98:$AG$135,16,FALSE), "DNS"))),""))</f>
        <v/>
      </c>
      <c r="BA6" s="5" t="str">
        <f>IF(Deltagarlista!$K$3=2,
IF(ISBLANK(Deltagarlista!$C35),"",IF(ISBLANK(Arrangörslista!P$98),"",IF($GV6=BA$64," DNS ",IFERROR(VLOOKUP($F6,Arrangörslista!P$98:$AG$135,16,FALSE), "DNS")))), IF(Deltagarlista!$K$3=1,IF(ISBLANK(Deltagarlista!$C35),"",IF(ISBLANK(Arrangörslista!P$98),"",IFERROR(VLOOKUP($F6,Arrangörslista!P$98:$AG$135,16,FALSE), "DNS"))),""))</f>
        <v/>
      </c>
      <c r="BB6" s="5" t="str">
        <f>IF(Deltagarlista!$K$3=2,
IF(ISBLANK(Deltagarlista!$C35),"",IF(ISBLANK(Arrangörslista!Q$98),"",IF($GV6=BB$64," DNS ",IFERROR(VLOOKUP($F6,Arrangörslista!Q$98:$AG$135,16,FALSE), "DNS")))), IF(Deltagarlista!$K$3=1,IF(ISBLANK(Deltagarlista!$C35),"",IF(ISBLANK(Arrangörslista!Q$98),"",IFERROR(VLOOKUP($F6,Arrangörslista!Q$98:$AG$135,16,FALSE), "DNS"))),""))</f>
        <v/>
      </c>
      <c r="BC6" s="5" t="str">
        <f>IF(Deltagarlista!$K$3=2,
IF(ISBLANK(Deltagarlista!$C35),"",IF(ISBLANK(Arrangörslista!C$143),"",IF($GV6=BC$64," DNS ",IFERROR(VLOOKUP($F6,Arrangörslista!C$143:$AG$180,16,FALSE), "DNS")))), IF(Deltagarlista!$K$3=1,IF(ISBLANK(Deltagarlista!$C35),"",IF(ISBLANK(Arrangörslista!C$143),"",IFERROR(VLOOKUP($F6,Arrangörslista!C$143:$AG$180,16,FALSE), "DNS"))),""))</f>
        <v/>
      </c>
      <c r="BD6" s="5" t="str">
        <f>IF(Deltagarlista!$K$3=2,
IF(ISBLANK(Deltagarlista!$C35),"",IF(ISBLANK(Arrangörslista!D$143),"",IF($GV6=BD$64," DNS ",IFERROR(VLOOKUP($F6,Arrangörslista!D$143:$AG$180,16,FALSE), "DNS")))), IF(Deltagarlista!$K$3=1,IF(ISBLANK(Deltagarlista!$C35),"",IF(ISBLANK(Arrangörslista!D$143),"",IFERROR(VLOOKUP($F6,Arrangörslista!D$143:$AG$180,16,FALSE), "DNS"))),""))</f>
        <v/>
      </c>
      <c r="BE6" s="5" t="str">
        <f>IF(Deltagarlista!$K$3=2,
IF(ISBLANK(Deltagarlista!$C35),"",IF(ISBLANK(Arrangörslista!E$143),"",IF($GV6=BE$64," DNS ",IFERROR(VLOOKUP($F6,Arrangörslista!E$143:$AG$180,16,FALSE), "DNS")))), IF(Deltagarlista!$K$3=1,IF(ISBLANK(Deltagarlista!$C35),"",IF(ISBLANK(Arrangörslista!E$143),"",IFERROR(VLOOKUP($F6,Arrangörslista!E$143:$AG$180,16,FALSE), "DNS"))),""))</f>
        <v/>
      </c>
      <c r="BF6" s="5" t="str">
        <f>IF(Deltagarlista!$K$3=2,
IF(ISBLANK(Deltagarlista!$C35),"",IF(ISBLANK(Arrangörslista!F$143),"",IF($GV6=BF$64," DNS ",IFERROR(VLOOKUP($F6,Arrangörslista!F$143:$AG$180,16,FALSE), "DNS")))), IF(Deltagarlista!$K$3=1,IF(ISBLANK(Deltagarlista!$C35),"",IF(ISBLANK(Arrangörslista!F$143),"",IFERROR(VLOOKUP($F6,Arrangörslista!F$143:$AG$180,16,FALSE), "DNS"))),""))</f>
        <v/>
      </c>
      <c r="BG6" s="5" t="str">
        <f>IF(Deltagarlista!$K$3=2,
IF(ISBLANK(Deltagarlista!$C35),"",IF(ISBLANK(Arrangörslista!G$143),"",IF($GV6=BG$64," DNS ",IFERROR(VLOOKUP($F6,Arrangörslista!G$143:$AG$180,16,FALSE), "DNS")))), IF(Deltagarlista!$K$3=1,IF(ISBLANK(Deltagarlista!$C35),"",IF(ISBLANK(Arrangörslista!G$143),"",IFERROR(VLOOKUP($F6,Arrangörslista!G$143:$AG$180,16,FALSE), "DNS"))),""))</f>
        <v/>
      </c>
      <c r="BH6" s="5" t="str">
        <f>IF(Deltagarlista!$K$3=2,
IF(ISBLANK(Deltagarlista!$C35),"",IF(ISBLANK(Arrangörslista!H$143),"",IF($GV6=BH$64," DNS ",IFERROR(VLOOKUP($F6,Arrangörslista!H$143:$AG$180,16,FALSE), "DNS")))), IF(Deltagarlista!$K$3=1,IF(ISBLANK(Deltagarlista!$C35),"",IF(ISBLANK(Arrangörslista!H$143),"",IFERROR(VLOOKUP($F6,Arrangörslista!H$143:$AG$180,16,FALSE), "DNS"))),""))</f>
        <v/>
      </c>
      <c r="BI6" s="5" t="str">
        <f>IF(Deltagarlista!$K$3=2,
IF(ISBLANK(Deltagarlista!$C35),"",IF(ISBLANK(Arrangörslista!I$143),"",IF($GV6=BI$64," DNS ",IFERROR(VLOOKUP($F6,Arrangörslista!I$143:$AG$180,16,FALSE), "DNS")))), IF(Deltagarlista!$K$3=1,IF(ISBLANK(Deltagarlista!$C35),"",IF(ISBLANK(Arrangörslista!I$143),"",IFERROR(VLOOKUP($F6,Arrangörslista!I$143:$AG$180,16,FALSE), "DNS"))),""))</f>
        <v/>
      </c>
      <c r="BJ6" s="5" t="str">
        <f>IF(Deltagarlista!$K$3=2,
IF(ISBLANK(Deltagarlista!$C35),"",IF(ISBLANK(Arrangörslista!J$143),"",IF($GV6=BJ$64," DNS ",IFERROR(VLOOKUP($F6,Arrangörslista!J$143:$AG$180,16,FALSE), "DNS")))), IF(Deltagarlista!$K$3=1,IF(ISBLANK(Deltagarlista!$C35),"",IF(ISBLANK(Arrangörslista!J$143),"",IFERROR(VLOOKUP($F6,Arrangörslista!J$143:$AG$180,16,FALSE), "DNS"))),""))</f>
        <v/>
      </c>
      <c r="BK6" s="5" t="str">
        <f>IF(Deltagarlista!$K$3=2,
IF(ISBLANK(Deltagarlista!$C35),"",IF(ISBLANK(Arrangörslista!K$143),"",IF($GV6=BK$64," DNS ",IFERROR(VLOOKUP($F6,Arrangörslista!K$143:$AG$180,16,FALSE), "DNS")))), IF(Deltagarlista!$K$3=1,IF(ISBLANK(Deltagarlista!$C35),"",IF(ISBLANK(Arrangörslista!K$143),"",IFERROR(VLOOKUP($F6,Arrangörslista!K$143:$AG$180,16,FALSE), "DNS"))),""))</f>
        <v/>
      </c>
      <c r="BL6" s="5" t="str">
        <f>IF(Deltagarlista!$K$3=2,
IF(ISBLANK(Deltagarlista!$C35),"",IF(ISBLANK(Arrangörslista!L$143),"",IF($GV6=BL$64," DNS ",IFERROR(VLOOKUP($F6,Arrangörslista!L$143:$AG$180,16,FALSE), "DNS")))), IF(Deltagarlista!$K$3=1,IF(ISBLANK(Deltagarlista!$C35),"",IF(ISBLANK(Arrangörslista!L$143),"",IFERROR(VLOOKUP($F6,Arrangörslista!L$143:$AG$180,16,FALSE), "DNS"))),""))</f>
        <v/>
      </c>
      <c r="BM6" s="5" t="str">
        <f>IF(Deltagarlista!$K$3=2,
IF(ISBLANK(Deltagarlista!$C35),"",IF(ISBLANK(Arrangörslista!M$143),"",IF($GV6=BM$64," DNS ",IFERROR(VLOOKUP($F6,Arrangörslista!M$143:$AG$180,16,FALSE), "DNS")))), IF(Deltagarlista!$K$3=1,IF(ISBLANK(Deltagarlista!$C35),"",IF(ISBLANK(Arrangörslista!M$143),"",IFERROR(VLOOKUP($F6,Arrangörslista!M$143:$AG$180,16,FALSE), "DNS"))),""))</f>
        <v/>
      </c>
      <c r="BN6" s="5" t="str">
        <f>IF(Deltagarlista!$K$3=2,
IF(ISBLANK(Deltagarlista!$C35),"",IF(ISBLANK(Arrangörslista!N$143),"",IF($GV6=BN$64," DNS ",IFERROR(VLOOKUP($F6,Arrangörslista!N$143:$AG$180,16,FALSE), "DNS")))), IF(Deltagarlista!$K$3=1,IF(ISBLANK(Deltagarlista!$C35),"",IF(ISBLANK(Arrangörslista!N$143),"",IFERROR(VLOOKUP($F6,Arrangörslista!N$143:$AG$180,16,FALSE), "DNS"))),""))</f>
        <v/>
      </c>
      <c r="BO6" s="5" t="str">
        <f>IF(Deltagarlista!$K$3=2,
IF(ISBLANK(Deltagarlista!$C35),"",IF(ISBLANK(Arrangörslista!O$143),"",IF($GV6=BO$64," DNS ",IFERROR(VLOOKUP($F6,Arrangörslista!O$143:$AG$180,16,FALSE), "DNS")))), IF(Deltagarlista!$K$3=1,IF(ISBLANK(Deltagarlista!$C35),"",IF(ISBLANK(Arrangörslista!O$143),"",IFERROR(VLOOKUP($F6,Arrangörslista!O$143:$AG$180,16,FALSE), "DNS"))),""))</f>
        <v/>
      </c>
      <c r="BP6" s="5" t="str">
        <f>IF(Deltagarlista!$K$3=2,
IF(ISBLANK(Deltagarlista!$C35),"",IF(ISBLANK(Arrangörslista!P$143),"",IF($GV6=BP$64," DNS ",IFERROR(VLOOKUP($F6,Arrangörslista!P$143:$AG$180,16,FALSE), "DNS")))), IF(Deltagarlista!$K$3=1,IF(ISBLANK(Deltagarlista!$C35),"",IF(ISBLANK(Arrangörslista!P$143),"",IFERROR(VLOOKUP($F6,Arrangörslista!P$143:$AG$180,16,FALSE), "DNS"))),""))</f>
        <v/>
      </c>
      <c r="BQ6" s="80" t="str">
        <f>IF(Deltagarlista!$K$3=2,
IF(ISBLANK(Deltagarlista!$C35),"",IF(ISBLANK(Arrangörslista!Q$143),"",IF($GV6=BQ$64," DNS ",IFERROR(VLOOKUP($F6,Arrangörslista!Q$143:$AG$180,16,FALSE), "DNS")))), IF(Deltagarlista!$K$3=1,IF(ISBLANK(Deltagarlista!$C35),"",IF(ISBLANK(Arrangörslista!Q$143),"",IFERROR(VLOOKUP($F6,Arrangörslista!Q$143:$AG$180,16,FALSE), "DNS"))),""))</f>
        <v/>
      </c>
      <c r="BR6" s="51"/>
      <c r="BS6" s="50" t="str">
        <f t="shared" si="0"/>
        <v>2</v>
      </c>
      <c r="BT6" s="51"/>
      <c r="BU6" s="71">
        <f t="shared" si="1"/>
        <v>0</v>
      </c>
      <c r="BV6" s="61">
        <f t="shared" si="2"/>
        <v>0</v>
      </c>
      <c r="BW6" s="61">
        <f t="shared" si="3"/>
        <v>0</v>
      </c>
      <c r="BX6" s="61">
        <f t="shared" si="4"/>
        <v>0</v>
      </c>
      <c r="BY6" s="61">
        <f t="shared" si="5"/>
        <v>0</v>
      </c>
      <c r="BZ6" s="61">
        <f t="shared" si="6"/>
        <v>0</v>
      </c>
      <c r="CA6" s="61">
        <f t="shared" si="7"/>
        <v>0</v>
      </c>
      <c r="CB6" s="61">
        <f t="shared" si="8"/>
        <v>0</v>
      </c>
      <c r="CC6" s="61">
        <f t="shared" si="9"/>
        <v>0</v>
      </c>
      <c r="CD6" s="61">
        <f t="shared" si="10"/>
        <v>0</v>
      </c>
      <c r="CE6" s="61">
        <f t="shared" si="11"/>
        <v>0</v>
      </c>
      <c r="CF6" s="61">
        <f t="shared" si="12"/>
        <v>0</v>
      </c>
      <c r="CG6" s="61">
        <f t="shared" si="13"/>
        <v>0</v>
      </c>
      <c r="CH6" s="61">
        <f t="shared" si="14"/>
        <v>0</v>
      </c>
      <c r="CI6" s="61">
        <f t="shared" si="15"/>
        <v>0</v>
      </c>
      <c r="CJ6" s="61">
        <f t="shared" si="16"/>
        <v>0</v>
      </c>
      <c r="CK6" s="61">
        <f t="shared" si="17"/>
        <v>0</v>
      </c>
      <c r="CL6" s="61">
        <f t="shared" si="18"/>
        <v>0</v>
      </c>
      <c r="CM6" s="61">
        <f t="shared" si="19"/>
        <v>0</v>
      </c>
      <c r="CN6" s="61">
        <f t="shared" si="20"/>
        <v>0</v>
      </c>
      <c r="CO6" s="61">
        <f t="shared" si="21"/>
        <v>0</v>
      </c>
      <c r="CP6" s="61">
        <f t="shared" si="22"/>
        <v>0</v>
      </c>
      <c r="CQ6" s="61">
        <f t="shared" si="23"/>
        <v>0</v>
      </c>
      <c r="CR6" s="61">
        <f t="shared" si="24"/>
        <v>0</v>
      </c>
      <c r="CS6" s="61">
        <f t="shared" si="25"/>
        <v>0</v>
      </c>
      <c r="CT6" s="61">
        <f t="shared" si="26"/>
        <v>0</v>
      </c>
      <c r="CU6" s="61">
        <f t="shared" si="27"/>
        <v>0</v>
      </c>
      <c r="CV6" s="61">
        <f t="shared" si="28"/>
        <v>0</v>
      </c>
      <c r="CW6" s="61">
        <f t="shared" si="29"/>
        <v>0</v>
      </c>
      <c r="CX6" s="61">
        <f t="shared" si="30"/>
        <v>0</v>
      </c>
      <c r="CY6" s="61">
        <f t="shared" si="31"/>
        <v>0</v>
      </c>
      <c r="CZ6" s="61">
        <f t="shared" si="32"/>
        <v>0</v>
      </c>
      <c r="DA6" s="61">
        <f t="shared" si="33"/>
        <v>0</v>
      </c>
      <c r="DB6" s="61">
        <f t="shared" si="34"/>
        <v>0</v>
      </c>
      <c r="DC6" s="61">
        <f t="shared" si="35"/>
        <v>0</v>
      </c>
      <c r="DD6" s="61">
        <f t="shared" si="36"/>
        <v>0</v>
      </c>
      <c r="DE6" s="61">
        <f t="shared" si="37"/>
        <v>0</v>
      </c>
      <c r="DF6" s="61">
        <f t="shared" si="38"/>
        <v>0</v>
      </c>
      <c r="DG6" s="61">
        <f t="shared" si="39"/>
        <v>0</v>
      </c>
      <c r="DH6" s="61">
        <f t="shared" si="40"/>
        <v>0</v>
      </c>
      <c r="DI6" s="61">
        <f t="shared" si="41"/>
        <v>0</v>
      </c>
      <c r="DJ6" s="61">
        <f t="shared" si="42"/>
        <v>0</v>
      </c>
      <c r="DK6" s="61">
        <f t="shared" si="43"/>
        <v>0</v>
      </c>
      <c r="DL6" s="61">
        <f t="shared" si="44"/>
        <v>0</v>
      </c>
      <c r="DM6" s="61">
        <f t="shared" si="45"/>
        <v>0</v>
      </c>
      <c r="DN6" s="61">
        <f t="shared" si="46"/>
        <v>0</v>
      </c>
      <c r="DO6" s="61">
        <f t="shared" si="47"/>
        <v>0</v>
      </c>
      <c r="DP6" s="61">
        <f t="shared" si="48"/>
        <v>0</v>
      </c>
      <c r="DQ6" s="61">
        <f t="shared" si="49"/>
        <v>0</v>
      </c>
      <c r="DR6" s="61">
        <f t="shared" si="50"/>
        <v>0</v>
      </c>
      <c r="DS6" s="61">
        <f t="shared" si="51"/>
        <v>0</v>
      </c>
      <c r="DT6" s="61">
        <f t="shared" si="52"/>
        <v>0</v>
      </c>
      <c r="DU6" s="61">
        <f t="shared" si="53"/>
        <v>0</v>
      </c>
      <c r="DV6" s="61">
        <f t="shared" si="54"/>
        <v>0</v>
      </c>
      <c r="DW6" s="61">
        <f t="shared" si="55"/>
        <v>0</v>
      </c>
      <c r="DX6" s="61">
        <f t="shared" si="56"/>
        <v>0</v>
      </c>
      <c r="DY6" s="61">
        <f t="shared" si="57"/>
        <v>0</v>
      </c>
      <c r="DZ6" s="61">
        <f t="shared" si="58"/>
        <v>0</v>
      </c>
      <c r="EA6" s="61">
        <f t="shared" si="59"/>
        <v>0</v>
      </c>
      <c r="EB6" s="61">
        <f t="shared" si="60"/>
        <v>0</v>
      </c>
      <c r="EC6" s="61">
        <f t="shared" si="61"/>
        <v>0</v>
      </c>
      <c r="EE6" s="61">
        <f xml:space="preserve">
IF(OR(Deltagarlista!$K$3=3,Deltagarlista!$K$3=4),
IF(Arrangörslista!$U$5&lt;8,0,
IF(Arrangörslista!$U$5&lt;16,SUM(LARGE(BV6:CJ6,1)),
IF(Arrangörslista!$U$5&lt;24,SUM(LARGE(BV6:CR6,{1;2})),
IF(Arrangörslista!$U$5&lt;32,SUM(LARGE(BV6:CZ6,{1;2;3})),
IF(Arrangörslista!$U$5&lt;40,SUM(LARGE(BV6:DH6,{1;2;3;4})),
IF(Arrangörslista!$U$5&lt;48,SUM(LARGE(BV6:DP6,{1;2;3;4;5})),
IF(Arrangörslista!$U$5&lt;56,SUM(LARGE(BV6:DX6,{1;2;3;4;5;6})),
IF(Arrangörslista!$U$5&lt;64,SUM(LARGE(BV6:EC6,{1;2;3;4;5;6;7})),0)))))))),
IF(Deltagarlista!$K$3=2,
IF(Arrangörslista!$U$5&lt;4,LARGE(BV6:BX6,1),
IF(Arrangörslista!$U$5&lt;7,SUM(LARGE(BV6:CA6,{1;2;3})),
IF(Arrangörslista!$U$5&lt;10,SUM(LARGE(BV6:CD6,{1;2;3;4})),
IF(Arrangörslista!$U$5&lt;13,SUM(LARGE(BV6:CG6,{1;2;3;4;5;6})),
IF(Arrangörslista!$U$5&lt;16,SUM(LARGE(BV6:CJ6,{1;2;3;4;5;6;7})),
IF(Arrangörslista!$U$5&lt;19,SUM(LARGE(BV6:CM6,{1;2;3;4;5;6;7;8;9})),
IF(Arrangörslista!$U$5&lt;22,SUM(LARGE(BV6:CP6,{1;2;3;4;5;6;7;8;9;10})),
IF(Arrangörslista!$U$5&lt;25,SUM(LARGE(BV6:CS6,{1;2;3;4;5;6;7;8;9;10;11;12})),
IF(Arrangörslista!$U$5&lt;28,SUM(LARGE(BV6:CV6,{1;2;3;4;5;6;7;8;9;10;11;12;13})),
IF(Arrangörslista!$U$5&lt;31,SUM(LARGE(BV6:CY6,{1;2;3;4;5;6;7;8;9;10;11;12;13;14;15})),
IF(Arrangörslista!$U$5&lt;34,SUM(LARGE(BV6:DB6,{1;2;3;4;5;6;7;8;9;10;11;12;13;14;15;16})),
IF(Arrangörslista!$U$5&lt;37,SUM(LARGE(BV6:DE6,{1;2;3;4;5;6;7;8;9;10;11;12;13;14;15;16;17;18})),
IF(Arrangörslista!$U$5&lt;40,SUM(LARGE(BV6:DH6,{1;2;3;4;5;6;7;8;9;10;11;12;13;14;15;16;17;18;19})),
IF(Arrangörslista!$U$5&lt;43,SUM(LARGE(BV6:DK6,{1;2;3;4;5;6;7;8;9;10;11;12;13;14;15;16;17;18;19;20;21})),
IF(Arrangörslista!$U$5&lt;46,SUM(LARGE(BV6:DN6,{1;2;3;4;5;6;7;8;9;10;11;12;13;14;15;16;17;18;19;20;21;22})),
IF(Arrangörslista!$U$5&lt;49,SUM(LARGE(BV6:DQ6,{1;2;3;4;5;6;7;8;9;10;11;12;13;14;15;16;17;18;19;20;21;22;23;24})),
IF(Arrangörslista!$U$5&lt;52,SUM(LARGE(BV6:DT6,{1;2;3;4;5;6;7;8;9;10;11;12;13;14;15;16;17;18;19;20;21;22;23;24;25})),
IF(Arrangörslista!$U$5&lt;55,SUM(LARGE(BV6:DW6,{1;2;3;4;5;6;7;8;9;10;11;12;13;14;15;16;17;18;19;20;21;22;23;24;25;26;27})),
IF(Arrangörslista!$U$5&lt;58,SUM(LARGE(BV6:DZ6,{1;2;3;4;5;6;7;8;9;10;11;12;13;14;15;16;17;18;19;20;21;22;23;24;25;26;27;28})),
IF(Arrangörslista!$U$5&lt;61,SUM(LARGE(BV6:EC6,{1;2;3;4;5;6;7;8;9;10;11;12;13;14;15;16;17;18;19;20;21;22;23;24;25;26;27;28;29;30})),0)))))))))))))))))))),
IF(Arrangörslista!$U$5&lt;4,0,
IF(Arrangörslista!$U$5&lt;8,SUM(LARGE(BV6:CB6,1)),
IF(Arrangörslista!$U$5&lt;12,SUM(LARGE(BV6:CF6,{1;2})),
IF(Arrangörslista!$U$5&lt;16,SUM(LARGE(BV6:CJ6,{1;2;3})),
IF(Arrangörslista!$U$5&lt;20,SUM(LARGE(BV6:CN6,{1;2;3;4})),
IF(Arrangörslista!$U$5&lt;24,SUM(LARGE(BV6:CR6,{1;2;3;4;5})),
IF(Arrangörslista!$U$5&lt;28,SUM(LARGE(BV6:CV6,{1;2;3;4;5;6})),
IF(Arrangörslista!$U$5&lt;32,SUM(LARGE(BV6:CZ6,{1;2;3;4;5;6;7})),
IF(Arrangörslista!$U$5&lt;36,SUM(LARGE(BV6:DD6,{1;2;3;4;5;6;7;8})),
IF(Arrangörslista!$U$5&lt;40,SUM(LARGE(BV6:DH6,{1;2;3;4;5;6;7;8;9})),
IF(Arrangörslista!$U$5&lt;44,SUM(LARGE(BV6:DL6,{1;2;3;4;5;6;7;8;9;10})),
IF(Arrangörslista!$U$5&lt;48,SUM(LARGE(BV6:DP6,{1;2;3;4;5;6;7;8;9;10;11})),
IF(Arrangörslista!$U$5&lt;52,SUM(LARGE(BV6:DT6,{1;2;3;4;5;6;7;8;9;10;11;12})),
IF(Arrangörslista!$U$5&lt;56,SUM(LARGE(BV6:DX6,{1;2;3;4;5;6;7;8;9;10;11;12;13})),
IF(Arrangörslista!$U$5&lt;60,SUM(LARGE(BV6:EB6,{1;2;3;4;5;6;7;8;9;10;11;12;13;14})),
IF(Arrangörslista!$U$5=60,SUM(LARGE(BV6:EC6,{1;2;3;4;5;6;7;8;9;10;11;12;13;14;15})),0))))))))))))))))))</f>
        <v>0</v>
      </c>
      <c r="EG6" s="67">
        <f t="shared" si="62"/>
        <v>0</v>
      </c>
      <c r="EH6" s="61"/>
      <c r="EI6" s="61"/>
      <c r="EK6" s="62">
        <f t="shared" si="63"/>
        <v>61</v>
      </c>
      <c r="EL6" s="62">
        <f t="shared" si="64"/>
        <v>61</v>
      </c>
      <c r="EM6" s="62">
        <f t="shared" si="65"/>
        <v>61</v>
      </c>
      <c r="EN6" s="62">
        <f t="shared" si="66"/>
        <v>61</v>
      </c>
      <c r="EO6" s="62">
        <f t="shared" si="67"/>
        <v>61</v>
      </c>
      <c r="EP6" s="62">
        <f t="shared" si="68"/>
        <v>61</v>
      </c>
      <c r="EQ6" s="62">
        <f t="shared" si="69"/>
        <v>61</v>
      </c>
      <c r="ER6" s="62">
        <f t="shared" si="70"/>
        <v>61</v>
      </c>
      <c r="ES6" s="62">
        <f t="shared" si="71"/>
        <v>61</v>
      </c>
      <c r="ET6" s="62">
        <f t="shared" si="72"/>
        <v>61</v>
      </c>
      <c r="EU6" s="62">
        <f t="shared" si="73"/>
        <v>61</v>
      </c>
      <c r="EV6" s="62">
        <f t="shared" si="74"/>
        <v>61</v>
      </c>
      <c r="EW6" s="62">
        <f t="shared" si="75"/>
        <v>61</v>
      </c>
      <c r="EX6" s="62">
        <f t="shared" si="76"/>
        <v>61</v>
      </c>
      <c r="EY6" s="62">
        <f t="shared" si="77"/>
        <v>61</v>
      </c>
      <c r="EZ6" s="62">
        <f t="shared" si="78"/>
        <v>61</v>
      </c>
      <c r="FA6" s="62">
        <f t="shared" si="79"/>
        <v>61</v>
      </c>
      <c r="FB6" s="62">
        <f t="shared" si="80"/>
        <v>61</v>
      </c>
      <c r="FC6" s="62">
        <f t="shared" si="81"/>
        <v>61</v>
      </c>
      <c r="FD6" s="62">
        <f t="shared" si="82"/>
        <v>61</v>
      </c>
      <c r="FE6" s="62">
        <f t="shared" si="83"/>
        <v>61</v>
      </c>
      <c r="FF6" s="62">
        <f t="shared" si="84"/>
        <v>61</v>
      </c>
      <c r="FG6" s="62">
        <f t="shared" si="85"/>
        <v>61</v>
      </c>
      <c r="FH6" s="62">
        <f t="shared" si="86"/>
        <v>61</v>
      </c>
      <c r="FI6" s="62">
        <f t="shared" si="87"/>
        <v>61</v>
      </c>
      <c r="FJ6" s="62">
        <f t="shared" si="88"/>
        <v>61</v>
      </c>
      <c r="FK6" s="62">
        <f t="shared" si="89"/>
        <v>61</v>
      </c>
      <c r="FL6" s="62">
        <f t="shared" si="90"/>
        <v>61</v>
      </c>
      <c r="FM6" s="62">
        <f t="shared" si="91"/>
        <v>61</v>
      </c>
      <c r="FN6" s="62">
        <f t="shared" si="92"/>
        <v>61</v>
      </c>
      <c r="FO6" s="62">
        <f t="shared" si="93"/>
        <v>61</v>
      </c>
      <c r="FP6" s="62">
        <f t="shared" si="94"/>
        <v>61</v>
      </c>
      <c r="FQ6" s="62">
        <f t="shared" si="95"/>
        <v>61</v>
      </c>
      <c r="FR6" s="62">
        <f t="shared" si="96"/>
        <v>61</v>
      </c>
      <c r="FS6" s="62">
        <f t="shared" si="97"/>
        <v>61</v>
      </c>
      <c r="FT6" s="62">
        <f t="shared" si="98"/>
        <v>61</v>
      </c>
      <c r="FU6" s="62">
        <f t="shared" si="99"/>
        <v>61</v>
      </c>
      <c r="FV6" s="62">
        <f t="shared" si="100"/>
        <v>61</v>
      </c>
      <c r="FW6" s="62">
        <f t="shared" si="101"/>
        <v>61</v>
      </c>
      <c r="FX6" s="62">
        <f t="shared" si="102"/>
        <v>61</v>
      </c>
      <c r="FY6" s="62">
        <f t="shared" si="103"/>
        <v>61</v>
      </c>
      <c r="FZ6" s="62">
        <f t="shared" si="104"/>
        <v>61</v>
      </c>
      <c r="GA6" s="62">
        <f t="shared" si="105"/>
        <v>61</v>
      </c>
      <c r="GB6" s="62">
        <f t="shared" si="106"/>
        <v>61</v>
      </c>
      <c r="GC6" s="62">
        <f t="shared" si="107"/>
        <v>61</v>
      </c>
      <c r="GD6" s="62">
        <f t="shared" si="108"/>
        <v>61</v>
      </c>
      <c r="GE6" s="62">
        <f t="shared" si="109"/>
        <v>61</v>
      </c>
      <c r="GF6" s="62">
        <f t="shared" si="110"/>
        <v>61</v>
      </c>
      <c r="GG6" s="62">
        <f t="shared" si="111"/>
        <v>61</v>
      </c>
      <c r="GH6" s="62">
        <f t="shared" si="112"/>
        <v>61</v>
      </c>
      <c r="GI6" s="62">
        <f t="shared" si="113"/>
        <v>61</v>
      </c>
      <c r="GJ6" s="62">
        <f t="shared" si="114"/>
        <v>61</v>
      </c>
      <c r="GK6" s="62">
        <f t="shared" si="115"/>
        <v>61</v>
      </c>
      <c r="GL6" s="62">
        <f t="shared" si="116"/>
        <v>61</v>
      </c>
      <c r="GM6" s="62">
        <f t="shared" si="117"/>
        <v>61</v>
      </c>
      <c r="GN6" s="62">
        <f t="shared" si="118"/>
        <v>61</v>
      </c>
      <c r="GO6" s="62">
        <f t="shared" si="119"/>
        <v>61</v>
      </c>
      <c r="GP6" s="62">
        <f t="shared" si="120"/>
        <v>61</v>
      </c>
      <c r="GQ6" s="62">
        <f t="shared" si="121"/>
        <v>61</v>
      </c>
      <c r="GR6" s="62">
        <f t="shared" si="122"/>
        <v>61</v>
      </c>
      <c r="GT6" s="62">
        <f>IF(Deltagarlista!$K$3=2,
IF(GW6="1",
      IF(Arrangörslista!$U$5=1,J69,
IF(Arrangörslista!$U$5=2,K69,
IF(Arrangörslista!$U$5=3,L69,
IF(Arrangörslista!$U$5=4,M69,
IF(Arrangörslista!$U$5=5,N69,
IF(Arrangörslista!$U$5=6,O69,
IF(Arrangörslista!$U$5=7,P69,
IF(Arrangörslista!$U$5=8,Q69,
IF(Arrangörslista!$U$5=9,R69,
IF(Arrangörslista!$U$5=10,S69,
IF(Arrangörslista!$U$5=11,T69,
IF(Arrangörslista!$U$5=12,U69,
IF(Arrangörslista!$U$5=13,V69,
IF(Arrangörslista!$U$5=14,W69,
IF(Arrangörslista!$U$5=15,X69,
IF(Arrangörslista!$U$5=16,Y69,IF(Arrangörslista!$U$5=17,Z69,IF(Arrangörslista!$U$5=18,AA69,IF(Arrangörslista!$U$5=19,AB69,IF(Arrangörslista!$U$5=20,AC69,IF(Arrangörslista!$U$5=21,AD69,IF(Arrangörslista!$U$5=22,AE69,IF(Arrangörslista!$U$5=23,AF69, IF(Arrangörslista!$U$5=24,AG69, IF(Arrangörslista!$U$5=25,AH69, IF(Arrangörslista!$U$5=26,AI69, IF(Arrangörslista!$U$5=27,AJ69, IF(Arrangörslista!$U$5=28,AK69, IF(Arrangörslista!$U$5=29,AL69, IF(Arrangörslista!$U$5=30,AM69, IF(Arrangörslista!$U$5=31,AN69, IF(Arrangörslista!$U$5=32,AO69, IF(Arrangörslista!$U$5=33,AP69, IF(Arrangörslista!$U$5=34,AQ69, IF(Arrangörslista!$U$5=35,AR69, IF(Arrangörslista!$U$5=36,AS69, IF(Arrangörslista!$U$5=37,AT69, IF(Arrangörslista!$U$5=38,AU69, IF(Arrangörslista!$U$5=39,AV69, IF(Arrangörslista!$U$5=40,AW69, IF(Arrangörslista!$U$5=41,AX69, IF(Arrangörslista!$U$5=42,AY69, IF(Arrangörslista!$U$5=43,AZ69, IF(Arrangörslista!$U$5=44,BA69, IF(Arrangörslista!$U$5=45,BB69, IF(Arrangörslista!$U$5=46,BC69, IF(Arrangörslista!$U$5=47,BD69, IF(Arrangörslista!$U$5=48,BE69, IF(Arrangörslista!$U$5=49,BF69, IF(Arrangörslista!$U$5=50,BG69, IF(Arrangörslista!$U$5=51,BH69, IF(Arrangörslista!$U$5=52,BI69, IF(Arrangörslista!$U$5=53,BJ69, IF(Arrangörslista!$U$5=54,BK69, IF(Arrangörslista!$U$5=55,BL69, IF(Arrangörslista!$U$5=56,BM69, IF(Arrangörslista!$U$5=57,BN69, IF(Arrangörslista!$U$5=58,BO69, IF(Arrangörslista!$U$5=59,BP69, IF(Arrangörslista!$U$5=60,BQ69,0))))))))))))))))))))))))))))))))))))))))))))))))))))))))))))),IF(Deltagarlista!$K$3=4, IF(Arrangörslista!$U$5=1,J69,
IF(Arrangörslista!$U$5=2,J69,
IF(Arrangörslista!$U$5=3,K69,
IF(Arrangörslista!$U$5=4,K69,
IF(Arrangörslista!$U$5=5,L69,
IF(Arrangörslista!$U$5=6,L69,
IF(Arrangörslista!$U$5=7,M69,
IF(Arrangörslista!$U$5=8,M69,
IF(Arrangörslista!$U$5=9,N69,
IF(Arrangörslista!$U$5=10,N69,
IF(Arrangörslista!$U$5=11,O69,
IF(Arrangörslista!$U$5=12,O69,
IF(Arrangörslista!$U$5=13,P69,
IF(Arrangörslista!$U$5=14,P69,
IF(Arrangörslista!$U$5=15,Q69,
IF(Arrangörslista!$U$5=16,Q69,
IF(Arrangörslista!$U$5=17,R69,
IF(Arrangörslista!$U$5=18,R69,
IF(Arrangörslista!$U$5=19,S69,
IF(Arrangörslista!$U$5=20,S69,
IF(Arrangörslista!$U$5=21,T69,
IF(Arrangörslista!$U$5=22,T69,IF(Arrangörslista!$U$5=23,U69, IF(Arrangörslista!$U$5=24,U69, IF(Arrangörslista!$U$5=25,V69, IF(Arrangörslista!$U$5=26,V69, IF(Arrangörslista!$U$5=27,W69, IF(Arrangörslista!$U$5=28,W69, IF(Arrangörslista!$U$5=29,X69, IF(Arrangörslista!$U$5=30,X69, IF(Arrangörslista!$U$5=31,X69, IF(Arrangörslista!$U$5=32,Y69, IF(Arrangörslista!$U$5=33,AO69, IF(Arrangörslista!$U$5=34,Y69, IF(Arrangörslista!$U$5=35,Z69, IF(Arrangörslista!$U$5=36,AR69, IF(Arrangörslista!$U$5=37,Z69, IF(Arrangörslista!$U$5=38,AA69, IF(Arrangörslista!$U$5=39,AU69, IF(Arrangörslista!$U$5=40,AA69, IF(Arrangörslista!$U$5=41,AB69, IF(Arrangörslista!$U$5=42,AX69, IF(Arrangörslista!$U$5=43,AB69, IF(Arrangörslista!$U$5=44,AC69, IF(Arrangörslista!$U$5=45,BA69, IF(Arrangörslista!$U$5=46,AC69, IF(Arrangörslista!$U$5=47,AD69, IF(Arrangörslista!$U$5=48,BD69, IF(Arrangörslista!$U$5=49,AD69, IF(Arrangörslista!$U$5=50,AE69, IF(Arrangörslista!$U$5=51,BG69, IF(Arrangörslista!$U$5=52,AE69, IF(Arrangörslista!$U$5=53,AF69, IF(Arrangörslista!$U$5=54,BJ69, IF(Arrangörslista!$U$5=55,AF69, IF(Arrangörslista!$U$5=56,AG69, IF(Arrangörslista!$U$5=57,BM69, IF(Arrangörslista!$U$5=58,AG69, IF(Arrangörslista!$U$5=59,AH69, IF(Arrangörslista!$U$5=60,AH69,0)))))))))))))))))))))))))))))))))))))))))))))))))))))))))))),IF(Arrangörslista!$U$5=1,J69,
IF(Arrangörslista!$U$5=2,K69,
IF(Arrangörslista!$U$5=3,L69,
IF(Arrangörslista!$U$5=4,M69,
IF(Arrangörslista!$U$5=5,N69,
IF(Arrangörslista!$U$5=6,O69,
IF(Arrangörslista!$U$5=7,P69,
IF(Arrangörslista!$U$5=8,Q69,
IF(Arrangörslista!$U$5=9,R69,
IF(Arrangörslista!$U$5=10,S69,
IF(Arrangörslista!$U$5=11,T69,
IF(Arrangörslista!$U$5=12,U69,
IF(Arrangörslista!$U$5=13,V69,
IF(Arrangörslista!$U$5=14,W69,
IF(Arrangörslista!$U$5=15,X69,
IF(Arrangörslista!$U$5=16,Y69,IF(Arrangörslista!$U$5=17,Z69,IF(Arrangörslista!$U$5=18,AA69,IF(Arrangörslista!$U$5=19,AB69,IF(Arrangörslista!$U$5=20,AC69,IF(Arrangörslista!$U$5=21,AD69,IF(Arrangörslista!$U$5=22,AE69,IF(Arrangörslista!$U$5=23,AF69, IF(Arrangörslista!$U$5=24,AG69, IF(Arrangörslista!$U$5=25,AH69, IF(Arrangörslista!$U$5=26,AI69, IF(Arrangörslista!$U$5=27,AJ69, IF(Arrangörslista!$U$5=28,AK69, IF(Arrangörslista!$U$5=29,AL69, IF(Arrangörslista!$U$5=30,AM69, IF(Arrangörslista!$U$5=31,AN69, IF(Arrangörslista!$U$5=32,AO69, IF(Arrangörslista!$U$5=33,AP69, IF(Arrangörslista!$U$5=34,AQ69, IF(Arrangörslista!$U$5=35,AR69, IF(Arrangörslista!$U$5=36,AS69, IF(Arrangörslista!$U$5=37,AT69, IF(Arrangörslista!$U$5=38,AU69, IF(Arrangörslista!$U$5=39,AV69, IF(Arrangörslista!$U$5=40,AW69, IF(Arrangörslista!$U$5=41,AX69, IF(Arrangörslista!$U$5=42,AY69, IF(Arrangörslista!$U$5=43,AZ69, IF(Arrangörslista!$U$5=44,BA69, IF(Arrangörslista!$U$5=45,BB69, IF(Arrangörslista!$U$5=46,BC69, IF(Arrangörslista!$U$5=47,BD69, IF(Arrangörslista!$U$5=48,BE69, IF(Arrangörslista!$U$5=49,BF69, IF(Arrangörslista!$U$5=50,BG69, IF(Arrangörslista!$U$5=51,BH69, IF(Arrangörslista!$U$5=52,BI69, IF(Arrangörslista!$U$5=53,BJ69, IF(Arrangörslista!$U$5=54,BK69, IF(Arrangörslista!$U$5=55,BL69, IF(Arrangörslista!$U$5=56,BM69, IF(Arrangörslista!$U$5=57,BN69, IF(Arrangörslista!$U$5=58,BO69, IF(Arrangörslista!$U$5=59,BP69, IF(Arrangörslista!$U$5=60,BQ69,0))))))))))))))))))))))))))))))))))))))))))))))))))))))))))))
))</f>
        <v>0</v>
      </c>
      <c r="GV6" s="65" t="str">
        <f>IFERROR(IF(VLOOKUP(F6,Deltagarlista!$E$5:$I$64,5,FALSE)="Grön","Gr",IF(VLOOKUP(F6,Deltagarlista!$E$5:$I$64,5,FALSE)="Röd","R",IF(VLOOKUP(F6,Deltagarlista!$E$5:$I$64,5,FALSE)="Blå","B","Gu"))),"")</f>
        <v/>
      </c>
      <c r="GW6" s="62" t="str">
        <f t="shared" si="123"/>
        <v/>
      </c>
    </row>
    <row r="7" spans="1:206" x14ac:dyDescent="0.3">
      <c r="B7" s="23" t="str">
        <f>IF((COUNTIF(Deltagarlista!$H$5:$H$64,"GM"))&gt;3,4,"")</f>
        <v/>
      </c>
      <c r="C7" s="92" t="str">
        <f>IF(ISBLANK(Deltagarlista!C31),"",Deltagarlista!C31)</f>
        <v/>
      </c>
      <c r="D7" s="109" t="str">
        <f>CONCATENATE(IF(Deltagarlista!H31="GM","GM   ",""), IF(OR(Deltagarlista!$K$3=4,Deltagarlista!$K$3=2),Deltagarlista!I31,""))</f>
        <v/>
      </c>
      <c r="E7" s="8" t="str">
        <f>IF(ISBLANK(Deltagarlista!D31),"",Deltagarlista!D31)</f>
        <v/>
      </c>
      <c r="F7" s="8" t="str">
        <f>IF(ISBLANK(Deltagarlista!E31),"",Deltagarlista!E31)</f>
        <v/>
      </c>
      <c r="G7" s="95" t="str">
        <f>IF(ISBLANK(Deltagarlista!F31),"",Deltagarlista!F31)</f>
        <v/>
      </c>
      <c r="H7" s="72" t="str">
        <f>IF(ISBLANK(Deltagarlista!C31),"",BU7-EE7)</f>
        <v/>
      </c>
      <c r="I7" s="13" t="str">
        <f>IF(ISBLANK(Deltagarlista!C31),"",IF(AND(Deltagarlista!$K$3=2,Deltagarlista!$L$3&lt;37),SUM(SUM(BV7:EC7)-(ROUNDDOWN(Arrangörslista!$U$5/3,1))*($BW$3+1)),SUM(BV7:EC7)))</f>
        <v/>
      </c>
      <c r="J7" s="79" t="str">
        <f>IF(Deltagarlista!$K$3=4,IF(ISBLANK(Deltagarlista!$C31),"",IF(ISBLANK(Arrangörslista!C$8),"",IFERROR(VLOOKUP($F7,Arrangörslista!C$8:$AG$45,16,FALSE),IF(ISBLANK(Deltagarlista!$C31),"",IF(ISBLANK(Arrangörslista!C$8),"",IFERROR(VLOOKUP($F7,Arrangörslista!D$8:$AG$45,16,FALSE),"DNS")))))),IF(Deltagarlista!$K$3=2,
IF(ISBLANK(Deltagarlista!$C31),"",IF(ISBLANK(Arrangörslista!C$8),"",IF($GV7=J$64," DNS ",IFERROR(VLOOKUP($F7,Arrangörslista!C$8:$AG$45,16,FALSE),"DNS")))),IF(ISBLANK(Deltagarlista!$C31),"",IF(ISBLANK(Arrangörslista!C$8),"",IFERROR(VLOOKUP($F7,Arrangörslista!C$8:$AG$45,16,FALSE),"DNS")))))</f>
        <v/>
      </c>
      <c r="K7" s="5" t="str">
        <f>IF(Deltagarlista!$K$3=4,IF(ISBLANK(Deltagarlista!$C31),"",IF(ISBLANK(Arrangörslista!E$8),"",IFERROR(VLOOKUP($F7,Arrangörslista!E$8:$AG$45,16,FALSE),IF(ISBLANK(Deltagarlista!$C31),"",IF(ISBLANK(Arrangörslista!E$8),"",IFERROR(VLOOKUP($F7,Arrangörslista!F$8:$AG$45,16,FALSE),"DNS")))))),IF(Deltagarlista!$K$3=2,
IF(ISBLANK(Deltagarlista!$C31),"",IF(ISBLANK(Arrangörslista!D$8),"",IF($GV7=K$64," DNS ",IFERROR(VLOOKUP($F7,Arrangörslista!D$8:$AG$45,16,FALSE),"DNS")))),IF(ISBLANK(Deltagarlista!$C31),"",IF(ISBLANK(Arrangörslista!D$8),"",IFERROR(VLOOKUP($F7,Arrangörslista!D$8:$AG$45,16,FALSE),"DNS")))))</f>
        <v/>
      </c>
      <c r="L7" s="5" t="str">
        <f>IF(Deltagarlista!$K$3=4,IF(ISBLANK(Deltagarlista!$C31),"",IF(ISBLANK(Arrangörslista!G$8),"",IFERROR(VLOOKUP($F7,Arrangörslista!G$8:$AG$45,16,FALSE),IF(ISBLANK(Deltagarlista!$C31),"",IF(ISBLANK(Arrangörslista!G$8),"",IFERROR(VLOOKUP($F7,Arrangörslista!H$8:$AG$45,16,FALSE),"DNS")))))),IF(Deltagarlista!$K$3=2,
IF(ISBLANK(Deltagarlista!$C31),"",IF(ISBLANK(Arrangörslista!E$8),"",IF($GV7=L$64," DNS ",IFERROR(VLOOKUP($F7,Arrangörslista!E$8:$AG$45,16,FALSE),"DNS")))),IF(ISBLANK(Deltagarlista!$C31),"",IF(ISBLANK(Arrangörslista!E$8),"",IFERROR(VLOOKUP($F7,Arrangörslista!E$8:$AG$45,16,FALSE),"DNS")))))</f>
        <v/>
      </c>
      <c r="M7" s="5" t="str">
        <f>IF(Deltagarlista!$K$3=4,IF(ISBLANK(Deltagarlista!$C31),"",IF(ISBLANK(Arrangörslista!I$8),"",IFERROR(VLOOKUP($F7,Arrangörslista!I$8:$AG$45,16,FALSE),IF(ISBLANK(Deltagarlista!$C31),"",IF(ISBLANK(Arrangörslista!I$8),"",IFERROR(VLOOKUP($F7,Arrangörslista!J$8:$AG$45,16,FALSE),"DNS")))))),IF(Deltagarlista!$K$3=2,
IF(ISBLANK(Deltagarlista!$C31),"",IF(ISBLANK(Arrangörslista!F$8),"",IF($GV7=M$64," DNS ",IFERROR(VLOOKUP($F7,Arrangörslista!F$8:$AG$45,16,FALSE),"DNS")))),IF(ISBLANK(Deltagarlista!$C31),"",IF(ISBLANK(Arrangörslista!F$8),"",IFERROR(VLOOKUP($F7,Arrangörslista!F$8:$AG$45,16,FALSE),"DNS")))))</f>
        <v/>
      </c>
      <c r="N7" s="5" t="str">
        <f>IF(Deltagarlista!$K$3=4,IF(ISBLANK(Deltagarlista!$C31),"",IF(ISBLANK(Arrangörslista!K$8),"",IFERROR(VLOOKUP($F7,Arrangörslista!K$8:$AG$45,16,FALSE),IF(ISBLANK(Deltagarlista!$C31),"",IF(ISBLANK(Arrangörslista!K$8),"",IFERROR(VLOOKUP($F7,Arrangörslista!L$8:$AG$45,16,FALSE),"DNS")))))),IF(Deltagarlista!$K$3=2,
IF(ISBLANK(Deltagarlista!$C31),"",IF(ISBLANK(Arrangörslista!G$8),"",IF($GV7=N$64," DNS ",IFERROR(VLOOKUP($F7,Arrangörslista!G$8:$AG$45,16,FALSE),"DNS")))),IF(ISBLANK(Deltagarlista!$C31),"",IF(ISBLANK(Arrangörslista!G$8),"",IFERROR(VLOOKUP($F7,Arrangörslista!G$8:$AG$45,16,FALSE),"DNS")))))</f>
        <v/>
      </c>
      <c r="O7" s="5" t="str">
        <f>IF(Deltagarlista!$K$3=4,IF(ISBLANK(Deltagarlista!$C31),"",IF(ISBLANK(Arrangörslista!M$8),"",IFERROR(VLOOKUP($F7,Arrangörslista!M$8:$AG$45,16,FALSE),IF(ISBLANK(Deltagarlista!$C31),"",IF(ISBLANK(Arrangörslista!M$8),"",IFERROR(VLOOKUP($F7,Arrangörslista!N$8:$AG$45,16,FALSE),"DNS")))))),IF(Deltagarlista!$K$3=2,
IF(ISBLANK(Deltagarlista!$C31),"",IF(ISBLANK(Arrangörslista!H$8),"",IF($GV7=O$64," DNS ",IFERROR(VLOOKUP($F7,Arrangörslista!H$8:$AG$45,16,FALSE),"DNS")))),IF(ISBLANK(Deltagarlista!$C31),"",IF(ISBLANK(Arrangörslista!H$8),"",IFERROR(VLOOKUP($F7,Arrangörslista!H$8:$AG$45,16,FALSE),"DNS")))))</f>
        <v/>
      </c>
      <c r="P7" s="5" t="str">
        <f>IF(Deltagarlista!$K$3=4,IF(ISBLANK(Deltagarlista!$C31),"",IF(ISBLANK(Arrangörslista!O$8),"",IFERROR(VLOOKUP($F7,Arrangörslista!O$8:$AG$45,16,FALSE),IF(ISBLANK(Deltagarlista!$C31),"",IF(ISBLANK(Arrangörslista!O$8),"",IFERROR(VLOOKUP($F7,Arrangörslista!P$8:$AG$45,16,FALSE),"DNS")))))),IF(Deltagarlista!$K$3=2,
IF(ISBLANK(Deltagarlista!$C31),"",IF(ISBLANK(Arrangörslista!I$8),"",IF($GV7=P$64," DNS ",IFERROR(VLOOKUP($F7,Arrangörslista!I$8:$AG$45,16,FALSE),"DNS")))),IF(ISBLANK(Deltagarlista!$C31),"",IF(ISBLANK(Arrangörslista!I$8),"",IFERROR(VLOOKUP($F7,Arrangörslista!I$8:$AG$45,16,FALSE),"DNS")))))</f>
        <v/>
      </c>
      <c r="Q7" s="5" t="str">
        <f>IF(Deltagarlista!$K$3=4,IF(ISBLANK(Deltagarlista!$C31),"",IF(ISBLANK(Arrangörslista!Q$8),"",IFERROR(VLOOKUP($F7,Arrangörslista!Q$8:$AG$45,16,FALSE),IF(ISBLANK(Deltagarlista!$C31),"",IF(ISBLANK(Arrangörslista!Q$8),"",IFERROR(VLOOKUP($F7,Arrangörslista!C$53:$AG$90,16,FALSE),"DNS")))))),IF(Deltagarlista!$K$3=2,
IF(ISBLANK(Deltagarlista!$C31),"",IF(ISBLANK(Arrangörslista!J$8),"",IF($GV7=Q$64," DNS ",IFERROR(VLOOKUP($F7,Arrangörslista!J$8:$AG$45,16,FALSE),"DNS")))),IF(ISBLANK(Deltagarlista!$C31),"",IF(ISBLANK(Arrangörslista!J$8),"",IFERROR(VLOOKUP($F7,Arrangörslista!J$8:$AG$45,16,FALSE),"DNS")))))</f>
        <v/>
      </c>
      <c r="R7" s="5" t="str">
        <f>IF(Deltagarlista!$K$3=4,IF(ISBLANK(Deltagarlista!$C31),"",IF(ISBLANK(Arrangörslista!D$53),"",IFERROR(VLOOKUP($F7,Arrangörslista!D$53:$AG$90,16,FALSE),IF(ISBLANK(Deltagarlista!$C31),"",IF(ISBLANK(Arrangörslista!D$53),"",IFERROR(VLOOKUP($F7,Arrangörslista!E$53:$AG$90,16,FALSE),"DNS")))))),IF(Deltagarlista!$K$3=2,
IF(ISBLANK(Deltagarlista!$C31),"",IF(ISBLANK(Arrangörslista!K$8),"",IF($GV7=R$64," DNS ",IFERROR(VLOOKUP($F7,Arrangörslista!K$8:$AG$45,16,FALSE),"DNS")))),IF(ISBLANK(Deltagarlista!$C31),"",IF(ISBLANK(Arrangörslista!K$8),"",IFERROR(VLOOKUP($F7,Arrangörslista!K$8:$AG$45,16,FALSE),"DNS")))))</f>
        <v/>
      </c>
      <c r="S7" s="5" t="str">
        <f>IF(Deltagarlista!$K$3=4,IF(ISBLANK(Deltagarlista!$C31),"",IF(ISBLANK(Arrangörslista!F$53),"",IFERROR(VLOOKUP($F7,Arrangörslista!F$53:$AG$90,16,FALSE),IF(ISBLANK(Deltagarlista!$C31),"",IF(ISBLANK(Arrangörslista!F$53),"",IFERROR(VLOOKUP($F7,Arrangörslista!G$53:$AG$90,16,FALSE),"DNS")))))),IF(Deltagarlista!$K$3=2,
IF(ISBLANK(Deltagarlista!$C31),"",IF(ISBLANK(Arrangörslista!L$8),"",IF($GV7=S$64," DNS ",IFERROR(VLOOKUP($F7,Arrangörslista!L$8:$AG$45,16,FALSE),"DNS")))),IF(ISBLANK(Deltagarlista!$C31),"",IF(ISBLANK(Arrangörslista!L$8),"",IFERROR(VLOOKUP($F7,Arrangörslista!L$8:$AG$45,16,FALSE),"DNS")))))</f>
        <v/>
      </c>
      <c r="T7" s="5" t="str">
        <f>IF(Deltagarlista!$K$3=4,IF(ISBLANK(Deltagarlista!$C31),"",IF(ISBLANK(Arrangörslista!H$53),"",IFERROR(VLOOKUP($F7,Arrangörslista!H$53:$AG$90,16,FALSE),IF(ISBLANK(Deltagarlista!$C31),"",IF(ISBLANK(Arrangörslista!H$53),"",IFERROR(VLOOKUP($F7,Arrangörslista!I$53:$AG$90,16,FALSE),"DNS")))))),IF(Deltagarlista!$K$3=2,
IF(ISBLANK(Deltagarlista!$C31),"",IF(ISBLANK(Arrangörslista!M$8),"",IF($GV7=T$64," DNS ",IFERROR(VLOOKUP($F7,Arrangörslista!M$8:$AG$45,16,FALSE),"DNS")))),IF(ISBLANK(Deltagarlista!$C31),"",IF(ISBLANK(Arrangörslista!M$8),"",IFERROR(VLOOKUP($F7,Arrangörslista!M$8:$AG$45,16,FALSE),"DNS")))))</f>
        <v/>
      </c>
      <c r="U7" s="5" t="str">
        <f>IF(Deltagarlista!$K$3=4,IF(ISBLANK(Deltagarlista!$C31),"",IF(ISBLANK(Arrangörslista!J$53),"",IFERROR(VLOOKUP($F7,Arrangörslista!J$53:$AG$90,16,FALSE),IF(ISBLANK(Deltagarlista!$C31),"",IF(ISBLANK(Arrangörslista!J$53),"",IFERROR(VLOOKUP($F7,Arrangörslista!K$53:$AG$90,16,FALSE),"DNS")))))),IF(Deltagarlista!$K$3=2,
IF(ISBLANK(Deltagarlista!$C31),"",IF(ISBLANK(Arrangörslista!N$8),"",IF($GV7=U$64," DNS ",IFERROR(VLOOKUP($F7,Arrangörslista!N$8:$AG$45,16,FALSE),"DNS")))),IF(ISBLANK(Deltagarlista!$C31),"",IF(ISBLANK(Arrangörslista!N$8),"",IFERROR(VLOOKUP($F7,Arrangörslista!N$8:$AG$45,16,FALSE),"DNS")))))</f>
        <v/>
      </c>
      <c r="V7" s="5" t="str">
        <f>IF(Deltagarlista!$K$3=4,IF(ISBLANK(Deltagarlista!$C31),"",IF(ISBLANK(Arrangörslista!L$53),"",IFERROR(VLOOKUP($F7,Arrangörslista!L$53:$AG$90,16,FALSE),IF(ISBLANK(Deltagarlista!$C31),"",IF(ISBLANK(Arrangörslista!L$53),"",IFERROR(VLOOKUP($F7,Arrangörslista!M$53:$AG$90,16,FALSE),"DNS")))))),IF(Deltagarlista!$K$3=2,
IF(ISBLANK(Deltagarlista!$C31),"",IF(ISBLANK(Arrangörslista!O$8),"",IF($GV7=V$64," DNS ",IFERROR(VLOOKUP($F7,Arrangörslista!O$8:$AG$45,16,FALSE),"DNS")))),IF(ISBLANK(Deltagarlista!$C31),"",IF(ISBLANK(Arrangörslista!O$8),"",IFERROR(VLOOKUP($F7,Arrangörslista!O$8:$AG$45,16,FALSE),"DNS")))))</f>
        <v/>
      </c>
      <c r="W7" s="5" t="str">
        <f>IF(Deltagarlista!$K$3=4,IF(ISBLANK(Deltagarlista!$C31),"",IF(ISBLANK(Arrangörslista!N$53),"",IFERROR(VLOOKUP($F7,Arrangörslista!N$53:$AG$90,16,FALSE),IF(ISBLANK(Deltagarlista!$C31),"",IF(ISBLANK(Arrangörslista!N$53),"",IFERROR(VLOOKUP($F7,Arrangörslista!O$53:$AG$90,16,FALSE),"DNS")))))),IF(Deltagarlista!$K$3=2,
IF(ISBLANK(Deltagarlista!$C31),"",IF(ISBLANK(Arrangörslista!P$8),"",IF($GV7=W$64," DNS ",IFERROR(VLOOKUP($F7,Arrangörslista!P$8:$AG$45,16,FALSE),"DNS")))),IF(ISBLANK(Deltagarlista!$C31),"",IF(ISBLANK(Arrangörslista!P$8),"",IFERROR(VLOOKUP($F7,Arrangörslista!P$8:$AG$45,16,FALSE),"DNS")))))</f>
        <v/>
      </c>
      <c r="X7" s="5" t="str">
        <f>IF(Deltagarlista!$K$3=4,IF(ISBLANK(Deltagarlista!$C31),"",IF(ISBLANK(Arrangörslista!P$53),"",IFERROR(VLOOKUP($F7,Arrangörslista!P$53:$AG$90,16,FALSE),IF(ISBLANK(Deltagarlista!$C31),"",IF(ISBLANK(Arrangörslista!P$53),"",IFERROR(VLOOKUP($F7,Arrangörslista!Q$53:$AG$90,16,FALSE),"DNS")))))),IF(Deltagarlista!$K$3=2,
IF(ISBLANK(Deltagarlista!$C31),"",IF(ISBLANK(Arrangörslista!Q$8),"",IF($GV7=X$64," DNS ",IFERROR(VLOOKUP($F7,Arrangörslista!Q$8:$AG$45,16,FALSE),"DNS")))),IF(ISBLANK(Deltagarlista!$C31),"",IF(ISBLANK(Arrangörslista!Q$8),"",IFERROR(VLOOKUP($F7,Arrangörslista!Q$8:$AG$45,16,FALSE),"DNS")))))</f>
        <v/>
      </c>
      <c r="Y7" s="5" t="str">
        <f>IF(Deltagarlista!$K$3=4,IF(ISBLANK(Deltagarlista!$C31),"",IF(ISBLANK(Arrangörslista!C$98),"",IFERROR(VLOOKUP($F7,Arrangörslista!C$98:$AG$135,16,FALSE),IF(ISBLANK(Deltagarlista!$C31),"",IF(ISBLANK(Arrangörslista!C$98),"",IFERROR(VLOOKUP($F7,Arrangörslista!D$98:$AG$135,16,FALSE),"DNS")))))),IF(Deltagarlista!$K$3=2,
IF(ISBLANK(Deltagarlista!$C31),"",IF(ISBLANK(Arrangörslista!C$53),"",IF($GV7=Y$64," DNS ",IFERROR(VLOOKUP($F7,Arrangörslista!C$53:$AG$90,16,FALSE),"DNS")))),IF(ISBLANK(Deltagarlista!$C31),"",IF(ISBLANK(Arrangörslista!C$53),"",IFERROR(VLOOKUP($F7,Arrangörslista!C$53:$AG$90,16,FALSE),"DNS")))))</f>
        <v/>
      </c>
      <c r="Z7" s="5" t="str">
        <f>IF(Deltagarlista!$K$3=4,IF(ISBLANK(Deltagarlista!$C31),"",IF(ISBLANK(Arrangörslista!E$98),"",IFERROR(VLOOKUP($F7,Arrangörslista!E$98:$AG$135,16,FALSE),IF(ISBLANK(Deltagarlista!$C31),"",IF(ISBLANK(Arrangörslista!E$98),"",IFERROR(VLOOKUP($F7,Arrangörslista!F$98:$AG$135,16,FALSE),"DNS")))))),IF(Deltagarlista!$K$3=2,
IF(ISBLANK(Deltagarlista!$C31),"",IF(ISBLANK(Arrangörslista!D$53),"",IF($GV7=Z$64," DNS ",IFERROR(VLOOKUP($F7,Arrangörslista!D$53:$AG$90,16,FALSE),"DNS")))),IF(ISBLANK(Deltagarlista!$C31),"",IF(ISBLANK(Arrangörslista!D$53),"",IFERROR(VLOOKUP($F7,Arrangörslista!D$53:$AG$90,16,FALSE),"DNS")))))</f>
        <v/>
      </c>
      <c r="AA7" s="5" t="str">
        <f>IF(Deltagarlista!$K$3=4,IF(ISBLANK(Deltagarlista!$C31),"",IF(ISBLANK(Arrangörslista!G$98),"",IFERROR(VLOOKUP($F7,Arrangörslista!G$98:$AG$135,16,FALSE),IF(ISBLANK(Deltagarlista!$C31),"",IF(ISBLANK(Arrangörslista!G$98),"",IFERROR(VLOOKUP($F7,Arrangörslista!H$98:$AG$135,16,FALSE),"DNS")))))),IF(Deltagarlista!$K$3=2,
IF(ISBLANK(Deltagarlista!$C31),"",IF(ISBLANK(Arrangörslista!E$53),"",IF($GV7=AA$64," DNS ",IFERROR(VLOOKUP($F7,Arrangörslista!E$53:$AG$90,16,FALSE),"DNS")))),IF(ISBLANK(Deltagarlista!$C31),"",IF(ISBLANK(Arrangörslista!E$53),"",IFERROR(VLOOKUP($F7,Arrangörslista!E$53:$AG$90,16,FALSE),"DNS")))))</f>
        <v/>
      </c>
      <c r="AB7" s="5" t="str">
        <f>IF(Deltagarlista!$K$3=4,IF(ISBLANK(Deltagarlista!$C31),"",IF(ISBLANK(Arrangörslista!I$98),"",IFERROR(VLOOKUP($F7,Arrangörslista!I$98:$AG$135,16,FALSE),IF(ISBLANK(Deltagarlista!$C31),"",IF(ISBLANK(Arrangörslista!I$98),"",IFERROR(VLOOKUP($F7,Arrangörslista!J$98:$AG$135,16,FALSE),"DNS")))))),IF(Deltagarlista!$K$3=2,
IF(ISBLANK(Deltagarlista!$C31),"",IF(ISBLANK(Arrangörslista!F$53),"",IF($GV7=AB$64," DNS ",IFERROR(VLOOKUP($F7,Arrangörslista!F$53:$AG$90,16,FALSE),"DNS")))),IF(ISBLANK(Deltagarlista!$C31),"",IF(ISBLANK(Arrangörslista!F$53),"",IFERROR(VLOOKUP($F7,Arrangörslista!F$53:$AG$90,16,FALSE),"DNS")))))</f>
        <v/>
      </c>
      <c r="AC7" s="5" t="str">
        <f>IF(Deltagarlista!$K$3=4,IF(ISBLANK(Deltagarlista!$C31),"",IF(ISBLANK(Arrangörslista!K$98),"",IFERROR(VLOOKUP($F7,Arrangörslista!K$98:$AG$135,16,FALSE),IF(ISBLANK(Deltagarlista!$C31),"",IF(ISBLANK(Arrangörslista!K$98),"",IFERROR(VLOOKUP($F7,Arrangörslista!L$98:$AG$135,16,FALSE),"DNS")))))),IF(Deltagarlista!$K$3=2,
IF(ISBLANK(Deltagarlista!$C31),"",IF(ISBLANK(Arrangörslista!G$53),"",IF($GV7=AC$64," DNS ",IFERROR(VLOOKUP($F7,Arrangörslista!G$53:$AG$90,16,FALSE),"DNS")))),IF(ISBLANK(Deltagarlista!$C31),"",IF(ISBLANK(Arrangörslista!G$53),"",IFERROR(VLOOKUP($F7,Arrangörslista!G$53:$AG$90,16,FALSE),"DNS")))))</f>
        <v/>
      </c>
      <c r="AD7" s="5" t="str">
        <f>IF(Deltagarlista!$K$3=4,IF(ISBLANK(Deltagarlista!$C31),"",IF(ISBLANK(Arrangörslista!M$98),"",IFERROR(VLOOKUP($F7,Arrangörslista!M$98:$AG$135,16,FALSE),IF(ISBLANK(Deltagarlista!$C31),"",IF(ISBLANK(Arrangörslista!M$98),"",IFERROR(VLOOKUP($F7,Arrangörslista!N$98:$AG$135,16,FALSE),"DNS")))))),IF(Deltagarlista!$K$3=2,
IF(ISBLANK(Deltagarlista!$C31),"",IF(ISBLANK(Arrangörslista!H$53),"",IF($GV7=AD$64," DNS ",IFERROR(VLOOKUP($F7,Arrangörslista!H$53:$AG$90,16,FALSE),"DNS")))),IF(ISBLANK(Deltagarlista!$C31),"",IF(ISBLANK(Arrangörslista!H$53),"",IFERROR(VLOOKUP($F7,Arrangörslista!H$53:$AG$90,16,FALSE),"DNS")))))</f>
        <v/>
      </c>
      <c r="AE7" s="5" t="str">
        <f>IF(Deltagarlista!$K$3=4,IF(ISBLANK(Deltagarlista!$C31),"",IF(ISBLANK(Arrangörslista!O$98),"",IFERROR(VLOOKUP($F7,Arrangörslista!O$98:$AG$135,16,FALSE),IF(ISBLANK(Deltagarlista!$C31),"",IF(ISBLANK(Arrangörslista!O$98),"",IFERROR(VLOOKUP($F7,Arrangörslista!P$98:$AG$135,16,FALSE),"DNS")))))),IF(Deltagarlista!$K$3=2,
IF(ISBLANK(Deltagarlista!$C31),"",IF(ISBLANK(Arrangörslista!I$53),"",IF($GV7=AE$64," DNS ",IFERROR(VLOOKUP($F7,Arrangörslista!I$53:$AG$90,16,FALSE),"DNS")))),IF(ISBLANK(Deltagarlista!$C31),"",IF(ISBLANK(Arrangörslista!I$53),"",IFERROR(VLOOKUP($F7,Arrangörslista!I$53:$AG$90,16,FALSE),"DNS")))))</f>
        <v/>
      </c>
      <c r="AF7" s="5" t="str">
        <f>IF(Deltagarlista!$K$3=4,IF(ISBLANK(Deltagarlista!$C31),"",IF(ISBLANK(Arrangörslista!Q$98),"",IFERROR(VLOOKUP($F7,Arrangörslista!Q$98:$AG$135,16,FALSE),IF(ISBLANK(Deltagarlista!$C31),"",IF(ISBLANK(Arrangörslista!Q$98),"",IFERROR(VLOOKUP($F7,Arrangörslista!C$143:$AG$180,16,FALSE),"DNS")))))),IF(Deltagarlista!$K$3=2,
IF(ISBLANK(Deltagarlista!$C31),"",IF(ISBLANK(Arrangörslista!J$53),"",IF($GV7=AF$64," DNS ",IFERROR(VLOOKUP($F7,Arrangörslista!J$53:$AG$90,16,FALSE),"DNS")))),IF(ISBLANK(Deltagarlista!$C31),"",IF(ISBLANK(Arrangörslista!J$53),"",IFERROR(VLOOKUP($F7,Arrangörslista!J$53:$AG$90,16,FALSE),"DNS")))))</f>
        <v/>
      </c>
      <c r="AG7" s="5" t="str">
        <f>IF(Deltagarlista!$K$3=4,IF(ISBLANK(Deltagarlista!$C31),"",IF(ISBLANK(Arrangörslista!D$143),"",IFERROR(VLOOKUP($F7,Arrangörslista!D$143:$AG$180,16,FALSE),IF(ISBLANK(Deltagarlista!$C31),"",IF(ISBLANK(Arrangörslista!D$143),"",IFERROR(VLOOKUP($F7,Arrangörslista!E$143:$AG$180,16,FALSE),"DNS")))))),IF(Deltagarlista!$K$3=2,
IF(ISBLANK(Deltagarlista!$C31),"",IF(ISBLANK(Arrangörslista!K$53),"",IF($GV7=AG$64," DNS ",IFERROR(VLOOKUP($F7,Arrangörslista!K$53:$AG$90,16,FALSE),"DNS")))),IF(ISBLANK(Deltagarlista!$C31),"",IF(ISBLANK(Arrangörslista!K$53),"",IFERROR(VLOOKUP($F7,Arrangörslista!K$53:$AG$90,16,FALSE),"DNS")))))</f>
        <v/>
      </c>
      <c r="AH7" s="5" t="str">
        <f>IF(Deltagarlista!$K$3=4,IF(ISBLANK(Deltagarlista!$C31),"",IF(ISBLANK(Arrangörslista!F$143),"",IFERROR(VLOOKUP($F7,Arrangörslista!F$143:$AG$180,16,FALSE),IF(ISBLANK(Deltagarlista!$C31),"",IF(ISBLANK(Arrangörslista!F$143),"",IFERROR(VLOOKUP($F7,Arrangörslista!G$143:$AG$180,16,FALSE),"DNS")))))),IF(Deltagarlista!$K$3=2,
IF(ISBLANK(Deltagarlista!$C31),"",IF(ISBLANK(Arrangörslista!L$53),"",IF($GV7=AH$64," DNS ",IFERROR(VLOOKUP($F7,Arrangörslista!L$53:$AG$90,16,FALSE),"DNS")))),IF(ISBLANK(Deltagarlista!$C31),"",IF(ISBLANK(Arrangörslista!L$53),"",IFERROR(VLOOKUP($F7,Arrangörslista!L$53:$AG$90,16,FALSE),"DNS")))))</f>
        <v/>
      </c>
      <c r="AI7" s="5" t="str">
        <f>IF(Deltagarlista!$K$3=4,IF(ISBLANK(Deltagarlista!$C31),"",IF(ISBLANK(Arrangörslista!H$143),"",IFERROR(VLOOKUP($F7,Arrangörslista!H$143:$AG$180,16,FALSE),IF(ISBLANK(Deltagarlista!$C31),"",IF(ISBLANK(Arrangörslista!H$143),"",IFERROR(VLOOKUP($F7,Arrangörslista!I$143:$AG$180,16,FALSE),"DNS")))))),IF(Deltagarlista!$K$3=2,
IF(ISBLANK(Deltagarlista!$C31),"",IF(ISBLANK(Arrangörslista!M$53),"",IF($GV7=AI$64," DNS ",IFERROR(VLOOKUP($F7,Arrangörslista!M$53:$AG$90,16,FALSE),"DNS")))),IF(ISBLANK(Deltagarlista!$C31),"",IF(ISBLANK(Arrangörslista!M$53),"",IFERROR(VLOOKUP($F7,Arrangörslista!M$53:$AG$90,16,FALSE),"DNS")))))</f>
        <v/>
      </c>
      <c r="AJ7" s="5" t="str">
        <f>IF(Deltagarlista!$K$3=4,IF(ISBLANK(Deltagarlista!$C31),"",IF(ISBLANK(Arrangörslista!J$143),"",IFERROR(VLOOKUP($F7,Arrangörslista!J$143:$AG$180,16,FALSE),IF(ISBLANK(Deltagarlista!$C31),"",IF(ISBLANK(Arrangörslista!J$143),"",IFERROR(VLOOKUP($F7,Arrangörslista!K$143:$AG$180,16,FALSE),"DNS")))))),IF(Deltagarlista!$K$3=2,
IF(ISBLANK(Deltagarlista!$C31),"",IF(ISBLANK(Arrangörslista!N$53),"",IF($GV7=AJ$64," DNS ",IFERROR(VLOOKUP($F7,Arrangörslista!N$53:$AG$90,16,FALSE),"DNS")))),IF(ISBLANK(Deltagarlista!$C31),"",IF(ISBLANK(Arrangörslista!N$53),"",IFERROR(VLOOKUP($F7,Arrangörslista!N$53:$AG$90,16,FALSE),"DNS")))))</f>
        <v/>
      </c>
      <c r="AK7" s="5" t="str">
        <f>IF(Deltagarlista!$K$3=4,IF(ISBLANK(Deltagarlista!$C31),"",IF(ISBLANK(Arrangörslista!L$143),"",IFERROR(VLOOKUP($F7,Arrangörslista!L$143:$AG$180,16,FALSE),IF(ISBLANK(Deltagarlista!$C31),"",IF(ISBLANK(Arrangörslista!L$143),"",IFERROR(VLOOKUP($F7,Arrangörslista!M$143:$AG$180,16,FALSE),"DNS")))))),IF(Deltagarlista!$K$3=2,
IF(ISBLANK(Deltagarlista!$C31),"",IF(ISBLANK(Arrangörslista!O$53),"",IF($GV7=AK$64," DNS ",IFERROR(VLOOKUP($F7,Arrangörslista!O$53:$AG$90,16,FALSE),"DNS")))),IF(ISBLANK(Deltagarlista!$C31),"",IF(ISBLANK(Arrangörslista!O$53),"",IFERROR(VLOOKUP($F7,Arrangörslista!O$53:$AG$90,16,FALSE),"DNS")))))</f>
        <v/>
      </c>
      <c r="AL7" s="5" t="str">
        <f>IF(Deltagarlista!$K$3=4,IF(ISBLANK(Deltagarlista!$C31),"",IF(ISBLANK(Arrangörslista!N$143),"",IFERROR(VLOOKUP($F7,Arrangörslista!N$143:$AG$180,16,FALSE),IF(ISBLANK(Deltagarlista!$C31),"",IF(ISBLANK(Arrangörslista!N$143),"",IFERROR(VLOOKUP($F7,Arrangörslista!O$143:$AG$180,16,FALSE),"DNS")))))),IF(Deltagarlista!$K$3=2,
IF(ISBLANK(Deltagarlista!$C31),"",IF(ISBLANK(Arrangörslista!P$53),"",IF($GV7=AL$64," DNS ",IFERROR(VLOOKUP($F7,Arrangörslista!P$53:$AG$90,16,FALSE),"DNS")))),IF(ISBLANK(Deltagarlista!$C31),"",IF(ISBLANK(Arrangörslista!P$53),"",IFERROR(VLOOKUP($F7,Arrangörslista!P$53:$AG$90,16,FALSE),"DNS")))))</f>
        <v/>
      </c>
      <c r="AM7" s="5" t="str">
        <f>IF(Deltagarlista!$K$3=4,IF(ISBLANK(Deltagarlista!$C31),"",IF(ISBLANK(Arrangörslista!P$143),"",IFERROR(VLOOKUP($F7,Arrangörslista!P$143:$AG$180,16,FALSE),IF(ISBLANK(Deltagarlista!$C31),"",IF(ISBLANK(Arrangörslista!P$143),"",IFERROR(VLOOKUP($F7,Arrangörslista!Q$143:$AG$180,16,FALSE),"DNS")))))),IF(Deltagarlista!$K$3=2,
IF(ISBLANK(Deltagarlista!$C31),"",IF(ISBLANK(Arrangörslista!Q$53),"",IF($GV7=AM$64," DNS ",IFERROR(VLOOKUP($F7,Arrangörslista!Q$53:$AG$90,16,FALSE),"DNS")))),IF(ISBLANK(Deltagarlista!$C31),"",IF(ISBLANK(Arrangörslista!Q$53),"",IFERROR(VLOOKUP($F7,Arrangörslista!Q$53:$AG$90,16,FALSE),"DNS")))))</f>
        <v/>
      </c>
      <c r="AN7" s="5" t="str">
        <f>IF(Deltagarlista!$K$3=2,
IF(ISBLANK(Deltagarlista!$C31),"",IF(ISBLANK(Arrangörslista!C$98),"",IF($GV7=AN$64," DNS ",IFERROR(VLOOKUP($F7,Arrangörslista!C$98:$AG$135,16,FALSE), "DNS")))), IF(Deltagarlista!$K$3=1,IF(ISBLANK(Deltagarlista!$C31),"",IF(ISBLANK(Arrangörslista!C$98),"",IFERROR(VLOOKUP($F7,Arrangörslista!C$98:$AG$135,16,FALSE), "DNS"))),""))</f>
        <v/>
      </c>
      <c r="AO7" s="5" t="str">
        <f>IF(Deltagarlista!$K$3=2,
IF(ISBLANK(Deltagarlista!$C31),"",IF(ISBLANK(Arrangörslista!D$98),"",IF($GV7=AO$64," DNS ",IFERROR(VLOOKUP($F7,Arrangörslista!D$98:$AG$135,16,FALSE), "DNS")))), IF(Deltagarlista!$K$3=1,IF(ISBLANK(Deltagarlista!$C31),"",IF(ISBLANK(Arrangörslista!D$98),"",IFERROR(VLOOKUP($F7,Arrangörslista!D$98:$AG$135,16,FALSE), "DNS"))),""))</f>
        <v/>
      </c>
      <c r="AP7" s="5" t="str">
        <f>IF(Deltagarlista!$K$3=2,
IF(ISBLANK(Deltagarlista!$C31),"",IF(ISBLANK(Arrangörslista!E$98),"",IF($GV7=AP$64," DNS ",IFERROR(VLOOKUP($F7,Arrangörslista!E$98:$AG$135,16,FALSE), "DNS")))), IF(Deltagarlista!$K$3=1,IF(ISBLANK(Deltagarlista!$C31),"",IF(ISBLANK(Arrangörslista!E$98),"",IFERROR(VLOOKUP($F7,Arrangörslista!E$98:$AG$135,16,FALSE), "DNS"))),""))</f>
        <v/>
      </c>
      <c r="AQ7" s="5" t="str">
        <f>IF(Deltagarlista!$K$3=2,
IF(ISBLANK(Deltagarlista!$C31),"",IF(ISBLANK(Arrangörslista!F$98),"",IF($GV7=AQ$64," DNS ",IFERROR(VLOOKUP($F7,Arrangörslista!F$98:$AG$135,16,FALSE), "DNS")))), IF(Deltagarlista!$K$3=1,IF(ISBLANK(Deltagarlista!$C31),"",IF(ISBLANK(Arrangörslista!F$98),"",IFERROR(VLOOKUP($F7,Arrangörslista!F$98:$AG$135,16,FALSE), "DNS"))),""))</f>
        <v/>
      </c>
      <c r="AR7" s="5" t="str">
        <f>IF(Deltagarlista!$K$3=2,
IF(ISBLANK(Deltagarlista!$C31),"",IF(ISBLANK(Arrangörslista!G$98),"",IF($GV7=AR$64," DNS ",IFERROR(VLOOKUP($F7,Arrangörslista!G$98:$AG$135,16,FALSE), "DNS")))), IF(Deltagarlista!$K$3=1,IF(ISBLANK(Deltagarlista!$C31),"",IF(ISBLANK(Arrangörslista!G$98),"",IFERROR(VLOOKUP($F7,Arrangörslista!G$98:$AG$135,16,FALSE), "DNS"))),""))</f>
        <v/>
      </c>
      <c r="AS7" s="5" t="str">
        <f>IF(Deltagarlista!$K$3=2,
IF(ISBLANK(Deltagarlista!$C31),"",IF(ISBLANK(Arrangörslista!H$98),"",IF($GV7=AS$64," DNS ",IFERROR(VLOOKUP($F7,Arrangörslista!H$98:$AG$135,16,FALSE), "DNS")))), IF(Deltagarlista!$K$3=1,IF(ISBLANK(Deltagarlista!$C31),"",IF(ISBLANK(Arrangörslista!H$98),"",IFERROR(VLOOKUP($F7,Arrangörslista!H$98:$AG$135,16,FALSE), "DNS"))),""))</f>
        <v/>
      </c>
      <c r="AT7" s="5" t="str">
        <f>IF(Deltagarlista!$K$3=2,
IF(ISBLANK(Deltagarlista!$C31),"",IF(ISBLANK(Arrangörslista!I$98),"",IF($GV7=AT$64," DNS ",IFERROR(VLOOKUP($F7,Arrangörslista!I$98:$AG$135,16,FALSE), "DNS")))), IF(Deltagarlista!$K$3=1,IF(ISBLANK(Deltagarlista!$C31),"",IF(ISBLANK(Arrangörslista!I$98),"",IFERROR(VLOOKUP($F7,Arrangörslista!I$98:$AG$135,16,FALSE), "DNS"))),""))</f>
        <v/>
      </c>
      <c r="AU7" s="5" t="str">
        <f>IF(Deltagarlista!$K$3=2,
IF(ISBLANK(Deltagarlista!$C31),"",IF(ISBLANK(Arrangörslista!J$98),"",IF($GV7=AU$64," DNS ",IFERROR(VLOOKUP($F7,Arrangörslista!J$98:$AG$135,16,FALSE), "DNS")))), IF(Deltagarlista!$K$3=1,IF(ISBLANK(Deltagarlista!$C31),"",IF(ISBLANK(Arrangörslista!J$98),"",IFERROR(VLOOKUP($F7,Arrangörslista!J$98:$AG$135,16,FALSE), "DNS"))),""))</f>
        <v/>
      </c>
      <c r="AV7" s="5" t="str">
        <f>IF(Deltagarlista!$K$3=2,
IF(ISBLANK(Deltagarlista!$C31),"",IF(ISBLANK(Arrangörslista!K$98),"",IF($GV7=AV$64," DNS ",IFERROR(VLOOKUP($F7,Arrangörslista!K$98:$AG$135,16,FALSE), "DNS")))), IF(Deltagarlista!$K$3=1,IF(ISBLANK(Deltagarlista!$C31),"",IF(ISBLANK(Arrangörslista!K$98),"",IFERROR(VLOOKUP($F7,Arrangörslista!K$98:$AG$135,16,FALSE), "DNS"))),""))</f>
        <v/>
      </c>
      <c r="AW7" s="5" t="str">
        <f>IF(Deltagarlista!$K$3=2,
IF(ISBLANK(Deltagarlista!$C31),"",IF(ISBLANK(Arrangörslista!L$98),"",IF($GV7=AW$64," DNS ",IFERROR(VLOOKUP($F7,Arrangörslista!L$98:$AG$135,16,FALSE), "DNS")))), IF(Deltagarlista!$K$3=1,IF(ISBLANK(Deltagarlista!$C31),"",IF(ISBLANK(Arrangörslista!L$98),"",IFERROR(VLOOKUP($F7,Arrangörslista!L$98:$AG$135,16,FALSE), "DNS"))),""))</f>
        <v/>
      </c>
      <c r="AX7" s="5" t="str">
        <f>IF(Deltagarlista!$K$3=2,
IF(ISBLANK(Deltagarlista!$C31),"",IF(ISBLANK(Arrangörslista!M$98),"",IF($GV7=AX$64," DNS ",IFERROR(VLOOKUP($F7,Arrangörslista!M$98:$AG$135,16,FALSE), "DNS")))), IF(Deltagarlista!$K$3=1,IF(ISBLANK(Deltagarlista!$C31),"",IF(ISBLANK(Arrangörslista!M$98),"",IFERROR(VLOOKUP($F7,Arrangörslista!M$98:$AG$135,16,FALSE), "DNS"))),""))</f>
        <v/>
      </c>
      <c r="AY7" s="5" t="str">
        <f>IF(Deltagarlista!$K$3=2,
IF(ISBLANK(Deltagarlista!$C31),"",IF(ISBLANK(Arrangörslista!N$98),"",IF($GV7=AY$64," DNS ",IFERROR(VLOOKUP($F7,Arrangörslista!N$98:$AG$135,16,FALSE), "DNS")))), IF(Deltagarlista!$K$3=1,IF(ISBLANK(Deltagarlista!$C31),"",IF(ISBLANK(Arrangörslista!N$98),"",IFERROR(VLOOKUP($F7,Arrangörslista!N$98:$AG$135,16,FALSE), "DNS"))),""))</f>
        <v/>
      </c>
      <c r="AZ7" s="5" t="str">
        <f>IF(Deltagarlista!$K$3=2,
IF(ISBLANK(Deltagarlista!$C31),"",IF(ISBLANK(Arrangörslista!O$98),"",IF($GV7=AZ$64," DNS ",IFERROR(VLOOKUP($F7,Arrangörslista!O$98:$AG$135,16,FALSE), "DNS")))), IF(Deltagarlista!$K$3=1,IF(ISBLANK(Deltagarlista!$C31),"",IF(ISBLANK(Arrangörslista!O$98),"",IFERROR(VLOOKUP($F7,Arrangörslista!O$98:$AG$135,16,FALSE), "DNS"))),""))</f>
        <v/>
      </c>
      <c r="BA7" s="5" t="str">
        <f>IF(Deltagarlista!$K$3=2,
IF(ISBLANK(Deltagarlista!$C31),"",IF(ISBLANK(Arrangörslista!P$98),"",IF($GV7=BA$64," DNS ",IFERROR(VLOOKUP($F7,Arrangörslista!P$98:$AG$135,16,FALSE), "DNS")))), IF(Deltagarlista!$K$3=1,IF(ISBLANK(Deltagarlista!$C31),"",IF(ISBLANK(Arrangörslista!P$98),"",IFERROR(VLOOKUP($F7,Arrangörslista!P$98:$AG$135,16,FALSE), "DNS"))),""))</f>
        <v/>
      </c>
      <c r="BB7" s="5" t="str">
        <f>IF(Deltagarlista!$K$3=2,
IF(ISBLANK(Deltagarlista!$C31),"",IF(ISBLANK(Arrangörslista!Q$98),"",IF($GV7=BB$64," DNS ",IFERROR(VLOOKUP($F7,Arrangörslista!Q$98:$AG$135,16,FALSE), "DNS")))), IF(Deltagarlista!$K$3=1,IF(ISBLANK(Deltagarlista!$C31),"",IF(ISBLANK(Arrangörslista!Q$98),"",IFERROR(VLOOKUP($F7,Arrangörslista!Q$98:$AG$135,16,FALSE), "DNS"))),""))</f>
        <v/>
      </c>
      <c r="BC7" s="5" t="str">
        <f>IF(Deltagarlista!$K$3=2,
IF(ISBLANK(Deltagarlista!$C31),"",IF(ISBLANK(Arrangörslista!C$143),"",IF($GV7=BC$64," DNS ",IFERROR(VLOOKUP($F7,Arrangörslista!C$143:$AG$180,16,FALSE), "DNS")))), IF(Deltagarlista!$K$3=1,IF(ISBLANK(Deltagarlista!$C31),"",IF(ISBLANK(Arrangörslista!C$143),"",IFERROR(VLOOKUP($F7,Arrangörslista!C$143:$AG$180,16,FALSE), "DNS"))),""))</f>
        <v/>
      </c>
      <c r="BD7" s="5" t="str">
        <f>IF(Deltagarlista!$K$3=2,
IF(ISBLANK(Deltagarlista!$C31),"",IF(ISBLANK(Arrangörslista!D$143),"",IF($GV7=BD$64," DNS ",IFERROR(VLOOKUP($F7,Arrangörslista!D$143:$AG$180,16,FALSE), "DNS")))), IF(Deltagarlista!$K$3=1,IF(ISBLANK(Deltagarlista!$C31),"",IF(ISBLANK(Arrangörslista!D$143),"",IFERROR(VLOOKUP($F7,Arrangörslista!D$143:$AG$180,16,FALSE), "DNS"))),""))</f>
        <v/>
      </c>
      <c r="BE7" s="5" t="str">
        <f>IF(Deltagarlista!$K$3=2,
IF(ISBLANK(Deltagarlista!$C31),"",IF(ISBLANK(Arrangörslista!E$143),"",IF($GV7=BE$64," DNS ",IFERROR(VLOOKUP($F7,Arrangörslista!E$143:$AG$180,16,FALSE), "DNS")))), IF(Deltagarlista!$K$3=1,IF(ISBLANK(Deltagarlista!$C31),"",IF(ISBLANK(Arrangörslista!E$143),"",IFERROR(VLOOKUP($F7,Arrangörslista!E$143:$AG$180,16,FALSE), "DNS"))),""))</f>
        <v/>
      </c>
      <c r="BF7" s="5" t="str">
        <f>IF(Deltagarlista!$K$3=2,
IF(ISBLANK(Deltagarlista!$C31),"",IF(ISBLANK(Arrangörslista!F$143),"",IF($GV7=BF$64," DNS ",IFERROR(VLOOKUP($F7,Arrangörslista!F$143:$AG$180,16,FALSE), "DNS")))), IF(Deltagarlista!$K$3=1,IF(ISBLANK(Deltagarlista!$C31),"",IF(ISBLANK(Arrangörslista!F$143),"",IFERROR(VLOOKUP($F7,Arrangörslista!F$143:$AG$180,16,FALSE), "DNS"))),""))</f>
        <v/>
      </c>
      <c r="BG7" s="5" t="str">
        <f>IF(Deltagarlista!$K$3=2,
IF(ISBLANK(Deltagarlista!$C31),"",IF(ISBLANK(Arrangörslista!G$143),"",IF($GV7=BG$64," DNS ",IFERROR(VLOOKUP($F7,Arrangörslista!G$143:$AG$180,16,FALSE), "DNS")))), IF(Deltagarlista!$K$3=1,IF(ISBLANK(Deltagarlista!$C31),"",IF(ISBLANK(Arrangörslista!G$143),"",IFERROR(VLOOKUP($F7,Arrangörslista!G$143:$AG$180,16,FALSE), "DNS"))),""))</f>
        <v/>
      </c>
      <c r="BH7" s="5" t="str">
        <f>IF(Deltagarlista!$K$3=2,
IF(ISBLANK(Deltagarlista!$C31),"",IF(ISBLANK(Arrangörslista!H$143),"",IF($GV7=BH$64," DNS ",IFERROR(VLOOKUP($F7,Arrangörslista!H$143:$AG$180,16,FALSE), "DNS")))), IF(Deltagarlista!$K$3=1,IF(ISBLANK(Deltagarlista!$C31),"",IF(ISBLANK(Arrangörslista!H$143),"",IFERROR(VLOOKUP($F7,Arrangörslista!H$143:$AG$180,16,FALSE), "DNS"))),""))</f>
        <v/>
      </c>
      <c r="BI7" s="5" t="str">
        <f>IF(Deltagarlista!$K$3=2,
IF(ISBLANK(Deltagarlista!$C31),"",IF(ISBLANK(Arrangörslista!I$143),"",IF($GV7=BI$64," DNS ",IFERROR(VLOOKUP($F7,Arrangörslista!I$143:$AG$180,16,FALSE), "DNS")))), IF(Deltagarlista!$K$3=1,IF(ISBLANK(Deltagarlista!$C31),"",IF(ISBLANK(Arrangörslista!I$143),"",IFERROR(VLOOKUP($F7,Arrangörslista!I$143:$AG$180,16,FALSE), "DNS"))),""))</f>
        <v/>
      </c>
      <c r="BJ7" s="5" t="str">
        <f>IF(Deltagarlista!$K$3=2,
IF(ISBLANK(Deltagarlista!$C31),"",IF(ISBLANK(Arrangörslista!J$143),"",IF($GV7=BJ$64," DNS ",IFERROR(VLOOKUP($F7,Arrangörslista!J$143:$AG$180,16,FALSE), "DNS")))), IF(Deltagarlista!$K$3=1,IF(ISBLANK(Deltagarlista!$C31),"",IF(ISBLANK(Arrangörslista!J$143),"",IFERROR(VLOOKUP($F7,Arrangörslista!J$143:$AG$180,16,FALSE), "DNS"))),""))</f>
        <v/>
      </c>
      <c r="BK7" s="5" t="str">
        <f>IF(Deltagarlista!$K$3=2,
IF(ISBLANK(Deltagarlista!$C31),"",IF(ISBLANK(Arrangörslista!K$143),"",IF($GV7=BK$64," DNS ",IFERROR(VLOOKUP($F7,Arrangörslista!K$143:$AG$180,16,FALSE), "DNS")))), IF(Deltagarlista!$K$3=1,IF(ISBLANK(Deltagarlista!$C31),"",IF(ISBLANK(Arrangörslista!K$143),"",IFERROR(VLOOKUP($F7,Arrangörslista!K$143:$AG$180,16,FALSE), "DNS"))),""))</f>
        <v/>
      </c>
      <c r="BL7" s="5" t="str">
        <f>IF(Deltagarlista!$K$3=2,
IF(ISBLANK(Deltagarlista!$C31),"",IF(ISBLANK(Arrangörslista!L$143),"",IF($GV7=BL$64," DNS ",IFERROR(VLOOKUP($F7,Arrangörslista!L$143:$AG$180,16,FALSE), "DNS")))), IF(Deltagarlista!$K$3=1,IF(ISBLANK(Deltagarlista!$C31),"",IF(ISBLANK(Arrangörslista!L$143),"",IFERROR(VLOOKUP($F7,Arrangörslista!L$143:$AG$180,16,FALSE), "DNS"))),""))</f>
        <v/>
      </c>
      <c r="BM7" s="5" t="str">
        <f>IF(Deltagarlista!$K$3=2,
IF(ISBLANK(Deltagarlista!$C31),"",IF(ISBLANK(Arrangörslista!M$143),"",IF($GV7=BM$64," DNS ",IFERROR(VLOOKUP($F7,Arrangörslista!M$143:$AG$180,16,FALSE), "DNS")))), IF(Deltagarlista!$K$3=1,IF(ISBLANK(Deltagarlista!$C31),"",IF(ISBLANK(Arrangörslista!M$143),"",IFERROR(VLOOKUP($F7,Arrangörslista!M$143:$AG$180,16,FALSE), "DNS"))),""))</f>
        <v/>
      </c>
      <c r="BN7" s="5" t="str">
        <f>IF(Deltagarlista!$K$3=2,
IF(ISBLANK(Deltagarlista!$C31),"",IF(ISBLANK(Arrangörslista!N$143),"",IF($GV7=BN$64," DNS ",IFERROR(VLOOKUP($F7,Arrangörslista!N$143:$AG$180,16,FALSE), "DNS")))), IF(Deltagarlista!$K$3=1,IF(ISBLANK(Deltagarlista!$C31),"",IF(ISBLANK(Arrangörslista!N$143),"",IFERROR(VLOOKUP($F7,Arrangörslista!N$143:$AG$180,16,FALSE), "DNS"))),""))</f>
        <v/>
      </c>
      <c r="BO7" s="5" t="str">
        <f>IF(Deltagarlista!$K$3=2,
IF(ISBLANK(Deltagarlista!$C31),"",IF(ISBLANK(Arrangörslista!O$143),"",IF($GV7=BO$64," DNS ",IFERROR(VLOOKUP($F7,Arrangörslista!O$143:$AG$180,16,FALSE), "DNS")))), IF(Deltagarlista!$K$3=1,IF(ISBLANK(Deltagarlista!$C31),"",IF(ISBLANK(Arrangörslista!O$143),"",IFERROR(VLOOKUP($F7,Arrangörslista!O$143:$AG$180,16,FALSE), "DNS"))),""))</f>
        <v/>
      </c>
      <c r="BP7" s="5" t="str">
        <f>IF(Deltagarlista!$K$3=2,
IF(ISBLANK(Deltagarlista!$C31),"",IF(ISBLANK(Arrangörslista!P$143),"",IF($GV7=BP$64," DNS ",IFERROR(VLOOKUP($F7,Arrangörslista!P$143:$AG$180,16,FALSE), "DNS")))), IF(Deltagarlista!$K$3=1,IF(ISBLANK(Deltagarlista!$C31),"",IF(ISBLANK(Arrangörslista!P$143),"",IFERROR(VLOOKUP($F7,Arrangörslista!P$143:$AG$180,16,FALSE), "DNS"))),""))</f>
        <v/>
      </c>
      <c r="BQ7" s="80" t="str">
        <f>IF(Deltagarlista!$K$3=2,
IF(ISBLANK(Deltagarlista!$C31),"",IF(ISBLANK(Arrangörslista!Q$143),"",IF($GV7=BQ$64," DNS ",IFERROR(VLOOKUP($F7,Arrangörslista!Q$143:$AG$180,16,FALSE), "DNS")))), IF(Deltagarlista!$K$3=1,IF(ISBLANK(Deltagarlista!$C31),"",IF(ISBLANK(Arrangörslista!Q$143),"",IFERROR(VLOOKUP($F7,Arrangörslista!Q$143:$AG$180,16,FALSE), "DNS"))),""))</f>
        <v/>
      </c>
      <c r="BR7" s="51"/>
      <c r="BS7" s="50" t="str">
        <f t="shared" si="0"/>
        <v>2</v>
      </c>
      <c r="BT7" s="51"/>
      <c r="BU7" s="71">
        <f t="shared" si="1"/>
        <v>0</v>
      </c>
      <c r="BV7" s="61">
        <f t="shared" si="2"/>
        <v>0</v>
      </c>
      <c r="BW7" s="61">
        <f t="shared" si="3"/>
        <v>0</v>
      </c>
      <c r="BX7" s="61">
        <f t="shared" si="4"/>
        <v>0</v>
      </c>
      <c r="BY7" s="61">
        <f t="shared" si="5"/>
        <v>0</v>
      </c>
      <c r="BZ7" s="61">
        <f t="shared" si="6"/>
        <v>0</v>
      </c>
      <c r="CA7" s="61">
        <f t="shared" si="7"/>
        <v>0</v>
      </c>
      <c r="CB7" s="61">
        <f t="shared" si="8"/>
        <v>0</v>
      </c>
      <c r="CC7" s="61">
        <f t="shared" si="9"/>
        <v>0</v>
      </c>
      <c r="CD7" s="61">
        <f t="shared" si="10"/>
        <v>0</v>
      </c>
      <c r="CE7" s="61">
        <f t="shared" si="11"/>
        <v>0</v>
      </c>
      <c r="CF7" s="61">
        <f t="shared" si="12"/>
        <v>0</v>
      </c>
      <c r="CG7" s="61">
        <f t="shared" si="13"/>
        <v>0</v>
      </c>
      <c r="CH7" s="61">
        <f t="shared" si="14"/>
        <v>0</v>
      </c>
      <c r="CI7" s="61">
        <f t="shared" si="15"/>
        <v>0</v>
      </c>
      <c r="CJ7" s="61">
        <f t="shared" si="16"/>
        <v>0</v>
      </c>
      <c r="CK7" s="61">
        <f t="shared" si="17"/>
        <v>0</v>
      </c>
      <c r="CL7" s="61">
        <f t="shared" si="18"/>
        <v>0</v>
      </c>
      <c r="CM7" s="61">
        <f t="shared" si="19"/>
        <v>0</v>
      </c>
      <c r="CN7" s="61">
        <f t="shared" si="20"/>
        <v>0</v>
      </c>
      <c r="CO7" s="61">
        <f t="shared" si="21"/>
        <v>0</v>
      </c>
      <c r="CP7" s="61">
        <f t="shared" si="22"/>
        <v>0</v>
      </c>
      <c r="CQ7" s="61">
        <f t="shared" si="23"/>
        <v>0</v>
      </c>
      <c r="CR7" s="61">
        <f t="shared" si="24"/>
        <v>0</v>
      </c>
      <c r="CS7" s="61">
        <f t="shared" si="25"/>
        <v>0</v>
      </c>
      <c r="CT7" s="61">
        <f t="shared" si="26"/>
        <v>0</v>
      </c>
      <c r="CU7" s="61">
        <f t="shared" si="27"/>
        <v>0</v>
      </c>
      <c r="CV7" s="61">
        <f t="shared" si="28"/>
        <v>0</v>
      </c>
      <c r="CW7" s="61">
        <f t="shared" si="29"/>
        <v>0</v>
      </c>
      <c r="CX7" s="61">
        <f t="shared" si="30"/>
        <v>0</v>
      </c>
      <c r="CY7" s="61">
        <f t="shared" si="31"/>
        <v>0</v>
      </c>
      <c r="CZ7" s="61">
        <f t="shared" si="32"/>
        <v>0</v>
      </c>
      <c r="DA7" s="61">
        <f t="shared" si="33"/>
        <v>0</v>
      </c>
      <c r="DB7" s="61">
        <f t="shared" si="34"/>
        <v>0</v>
      </c>
      <c r="DC7" s="61">
        <f t="shared" si="35"/>
        <v>0</v>
      </c>
      <c r="DD7" s="61">
        <f t="shared" si="36"/>
        <v>0</v>
      </c>
      <c r="DE7" s="61">
        <f t="shared" si="37"/>
        <v>0</v>
      </c>
      <c r="DF7" s="61">
        <f t="shared" si="38"/>
        <v>0</v>
      </c>
      <c r="DG7" s="61">
        <f t="shared" si="39"/>
        <v>0</v>
      </c>
      <c r="DH7" s="61">
        <f t="shared" si="40"/>
        <v>0</v>
      </c>
      <c r="DI7" s="61">
        <f t="shared" si="41"/>
        <v>0</v>
      </c>
      <c r="DJ7" s="61">
        <f t="shared" si="42"/>
        <v>0</v>
      </c>
      <c r="DK7" s="61">
        <f t="shared" si="43"/>
        <v>0</v>
      </c>
      <c r="DL7" s="61">
        <f t="shared" si="44"/>
        <v>0</v>
      </c>
      <c r="DM7" s="61">
        <f t="shared" si="45"/>
        <v>0</v>
      </c>
      <c r="DN7" s="61">
        <f t="shared" si="46"/>
        <v>0</v>
      </c>
      <c r="DO7" s="61">
        <f t="shared" si="47"/>
        <v>0</v>
      </c>
      <c r="DP7" s="61">
        <f t="shared" si="48"/>
        <v>0</v>
      </c>
      <c r="DQ7" s="61">
        <f t="shared" si="49"/>
        <v>0</v>
      </c>
      <c r="DR7" s="61">
        <f t="shared" si="50"/>
        <v>0</v>
      </c>
      <c r="DS7" s="61">
        <f t="shared" si="51"/>
        <v>0</v>
      </c>
      <c r="DT7" s="61">
        <f t="shared" si="52"/>
        <v>0</v>
      </c>
      <c r="DU7" s="61">
        <f t="shared" si="53"/>
        <v>0</v>
      </c>
      <c r="DV7" s="61">
        <f t="shared" si="54"/>
        <v>0</v>
      </c>
      <c r="DW7" s="61">
        <f t="shared" si="55"/>
        <v>0</v>
      </c>
      <c r="DX7" s="61">
        <f t="shared" si="56"/>
        <v>0</v>
      </c>
      <c r="DY7" s="61">
        <f t="shared" si="57"/>
        <v>0</v>
      </c>
      <c r="DZ7" s="61">
        <f t="shared" si="58"/>
        <v>0</v>
      </c>
      <c r="EA7" s="61">
        <f t="shared" si="59"/>
        <v>0</v>
      </c>
      <c r="EB7" s="61">
        <f t="shared" si="60"/>
        <v>0</v>
      </c>
      <c r="EC7" s="61">
        <f t="shared" si="61"/>
        <v>0</v>
      </c>
      <c r="EE7" s="61">
        <f xml:space="preserve">
IF(OR(Deltagarlista!$K$3=3,Deltagarlista!$K$3=4),
IF(Arrangörslista!$U$5&lt;8,0,
IF(Arrangörslista!$U$5&lt;16,SUM(LARGE(BV7:CJ7,1)),
IF(Arrangörslista!$U$5&lt;24,SUM(LARGE(BV7:CR7,{1;2})),
IF(Arrangörslista!$U$5&lt;32,SUM(LARGE(BV7:CZ7,{1;2;3})),
IF(Arrangörslista!$U$5&lt;40,SUM(LARGE(BV7:DH7,{1;2;3;4})),
IF(Arrangörslista!$U$5&lt;48,SUM(LARGE(BV7:DP7,{1;2;3;4;5})),
IF(Arrangörslista!$U$5&lt;56,SUM(LARGE(BV7:DX7,{1;2;3;4;5;6})),
IF(Arrangörslista!$U$5&lt;64,SUM(LARGE(BV7:EC7,{1;2;3;4;5;6;7})),0)))))))),
IF(Deltagarlista!$K$3=2,
IF(Arrangörslista!$U$5&lt;4,LARGE(BV7:BX7,1),
IF(Arrangörslista!$U$5&lt;7,SUM(LARGE(BV7:CA7,{1;2;3})),
IF(Arrangörslista!$U$5&lt;10,SUM(LARGE(BV7:CD7,{1;2;3;4})),
IF(Arrangörslista!$U$5&lt;13,SUM(LARGE(BV7:CG7,{1;2;3;4;5;6})),
IF(Arrangörslista!$U$5&lt;16,SUM(LARGE(BV7:CJ7,{1;2;3;4;5;6;7})),
IF(Arrangörslista!$U$5&lt;19,SUM(LARGE(BV7:CM7,{1;2;3;4;5;6;7;8;9})),
IF(Arrangörslista!$U$5&lt;22,SUM(LARGE(BV7:CP7,{1;2;3;4;5;6;7;8;9;10})),
IF(Arrangörslista!$U$5&lt;25,SUM(LARGE(BV7:CS7,{1;2;3;4;5;6;7;8;9;10;11;12})),
IF(Arrangörslista!$U$5&lt;28,SUM(LARGE(BV7:CV7,{1;2;3;4;5;6;7;8;9;10;11;12;13})),
IF(Arrangörslista!$U$5&lt;31,SUM(LARGE(BV7:CY7,{1;2;3;4;5;6;7;8;9;10;11;12;13;14;15})),
IF(Arrangörslista!$U$5&lt;34,SUM(LARGE(BV7:DB7,{1;2;3;4;5;6;7;8;9;10;11;12;13;14;15;16})),
IF(Arrangörslista!$U$5&lt;37,SUM(LARGE(BV7:DE7,{1;2;3;4;5;6;7;8;9;10;11;12;13;14;15;16;17;18})),
IF(Arrangörslista!$U$5&lt;40,SUM(LARGE(BV7:DH7,{1;2;3;4;5;6;7;8;9;10;11;12;13;14;15;16;17;18;19})),
IF(Arrangörslista!$U$5&lt;43,SUM(LARGE(BV7:DK7,{1;2;3;4;5;6;7;8;9;10;11;12;13;14;15;16;17;18;19;20;21})),
IF(Arrangörslista!$U$5&lt;46,SUM(LARGE(BV7:DN7,{1;2;3;4;5;6;7;8;9;10;11;12;13;14;15;16;17;18;19;20;21;22})),
IF(Arrangörslista!$U$5&lt;49,SUM(LARGE(BV7:DQ7,{1;2;3;4;5;6;7;8;9;10;11;12;13;14;15;16;17;18;19;20;21;22;23;24})),
IF(Arrangörslista!$U$5&lt;52,SUM(LARGE(BV7:DT7,{1;2;3;4;5;6;7;8;9;10;11;12;13;14;15;16;17;18;19;20;21;22;23;24;25})),
IF(Arrangörslista!$U$5&lt;55,SUM(LARGE(BV7:DW7,{1;2;3;4;5;6;7;8;9;10;11;12;13;14;15;16;17;18;19;20;21;22;23;24;25;26;27})),
IF(Arrangörslista!$U$5&lt;58,SUM(LARGE(BV7:DZ7,{1;2;3;4;5;6;7;8;9;10;11;12;13;14;15;16;17;18;19;20;21;22;23;24;25;26;27;28})),
IF(Arrangörslista!$U$5&lt;61,SUM(LARGE(BV7:EC7,{1;2;3;4;5;6;7;8;9;10;11;12;13;14;15;16;17;18;19;20;21;22;23;24;25;26;27;28;29;30})),0)))))))))))))))))))),
IF(Arrangörslista!$U$5&lt;4,0,
IF(Arrangörslista!$U$5&lt;8,SUM(LARGE(BV7:CB7,1)),
IF(Arrangörslista!$U$5&lt;12,SUM(LARGE(BV7:CF7,{1;2})),
IF(Arrangörslista!$U$5&lt;16,SUM(LARGE(BV7:CJ7,{1;2;3})),
IF(Arrangörslista!$U$5&lt;20,SUM(LARGE(BV7:CN7,{1;2;3;4})),
IF(Arrangörslista!$U$5&lt;24,SUM(LARGE(BV7:CR7,{1;2;3;4;5})),
IF(Arrangörslista!$U$5&lt;28,SUM(LARGE(BV7:CV7,{1;2;3;4;5;6})),
IF(Arrangörslista!$U$5&lt;32,SUM(LARGE(BV7:CZ7,{1;2;3;4;5;6;7})),
IF(Arrangörslista!$U$5&lt;36,SUM(LARGE(BV7:DD7,{1;2;3;4;5;6;7;8})),
IF(Arrangörslista!$U$5&lt;40,SUM(LARGE(BV7:DH7,{1;2;3;4;5;6;7;8;9})),
IF(Arrangörslista!$U$5&lt;44,SUM(LARGE(BV7:DL7,{1;2;3;4;5;6;7;8;9;10})),
IF(Arrangörslista!$U$5&lt;48,SUM(LARGE(BV7:DP7,{1;2;3;4;5;6;7;8;9;10;11})),
IF(Arrangörslista!$U$5&lt;52,SUM(LARGE(BV7:DT7,{1;2;3;4;5;6;7;8;9;10;11;12})),
IF(Arrangörslista!$U$5&lt;56,SUM(LARGE(BV7:DX7,{1;2;3;4;5;6;7;8;9;10;11;12;13})),
IF(Arrangörslista!$U$5&lt;60,SUM(LARGE(BV7:EB7,{1;2;3;4;5;6;7;8;9;10;11;12;13;14})),
IF(Arrangörslista!$U$5=60,SUM(LARGE(BV7:EC7,{1;2;3;4;5;6;7;8;9;10;11;12;13;14;15})),0))))))))))))))))))</f>
        <v>0</v>
      </c>
      <c r="EG7" s="67">
        <f t="shared" si="62"/>
        <v>0</v>
      </c>
      <c r="EH7" s="61"/>
      <c r="EI7" s="61"/>
      <c r="EK7" s="62">
        <f t="shared" si="63"/>
        <v>61</v>
      </c>
      <c r="EL7" s="62">
        <f t="shared" si="64"/>
        <v>61</v>
      </c>
      <c r="EM7" s="62">
        <f t="shared" si="65"/>
        <v>61</v>
      </c>
      <c r="EN7" s="62">
        <f t="shared" si="66"/>
        <v>61</v>
      </c>
      <c r="EO7" s="62">
        <f t="shared" si="67"/>
        <v>61</v>
      </c>
      <c r="EP7" s="62">
        <f t="shared" si="68"/>
        <v>61</v>
      </c>
      <c r="EQ7" s="62">
        <f t="shared" si="69"/>
        <v>61</v>
      </c>
      <c r="ER7" s="62">
        <f t="shared" si="70"/>
        <v>61</v>
      </c>
      <c r="ES7" s="62">
        <f t="shared" si="71"/>
        <v>61</v>
      </c>
      <c r="ET7" s="62">
        <f t="shared" si="72"/>
        <v>61</v>
      </c>
      <c r="EU7" s="62">
        <f t="shared" si="73"/>
        <v>61</v>
      </c>
      <c r="EV7" s="62">
        <f t="shared" si="74"/>
        <v>61</v>
      </c>
      <c r="EW7" s="62">
        <f t="shared" si="75"/>
        <v>61</v>
      </c>
      <c r="EX7" s="62">
        <f t="shared" si="76"/>
        <v>61</v>
      </c>
      <c r="EY7" s="62">
        <f t="shared" si="77"/>
        <v>61</v>
      </c>
      <c r="EZ7" s="62">
        <f t="shared" si="78"/>
        <v>61</v>
      </c>
      <c r="FA7" s="62">
        <f t="shared" si="79"/>
        <v>61</v>
      </c>
      <c r="FB7" s="62">
        <f t="shared" si="80"/>
        <v>61</v>
      </c>
      <c r="FC7" s="62">
        <f t="shared" si="81"/>
        <v>61</v>
      </c>
      <c r="FD7" s="62">
        <f t="shared" si="82"/>
        <v>61</v>
      </c>
      <c r="FE7" s="62">
        <f t="shared" si="83"/>
        <v>61</v>
      </c>
      <c r="FF7" s="62">
        <f t="shared" si="84"/>
        <v>61</v>
      </c>
      <c r="FG7" s="62">
        <f t="shared" si="85"/>
        <v>61</v>
      </c>
      <c r="FH7" s="62">
        <f t="shared" si="86"/>
        <v>61</v>
      </c>
      <c r="FI7" s="62">
        <f t="shared" si="87"/>
        <v>61</v>
      </c>
      <c r="FJ7" s="62">
        <f t="shared" si="88"/>
        <v>61</v>
      </c>
      <c r="FK7" s="62">
        <f t="shared" si="89"/>
        <v>61</v>
      </c>
      <c r="FL7" s="62">
        <f t="shared" si="90"/>
        <v>61</v>
      </c>
      <c r="FM7" s="62">
        <f t="shared" si="91"/>
        <v>61</v>
      </c>
      <c r="FN7" s="62">
        <f t="shared" si="92"/>
        <v>61</v>
      </c>
      <c r="FO7" s="62">
        <f t="shared" si="93"/>
        <v>61</v>
      </c>
      <c r="FP7" s="62">
        <f t="shared" si="94"/>
        <v>61</v>
      </c>
      <c r="FQ7" s="62">
        <f t="shared" si="95"/>
        <v>61</v>
      </c>
      <c r="FR7" s="62">
        <f t="shared" si="96"/>
        <v>61</v>
      </c>
      <c r="FS7" s="62">
        <f t="shared" si="97"/>
        <v>61</v>
      </c>
      <c r="FT7" s="62">
        <f t="shared" si="98"/>
        <v>61</v>
      </c>
      <c r="FU7" s="62">
        <f t="shared" si="99"/>
        <v>61</v>
      </c>
      <c r="FV7" s="62">
        <f t="shared" si="100"/>
        <v>61</v>
      </c>
      <c r="FW7" s="62">
        <f t="shared" si="101"/>
        <v>61</v>
      </c>
      <c r="FX7" s="62">
        <f t="shared" si="102"/>
        <v>61</v>
      </c>
      <c r="FY7" s="62">
        <f t="shared" si="103"/>
        <v>61</v>
      </c>
      <c r="FZ7" s="62">
        <f t="shared" si="104"/>
        <v>61</v>
      </c>
      <c r="GA7" s="62">
        <f t="shared" si="105"/>
        <v>61</v>
      </c>
      <c r="GB7" s="62">
        <f t="shared" si="106"/>
        <v>61</v>
      </c>
      <c r="GC7" s="62">
        <f t="shared" si="107"/>
        <v>61</v>
      </c>
      <c r="GD7" s="62">
        <f t="shared" si="108"/>
        <v>61</v>
      </c>
      <c r="GE7" s="62">
        <f t="shared" si="109"/>
        <v>61</v>
      </c>
      <c r="GF7" s="62">
        <f t="shared" si="110"/>
        <v>61</v>
      </c>
      <c r="GG7" s="62">
        <f t="shared" si="111"/>
        <v>61</v>
      </c>
      <c r="GH7" s="62">
        <f t="shared" si="112"/>
        <v>61</v>
      </c>
      <c r="GI7" s="62">
        <f t="shared" si="113"/>
        <v>61</v>
      </c>
      <c r="GJ7" s="62">
        <f t="shared" si="114"/>
        <v>61</v>
      </c>
      <c r="GK7" s="62">
        <f t="shared" si="115"/>
        <v>61</v>
      </c>
      <c r="GL7" s="62">
        <f t="shared" si="116"/>
        <v>61</v>
      </c>
      <c r="GM7" s="62">
        <f t="shared" si="117"/>
        <v>61</v>
      </c>
      <c r="GN7" s="62">
        <f t="shared" si="118"/>
        <v>61</v>
      </c>
      <c r="GO7" s="62">
        <f t="shared" si="119"/>
        <v>61</v>
      </c>
      <c r="GP7" s="62">
        <f t="shared" si="120"/>
        <v>61</v>
      </c>
      <c r="GQ7" s="62">
        <f t="shared" si="121"/>
        <v>61</v>
      </c>
      <c r="GR7" s="62">
        <f t="shared" si="122"/>
        <v>61</v>
      </c>
      <c r="GT7" s="62">
        <f>IF(Deltagarlista!$K$3=2,
IF(GW7="1",
      IF(Arrangörslista!$U$5=1,J70,
IF(Arrangörslista!$U$5=2,K70,
IF(Arrangörslista!$U$5=3,L70,
IF(Arrangörslista!$U$5=4,M70,
IF(Arrangörslista!$U$5=5,N70,
IF(Arrangörslista!$U$5=6,O70,
IF(Arrangörslista!$U$5=7,P70,
IF(Arrangörslista!$U$5=8,Q70,
IF(Arrangörslista!$U$5=9,R70,
IF(Arrangörslista!$U$5=10,S70,
IF(Arrangörslista!$U$5=11,T70,
IF(Arrangörslista!$U$5=12,U70,
IF(Arrangörslista!$U$5=13,V70,
IF(Arrangörslista!$U$5=14,W70,
IF(Arrangörslista!$U$5=15,X70,
IF(Arrangörslista!$U$5=16,Y70,IF(Arrangörslista!$U$5=17,Z70,IF(Arrangörslista!$U$5=18,AA70,IF(Arrangörslista!$U$5=19,AB70,IF(Arrangörslista!$U$5=20,AC70,IF(Arrangörslista!$U$5=21,AD70,IF(Arrangörslista!$U$5=22,AE70,IF(Arrangörslista!$U$5=23,AF70, IF(Arrangörslista!$U$5=24,AG70, IF(Arrangörslista!$U$5=25,AH70, IF(Arrangörslista!$U$5=26,AI70, IF(Arrangörslista!$U$5=27,AJ70, IF(Arrangörslista!$U$5=28,AK70, IF(Arrangörslista!$U$5=29,AL70, IF(Arrangörslista!$U$5=30,AM70, IF(Arrangörslista!$U$5=31,AN70, IF(Arrangörslista!$U$5=32,AO70, IF(Arrangörslista!$U$5=33,AP70, IF(Arrangörslista!$U$5=34,AQ70, IF(Arrangörslista!$U$5=35,AR70, IF(Arrangörslista!$U$5=36,AS70, IF(Arrangörslista!$U$5=37,AT70, IF(Arrangörslista!$U$5=38,AU70, IF(Arrangörslista!$U$5=39,AV70, IF(Arrangörslista!$U$5=40,AW70, IF(Arrangörslista!$U$5=41,AX70, IF(Arrangörslista!$U$5=42,AY70, IF(Arrangörslista!$U$5=43,AZ70, IF(Arrangörslista!$U$5=44,BA70, IF(Arrangörslista!$U$5=45,BB70, IF(Arrangörslista!$U$5=46,BC70, IF(Arrangörslista!$U$5=47,BD70, IF(Arrangörslista!$U$5=48,BE70, IF(Arrangörslista!$U$5=49,BF70, IF(Arrangörslista!$U$5=50,BG70, IF(Arrangörslista!$U$5=51,BH70, IF(Arrangörslista!$U$5=52,BI70, IF(Arrangörslista!$U$5=53,BJ70, IF(Arrangörslista!$U$5=54,BK70, IF(Arrangörslista!$U$5=55,BL70, IF(Arrangörslista!$U$5=56,BM70, IF(Arrangörslista!$U$5=57,BN70, IF(Arrangörslista!$U$5=58,BO70, IF(Arrangörslista!$U$5=59,BP70, IF(Arrangörslista!$U$5=60,BQ70,0))))))))))))))))))))))))))))))))))))))))))))))))))))))))))))),IF(Deltagarlista!$K$3=4, IF(Arrangörslista!$U$5=1,J70,
IF(Arrangörslista!$U$5=2,J70,
IF(Arrangörslista!$U$5=3,K70,
IF(Arrangörslista!$U$5=4,K70,
IF(Arrangörslista!$U$5=5,L70,
IF(Arrangörslista!$U$5=6,L70,
IF(Arrangörslista!$U$5=7,M70,
IF(Arrangörslista!$U$5=8,M70,
IF(Arrangörslista!$U$5=9,N70,
IF(Arrangörslista!$U$5=10,N70,
IF(Arrangörslista!$U$5=11,O70,
IF(Arrangörslista!$U$5=12,O70,
IF(Arrangörslista!$U$5=13,P70,
IF(Arrangörslista!$U$5=14,P70,
IF(Arrangörslista!$U$5=15,Q70,
IF(Arrangörslista!$U$5=16,Q70,
IF(Arrangörslista!$U$5=17,R70,
IF(Arrangörslista!$U$5=18,R70,
IF(Arrangörslista!$U$5=19,S70,
IF(Arrangörslista!$U$5=20,S70,
IF(Arrangörslista!$U$5=21,T70,
IF(Arrangörslista!$U$5=22,T70,IF(Arrangörslista!$U$5=23,U70, IF(Arrangörslista!$U$5=24,U70, IF(Arrangörslista!$U$5=25,V70, IF(Arrangörslista!$U$5=26,V70, IF(Arrangörslista!$U$5=27,W70, IF(Arrangörslista!$U$5=28,W70, IF(Arrangörslista!$U$5=29,X70, IF(Arrangörslista!$U$5=30,X70, IF(Arrangörslista!$U$5=31,X70, IF(Arrangörslista!$U$5=32,Y70, IF(Arrangörslista!$U$5=33,AO70, IF(Arrangörslista!$U$5=34,Y70, IF(Arrangörslista!$U$5=35,Z70, IF(Arrangörslista!$U$5=36,AR70, IF(Arrangörslista!$U$5=37,Z70, IF(Arrangörslista!$U$5=38,AA70, IF(Arrangörslista!$U$5=39,AU70, IF(Arrangörslista!$U$5=40,AA70, IF(Arrangörslista!$U$5=41,AB70, IF(Arrangörslista!$U$5=42,AX70, IF(Arrangörslista!$U$5=43,AB70, IF(Arrangörslista!$U$5=44,AC70, IF(Arrangörslista!$U$5=45,BA70, IF(Arrangörslista!$U$5=46,AC70, IF(Arrangörslista!$U$5=47,AD70, IF(Arrangörslista!$U$5=48,BD70, IF(Arrangörslista!$U$5=49,AD70, IF(Arrangörslista!$U$5=50,AE70, IF(Arrangörslista!$U$5=51,BG70, IF(Arrangörslista!$U$5=52,AE70, IF(Arrangörslista!$U$5=53,AF70, IF(Arrangörslista!$U$5=54,BJ70, IF(Arrangörslista!$U$5=55,AF70, IF(Arrangörslista!$U$5=56,AG70, IF(Arrangörslista!$U$5=57,BM70, IF(Arrangörslista!$U$5=58,AG70, IF(Arrangörslista!$U$5=59,AH70, IF(Arrangörslista!$U$5=60,AH70,0)))))))))))))))))))))))))))))))))))))))))))))))))))))))))))),IF(Arrangörslista!$U$5=1,J70,
IF(Arrangörslista!$U$5=2,K70,
IF(Arrangörslista!$U$5=3,L70,
IF(Arrangörslista!$U$5=4,M70,
IF(Arrangörslista!$U$5=5,N70,
IF(Arrangörslista!$U$5=6,O70,
IF(Arrangörslista!$U$5=7,P70,
IF(Arrangörslista!$U$5=8,Q70,
IF(Arrangörslista!$U$5=9,R70,
IF(Arrangörslista!$U$5=10,S70,
IF(Arrangörslista!$U$5=11,T70,
IF(Arrangörslista!$U$5=12,U70,
IF(Arrangörslista!$U$5=13,V70,
IF(Arrangörslista!$U$5=14,W70,
IF(Arrangörslista!$U$5=15,X70,
IF(Arrangörslista!$U$5=16,Y70,IF(Arrangörslista!$U$5=17,Z70,IF(Arrangörslista!$U$5=18,AA70,IF(Arrangörslista!$U$5=19,AB70,IF(Arrangörslista!$U$5=20,AC70,IF(Arrangörslista!$U$5=21,AD70,IF(Arrangörslista!$U$5=22,AE70,IF(Arrangörslista!$U$5=23,AF70, IF(Arrangörslista!$U$5=24,AG70, IF(Arrangörslista!$U$5=25,AH70, IF(Arrangörslista!$U$5=26,AI70, IF(Arrangörslista!$U$5=27,AJ70, IF(Arrangörslista!$U$5=28,AK70, IF(Arrangörslista!$U$5=29,AL70, IF(Arrangörslista!$U$5=30,AM70, IF(Arrangörslista!$U$5=31,AN70, IF(Arrangörslista!$U$5=32,AO70, IF(Arrangörslista!$U$5=33,AP70, IF(Arrangörslista!$U$5=34,AQ70, IF(Arrangörslista!$U$5=35,AR70, IF(Arrangörslista!$U$5=36,AS70, IF(Arrangörslista!$U$5=37,AT70, IF(Arrangörslista!$U$5=38,AU70, IF(Arrangörslista!$U$5=39,AV70, IF(Arrangörslista!$U$5=40,AW70, IF(Arrangörslista!$U$5=41,AX70, IF(Arrangörslista!$U$5=42,AY70, IF(Arrangörslista!$U$5=43,AZ70, IF(Arrangörslista!$U$5=44,BA70, IF(Arrangörslista!$U$5=45,BB70, IF(Arrangörslista!$U$5=46,BC70, IF(Arrangörslista!$U$5=47,BD70, IF(Arrangörslista!$U$5=48,BE70, IF(Arrangörslista!$U$5=49,BF70, IF(Arrangörslista!$U$5=50,BG70, IF(Arrangörslista!$U$5=51,BH70, IF(Arrangörslista!$U$5=52,BI70, IF(Arrangörslista!$U$5=53,BJ70, IF(Arrangörslista!$U$5=54,BK70, IF(Arrangörslista!$U$5=55,BL70, IF(Arrangörslista!$U$5=56,BM70, IF(Arrangörslista!$U$5=57,BN70, IF(Arrangörslista!$U$5=58,BO70, IF(Arrangörslista!$U$5=59,BP70, IF(Arrangörslista!$U$5=60,BQ70,0))))))))))))))))))))))))))))))))))))))))))))))))))))))))))))
))</f>
        <v>0</v>
      </c>
      <c r="GV7" s="65" t="str">
        <f>IFERROR(IF(VLOOKUP(F7,Deltagarlista!$E$5:$I$64,5,FALSE)="Grön","Gr",IF(VLOOKUP(F7,Deltagarlista!$E$5:$I$64,5,FALSE)="Röd","R",IF(VLOOKUP(F7,Deltagarlista!$E$5:$I$64,5,FALSE)="Blå","B","Gu"))),"")</f>
        <v/>
      </c>
      <c r="GW7" s="62" t="str">
        <f t="shared" si="123"/>
        <v/>
      </c>
    </row>
    <row r="8" spans="1:206" x14ac:dyDescent="0.3">
      <c r="B8" s="23" t="str">
        <f>IF((COUNTIF(Deltagarlista!$H$5:$H$64,"GM"))&gt;4,5,"")</f>
        <v/>
      </c>
      <c r="C8" s="92" t="str">
        <f>IF(ISBLANK(Deltagarlista!C40),"",Deltagarlista!C40)</f>
        <v/>
      </c>
      <c r="D8" s="109" t="str">
        <f>CONCATENATE(IF(Deltagarlista!H40="GM","GM   ",""), IF(OR(Deltagarlista!$K$3=4,Deltagarlista!$K$3=2),Deltagarlista!I40,""))</f>
        <v/>
      </c>
      <c r="E8" s="8" t="str">
        <f>IF(ISBLANK(Deltagarlista!D40),"",Deltagarlista!D40)</f>
        <v/>
      </c>
      <c r="F8" s="8" t="str">
        <f>IF(ISBLANK(Deltagarlista!E40),"",Deltagarlista!E40)</f>
        <v/>
      </c>
      <c r="G8" s="95" t="str">
        <f>IF(ISBLANK(Deltagarlista!F40),"",Deltagarlista!F40)</f>
        <v/>
      </c>
      <c r="H8" s="72" t="str">
        <f>IF(ISBLANK(Deltagarlista!C40),"",BU8-EE8)</f>
        <v/>
      </c>
      <c r="I8" s="13" t="str">
        <f>IF(ISBLANK(Deltagarlista!C40),"",IF(AND(Deltagarlista!$K$3=2,Deltagarlista!$L$3&lt;37),SUM(SUM(BV8:EC8)-(ROUNDDOWN(Arrangörslista!$U$5/3,1))*($BW$3+1)),SUM(BV8:EC8)))</f>
        <v/>
      </c>
      <c r="J8" s="79" t="str">
        <f>IF(Deltagarlista!$K$3=4,IF(ISBLANK(Deltagarlista!$C40),"",IF(ISBLANK(Arrangörslista!C$8),"",IFERROR(VLOOKUP($F8,Arrangörslista!C$8:$AG$45,16,FALSE),IF(ISBLANK(Deltagarlista!$C40),"",IF(ISBLANK(Arrangörslista!C$8),"",IFERROR(VLOOKUP($F8,Arrangörslista!D$8:$AG$45,16,FALSE),"DNS")))))),IF(Deltagarlista!$K$3=2,
IF(ISBLANK(Deltagarlista!$C40),"",IF(ISBLANK(Arrangörslista!C$8),"",IF($GV8=J$64," DNS ",IFERROR(VLOOKUP($F8,Arrangörslista!C$8:$AG$45,16,FALSE),"DNS")))),IF(ISBLANK(Deltagarlista!$C40),"",IF(ISBLANK(Arrangörslista!C$8),"",IFERROR(VLOOKUP($F8,Arrangörslista!C$8:$AG$45,16,FALSE),"DNS")))))</f>
        <v/>
      </c>
      <c r="K8" s="5" t="str">
        <f>IF(Deltagarlista!$K$3=4,IF(ISBLANK(Deltagarlista!$C40),"",IF(ISBLANK(Arrangörslista!E$8),"",IFERROR(VLOOKUP($F8,Arrangörslista!E$8:$AG$45,16,FALSE),IF(ISBLANK(Deltagarlista!$C40),"",IF(ISBLANK(Arrangörslista!E$8),"",IFERROR(VLOOKUP($F8,Arrangörslista!F$8:$AG$45,16,FALSE),"DNS")))))),IF(Deltagarlista!$K$3=2,
IF(ISBLANK(Deltagarlista!$C40),"",IF(ISBLANK(Arrangörslista!D$8),"",IF($GV8=K$64," DNS ",IFERROR(VLOOKUP($F8,Arrangörslista!D$8:$AG$45,16,FALSE),"DNS")))),IF(ISBLANK(Deltagarlista!$C40),"",IF(ISBLANK(Arrangörslista!D$8),"",IFERROR(VLOOKUP($F8,Arrangörslista!D$8:$AG$45,16,FALSE),"DNS")))))</f>
        <v/>
      </c>
      <c r="L8" s="5" t="str">
        <f>IF(Deltagarlista!$K$3=4,IF(ISBLANK(Deltagarlista!$C40),"",IF(ISBLANK(Arrangörslista!G$8),"",IFERROR(VLOOKUP($F8,Arrangörslista!G$8:$AG$45,16,FALSE),IF(ISBLANK(Deltagarlista!$C40),"",IF(ISBLANK(Arrangörslista!G$8),"",IFERROR(VLOOKUP($F8,Arrangörslista!H$8:$AG$45,16,FALSE),"DNS")))))),IF(Deltagarlista!$K$3=2,
IF(ISBLANK(Deltagarlista!$C40),"",IF(ISBLANK(Arrangörslista!E$8),"",IF($GV8=L$64," DNS ",IFERROR(VLOOKUP($F8,Arrangörslista!E$8:$AG$45,16,FALSE),"DNS")))),IF(ISBLANK(Deltagarlista!$C40),"",IF(ISBLANK(Arrangörslista!E$8),"",IFERROR(VLOOKUP($F8,Arrangörslista!E$8:$AG$45,16,FALSE),"DNS")))))</f>
        <v/>
      </c>
      <c r="M8" s="5" t="str">
        <f>IF(Deltagarlista!$K$3=4,IF(ISBLANK(Deltagarlista!$C40),"",IF(ISBLANK(Arrangörslista!I$8),"",IFERROR(VLOOKUP($F8,Arrangörslista!I$8:$AG$45,16,FALSE),IF(ISBLANK(Deltagarlista!$C40),"",IF(ISBLANK(Arrangörslista!I$8),"",IFERROR(VLOOKUP($F8,Arrangörslista!J$8:$AG$45,16,FALSE),"DNS")))))),IF(Deltagarlista!$K$3=2,
IF(ISBLANK(Deltagarlista!$C40),"",IF(ISBLANK(Arrangörslista!F$8),"",IF($GV8=M$64," DNS ",IFERROR(VLOOKUP($F8,Arrangörslista!F$8:$AG$45,16,FALSE),"DNS")))),IF(ISBLANK(Deltagarlista!$C40),"",IF(ISBLANK(Arrangörslista!F$8),"",IFERROR(VLOOKUP($F8,Arrangörslista!F$8:$AG$45,16,FALSE),"DNS")))))</f>
        <v/>
      </c>
      <c r="N8" s="5" t="str">
        <f>IF(Deltagarlista!$K$3=4,IF(ISBLANK(Deltagarlista!$C40),"",IF(ISBLANK(Arrangörslista!K$8),"",IFERROR(VLOOKUP($F8,Arrangörslista!K$8:$AG$45,16,FALSE),IF(ISBLANK(Deltagarlista!$C40),"",IF(ISBLANK(Arrangörslista!K$8),"",IFERROR(VLOOKUP($F8,Arrangörslista!L$8:$AG$45,16,FALSE),"DNS")))))),IF(Deltagarlista!$K$3=2,
IF(ISBLANK(Deltagarlista!$C40),"",IF(ISBLANK(Arrangörslista!G$8),"",IF($GV8=N$64," DNS ",IFERROR(VLOOKUP($F8,Arrangörslista!G$8:$AG$45,16,FALSE),"DNS")))),IF(ISBLANK(Deltagarlista!$C40),"",IF(ISBLANK(Arrangörslista!G$8),"",IFERROR(VLOOKUP($F8,Arrangörslista!G$8:$AG$45,16,FALSE),"DNS")))))</f>
        <v/>
      </c>
      <c r="O8" s="5" t="str">
        <f>IF(Deltagarlista!$K$3=4,IF(ISBLANK(Deltagarlista!$C40),"",IF(ISBLANK(Arrangörslista!M$8),"",IFERROR(VLOOKUP($F8,Arrangörslista!M$8:$AG$45,16,FALSE),IF(ISBLANK(Deltagarlista!$C40),"",IF(ISBLANK(Arrangörslista!M$8),"",IFERROR(VLOOKUP($F8,Arrangörslista!N$8:$AG$45,16,FALSE),"DNS")))))),IF(Deltagarlista!$K$3=2,
IF(ISBLANK(Deltagarlista!$C40),"",IF(ISBLANK(Arrangörslista!H$8),"",IF($GV8=O$64," DNS ",IFERROR(VLOOKUP($F8,Arrangörslista!H$8:$AG$45,16,FALSE),"DNS")))),IF(ISBLANK(Deltagarlista!$C40),"",IF(ISBLANK(Arrangörslista!H$8),"",IFERROR(VLOOKUP($F8,Arrangörslista!H$8:$AG$45,16,FALSE),"DNS")))))</f>
        <v/>
      </c>
      <c r="P8" s="5" t="str">
        <f>IF(Deltagarlista!$K$3=4,IF(ISBLANK(Deltagarlista!$C40),"",IF(ISBLANK(Arrangörslista!O$8),"",IFERROR(VLOOKUP($F8,Arrangörslista!O$8:$AG$45,16,FALSE),IF(ISBLANK(Deltagarlista!$C40),"",IF(ISBLANK(Arrangörslista!O$8),"",IFERROR(VLOOKUP($F8,Arrangörslista!P$8:$AG$45,16,FALSE),"DNS")))))),IF(Deltagarlista!$K$3=2,
IF(ISBLANK(Deltagarlista!$C40),"",IF(ISBLANK(Arrangörslista!I$8),"",IF($GV8=P$64," DNS ",IFERROR(VLOOKUP($F8,Arrangörslista!I$8:$AG$45,16,FALSE),"DNS")))),IF(ISBLANK(Deltagarlista!$C40),"",IF(ISBLANK(Arrangörslista!I$8),"",IFERROR(VLOOKUP($F8,Arrangörslista!I$8:$AG$45,16,FALSE),"DNS")))))</f>
        <v/>
      </c>
      <c r="Q8" s="5" t="str">
        <f>IF(Deltagarlista!$K$3=4,IF(ISBLANK(Deltagarlista!$C40),"",IF(ISBLANK(Arrangörslista!Q$8),"",IFERROR(VLOOKUP($F8,Arrangörslista!Q$8:$AG$45,16,FALSE),IF(ISBLANK(Deltagarlista!$C40),"",IF(ISBLANK(Arrangörslista!Q$8),"",IFERROR(VLOOKUP($F8,Arrangörslista!C$53:$AG$90,16,FALSE),"DNS")))))),IF(Deltagarlista!$K$3=2,
IF(ISBLANK(Deltagarlista!$C40),"",IF(ISBLANK(Arrangörslista!J$8),"",IF($GV8=Q$64," DNS ",IFERROR(VLOOKUP($F8,Arrangörslista!J$8:$AG$45,16,FALSE),"DNS")))),IF(ISBLANK(Deltagarlista!$C40),"",IF(ISBLANK(Arrangörslista!J$8),"",IFERROR(VLOOKUP($F8,Arrangörslista!J$8:$AG$45,16,FALSE),"DNS")))))</f>
        <v/>
      </c>
      <c r="R8" s="5" t="str">
        <f>IF(Deltagarlista!$K$3=4,IF(ISBLANK(Deltagarlista!$C40),"",IF(ISBLANK(Arrangörslista!D$53),"",IFERROR(VLOOKUP($F8,Arrangörslista!D$53:$AG$90,16,FALSE),IF(ISBLANK(Deltagarlista!$C40),"",IF(ISBLANK(Arrangörslista!D$53),"",IFERROR(VLOOKUP($F8,Arrangörslista!E$53:$AG$90,16,FALSE),"DNS")))))),IF(Deltagarlista!$K$3=2,
IF(ISBLANK(Deltagarlista!$C40),"",IF(ISBLANK(Arrangörslista!K$8),"",IF($GV8=R$64," DNS ",IFERROR(VLOOKUP($F8,Arrangörslista!K$8:$AG$45,16,FALSE),"DNS")))),IF(ISBLANK(Deltagarlista!$C40),"",IF(ISBLANK(Arrangörslista!K$8),"",IFERROR(VLOOKUP($F8,Arrangörslista!K$8:$AG$45,16,FALSE),"DNS")))))</f>
        <v/>
      </c>
      <c r="S8" s="5" t="str">
        <f>IF(Deltagarlista!$K$3=4,IF(ISBLANK(Deltagarlista!$C40),"",IF(ISBLANK(Arrangörslista!F$53),"",IFERROR(VLOOKUP($F8,Arrangörslista!F$53:$AG$90,16,FALSE),IF(ISBLANK(Deltagarlista!$C40),"",IF(ISBLANK(Arrangörslista!F$53),"",IFERROR(VLOOKUP($F8,Arrangörslista!G$53:$AG$90,16,FALSE),"DNS")))))),IF(Deltagarlista!$K$3=2,
IF(ISBLANK(Deltagarlista!$C40),"",IF(ISBLANK(Arrangörslista!L$8),"",IF($GV8=S$64," DNS ",IFERROR(VLOOKUP($F8,Arrangörslista!L$8:$AG$45,16,FALSE),"DNS")))),IF(ISBLANK(Deltagarlista!$C40),"",IF(ISBLANK(Arrangörslista!L$8),"",IFERROR(VLOOKUP($F8,Arrangörslista!L$8:$AG$45,16,FALSE),"DNS")))))</f>
        <v/>
      </c>
      <c r="T8" s="5" t="str">
        <f>IF(Deltagarlista!$K$3=4,IF(ISBLANK(Deltagarlista!$C40),"",IF(ISBLANK(Arrangörslista!H$53),"",IFERROR(VLOOKUP($F8,Arrangörslista!H$53:$AG$90,16,FALSE),IF(ISBLANK(Deltagarlista!$C40),"",IF(ISBLANK(Arrangörslista!H$53),"",IFERROR(VLOOKUP($F8,Arrangörslista!I$53:$AG$90,16,FALSE),"DNS")))))),IF(Deltagarlista!$K$3=2,
IF(ISBLANK(Deltagarlista!$C40),"",IF(ISBLANK(Arrangörslista!M$8),"",IF($GV8=T$64," DNS ",IFERROR(VLOOKUP($F8,Arrangörslista!M$8:$AG$45,16,FALSE),"DNS")))),IF(ISBLANK(Deltagarlista!$C40),"",IF(ISBLANK(Arrangörslista!M$8),"",IFERROR(VLOOKUP($F8,Arrangörslista!M$8:$AG$45,16,FALSE),"DNS")))))</f>
        <v/>
      </c>
      <c r="U8" s="5" t="str">
        <f>IF(Deltagarlista!$K$3=4,IF(ISBLANK(Deltagarlista!$C40),"",IF(ISBLANK(Arrangörslista!J$53),"",IFERROR(VLOOKUP($F8,Arrangörslista!J$53:$AG$90,16,FALSE),IF(ISBLANK(Deltagarlista!$C40),"",IF(ISBLANK(Arrangörslista!J$53),"",IFERROR(VLOOKUP($F8,Arrangörslista!K$53:$AG$90,16,FALSE),"DNS")))))),IF(Deltagarlista!$K$3=2,
IF(ISBLANK(Deltagarlista!$C40),"",IF(ISBLANK(Arrangörslista!N$8),"",IF($GV8=U$64," DNS ",IFERROR(VLOOKUP($F8,Arrangörslista!N$8:$AG$45,16,FALSE),"DNS")))),IF(ISBLANK(Deltagarlista!$C40),"",IF(ISBLANK(Arrangörslista!N$8),"",IFERROR(VLOOKUP($F8,Arrangörslista!N$8:$AG$45,16,FALSE),"DNS")))))</f>
        <v/>
      </c>
      <c r="V8" s="5" t="str">
        <f>IF(Deltagarlista!$K$3=4,IF(ISBLANK(Deltagarlista!$C40),"",IF(ISBLANK(Arrangörslista!L$53),"",IFERROR(VLOOKUP($F8,Arrangörslista!L$53:$AG$90,16,FALSE),IF(ISBLANK(Deltagarlista!$C40),"",IF(ISBLANK(Arrangörslista!L$53),"",IFERROR(VLOOKUP($F8,Arrangörslista!M$53:$AG$90,16,FALSE),"DNS")))))),IF(Deltagarlista!$K$3=2,
IF(ISBLANK(Deltagarlista!$C40),"",IF(ISBLANK(Arrangörslista!O$8),"",IF($GV8=V$64," DNS ",IFERROR(VLOOKUP($F8,Arrangörslista!O$8:$AG$45,16,FALSE),"DNS")))),IF(ISBLANK(Deltagarlista!$C40),"",IF(ISBLANK(Arrangörslista!O$8),"",IFERROR(VLOOKUP($F8,Arrangörslista!O$8:$AG$45,16,FALSE),"DNS")))))</f>
        <v/>
      </c>
      <c r="W8" s="5" t="str">
        <f>IF(Deltagarlista!$K$3=4,IF(ISBLANK(Deltagarlista!$C40),"",IF(ISBLANK(Arrangörslista!N$53),"",IFERROR(VLOOKUP($F8,Arrangörslista!N$53:$AG$90,16,FALSE),IF(ISBLANK(Deltagarlista!$C40),"",IF(ISBLANK(Arrangörslista!N$53),"",IFERROR(VLOOKUP($F8,Arrangörslista!O$53:$AG$90,16,FALSE),"DNS")))))),IF(Deltagarlista!$K$3=2,
IF(ISBLANK(Deltagarlista!$C40),"",IF(ISBLANK(Arrangörslista!P$8),"",IF($GV8=W$64," DNS ",IFERROR(VLOOKUP($F8,Arrangörslista!P$8:$AG$45,16,FALSE),"DNS")))),IF(ISBLANK(Deltagarlista!$C40),"",IF(ISBLANK(Arrangörslista!P$8),"",IFERROR(VLOOKUP($F8,Arrangörslista!P$8:$AG$45,16,FALSE),"DNS")))))</f>
        <v/>
      </c>
      <c r="X8" s="5" t="str">
        <f>IF(Deltagarlista!$K$3=4,IF(ISBLANK(Deltagarlista!$C40),"",IF(ISBLANK(Arrangörslista!P$53),"",IFERROR(VLOOKUP($F8,Arrangörslista!P$53:$AG$90,16,FALSE),IF(ISBLANK(Deltagarlista!$C40),"",IF(ISBLANK(Arrangörslista!P$53),"",IFERROR(VLOOKUP($F8,Arrangörslista!Q$53:$AG$90,16,FALSE),"DNS")))))),IF(Deltagarlista!$K$3=2,
IF(ISBLANK(Deltagarlista!$C40),"",IF(ISBLANK(Arrangörslista!Q$8),"",IF($GV8=X$64," DNS ",IFERROR(VLOOKUP($F8,Arrangörslista!Q$8:$AG$45,16,FALSE),"DNS")))),IF(ISBLANK(Deltagarlista!$C40),"",IF(ISBLANK(Arrangörslista!Q$8),"",IFERROR(VLOOKUP($F8,Arrangörslista!Q$8:$AG$45,16,FALSE),"DNS")))))</f>
        <v/>
      </c>
      <c r="Y8" s="5" t="str">
        <f>IF(Deltagarlista!$K$3=4,IF(ISBLANK(Deltagarlista!$C40),"",IF(ISBLANK(Arrangörslista!C$98),"",IFERROR(VLOOKUP($F8,Arrangörslista!C$98:$AG$135,16,FALSE),IF(ISBLANK(Deltagarlista!$C40),"",IF(ISBLANK(Arrangörslista!C$98),"",IFERROR(VLOOKUP($F8,Arrangörslista!D$98:$AG$135,16,FALSE),"DNS")))))),IF(Deltagarlista!$K$3=2,
IF(ISBLANK(Deltagarlista!$C40),"",IF(ISBLANK(Arrangörslista!C$53),"",IF($GV8=Y$64," DNS ",IFERROR(VLOOKUP($F8,Arrangörslista!C$53:$AG$90,16,FALSE),"DNS")))),IF(ISBLANK(Deltagarlista!$C40),"",IF(ISBLANK(Arrangörslista!C$53),"",IFERROR(VLOOKUP($F8,Arrangörslista!C$53:$AG$90,16,FALSE),"DNS")))))</f>
        <v/>
      </c>
      <c r="Z8" s="5" t="str">
        <f>IF(Deltagarlista!$K$3=4,IF(ISBLANK(Deltagarlista!$C40),"",IF(ISBLANK(Arrangörslista!E$98),"",IFERROR(VLOOKUP($F8,Arrangörslista!E$98:$AG$135,16,FALSE),IF(ISBLANK(Deltagarlista!$C40),"",IF(ISBLANK(Arrangörslista!E$98),"",IFERROR(VLOOKUP($F8,Arrangörslista!F$98:$AG$135,16,FALSE),"DNS")))))),IF(Deltagarlista!$K$3=2,
IF(ISBLANK(Deltagarlista!$C40),"",IF(ISBLANK(Arrangörslista!D$53),"",IF($GV8=Z$64," DNS ",IFERROR(VLOOKUP($F8,Arrangörslista!D$53:$AG$90,16,FALSE),"DNS")))),IF(ISBLANK(Deltagarlista!$C40),"",IF(ISBLANK(Arrangörslista!D$53),"",IFERROR(VLOOKUP($F8,Arrangörslista!D$53:$AG$90,16,FALSE),"DNS")))))</f>
        <v/>
      </c>
      <c r="AA8" s="5" t="str">
        <f>IF(Deltagarlista!$K$3=4,IF(ISBLANK(Deltagarlista!$C40),"",IF(ISBLANK(Arrangörslista!G$98),"",IFERROR(VLOOKUP($F8,Arrangörslista!G$98:$AG$135,16,FALSE),IF(ISBLANK(Deltagarlista!$C40),"",IF(ISBLANK(Arrangörslista!G$98),"",IFERROR(VLOOKUP($F8,Arrangörslista!H$98:$AG$135,16,FALSE),"DNS")))))),IF(Deltagarlista!$K$3=2,
IF(ISBLANK(Deltagarlista!$C40),"",IF(ISBLANK(Arrangörslista!E$53),"",IF($GV8=AA$64," DNS ",IFERROR(VLOOKUP($F8,Arrangörslista!E$53:$AG$90,16,FALSE),"DNS")))),IF(ISBLANK(Deltagarlista!$C40),"",IF(ISBLANK(Arrangörslista!E$53),"",IFERROR(VLOOKUP($F8,Arrangörslista!E$53:$AG$90,16,FALSE),"DNS")))))</f>
        <v/>
      </c>
      <c r="AB8" s="5" t="str">
        <f>IF(Deltagarlista!$K$3=4,IF(ISBLANK(Deltagarlista!$C40),"",IF(ISBLANK(Arrangörslista!I$98),"",IFERROR(VLOOKUP($F8,Arrangörslista!I$98:$AG$135,16,FALSE),IF(ISBLANK(Deltagarlista!$C40),"",IF(ISBLANK(Arrangörslista!I$98),"",IFERROR(VLOOKUP($F8,Arrangörslista!J$98:$AG$135,16,FALSE),"DNS")))))),IF(Deltagarlista!$K$3=2,
IF(ISBLANK(Deltagarlista!$C40),"",IF(ISBLANK(Arrangörslista!F$53),"",IF($GV8=AB$64," DNS ",IFERROR(VLOOKUP($F8,Arrangörslista!F$53:$AG$90,16,FALSE),"DNS")))),IF(ISBLANK(Deltagarlista!$C40),"",IF(ISBLANK(Arrangörslista!F$53),"",IFERROR(VLOOKUP($F8,Arrangörslista!F$53:$AG$90,16,FALSE),"DNS")))))</f>
        <v/>
      </c>
      <c r="AC8" s="5" t="str">
        <f>IF(Deltagarlista!$K$3=4,IF(ISBLANK(Deltagarlista!$C40),"",IF(ISBLANK(Arrangörslista!K$98),"",IFERROR(VLOOKUP($F8,Arrangörslista!K$98:$AG$135,16,FALSE),IF(ISBLANK(Deltagarlista!$C40),"",IF(ISBLANK(Arrangörslista!K$98),"",IFERROR(VLOOKUP($F8,Arrangörslista!L$98:$AG$135,16,FALSE),"DNS")))))),IF(Deltagarlista!$K$3=2,
IF(ISBLANK(Deltagarlista!$C40),"",IF(ISBLANK(Arrangörslista!G$53),"",IF($GV8=AC$64," DNS ",IFERROR(VLOOKUP($F8,Arrangörslista!G$53:$AG$90,16,FALSE),"DNS")))),IF(ISBLANK(Deltagarlista!$C40),"",IF(ISBLANK(Arrangörslista!G$53),"",IFERROR(VLOOKUP($F8,Arrangörslista!G$53:$AG$90,16,FALSE),"DNS")))))</f>
        <v/>
      </c>
      <c r="AD8" s="5" t="str">
        <f>IF(Deltagarlista!$K$3=4,IF(ISBLANK(Deltagarlista!$C40),"",IF(ISBLANK(Arrangörslista!M$98),"",IFERROR(VLOOKUP($F8,Arrangörslista!M$98:$AG$135,16,FALSE),IF(ISBLANK(Deltagarlista!$C40),"",IF(ISBLANK(Arrangörslista!M$98),"",IFERROR(VLOOKUP($F8,Arrangörslista!N$98:$AG$135,16,FALSE),"DNS")))))),IF(Deltagarlista!$K$3=2,
IF(ISBLANK(Deltagarlista!$C40),"",IF(ISBLANK(Arrangörslista!H$53),"",IF($GV8=AD$64," DNS ",IFERROR(VLOOKUP($F8,Arrangörslista!H$53:$AG$90,16,FALSE),"DNS")))),IF(ISBLANK(Deltagarlista!$C40),"",IF(ISBLANK(Arrangörslista!H$53),"",IFERROR(VLOOKUP($F8,Arrangörslista!H$53:$AG$90,16,FALSE),"DNS")))))</f>
        <v/>
      </c>
      <c r="AE8" s="5" t="str">
        <f>IF(Deltagarlista!$K$3=4,IF(ISBLANK(Deltagarlista!$C40),"",IF(ISBLANK(Arrangörslista!O$98),"",IFERROR(VLOOKUP($F8,Arrangörslista!O$98:$AG$135,16,FALSE),IF(ISBLANK(Deltagarlista!$C40),"",IF(ISBLANK(Arrangörslista!O$98),"",IFERROR(VLOOKUP($F8,Arrangörslista!P$98:$AG$135,16,FALSE),"DNS")))))),IF(Deltagarlista!$K$3=2,
IF(ISBLANK(Deltagarlista!$C40),"",IF(ISBLANK(Arrangörslista!I$53),"",IF($GV8=AE$64," DNS ",IFERROR(VLOOKUP($F8,Arrangörslista!I$53:$AG$90,16,FALSE),"DNS")))),IF(ISBLANK(Deltagarlista!$C40),"",IF(ISBLANK(Arrangörslista!I$53),"",IFERROR(VLOOKUP($F8,Arrangörslista!I$53:$AG$90,16,FALSE),"DNS")))))</f>
        <v/>
      </c>
      <c r="AF8" s="5" t="str">
        <f>IF(Deltagarlista!$K$3=4,IF(ISBLANK(Deltagarlista!$C40),"",IF(ISBLANK(Arrangörslista!Q$98),"",IFERROR(VLOOKUP($F8,Arrangörslista!Q$98:$AG$135,16,FALSE),IF(ISBLANK(Deltagarlista!$C40),"",IF(ISBLANK(Arrangörslista!Q$98),"",IFERROR(VLOOKUP($F8,Arrangörslista!C$143:$AG$180,16,FALSE),"DNS")))))),IF(Deltagarlista!$K$3=2,
IF(ISBLANK(Deltagarlista!$C40),"",IF(ISBLANK(Arrangörslista!J$53),"",IF($GV8=AF$64," DNS ",IFERROR(VLOOKUP($F8,Arrangörslista!J$53:$AG$90,16,FALSE),"DNS")))),IF(ISBLANK(Deltagarlista!$C40),"",IF(ISBLANK(Arrangörslista!J$53),"",IFERROR(VLOOKUP($F8,Arrangörslista!J$53:$AG$90,16,FALSE),"DNS")))))</f>
        <v/>
      </c>
      <c r="AG8" s="5" t="str">
        <f>IF(Deltagarlista!$K$3=4,IF(ISBLANK(Deltagarlista!$C40),"",IF(ISBLANK(Arrangörslista!D$143),"",IFERROR(VLOOKUP($F8,Arrangörslista!D$143:$AG$180,16,FALSE),IF(ISBLANK(Deltagarlista!$C40),"",IF(ISBLANK(Arrangörslista!D$143),"",IFERROR(VLOOKUP($F8,Arrangörslista!E$143:$AG$180,16,FALSE),"DNS")))))),IF(Deltagarlista!$K$3=2,
IF(ISBLANK(Deltagarlista!$C40),"",IF(ISBLANK(Arrangörslista!K$53),"",IF($GV8=AG$64," DNS ",IFERROR(VLOOKUP($F8,Arrangörslista!K$53:$AG$90,16,FALSE),"DNS")))),IF(ISBLANK(Deltagarlista!$C40),"",IF(ISBLANK(Arrangörslista!K$53),"",IFERROR(VLOOKUP($F8,Arrangörslista!K$53:$AG$90,16,FALSE),"DNS")))))</f>
        <v/>
      </c>
      <c r="AH8" s="5" t="str">
        <f>IF(Deltagarlista!$K$3=4,IF(ISBLANK(Deltagarlista!$C40),"",IF(ISBLANK(Arrangörslista!F$143),"",IFERROR(VLOOKUP($F8,Arrangörslista!F$143:$AG$180,16,FALSE),IF(ISBLANK(Deltagarlista!$C40),"",IF(ISBLANK(Arrangörslista!F$143),"",IFERROR(VLOOKUP($F8,Arrangörslista!G$143:$AG$180,16,FALSE),"DNS")))))),IF(Deltagarlista!$K$3=2,
IF(ISBLANK(Deltagarlista!$C40),"",IF(ISBLANK(Arrangörslista!L$53),"",IF($GV8=AH$64," DNS ",IFERROR(VLOOKUP($F8,Arrangörslista!L$53:$AG$90,16,FALSE),"DNS")))),IF(ISBLANK(Deltagarlista!$C40),"",IF(ISBLANK(Arrangörslista!L$53),"",IFERROR(VLOOKUP($F8,Arrangörslista!L$53:$AG$90,16,FALSE),"DNS")))))</f>
        <v/>
      </c>
      <c r="AI8" s="5" t="str">
        <f>IF(Deltagarlista!$K$3=4,IF(ISBLANK(Deltagarlista!$C40),"",IF(ISBLANK(Arrangörslista!H$143),"",IFERROR(VLOOKUP($F8,Arrangörslista!H$143:$AG$180,16,FALSE),IF(ISBLANK(Deltagarlista!$C40),"",IF(ISBLANK(Arrangörslista!H$143),"",IFERROR(VLOOKUP($F8,Arrangörslista!I$143:$AG$180,16,FALSE),"DNS")))))),IF(Deltagarlista!$K$3=2,
IF(ISBLANK(Deltagarlista!$C40),"",IF(ISBLANK(Arrangörslista!M$53),"",IF($GV8=AI$64," DNS ",IFERROR(VLOOKUP($F8,Arrangörslista!M$53:$AG$90,16,FALSE),"DNS")))),IF(ISBLANK(Deltagarlista!$C40),"",IF(ISBLANK(Arrangörslista!M$53),"",IFERROR(VLOOKUP($F8,Arrangörslista!M$53:$AG$90,16,FALSE),"DNS")))))</f>
        <v/>
      </c>
      <c r="AJ8" s="5" t="str">
        <f>IF(Deltagarlista!$K$3=4,IF(ISBLANK(Deltagarlista!$C40),"",IF(ISBLANK(Arrangörslista!J$143),"",IFERROR(VLOOKUP($F8,Arrangörslista!J$143:$AG$180,16,FALSE),IF(ISBLANK(Deltagarlista!$C40),"",IF(ISBLANK(Arrangörslista!J$143),"",IFERROR(VLOOKUP($F8,Arrangörslista!K$143:$AG$180,16,FALSE),"DNS")))))),IF(Deltagarlista!$K$3=2,
IF(ISBLANK(Deltagarlista!$C40),"",IF(ISBLANK(Arrangörslista!N$53),"",IF($GV8=AJ$64," DNS ",IFERROR(VLOOKUP($F8,Arrangörslista!N$53:$AG$90,16,FALSE),"DNS")))),IF(ISBLANK(Deltagarlista!$C40),"",IF(ISBLANK(Arrangörslista!N$53),"",IFERROR(VLOOKUP($F8,Arrangörslista!N$53:$AG$90,16,FALSE),"DNS")))))</f>
        <v/>
      </c>
      <c r="AK8" s="5" t="str">
        <f>IF(Deltagarlista!$K$3=4,IF(ISBLANK(Deltagarlista!$C40),"",IF(ISBLANK(Arrangörslista!L$143),"",IFERROR(VLOOKUP($F8,Arrangörslista!L$143:$AG$180,16,FALSE),IF(ISBLANK(Deltagarlista!$C40),"",IF(ISBLANK(Arrangörslista!L$143),"",IFERROR(VLOOKUP($F8,Arrangörslista!M$143:$AG$180,16,FALSE),"DNS")))))),IF(Deltagarlista!$K$3=2,
IF(ISBLANK(Deltagarlista!$C40),"",IF(ISBLANK(Arrangörslista!O$53),"",IF($GV8=AK$64," DNS ",IFERROR(VLOOKUP($F8,Arrangörslista!O$53:$AG$90,16,FALSE),"DNS")))),IF(ISBLANK(Deltagarlista!$C40),"",IF(ISBLANK(Arrangörslista!O$53),"",IFERROR(VLOOKUP($F8,Arrangörslista!O$53:$AG$90,16,FALSE),"DNS")))))</f>
        <v/>
      </c>
      <c r="AL8" s="5" t="str">
        <f>IF(Deltagarlista!$K$3=4,IF(ISBLANK(Deltagarlista!$C40),"",IF(ISBLANK(Arrangörslista!N$143),"",IFERROR(VLOOKUP($F8,Arrangörslista!N$143:$AG$180,16,FALSE),IF(ISBLANK(Deltagarlista!$C40),"",IF(ISBLANK(Arrangörslista!N$143),"",IFERROR(VLOOKUP($F8,Arrangörslista!O$143:$AG$180,16,FALSE),"DNS")))))),IF(Deltagarlista!$K$3=2,
IF(ISBLANK(Deltagarlista!$C40),"",IF(ISBLANK(Arrangörslista!P$53),"",IF($GV8=AL$64," DNS ",IFERROR(VLOOKUP($F8,Arrangörslista!P$53:$AG$90,16,FALSE),"DNS")))),IF(ISBLANK(Deltagarlista!$C40),"",IF(ISBLANK(Arrangörslista!P$53),"",IFERROR(VLOOKUP($F8,Arrangörslista!P$53:$AG$90,16,FALSE),"DNS")))))</f>
        <v/>
      </c>
      <c r="AM8" s="5" t="str">
        <f>IF(Deltagarlista!$K$3=4,IF(ISBLANK(Deltagarlista!$C40),"",IF(ISBLANK(Arrangörslista!P$143),"",IFERROR(VLOOKUP($F8,Arrangörslista!P$143:$AG$180,16,FALSE),IF(ISBLANK(Deltagarlista!$C40),"",IF(ISBLANK(Arrangörslista!P$143),"",IFERROR(VLOOKUP($F8,Arrangörslista!Q$143:$AG$180,16,FALSE),"DNS")))))),IF(Deltagarlista!$K$3=2,
IF(ISBLANK(Deltagarlista!$C40),"",IF(ISBLANK(Arrangörslista!Q$53),"",IF($GV8=AM$64," DNS ",IFERROR(VLOOKUP($F8,Arrangörslista!Q$53:$AG$90,16,FALSE),"DNS")))),IF(ISBLANK(Deltagarlista!$C40),"",IF(ISBLANK(Arrangörslista!Q$53),"",IFERROR(VLOOKUP($F8,Arrangörslista!Q$53:$AG$90,16,FALSE),"DNS")))))</f>
        <v/>
      </c>
      <c r="AN8" s="5" t="str">
        <f>IF(Deltagarlista!$K$3=2,
IF(ISBLANK(Deltagarlista!$C40),"",IF(ISBLANK(Arrangörslista!C$98),"",IF($GV8=AN$64," DNS ",IFERROR(VLOOKUP($F8,Arrangörslista!C$98:$AG$135,16,FALSE), "DNS")))), IF(Deltagarlista!$K$3=1,IF(ISBLANK(Deltagarlista!$C40),"",IF(ISBLANK(Arrangörslista!C$98),"",IFERROR(VLOOKUP($F8,Arrangörslista!C$98:$AG$135,16,FALSE), "DNS"))),""))</f>
        <v/>
      </c>
      <c r="AO8" s="5" t="str">
        <f>IF(Deltagarlista!$K$3=2,
IF(ISBLANK(Deltagarlista!$C40),"",IF(ISBLANK(Arrangörslista!D$98),"",IF($GV8=AO$64," DNS ",IFERROR(VLOOKUP($F8,Arrangörslista!D$98:$AG$135,16,FALSE), "DNS")))), IF(Deltagarlista!$K$3=1,IF(ISBLANK(Deltagarlista!$C40),"",IF(ISBLANK(Arrangörslista!D$98),"",IFERROR(VLOOKUP($F8,Arrangörslista!D$98:$AG$135,16,FALSE), "DNS"))),""))</f>
        <v/>
      </c>
      <c r="AP8" s="5" t="str">
        <f>IF(Deltagarlista!$K$3=2,
IF(ISBLANK(Deltagarlista!$C40),"",IF(ISBLANK(Arrangörslista!E$98),"",IF($GV8=AP$64," DNS ",IFERROR(VLOOKUP($F8,Arrangörslista!E$98:$AG$135,16,FALSE), "DNS")))), IF(Deltagarlista!$K$3=1,IF(ISBLANK(Deltagarlista!$C40),"",IF(ISBLANK(Arrangörslista!E$98),"",IFERROR(VLOOKUP($F8,Arrangörslista!E$98:$AG$135,16,FALSE), "DNS"))),""))</f>
        <v/>
      </c>
      <c r="AQ8" s="5" t="str">
        <f>IF(Deltagarlista!$K$3=2,
IF(ISBLANK(Deltagarlista!$C40),"",IF(ISBLANK(Arrangörslista!F$98),"",IF($GV8=AQ$64," DNS ",IFERROR(VLOOKUP($F8,Arrangörslista!F$98:$AG$135,16,FALSE), "DNS")))), IF(Deltagarlista!$K$3=1,IF(ISBLANK(Deltagarlista!$C40),"",IF(ISBLANK(Arrangörslista!F$98),"",IFERROR(VLOOKUP($F8,Arrangörslista!F$98:$AG$135,16,FALSE), "DNS"))),""))</f>
        <v/>
      </c>
      <c r="AR8" s="5" t="str">
        <f>IF(Deltagarlista!$K$3=2,
IF(ISBLANK(Deltagarlista!$C40),"",IF(ISBLANK(Arrangörslista!G$98),"",IF($GV8=AR$64," DNS ",IFERROR(VLOOKUP($F8,Arrangörslista!G$98:$AG$135,16,FALSE), "DNS")))), IF(Deltagarlista!$K$3=1,IF(ISBLANK(Deltagarlista!$C40),"",IF(ISBLANK(Arrangörslista!G$98),"",IFERROR(VLOOKUP($F8,Arrangörslista!G$98:$AG$135,16,FALSE), "DNS"))),""))</f>
        <v/>
      </c>
      <c r="AS8" s="5" t="str">
        <f>IF(Deltagarlista!$K$3=2,
IF(ISBLANK(Deltagarlista!$C40),"",IF(ISBLANK(Arrangörslista!H$98),"",IF($GV8=AS$64," DNS ",IFERROR(VLOOKUP($F8,Arrangörslista!H$98:$AG$135,16,FALSE), "DNS")))), IF(Deltagarlista!$K$3=1,IF(ISBLANK(Deltagarlista!$C40),"",IF(ISBLANK(Arrangörslista!H$98),"",IFERROR(VLOOKUP($F8,Arrangörslista!H$98:$AG$135,16,FALSE), "DNS"))),""))</f>
        <v/>
      </c>
      <c r="AT8" s="5" t="str">
        <f>IF(Deltagarlista!$K$3=2,
IF(ISBLANK(Deltagarlista!$C40),"",IF(ISBLANK(Arrangörslista!I$98),"",IF($GV8=AT$64," DNS ",IFERROR(VLOOKUP($F8,Arrangörslista!I$98:$AG$135,16,FALSE), "DNS")))), IF(Deltagarlista!$K$3=1,IF(ISBLANK(Deltagarlista!$C40),"",IF(ISBLANK(Arrangörslista!I$98),"",IFERROR(VLOOKUP($F8,Arrangörslista!I$98:$AG$135,16,FALSE), "DNS"))),""))</f>
        <v/>
      </c>
      <c r="AU8" s="5" t="str">
        <f>IF(Deltagarlista!$K$3=2,
IF(ISBLANK(Deltagarlista!$C40),"",IF(ISBLANK(Arrangörslista!J$98),"",IF($GV8=AU$64," DNS ",IFERROR(VLOOKUP($F8,Arrangörslista!J$98:$AG$135,16,FALSE), "DNS")))), IF(Deltagarlista!$K$3=1,IF(ISBLANK(Deltagarlista!$C40),"",IF(ISBLANK(Arrangörslista!J$98),"",IFERROR(VLOOKUP($F8,Arrangörslista!J$98:$AG$135,16,FALSE), "DNS"))),""))</f>
        <v/>
      </c>
      <c r="AV8" s="5" t="str">
        <f>IF(Deltagarlista!$K$3=2,
IF(ISBLANK(Deltagarlista!$C40),"",IF(ISBLANK(Arrangörslista!K$98),"",IF($GV8=AV$64," DNS ",IFERROR(VLOOKUP($F8,Arrangörslista!K$98:$AG$135,16,FALSE), "DNS")))), IF(Deltagarlista!$K$3=1,IF(ISBLANK(Deltagarlista!$C40),"",IF(ISBLANK(Arrangörslista!K$98),"",IFERROR(VLOOKUP($F8,Arrangörslista!K$98:$AG$135,16,FALSE), "DNS"))),""))</f>
        <v/>
      </c>
      <c r="AW8" s="5" t="str">
        <f>IF(Deltagarlista!$K$3=2,
IF(ISBLANK(Deltagarlista!$C40),"",IF(ISBLANK(Arrangörslista!L$98),"",IF($GV8=AW$64," DNS ",IFERROR(VLOOKUP($F8,Arrangörslista!L$98:$AG$135,16,FALSE), "DNS")))), IF(Deltagarlista!$K$3=1,IF(ISBLANK(Deltagarlista!$C40),"",IF(ISBLANK(Arrangörslista!L$98),"",IFERROR(VLOOKUP($F8,Arrangörslista!L$98:$AG$135,16,FALSE), "DNS"))),""))</f>
        <v/>
      </c>
      <c r="AX8" s="5" t="str">
        <f>IF(Deltagarlista!$K$3=2,
IF(ISBLANK(Deltagarlista!$C40),"",IF(ISBLANK(Arrangörslista!M$98),"",IF($GV8=AX$64," DNS ",IFERROR(VLOOKUP($F8,Arrangörslista!M$98:$AG$135,16,FALSE), "DNS")))), IF(Deltagarlista!$K$3=1,IF(ISBLANK(Deltagarlista!$C40),"",IF(ISBLANK(Arrangörslista!M$98),"",IFERROR(VLOOKUP($F8,Arrangörslista!M$98:$AG$135,16,FALSE), "DNS"))),""))</f>
        <v/>
      </c>
      <c r="AY8" s="5" t="str">
        <f>IF(Deltagarlista!$K$3=2,
IF(ISBLANK(Deltagarlista!$C40),"",IF(ISBLANK(Arrangörslista!N$98),"",IF($GV8=AY$64," DNS ",IFERROR(VLOOKUP($F8,Arrangörslista!N$98:$AG$135,16,FALSE), "DNS")))), IF(Deltagarlista!$K$3=1,IF(ISBLANK(Deltagarlista!$C40),"",IF(ISBLANK(Arrangörslista!N$98),"",IFERROR(VLOOKUP($F8,Arrangörslista!N$98:$AG$135,16,FALSE), "DNS"))),""))</f>
        <v/>
      </c>
      <c r="AZ8" s="5" t="str">
        <f>IF(Deltagarlista!$K$3=2,
IF(ISBLANK(Deltagarlista!$C40),"",IF(ISBLANK(Arrangörslista!O$98),"",IF($GV8=AZ$64," DNS ",IFERROR(VLOOKUP($F8,Arrangörslista!O$98:$AG$135,16,FALSE), "DNS")))), IF(Deltagarlista!$K$3=1,IF(ISBLANK(Deltagarlista!$C40),"",IF(ISBLANK(Arrangörslista!O$98),"",IFERROR(VLOOKUP($F8,Arrangörslista!O$98:$AG$135,16,FALSE), "DNS"))),""))</f>
        <v/>
      </c>
      <c r="BA8" s="5" t="str">
        <f>IF(Deltagarlista!$K$3=2,
IF(ISBLANK(Deltagarlista!$C40),"",IF(ISBLANK(Arrangörslista!P$98),"",IF($GV8=BA$64," DNS ",IFERROR(VLOOKUP($F8,Arrangörslista!P$98:$AG$135,16,FALSE), "DNS")))), IF(Deltagarlista!$K$3=1,IF(ISBLANK(Deltagarlista!$C40),"",IF(ISBLANK(Arrangörslista!P$98),"",IFERROR(VLOOKUP($F8,Arrangörslista!P$98:$AG$135,16,FALSE), "DNS"))),""))</f>
        <v/>
      </c>
      <c r="BB8" s="5" t="str">
        <f>IF(Deltagarlista!$K$3=2,
IF(ISBLANK(Deltagarlista!$C40),"",IF(ISBLANK(Arrangörslista!Q$98),"",IF($GV8=BB$64," DNS ",IFERROR(VLOOKUP($F8,Arrangörslista!Q$98:$AG$135,16,FALSE), "DNS")))), IF(Deltagarlista!$K$3=1,IF(ISBLANK(Deltagarlista!$C40),"",IF(ISBLANK(Arrangörslista!Q$98),"",IFERROR(VLOOKUP($F8,Arrangörslista!Q$98:$AG$135,16,FALSE), "DNS"))),""))</f>
        <v/>
      </c>
      <c r="BC8" s="5" t="str">
        <f>IF(Deltagarlista!$K$3=2,
IF(ISBLANK(Deltagarlista!$C40),"",IF(ISBLANK(Arrangörslista!C$143),"",IF($GV8=BC$64," DNS ",IFERROR(VLOOKUP($F8,Arrangörslista!C$143:$AG$180,16,FALSE), "DNS")))), IF(Deltagarlista!$K$3=1,IF(ISBLANK(Deltagarlista!$C40),"",IF(ISBLANK(Arrangörslista!C$143),"",IFERROR(VLOOKUP($F8,Arrangörslista!C$143:$AG$180,16,FALSE), "DNS"))),""))</f>
        <v/>
      </c>
      <c r="BD8" s="5" t="str">
        <f>IF(Deltagarlista!$K$3=2,
IF(ISBLANK(Deltagarlista!$C40),"",IF(ISBLANK(Arrangörslista!D$143),"",IF($GV8=BD$64," DNS ",IFERROR(VLOOKUP($F8,Arrangörslista!D$143:$AG$180,16,FALSE), "DNS")))), IF(Deltagarlista!$K$3=1,IF(ISBLANK(Deltagarlista!$C40),"",IF(ISBLANK(Arrangörslista!D$143),"",IFERROR(VLOOKUP($F8,Arrangörslista!D$143:$AG$180,16,FALSE), "DNS"))),""))</f>
        <v/>
      </c>
      <c r="BE8" s="5" t="str">
        <f>IF(Deltagarlista!$K$3=2,
IF(ISBLANK(Deltagarlista!$C40),"",IF(ISBLANK(Arrangörslista!E$143),"",IF($GV8=BE$64," DNS ",IFERROR(VLOOKUP($F8,Arrangörslista!E$143:$AG$180,16,FALSE), "DNS")))), IF(Deltagarlista!$K$3=1,IF(ISBLANK(Deltagarlista!$C40),"",IF(ISBLANK(Arrangörslista!E$143),"",IFERROR(VLOOKUP($F8,Arrangörslista!E$143:$AG$180,16,FALSE), "DNS"))),""))</f>
        <v/>
      </c>
      <c r="BF8" s="5" t="str">
        <f>IF(Deltagarlista!$K$3=2,
IF(ISBLANK(Deltagarlista!$C40),"",IF(ISBLANK(Arrangörslista!F$143),"",IF($GV8=BF$64," DNS ",IFERROR(VLOOKUP($F8,Arrangörslista!F$143:$AG$180,16,FALSE), "DNS")))), IF(Deltagarlista!$K$3=1,IF(ISBLANK(Deltagarlista!$C40),"",IF(ISBLANK(Arrangörslista!F$143),"",IFERROR(VLOOKUP($F8,Arrangörslista!F$143:$AG$180,16,FALSE), "DNS"))),""))</f>
        <v/>
      </c>
      <c r="BG8" s="5" t="str">
        <f>IF(Deltagarlista!$K$3=2,
IF(ISBLANK(Deltagarlista!$C40),"",IF(ISBLANK(Arrangörslista!G$143),"",IF($GV8=BG$64," DNS ",IFERROR(VLOOKUP($F8,Arrangörslista!G$143:$AG$180,16,FALSE), "DNS")))), IF(Deltagarlista!$K$3=1,IF(ISBLANK(Deltagarlista!$C40),"",IF(ISBLANK(Arrangörslista!G$143),"",IFERROR(VLOOKUP($F8,Arrangörslista!G$143:$AG$180,16,FALSE), "DNS"))),""))</f>
        <v/>
      </c>
      <c r="BH8" s="5" t="str">
        <f>IF(Deltagarlista!$K$3=2,
IF(ISBLANK(Deltagarlista!$C40),"",IF(ISBLANK(Arrangörslista!H$143),"",IF($GV8=BH$64," DNS ",IFERROR(VLOOKUP($F8,Arrangörslista!H$143:$AG$180,16,FALSE), "DNS")))), IF(Deltagarlista!$K$3=1,IF(ISBLANK(Deltagarlista!$C40),"",IF(ISBLANK(Arrangörslista!H$143),"",IFERROR(VLOOKUP($F8,Arrangörslista!H$143:$AG$180,16,FALSE), "DNS"))),""))</f>
        <v/>
      </c>
      <c r="BI8" s="5" t="str">
        <f>IF(Deltagarlista!$K$3=2,
IF(ISBLANK(Deltagarlista!$C40),"",IF(ISBLANK(Arrangörslista!I$143),"",IF($GV8=BI$64," DNS ",IFERROR(VLOOKUP($F8,Arrangörslista!I$143:$AG$180,16,FALSE), "DNS")))), IF(Deltagarlista!$K$3=1,IF(ISBLANK(Deltagarlista!$C40),"",IF(ISBLANK(Arrangörslista!I$143),"",IFERROR(VLOOKUP($F8,Arrangörslista!I$143:$AG$180,16,FALSE), "DNS"))),""))</f>
        <v/>
      </c>
      <c r="BJ8" s="5" t="str">
        <f>IF(Deltagarlista!$K$3=2,
IF(ISBLANK(Deltagarlista!$C40),"",IF(ISBLANK(Arrangörslista!J$143),"",IF($GV8=BJ$64," DNS ",IFERROR(VLOOKUP($F8,Arrangörslista!J$143:$AG$180,16,FALSE), "DNS")))), IF(Deltagarlista!$K$3=1,IF(ISBLANK(Deltagarlista!$C40),"",IF(ISBLANK(Arrangörslista!J$143),"",IFERROR(VLOOKUP($F8,Arrangörslista!J$143:$AG$180,16,FALSE), "DNS"))),""))</f>
        <v/>
      </c>
      <c r="BK8" s="5" t="str">
        <f>IF(Deltagarlista!$K$3=2,
IF(ISBLANK(Deltagarlista!$C40),"",IF(ISBLANK(Arrangörslista!K$143),"",IF($GV8=BK$64," DNS ",IFERROR(VLOOKUP($F8,Arrangörslista!K$143:$AG$180,16,FALSE), "DNS")))), IF(Deltagarlista!$K$3=1,IF(ISBLANK(Deltagarlista!$C40),"",IF(ISBLANK(Arrangörslista!K$143),"",IFERROR(VLOOKUP($F8,Arrangörslista!K$143:$AG$180,16,FALSE), "DNS"))),""))</f>
        <v/>
      </c>
      <c r="BL8" s="5" t="str">
        <f>IF(Deltagarlista!$K$3=2,
IF(ISBLANK(Deltagarlista!$C40),"",IF(ISBLANK(Arrangörslista!L$143),"",IF($GV8=BL$64," DNS ",IFERROR(VLOOKUP($F8,Arrangörslista!L$143:$AG$180,16,FALSE), "DNS")))), IF(Deltagarlista!$K$3=1,IF(ISBLANK(Deltagarlista!$C40),"",IF(ISBLANK(Arrangörslista!L$143),"",IFERROR(VLOOKUP($F8,Arrangörslista!L$143:$AG$180,16,FALSE), "DNS"))),""))</f>
        <v/>
      </c>
      <c r="BM8" s="5" t="str">
        <f>IF(Deltagarlista!$K$3=2,
IF(ISBLANK(Deltagarlista!$C40),"",IF(ISBLANK(Arrangörslista!M$143),"",IF($GV8=BM$64," DNS ",IFERROR(VLOOKUP($F8,Arrangörslista!M$143:$AG$180,16,FALSE), "DNS")))), IF(Deltagarlista!$K$3=1,IF(ISBLANK(Deltagarlista!$C40),"",IF(ISBLANK(Arrangörslista!M$143),"",IFERROR(VLOOKUP($F8,Arrangörslista!M$143:$AG$180,16,FALSE), "DNS"))),""))</f>
        <v/>
      </c>
      <c r="BN8" s="5" t="str">
        <f>IF(Deltagarlista!$K$3=2,
IF(ISBLANK(Deltagarlista!$C40),"",IF(ISBLANK(Arrangörslista!N$143),"",IF($GV8=BN$64," DNS ",IFERROR(VLOOKUP($F8,Arrangörslista!N$143:$AG$180,16,FALSE), "DNS")))), IF(Deltagarlista!$K$3=1,IF(ISBLANK(Deltagarlista!$C40),"",IF(ISBLANK(Arrangörslista!N$143),"",IFERROR(VLOOKUP($F8,Arrangörslista!N$143:$AG$180,16,FALSE), "DNS"))),""))</f>
        <v/>
      </c>
      <c r="BO8" s="5" t="str">
        <f>IF(Deltagarlista!$K$3=2,
IF(ISBLANK(Deltagarlista!$C40),"",IF(ISBLANK(Arrangörslista!O$143),"",IF($GV8=BO$64," DNS ",IFERROR(VLOOKUP($F8,Arrangörslista!O$143:$AG$180,16,FALSE), "DNS")))), IF(Deltagarlista!$K$3=1,IF(ISBLANK(Deltagarlista!$C40),"",IF(ISBLANK(Arrangörslista!O$143),"",IFERROR(VLOOKUP($F8,Arrangörslista!O$143:$AG$180,16,FALSE), "DNS"))),""))</f>
        <v/>
      </c>
      <c r="BP8" s="5" t="str">
        <f>IF(Deltagarlista!$K$3=2,
IF(ISBLANK(Deltagarlista!$C40),"",IF(ISBLANK(Arrangörslista!P$143),"",IF($GV8=BP$64," DNS ",IFERROR(VLOOKUP($F8,Arrangörslista!P$143:$AG$180,16,FALSE), "DNS")))), IF(Deltagarlista!$K$3=1,IF(ISBLANK(Deltagarlista!$C40),"",IF(ISBLANK(Arrangörslista!P$143),"",IFERROR(VLOOKUP($F8,Arrangörslista!P$143:$AG$180,16,FALSE), "DNS"))),""))</f>
        <v/>
      </c>
      <c r="BQ8" s="80" t="str">
        <f>IF(Deltagarlista!$K$3=2,
IF(ISBLANK(Deltagarlista!$C40),"",IF(ISBLANK(Arrangörslista!Q$143),"",IF($GV8=BQ$64," DNS ",IFERROR(VLOOKUP($F8,Arrangörslista!Q$143:$AG$180,16,FALSE), "DNS")))), IF(Deltagarlista!$K$3=1,IF(ISBLANK(Deltagarlista!$C40),"",IF(ISBLANK(Arrangörslista!Q$143),"",IFERROR(VLOOKUP($F8,Arrangörslista!Q$143:$AG$180,16,FALSE), "DNS"))),""))</f>
        <v/>
      </c>
      <c r="BR8" s="51"/>
      <c r="BS8" s="50" t="str">
        <f t="shared" si="0"/>
        <v>2</v>
      </c>
      <c r="BT8" s="51"/>
      <c r="BU8" s="71">
        <f t="shared" si="1"/>
        <v>0</v>
      </c>
      <c r="BV8" s="61">
        <f t="shared" si="2"/>
        <v>0</v>
      </c>
      <c r="BW8" s="61">
        <f t="shared" si="3"/>
        <v>0</v>
      </c>
      <c r="BX8" s="61">
        <f t="shared" si="4"/>
        <v>0</v>
      </c>
      <c r="BY8" s="61">
        <f t="shared" si="5"/>
        <v>0</v>
      </c>
      <c r="BZ8" s="61">
        <f t="shared" si="6"/>
        <v>0</v>
      </c>
      <c r="CA8" s="61">
        <f t="shared" si="7"/>
        <v>0</v>
      </c>
      <c r="CB8" s="61">
        <f t="shared" si="8"/>
        <v>0</v>
      </c>
      <c r="CC8" s="61">
        <f t="shared" si="9"/>
        <v>0</v>
      </c>
      <c r="CD8" s="61">
        <f t="shared" si="10"/>
        <v>0</v>
      </c>
      <c r="CE8" s="61">
        <f t="shared" si="11"/>
        <v>0</v>
      </c>
      <c r="CF8" s="61">
        <f t="shared" si="12"/>
        <v>0</v>
      </c>
      <c r="CG8" s="61">
        <f t="shared" si="13"/>
        <v>0</v>
      </c>
      <c r="CH8" s="61">
        <f t="shared" si="14"/>
        <v>0</v>
      </c>
      <c r="CI8" s="61">
        <f t="shared" si="15"/>
        <v>0</v>
      </c>
      <c r="CJ8" s="61">
        <f t="shared" si="16"/>
        <v>0</v>
      </c>
      <c r="CK8" s="61">
        <f t="shared" si="17"/>
        <v>0</v>
      </c>
      <c r="CL8" s="61">
        <f t="shared" si="18"/>
        <v>0</v>
      </c>
      <c r="CM8" s="61">
        <f t="shared" si="19"/>
        <v>0</v>
      </c>
      <c r="CN8" s="61">
        <f t="shared" si="20"/>
        <v>0</v>
      </c>
      <c r="CO8" s="61">
        <f t="shared" si="21"/>
        <v>0</v>
      </c>
      <c r="CP8" s="61">
        <f t="shared" si="22"/>
        <v>0</v>
      </c>
      <c r="CQ8" s="61">
        <f t="shared" si="23"/>
        <v>0</v>
      </c>
      <c r="CR8" s="61">
        <f t="shared" si="24"/>
        <v>0</v>
      </c>
      <c r="CS8" s="61">
        <f t="shared" si="25"/>
        <v>0</v>
      </c>
      <c r="CT8" s="61">
        <f t="shared" si="26"/>
        <v>0</v>
      </c>
      <c r="CU8" s="61">
        <f t="shared" si="27"/>
        <v>0</v>
      </c>
      <c r="CV8" s="61">
        <f t="shared" si="28"/>
        <v>0</v>
      </c>
      <c r="CW8" s="61">
        <f t="shared" si="29"/>
        <v>0</v>
      </c>
      <c r="CX8" s="61">
        <f t="shared" si="30"/>
        <v>0</v>
      </c>
      <c r="CY8" s="61">
        <f t="shared" si="31"/>
        <v>0</v>
      </c>
      <c r="CZ8" s="61">
        <f t="shared" si="32"/>
        <v>0</v>
      </c>
      <c r="DA8" s="61">
        <f t="shared" si="33"/>
        <v>0</v>
      </c>
      <c r="DB8" s="61">
        <f t="shared" si="34"/>
        <v>0</v>
      </c>
      <c r="DC8" s="61">
        <f t="shared" si="35"/>
        <v>0</v>
      </c>
      <c r="DD8" s="61">
        <f t="shared" si="36"/>
        <v>0</v>
      </c>
      <c r="DE8" s="61">
        <f t="shared" si="37"/>
        <v>0</v>
      </c>
      <c r="DF8" s="61">
        <f t="shared" si="38"/>
        <v>0</v>
      </c>
      <c r="DG8" s="61">
        <f t="shared" si="39"/>
        <v>0</v>
      </c>
      <c r="DH8" s="61">
        <f t="shared" si="40"/>
        <v>0</v>
      </c>
      <c r="DI8" s="61">
        <f t="shared" si="41"/>
        <v>0</v>
      </c>
      <c r="DJ8" s="61">
        <f t="shared" si="42"/>
        <v>0</v>
      </c>
      <c r="DK8" s="61">
        <f t="shared" si="43"/>
        <v>0</v>
      </c>
      <c r="DL8" s="61">
        <f t="shared" si="44"/>
        <v>0</v>
      </c>
      <c r="DM8" s="61">
        <f t="shared" si="45"/>
        <v>0</v>
      </c>
      <c r="DN8" s="61">
        <f t="shared" si="46"/>
        <v>0</v>
      </c>
      <c r="DO8" s="61">
        <f t="shared" si="47"/>
        <v>0</v>
      </c>
      <c r="DP8" s="61">
        <f t="shared" si="48"/>
        <v>0</v>
      </c>
      <c r="DQ8" s="61">
        <f t="shared" si="49"/>
        <v>0</v>
      </c>
      <c r="DR8" s="61">
        <f t="shared" si="50"/>
        <v>0</v>
      </c>
      <c r="DS8" s="61">
        <f t="shared" si="51"/>
        <v>0</v>
      </c>
      <c r="DT8" s="61">
        <f t="shared" si="52"/>
        <v>0</v>
      </c>
      <c r="DU8" s="61">
        <f t="shared" si="53"/>
        <v>0</v>
      </c>
      <c r="DV8" s="61">
        <f t="shared" si="54"/>
        <v>0</v>
      </c>
      <c r="DW8" s="61">
        <f t="shared" si="55"/>
        <v>0</v>
      </c>
      <c r="DX8" s="61">
        <f t="shared" si="56"/>
        <v>0</v>
      </c>
      <c r="DY8" s="61">
        <f t="shared" si="57"/>
        <v>0</v>
      </c>
      <c r="DZ8" s="61">
        <f t="shared" si="58"/>
        <v>0</v>
      </c>
      <c r="EA8" s="61">
        <f t="shared" si="59"/>
        <v>0</v>
      </c>
      <c r="EB8" s="61">
        <f t="shared" si="60"/>
        <v>0</v>
      </c>
      <c r="EC8" s="61">
        <f t="shared" si="61"/>
        <v>0</v>
      </c>
      <c r="EE8" s="61">
        <f xml:space="preserve">
IF(OR(Deltagarlista!$K$3=3,Deltagarlista!$K$3=4),
IF(Arrangörslista!$U$5&lt;8,0,
IF(Arrangörslista!$U$5&lt;16,SUM(LARGE(BV8:CJ8,1)),
IF(Arrangörslista!$U$5&lt;24,SUM(LARGE(BV8:CR8,{1;2})),
IF(Arrangörslista!$U$5&lt;32,SUM(LARGE(BV8:CZ8,{1;2;3})),
IF(Arrangörslista!$U$5&lt;40,SUM(LARGE(BV8:DH8,{1;2;3;4})),
IF(Arrangörslista!$U$5&lt;48,SUM(LARGE(BV8:DP8,{1;2;3;4;5})),
IF(Arrangörslista!$U$5&lt;56,SUM(LARGE(BV8:DX8,{1;2;3;4;5;6})),
IF(Arrangörslista!$U$5&lt;64,SUM(LARGE(BV8:EC8,{1;2;3;4;5;6;7})),0)))))))),
IF(Deltagarlista!$K$3=2,
IF(Arrangörslista!$U$5&lt;4,LARGE(BV8:BX8,1),
IF(Arrangörslista!$U$5&lt;7,SUM(LARGE(BV8:CA8,{1;2;3})),
IF(Arrangörslista!$U$5&lt;10,SUM(LARGE(BV8:CD8,{1;2;3;4})),
IF(Arrangörslista!$U$5&lt;13,SUM(LARGE(BV8:CG8,{1;2;3;4;5;6})),
IF(Arrangörslista!$U$5&lt;16,SUM(LARGE(BV8:CJ8,{1;2;3;4;5;6;7})),
IF(Arrangörslista!$U$5&lt;19,SUM(LARGE(BV8:CM8,{1;2;3;4;5;6;7;8;9})),
IF(Arrangörslista!$U$5&lt;22,SUM(LARGE(BV8:CP8,{1;2;3;4;5;6;7;8;9;10})),
IF(Arrangörslista!$U$5&lt;25,SUM(LARGE(BV8:CS8,{1;2;3;4;5;6;7;8;9;10;11;12})),
IF(Arrangörslista!$U$5&lt;28,SUM(LARGE(BV8:CV8,{1;2;3;4;5;6;7;8;9;10;11;12;13})),
IF(Arrangörslista!$U$5&lt;31,SUM(LARGE(BV8:CY8,{1;2;3;4;5;6;7;8;9;10;11;12;13;14;15})),
IF(Arrangörslista!$U$5&lt;34,SUM(LARGE(BV8:DB8,{1;2;3;4;5;6;7;8;9;10;11;12;13;14;15;16})),
IF(Arrangörslista!$U$5&lt;37,SUM(LARGE(BV8:DE8,{1;2;3;4;5;6;7;8;9;10;11;12;13;14;15;16;17;18})),
IF(Arrangörslista!$U$5&lt;40,SUM(LARGE(BV8:DH8,{1;2;3;4;5;6;7;8;9;10;11;12;13;14;15;16;17;18;19})),
IF(Arrangörslista!$U$5&lt;43,SUM(LARGE(BV8:DK8,{1;2;3;4;5;6;7;8;9;10;11;12;13;14;15;16;17;18;19;20;21})),
IF(Arrangörslista!$U$5&lt;46,SUM(LARGE(BV8:DN8,{1;2;3;4;5;6;7;8;9;10;11;12;13;14;15;16;17;18;19;20;21;22})),
IF(Arrangörslista!$U$5&lt;49,SUM(LARGE(BV8:DQ8,{1;2;3;4;5;6;7;8;9;10;11;12;13;14;15;16;17;18;19;20;21;22;23;24})),
IF(Arrangörslista!$U$5&lt;52,SUM(LARGE(BV8:DT8,{1;2;3;4;5;6;7;8;9;10;11;12;13;14;15;16;17;18;19;20;21;22;23;24;25})),
IF(Arrangörslista!$U$5&lt;55,SUM(LARGE(BV8:DW8,{1;2;3;4;5;6;7;8;9;10;11;12;13;14;15;16;17;18;19;20;21;22;23;24;25;26;27})),
IF(Arrangörslista!$U$5&lt;58,SUM(LARGE(BV8:DZ8,{1;2;3;4;5;6;7;8;9;10;11;12;13;14;15;16;17;18;19;20;21;22;23;24;25;26;27;28})),
IF(Arrangörslista!$U$5&lt;61,SUM(LARGE(BV8:EC8,{1;2;3;4;5;6;7;8;9;10;11;12;13;14;15;16;17;18;19;20;21;22;23;24;25;26;27;28;29;30})),0)))))))))))))))))))),
IF(Arrangörslista!$U$5&lt;4,0,
IF(Arrangörslista!$U$5&lt;8,SUM(LARGE(BV8:CB8,1)),
IF(Arrangörslista!$U$5&lt;12,SUM(LARGE(BV8:CF8,{1;2})),
IF(Arrangörslista!$U$5&lt;16,SUM(LARGE(BV8:CJ8,{1;2;3})),
IF(Arrangörslista!$U$5&lt;20,SUM(LARGE(BV8:CN8,{1;2;3;4})),
IF(Arrangörslista!$U$5&lt;24,SUM(LARGE(BV8:CR8,{1;2;3;4;5})),
IF(Arrangörslista!$U$5&lt;28,SUM(LARGE(BV8:CV8,{1;2;3;4;5;6})),
IF(Arrangörslista!$U$5&lt;32,SUM(LARGE(BV8:CZ8,{1;2;3;4;5;6;7})),
IF(Arrangörslista!$U$5&lt;36,SUM(LARGE(BV8:DD8,{1;2;3;4;5;6;7;8})),
IF(Arrangörslista!$U$5&lt;40,SUM(LARGE(BV8:DH8,{1;2;3;4;5;6;7;8;9})),
IF(Arrangörslista!$U$5&lt;44,SUM(LARGE(BV8:DL8,{1;2;3;4;5;6;7;8;9;10})),
IF(Arrangörslista!$U$5&lt;48,SUM(LARGE(BV8:DP8,{1;2;3;4;5;6;7;8;9;10;11})),
IF(Arrangörslista!$U$5&lt;52,SUM(LARGE(BV8:DT8,{1;2;3;4;5;6;7;8;9;10;11;12})),
IF(Arrangörslista!$U$5&lt;56,SUM(LARGE(BV8:DX8,{1;2;3;4;5;6;7;8;9;10;11;12;13})),
IF(Arrangörslista!$U$5&lt;60,SUM(LARGE(BV8:EB8,{1;2;3;4;5;6;7;8;9;10;11;12;13;14})),
IF(Arrangörslista!$U$5=60,SUM(LARGE(BV8:EC8,{1;2;3;4;5;6;7;8;9;10;11;12;13;14;15})),0))))))))))))))))))</f>
        <v>0</v>
      </c>
      <c r="EG8" s="67">
        <f t="shared" si="62"/>
        <v>0</v>
      </c>
      <c r="EH8" s="61"/>
      <c r="EI8" s="61"/>
      <c r="EK8" s="62">
        <f t="shared" si="63"/>
        <v>61</v>
      </c>
      <c r="EL8" s="62">
        <f t="shared" si="64"/>
        <v>61</v>
      </c>
      <c r="EM8" s="62">
        <f t="shared" si="65"/>
        <v>61</v>
      </c>
      <c r="EN8" s="62">
        <f t="shared" si="66"/>
        <v>61</v>
      </c>
      <c r="EO8" s="62">
        <f t="shared" si="67"/>
        <v>61</v>
      </c>
      <c r="EP8" s="62">
        <f t="shared" si="68"/>
        <v>61</v>
      </c>
      <c r="EQ8" s="62">
        <f t="shared" si="69"/>
        <v>61</v>
      </c>
      <c r="ER8" s="62">
        <f t="shared" si="70"/>
        <v>61</v>
      </c>
      <c r="ES8" s="62">
        <f t="shared" si="71"/>
        <v>61</v>
      </c>
      <c r="ET8" s="62">
        <f t="shared" si="72"/>
        <v>61</v>
      </c>
      <c r="EU8" s="62">
        <f t="shared" si="73"/>
        <v>61</v>
      </c>
      <c r="EV8" s="62">
        <f t="shared" si="74"/>
        <v>61</v>
      </c>
      <c r="EW8" s="62">
        <f t="shared" si="75"/>
        <v>61</v>
      </c>
      <c r="EX8" s="62">
        <f t="shared" si="76"/>
        <v>61</v>
      </c>
      <c r="EY8" s="62">
        <f t="shared" si="77"/>
        <v>61</v>
      </c>
      <c r="EZ8" s="62">
        <f t="shared" si="78"/>
        <v>61</v>
      </c>
      <c r="FA8" s="62">
        <f t="shared" si="79"/>
        <v>61</v>
      </c>
      <c r="FB8" s="62">
        <f t="shared" si="80"/>
        <v>61</v>
      </c>
      <c r="FC8" s="62">
        <f t="shared" si="81"/>
        <v>61</v>
      </c>
      <c r="FD8" s="62">
        <f t="shared" si="82"/>
        <v>61</v>
      </c>
      <c r="FE8" s="62">
        <f t="shared" si="83"/>
        <v>61</v>
      </c>
      <c r="FF8" s="62">
        <f t="shared" si="84"/>
        <v>61</v>
      </c>
      <c r="FG8" s="62">
        <f t="shared" si="85"/>
        <v>61</v>
      </c>
      <c r="FH8" s="62">
        <f t="shared" si="86"/>
        <v>61</v>
      </c>
      <c r="FI8" s="62">
        <f t="shared" si="87"/>
        <v>61</v>
      </c>
      <c r="FJ8" s="62">
        <f t="shared" si="88"/>
        <v>61</v>
      </c>
      <c r="FK8" s="62">
        <f t="shared" si="89"/>
        <v>61</v>
      </c>
      <c r="FL8" s="62">
        <f t="shared" si="90"/>
        <v>61</v>
      </c>
      <c r="FM8" s="62">
        <f t="shared" si="91"/>
        <v>61</v>
      </c>
      <c r="FN8" s="62">
        <f t="shared" si="92"/>
        <v>61</v>
      </c>
      <c r="FO8" s="62">
        <f t="shared" si="93"/>
        <v>61</v>
      </c>
      <c r="FP8" s="62">
        <f t="shared" si="94"/>
        <v>61</v>
      </c>
      <c r="FQ8" s="62">
        <f t="shared" si="95"/>
        <v>61</v>
      </c>
      <c r="FR8" s="62">
        <f t="shared" si="96"/>
        <v>61</v>
      </c>
      <c r="FS8" s="62">
        <f t="shared" si="97"/>
        <v>61</v>
      </c>
      <c r="FT8" s="62">
        <f t="shared" si="98"/>
        <v>61</v>
      </c>
      <c r="FU8" s="62">
        <f t="shared" si="99"/>
        <v>61</v>
      </c>
      <c r="FV8" s="62">
        <f t="shared" si="100"/>
        <v>61</v>
      </c>
      <c r="FW8" s="62">
        <f t="shared" si="101"/>
        <v>61</v>
      </c>
      <c r="FX8" s="62">
        <f t="shared" si="102"/>
        <v>61</v>
      </c>
      <c r="FY8" s="62">
        <f t="shared" si="103"/>
        <v>61</v>
      </c>
      <c r="FZ8" s="62">
        <f t="shared" si="104"/>
        <v>61</v>
      </c>
      <c r="GA8" s="62">
        <f t="shared" si="105"/>
        <v>61</v>
      </c>
      <c r="GB8" s="62">
        <f t="shared" si="106"/>
        <v>61</v>
      </c>
      <c r="GC8" s="62">
        <f t="shared" si="107"/>
        <v>61</v>
      </c>
      <c r="GD8" s="62">
        <f t="shared" si="108"/>
        <v>61</v>
      </c>
      <c r="GE8" s="62">
        <f t="shared" si="109"/>
        <v>61</v>
      </c>
      <c r="GF8" s="62">
        <f t="shared" si="110"/>
        <v>61</v>
      </c>
      <c r="GG8" s="62">
        <f t="shared" si="111"/>
        <v>61</v>
      </c>
      <c r="GH8" s="62">
        <f t="shared" si="112"/>
        <v>61</v>
      </c>
      <c r="GI8" s="62">
        <f t="shared" si="113"/>
        <v>61</v>
      </c>
      <c r="GJ8" s="62">
        <f t="shared" si="114"/>
        <v>61</v>
      </c>
      <c r="GK8" s="62">
        <f t="shared" si="115"/>
        <v>61</v>
      </c>
      <c r="GL8" s="62">
        <f t="shared" si="116"/>
        <v>61</v>
      </c>
      <c r="GM8" s="62">
        <f t="shared" si="117"/>
        <v>61</v>
      </c>
      <c r="GN8" s="62">
        <f t="shared" si="118"/>
        <v>61</v>
      </c>
      <c r="GO8" s="62">
        <f t="shared" si="119"/>
        <v>61</v>
      </c>
      <c r="GP8" s="62">
        <f t="shared" si="120"/>
        <v>61</v>
      </c>
      <c r="GQ8" s="62">
        <f t="shared" si="121"/>
        <v>61</v>
      </c>
      <c r="GR8" s="62">
        <f t="shared" si="122"/>
        <v>61</v>
      </c>
      <c r="GT8" s="62">
        <f>IF(Deltagarlista!$K$3=2,
IF(GW8="1",
      IF(Arrangörslista!$U$5=1,J71,
IF(Arrangörslista!$U$5=2,K71,
IF(Arrangörslista!$U$5=3,L71,
IF(Arrangörslista!$U$5=4,M71,
IF(Arrangörslista!$U$5=5,N71,
IF(Arrangörslista!$U$5=6,O71,
IF(Arrangörslista!$U$5=7,P71,
IF(Arrangörslista!$U$5=8,Q71,
IF(Arrangörslista!$U$5=9,R71,
IF(Arrangörslista!$U$5=10,S71,
IF(Arrangörslista!$U$5=11,T71,
IF(Arrangörslista!$U$5=12,U71,
IF(Arrangörslista!$U$5=13,V71,
IF(Arrangörslista!$U$5=14,W71,
IF(Arrangörslista!$U$5=15,X71,
IF(Arrangörslista!$U$5=16,Y71,IF(Arrangörslista!$U$5=17,Z71,IF(Arrangörslista!$U$5=18,AA71,IF(Arrangörslista!$U$5=19,AB71,IF(Arrangörslista!$U$5=20,AC71,IF(Arrangörslista!$U$5=21,AD71,IF(Arrangörslista!$U$5=22,AE71,IF(Arrangörslista!$U$5=23,AF71, IF(Arrangörslista!$U$5=24,AG71, IF(Arrangörslista!$U$5=25,AH71, IF(Arrangörslista!$U$5=26,AI71, IF(Arrangörslista!$U$5=27,AJ71, IF(Arrangörslista!$U$5=28,AK71, IF(Arrangörslista!$U$5=29,AL71, IF(Arrangörslista!$U$5=30,AM71, IF(Arrangörslista!$U$5=31,AN71, IF(Arrangörslista!$U$5=32,AO71, IF(Arrangörslista!$U$5=33,AP71, IF(Arrangörslista!$U$5=34,AQ71, IF(Arrangörslista!$U$5=35,AR71, IF(Arrangörslista!$U$5=36,AS71, IF(Arrangörslista!$U$5=37,AT71, IF(Arrangörslista!$U$5=38,AU71, IF(Arrangörslista!$U$5=39,AV71, IF(Arrangörslista!$U$5=40,AW71, IF(Arrangörslista!$U$5=41,AX71, IF(Arrangörslista!$U$5=42,AY71, IF(Arrangörslista!$U$5=43,AZ71, IF(Arrangörslista!$U$5=44,BA71, IF(Arrangörslista!$U$5=45,BB71, IF(Arrangörslista!$U$5=46,BC71, IF(Arrangörslista!$U$5=47,BD71, IF(Arrangörslista!$U$5=48,BE71, IF(Arrangörslista!$U$5=49,BF71, IF(Arrangörslista!$U$5=50,BG71, IF(Arrangörslista!$U$5=51,BH71, IF(Arrangörslista!$U$5=52,BI71, IF(Arrangörslista!$U$5=53,BJ71, IF(Arrangörslista!$U$5=54,BK71, IF(Arrangörslista!$U$5=55,BL71, IF(Arrangörslista!$U$5=56,BM71, IF(Arrangörslista!$U$5=57,BN71, IF(Arrangörslista!$U$5=58,BO71, IF(Arrangörslista!$U$5=59,BP71, IF(Arrangörslista!$U$5=60,BQ71,0))))))))))))))))))))))))))))))))))))))))))))))))))))))))))))),IF(Deltagarlista!$K$3=4, IF(Arrangörslista!$U$5=1,J71,
IF(Arrangörslista!$U$5=2,J71,
IF(Arrangörslista!$U$5=3,K71,
IF(Arrangörslista!$U$5=4,K71,
IF(Arrangörslista!$U$5=5,L71,
IF(Arrangörslista!$U$5=6,L71,
IF(Arrangörslista!$U$5=7,M71,
IF(Arrangörslista!$U$5=8,M71,
IF(Arrangörslista!$U$5=9,N71,
IF(Arrangörslista!$U$5=10,N71,
IF(Arrangörslista!$U$5=11,O71,
IF(Arrangörslista!$U$5=12,O71,
IF(Arrangörslista!$U$5=13,P71,
IF(Arrangörslista!$U$5=14,P71,
IF(Arrangörslista!$U$5=15,Q71,
IF(Arrangörslista!$U$5=16,Q71,
IF(Arrangörslista!$U$5=17,R71,
IF(Arrangörslista!$U$5=18,R71,
IF(Arrangörslista!$U$5=19,S71,
IF(Arrangörslista!$U$5=20,S71,
IF(Arrangörslista!$U$5=21,T71,
IF(Arrangörslista!$U$5=22,T71,IF(Arrangörslista!$U$5=23,U71, IF(Arrangörslista!$U$5=24,U71, IF(Arrangörslista!$U$5=25,V71, IF(Arrangörslista!$U$5=26,V71, IF(Arrangörslista!$U$5=27,W71, IF(Arrangörslista!$U$5=28,W71, IF(Arrangörslista!$U$5=29,X71, IF(Arrangörslista!$U$5=30,X71, IF(Arrangörslista!$U$5=31,X71, IF(Arrangörslista!$U$5=32,Y71, IF(Arrangörslista!$U$5=33,AO71, IF(Arrangörslista!$U$5=34,Y71, IF(Arrangörslista!$U$5=35,Z71, IF(Arrangörslista!$U$5=36,AR71, IF(Arrangörslista!$U$5=37,Z71, IF(Arrangörslista!$U$5=38,AA71, IF(Arrangörslista!$U$5=39,AU71, IF(Arrangörslista!$U$5=40,AA71, IF(Arrangörslista!$U$5=41,AB71, IF(Arrangörslista!$U$5=42,AX71, IF(Arrangörslista!$U$5=43,AB71, IF(Arrangörslista!$U$5=44,AC71, IF(Arrangörslista!$U$5=45,BA71, IF(Arrangörslista!$U$5=46,AC71, IF(Arrangörslista!$U$5=47,AD71, IF(Arrangörslista!$U$5=48,BD71, IF(Arrangörslista!$U$5=49,AD71, IF(Arrangörslista!$U$5=50,AE71, IF(Arrangörslista!$U$5=51,BG71, IF(Arrangörslista!$U$5=52,AE71, IF(Arrangörslista!$U$5=53,AF71, IF(Arrangörslista!$U$5=54,BJ71, IF(Arrangörslista!$U$5=55,AF71, IF(Arrangörslista!$U$5=56,AG71, IF(Arrangörslista!$U$5=57,BM71, IF(Arrangörslista!$U$5=58,AG71, IF(Arrangörslista!$U$5=59,AH71, IF(Arrangörslista!$U$5=60,AH71,0)))))))))))))))))))))))))))))))))))))))))))))))))))))))))))),IF(Arrangörslista!$U$5=1,J71,
IF(Arrangörslista!$U$5=2,K71,
IF(Arrangörslista!$U$5=3,L71,
IF(Arrangörslista!$U$5=4,M71,
IF(Arrangörslista!$U$5=5,N71,
IF(Arrangörslista!$U$5=6,O71,
IF(Arrangörslista!$U$5=7,P71,
IF(Arrangörslista!$U$5=8,Q71,
IF(Arrangörslista!$U$5=9,R71,
IF(Arrangörslista!$U$5=10,S71,
IF(Arrangörslista!$U$5=11,T71,
IF(Arrangörslista!$U$5=12,U71,
IF(Arrangörslista!$U$5=13,V71,
IF(Arrangörslista!$U$5=14,W71,
IF(Arrangörslista!$U$5=15,X71,
IF(Arrangörslista!$U$5=16,Y71,IF(Arrangörslista!$U$5=17,Z71,IF(Arrangörslista!$U$5=18,AA71,IF(Arrangörslista!$U$5=19,AB71,IF(Arrangörslista!$U$5=20,AC71,IF(Arrangörslista!$U$5=21,AD71,IF(Arrangörslista!$U$5=22,AE71,IF(Arrangörslista!$U$5=23,AF71, IF(Arrangörslista!$U$5=24,AG71, IF(Arrangörslista!$U$5=25,AH71, IF(Arrangörslista!$U$5=26,AI71, IF(Arrangörslista!$U$5=27,AJ71, IF(Arrangörslista!$U$5=28,AK71, IF(Arrangörslista!$U$5=29,AL71, IF(Arrangörslista!$U$5=30,AM71, IF(Arrangörslista!$U$5=31,AN71, IF(Arrangörslista!$U$5=32,AO71, IF(Arrangörslista!$U$5=33,AP71, IF(Arrangörslista!$U$5=34,AQ71, IF(Arrangörslista!$U$5=35,AR71, IF(Arrangörslista!$U$5=36,AS71, IF(Arrangörslista!$U$5=37,AT71, IF(Arrangörslista!$U$5=38,AU71, IF(Arrangörslista!$U$5=39,AV71, IF(Arrangörslista!$U$5=40,AW71, IF(Arrangörslista!$U$5=41,AX71, IF(Arrangörslista!$U$5=42,AY71, IF(Arrangörslista!$U$5=43,AZ71, IF(Arrangörslista!$U$5=44,BA71, IF(Arrangörslista!$U$5=45,BB71, IF(Arrangörslista!$U$5=46,BC71, IF(Arrangörslista!$U$5=47,BD71, IF(Arrangörslista!$U$5=48,BE71, IF(Arrangörslista!$U$5=49,BF71, IF(Arrangörslista!$U$5=50,BG71, IF(Arrangörslista!$U$5=51,BH71, IF(Arrangörslista!$U$5=52,BI71, IF(Arrangörslista!$U$5=53,BJ71, IF(Arrangörslista!$U$5=54,BK71, IF(Arrangörslista!$U$5=55,BL71, IF(Arrangörslista!$U$5=56,BM71, IF(Arrangörslista!$U$5=57,BN71, IF(Arrangörslista!$U$5=58,BO71, IF(Arrangörslista!$U$5=59,BP71, IF(Arrangörslista!$U$5=60,BQ71,0))))))))))))))))))))))))))))))))))))))))))))))))))))))))))))
))</f>
        <v>0</v>
      </c>
      <c r="GV8" s="65" t="str">
        <f>IFERROR(IF(VLOOKUP(F8,Deltagarlista!$E$5:$I$64,5,FALSE)="Grön","Gr",IF(VLOOKUP(F8,Deltagarlista!$E$5:$I$64,5,FALSE)="Röd","R",IF(VLOOKUP(F8,Deltagarlista!$E$5:$I$64,5,FALSE)="Blå","B","Gu"))),"")</f>
        <v/>
      </c>
      <c r="GW8" s="62" t="str">
        <f t="shared" si="123"/>
        <v/>
      </c>
    </row>
    <row r="9" spans="1:206" x14ac:dyDescent="0.3">
      <c r="B9" s="23" t="str">
        <f>IF((COUNTIF(Deltagarlista!$H$5:$H$64,"GM"))&gt;5,6,"")</f>
        <v/>
      </c>
      <c r="C9" s="92" t="str">
        <f>IF(ISBLANK(Deltagarlista!C63),"",Deltagarlista!C63)</f>
        <v/>
      </c>
      <c r="D9" s="109" t="str">
        <f>CONCATENATE(IF(Deltagarlista!H63="GM","GM   ",""), IF(OR(Deltagarlista!$K$3=4,Deltagarlista!$K$3=2),Deltagarlista!I63,""))</f>
        <v/>
      </c>
      <c r="E9" s="8" t="str">
        <f>IF(ISBLANK(Deltagarlista!D63),"",Deltagarlista!D63)</f>
        <v/>
      </c>
      <c r="F9" s="8" t="str">
        <f>IF(ISBLANK(Deltagarlista!E63),"",Deltagarlista!E63)</f>
        <v/>
      </c>
      <c r="G9" s="95" t="str">
        <f>IF(ISBLANK(Deltagarlista!F63),"",Deltagarlista!F63)</f>
        <v/>
      </c>
      <c r="H9" s="72" t="str">
        <f>IF(ISBLANK(Deltagarlista!C63),"",BU9-EE9)</f>
        <v/>
      </c>
      <c r="I9" s="13" t="str">
        <f>IF(ISBLANK(Deltagarlista!C63),"",IF(AND(Deltagarlista!$K$3=2,Deltagarlista!$L$3&lt;37),SUM(SUM(BV9:EC9)-(ROUNDDOWN(Arrangörslista!$U$5/3,1))*($BW$3+1)),SUM(BV9:EC9)))</f>
        <v/>
      </c>
      <c r="J9" s="79" t="str">
        <f>IF(Deltagarlista!$K$3=4,IF(ISBLANK(Deltagarlista!$C63),"",IF(ISBLANK(Arrangörslista!C$8),"",IFERROR(VLOOKUP($F9,Arrangörslista!C$8:$AG$45,16,FALSE),IF(ISBLANK(Deltagarlista!$C63),"",IF(ISBLANK(Arrangörslista!C$8),"",IFERROR(VLOOKUP($F9,Arrangörslista!D$8:$AG$45,16,FALSE),"DNS")))))),IF(Deltagarlista!$K$3=2,
IF(ISBLANK(Deltagarlista!$C63),"",IF(ISBLANK(Arrangörslista!C$8),"",IF($GV9=J$64," DNS ",IFERROR(VLOOKUP($F9,Arrangörslista!C$8:$AG$45,16,FALSE),"DNS")))),IF(ISBLANK(Deltagarlista!$C63),"",IF(ISBLANK(Arrangörslista!C$8),"",IFERROR(VLOOKUP($F9,Arrangörslista!C$8:$AG$45,16,FALSE),"DNS")))))</f>
        <v/>
      </c>
      <c r="K9" s="5" t="str">
        <f>IF(Deltagarlista!$K$3=4,IF(ISBLANK(Deltagarlista!$C63),"",IF(ISBLANK(Arrangörslista!E$8),"",IFERROR(VLOOKUP($F9,Arrangörslista!E$8:$AG$45,16,FALSE),IF(ISBLANK(Deltagarlista!$C63),"",IF(ISBLANK(Arrangörslista!E$8),"",IFERROR(VLOOKUP($F9,Arrangörslista!F$8:$AG$45,16,FALSE),"DNS")))))),IF(Deltagarlista!$K$3=2,
IF(ISBLANK(Deltagarlista!$C63),"",IF(ISBLANK(Arrangörslista!D$8),"",IF($GV9=K$64," DNS ",IFERROR(VLOOKUP($F9,Arrangörslista!D$8:$AG$45,16,FALSE),"DNS")))),IF(ISBLANK(Deltagarlista!$C63),"",IF(ISBLANK(Arrangörslista!D$8),"",IFERROR(VLOOKUP($F9,Arrangörslista!D$8:$AG$45,16,FALSE),"DNS")))))</f>
        <v/>
      </c>
      <c r="L9" s="5" t="str">
        <f>IF(Deltagarlista!$K$3=4,IF(ISBLANK(Deltagarlista!$C63),"",IF(ISBLANK(Arrangörslista!G$8),"",IFERROR(VLOOKUP($F9,Arrangörslista!G$8:$AG$45,16,FALSE),IF(ISBLANK(Deltagarlista!$C63),"",IF(ISBLANK(Arrangörslista!G$8),"",IFERROR(VLOOKUP($F9,Arrangörslista!H$8:$AG$45,16,FALSE),"DNS")))))),IF(Deltagarlista!$K$3=2,
IF(ISBLANK(Deltagarlista!$C63),"",IF(ISBLANK(Arrangörslista!E$8),"",IF($GV9=L$64," DNS ",IFERROR(VLOOKUP($F9,Arrangörslista!E$8:$AG$45,16,FALSE),"DNS")))),IF(ISBLANK(Deltagarlista!$C63),"",IF(ISBLANK(Arrangörslista!E$8),"",IFERROR(VLOOKUP($F9,Arrangörslista!E$8:$AG$45,16,FALSE),"DNS")))))</f>
        <v/>
      </c>
      <c r="M9" s="5" t="str">
        <f>IF(Deltagarlista!$K$3=4,IF(ISBLANK(Deltagarlista!$C63),"",IF(ISBLANK(Arrangörslista!I$8),"",IFERROR(VLOOKUP($F9,Arrangörslista!I$8:$AG$45,16,FALSE),IF(ISBLANK(Deltagarlista!$C63),"",IF(ISBLANK(Arrangörslista!I$8),"",IFERROR(VLOOKUP($F9,Arrangörslista!J$8:$AG$45,16,FALSE),"DNS")))))),IF(Deltagarlista!$K$3=2,
IF(ISBLANK(Deltagarlista!$C63),"",IF(ISBLANK(Arrangörslista!F$8),"",IF($GV9=M$64," DNS ",IFERROR(VLOOKUP($F9,Arrangörslista!F$8:$AG$45,16,FALSE),"DNS")))),IF(ISBLANK(Deltagarlista!$C63),"",IF(ISBLANK(Arrangörslista!F$8),"",IFERROR(VLOOKUP($F9,Arrangörslista!F$8:$AG$45,16,FALSE),"DNS")))))</f>
        <v/>
      </c>
      <c r="N9" s="5" t="str">
        <f>IF(Deltagarlista!$K$3=4,IF(ISBLANK(Deltagarlista!$C63),"",IF(ISBLANK(Arrangörslista!K$8),"",IFERROR(VLOOKUP($F9,Arrangörslista!K$8:$AG$45,16,FALSE),IF(ISBLANK(Deltagarlista!$C63),"",IF(ISBLANK(Arrangörslista!K$8),"",IFERROR(VLOOKUP($F9,Arrangörslista!L$8:$AG$45,16,FALSE),"DNS")))))),IF(Deltagarlista!$K$3=2,
IF(ISBLANK(Deltagarlista!$C63),"",IF(ISBLANK(Arrangörslista!G$8),"",IF($GV9=N$64," DNS ",IFERROR(VLOOKUP($F9,Arrangörslista!G$8:$AG$45,16,FALSE),"DNS")))),IF(ISBLANK(Deltagarlista!$C63),"",IF(ISBLANK(Arrangörslista!G$8),"",IFERROR(VLOOKUP($F9,Arrangörslista!G$8:$AG$45,16,FALSE),"DNS")))))</f>
        <v/>
      </c>
      <c r="O9" s="5" t="str">
        <f>IF(Deltagarlista!$K$3=4,IF(ISBLANK(Deltagarlista!$C63),"",IF(ISBLANK(Arrangörslista!M$8),"",IFERROR(VLOOKUP($F9,Arrangörslista!M$8:$AG$45,16,FALSE),IF(ISBLANK(Deltagarlista!$C63),"",IF(ISBLANK(Arrangörslista!M$8),"",IFERROR(VLOOKUP($F9,Arrangörslista!N$8:$AG$45,16,FALSE),"DNS")))))),IF(Deltagarlista!$K$3=2,
IF(ISBLANK(Deltagarlista!$C63),"",IF(ISBLANK(Arrangörslista!H$8),"",IF($GV9=O$64," DNS ",IFERROR(VLOOKUP($F9,Arrangörslista!H$8:$AG$45,16,FALSE),"DNS")))),IF(ISBLANK(Deltagarlista!$C63),"",IF(ISBLANK(Arrangörslista!H$8),"",IFERROR(VLOOKUP($F9,Arrangörslista!H$8:$AG$45,16,FALSE),"DNS")))))</f>
        <v/>
      </c>
      <c r="P9" s="5" t="str">
        <f>IF(Deltagarlista!$K$3=4,IF(ISBLANK(Deltagarlista!$C63),"",IF(ISBLANK(Arrangörslista!O$8),"",IFERROR(VLOOKUP($F9,Arrangörslista!O$8:$AG$45,16,FALSE),IF(ISBLANK(Deltagarlista!$C63),"",IF(ISBLANK(Arrangörslista!O$8),"",IFERROR(VLOOKUP($F9,Arrangörslista!P$8:$AG$45,16,FALSE),"DNS")))))),IF(Deltagarlista!$K$3=2,
IF(ISBLANK(Deltagarlista!$C63),"",IF(ISBLANK(Arrangörslista!I$8),"",IF($GV9=P$64," DNS ",IFERROR(VLOOKUP($F9,Arrangörslista!I$8:$AG$45,16,FALSE),"DNS")))),IF(ISBLANK(Deltagarlista!$C63),"",IF(ISBLANK(Arrangörslista!I$8),"",IFERROR(VLOOKUP($F9,Arrangörslista!I$8:$AG$45,16,FALSE),"DNS")))))</f>
        <v/>
      </c>
      <c r="Q9" s="5" t="str">
        <f>IF(Deltagarlista!$K$3=4,IF(ISBLANK(Deltagarlista!$C63),"",IF(ISBLANK(Arrangörslista!Q$8),"",IFERROR(VLOOKUP($F9,Arrangörslista!Q$8:$AG$45,16,FALSE),IF(ISBLANK(Deltagarlista!$C63),"",IF(ISBLANK(Arrangörslista!Q$8),"",IFERROR(VLOOKUP($F9,Arrangörslista!C$53:$AG$90,16,FALSE),"DNS")))))),IF(Deltagarlista!$K$3=2,
IF(ISBLANK(Deltagarlista!$C63),"",IF(ISBLANK(Arrangörslista!J$8),"",IF($GV9=Q$64," DNS ",IFERROR(VLOOKUP($F9,Arrangörslista!J$8:$AG$45,16,FALSE),"DNS")))),IF(ISBLANK(Deltagarlista!$C63),"",IF(ISBLANK(Arrangörslista!J$8),"",IFERROR(VLOOKUP($F9,Arrangörslista!J$8:$AG$45,16,FALSE),"DNS")))))</f>
        <v/>
      </c>
      <c r="R9" s="5" t="str">
        <f>IF(Deltagarlista!$K$3=4,IF(ISBLANK(Deltagarlista!$C63),"",IF(ISBLANK(Arrangörslista!D$53),"",IFERROR(VLOOKUP($F9,Arrangörslista!D$53:$AG$90,16,FALSE),IF(ISBLANK(Deltagarlista!$C63),"",IF(ISBLANK(Arrangörslista!D$53),"",IFERROR(VLOOKUP($F9,Arrangörslista!E$53:$AG$90,16,FALSE),"DNS")))))),IF(Deltagarlista!$K$3=2,
IF(ISBLANK(Deltagarlista!$C63),"",IF(ISBLANK(Arrangörslista!K$8),"",IF($GV9=R$64," DNS ",IFERROR(VLOOKUP($F9,Arrangörslista!K$8:$AG$45,16,FALSE),"DNS")))),IF(ISBLANK(Deltagarlista!$C63),"",IF(ISBLANK(Arrangörslista!K$8),"",IFERROR(VLOOKUP($F9,Arrangörslista!K$8:$AG$45,16,FALSE),"DNS")))))</f>
        <v/>
      </c>
      <c r="S9" s="5" t="str">
        <f>IF(Deltagarlista!$K$3=4,IF(ISBLANK(Deltagarlista!$C63),"",IF(ISBLANK(Arrangörslista!F$53),"",IFERROR(VLOOKUP($F9,Arrangörslista!F$53:$AG$90,16,FALSE),IF(ISBLANK(Deltagarlista!$C63),"",IF(ISBLANK(Arrangörslista!F$53),"",IFERROR(VLOOKUP($F9,Arrangörslista!G$53:$AG$90,16,FALSE),"DNS")))))),IF(Deltagarlista!$K$3=2,
IF(ISBLANK(Deltagarlista!$C63),"",IF(ISBLANK(Arrangörslista!L$8),"",IF($GV9=S$64," DNS ",IFERROR(VLOOKUP($F9,Arrangörslista!L$8:$AG$45,16,FALSE),"DNS")))),IF(ISBLANK(Deltagarlista!$C63),"",IF(ISBLANK(Arrangörslista!L$8),"",IFERROR(VLOOKUP($F9,Arrangörslista!L$8:$AG$45,16,FALSE),"DNS")))))</f>
        <v/>
      </c>
      <c r="T9" s="5" t="str">
        <f>IF(Deltagarlista!$K$3=4,IF(ISBLANK(Deltagarlista!$C63),"",IF(ISBLANK(Arrangörslista!H$53),"",IFERROR(VLOOKUP($F9,Arrangörslista!H$53:$AG$90,16,FALSE),IF(ISBLANK(Deltagarlista!$C63),"",IF(ISBLANK(Arrangörslista!H$53),"",IFERROR(VLOOKUP($F9,Arrangörslista!I$53:$AG$90,16,FALSE),"DNS")))))),IF(Deltagarlista!$K$3=2,
IF(ISBLANK(Deltagarlista!$C63),"",IF(ISBLANK(Arrangörslista!M$8),"",IF($GV9=T$64," DNS ",IFERROR(VLOOKUP($F9,Arrangörslista!M$8:$AG$45,16,FALSE),"DNS")))),IF(ISBLANK(Deltagarlista!$C63),"",IF(ISBLANK(Arrangörslista!M$8),"",IFERROR(VLOOKUP($F9,Arrangörslista!M$8:$AG$45,16,FALSE),"DNS")))))</f>
        <v/>
      </c>
      <c r="U9" s="5" t="str">
        <f>IF(Deltagarlista!$K$3=4,IF(ISBLANK(Deltagarlista!$C63),"",IF(ISBLANK(Arrangörslista!J$53),"",IFERROR(VLOOKUP($F9,Arrangörslista!J$53:$AG$90,16,FALSE),IF(ISBLANK(Deltagarlista!$C63),"",IF(ISBLANK(Arrangörslista!J$53),"",IFERROR(VLOOKUP($F9,Arrangörslista!K$53:$AG$90,16,FALSE),"DNS")))))),IF(Deltagarlista!$K$3=2,
IF(ISBLANK(Deltagarlista!$C63),"",IF(ISBLANK(Arrangörslista!N$8),"",IF($GV9=U$64," DNS ",IFERROR(VLOOKUP($F9,Arrangörslista!N$8:$AG$45,16,FALSE),"DNS")))),IF(ISBLANK(Deltagarlista!$C63),"",IF(ISBLANK(Arrangörslista!N$8),"",IFERROR(VLOOKUP($F9,Arrangörslista!N$8:$AG$45,16,FALSE),"DNS")))))</f>
        <v/>
      </c>
      <c r="V9" s="5" t="str">
        <f>IF(Deltagarlista!$K$3=4,IF(ISBLANK(Deltagarlista!$C63),"",IF(ISBLANK(Arrangörslista!L$53),"",IFERROR(VLOOKUP($F9,Arrangörslista!L$53:$AG$90,16,FALSE),IF(ISBLANK(Deltagarlista!$C63),"",IF(ISBLANK(Arrangörslista!L$53),"",IFERROR(VLOOKUP($F9,Arrangörslista!M$53:$AG$90,16,FALSE),"DNS")))))),IF(Deltagarlista!$K$3=2,
IF(ISBLANK(Deltagarlista!$C63),"",IF(ISBLANK(Arrangörslista!O$8),"",IF($GV9=V$64," DNS ",IFERROR(VLOOKUP($F9,Arrangörslista!O$8:$AG$45,16,FALSE),"DNS")))),IF(ISBLANK(Deltagarlista!$C63),"",IF(ISBLANK(Arrangörslista!O$8),"",IFERROR(VLOOKUP($F9,Arrangörslista!O$8:$AG$45,16,FALSE),"DNS")))))</f>
        <v/>
      </c>
      <c r="W9" s="5" t="str">
        <f>IF(Deltagarlista!$K$3=4,IF(ISBLANK(Deltagarlista!$C63),"",IF(ISBLANK(Arrangörslista!N$53),"",IFERROR(VLOOKUP($F9,Arrangörslista!N$53:$AG$90,16,FALSE),IF(ISBLANK(Deltagarlista!$C63),"",IF(ISBLANK(Arrangörslista!N$53),"",IFERROR(VLOOKUP($F9,Arrangörslista!O$53:$AG$90,16,FALSE),"DNS")))))),IF(Deltagarlista!$K$3=2,
IF(ISBLANK(Deltagarlista!$C63),"",IF(ISBLANK(Arrangörslista!P$8),"",IF($GV9=W$64," DNS ",IFERROR(VLOOKUP($F9,Arrangörslista!P$8:$AG$45,16,FALSE),"DNS")))),IF(ISBLANK(Deltagarlista!$C63),"",IF(ISBLANK(Arrangörslista!P$8),"",IFERROR(VLOOKUP($F9,Arrangörslista!P$8:$AG$45,16,FALSE),"DNS")))))</f>
        <v/>
      </c>
      <c r="X9" s="5" t="str">
        <f>IF(Deltagarlista!$K$3=4,IF(ISBLANK(Deltagarlista!$C63),"",IF(ISBLANK(Arrangörslista!P$53),"",IFERROR(VLOOKUP($F9,Arrangörslista!P$53:$AG$90,16,FALSE),IF(ISBLANK(Deltagarlista!$C63),"",IF(ISBLANK(Arrangörslista!P$53),"",IFERROR(VLOOKUP($F9,Arrangörslista!Q$53:$AG$90,16,FALSE),"DNS")))))),IF(Deltagarlista!$K$3=2,
IF(ISBLANK(Deltagarlista!$C63),"",IF(ISBLANK(Arrangörslista!Q$8),"",IF($GV9=X$64," DNS ",IFERROR(VLOOKUP($F9,Arrangörslista!Q$8:$AG$45,16,FALSE),"DNS")))),IF(ISBLANK(Deltagarlista!$C63),"",IF(ISBLANK(Arrangörslista!Q$8),"",IFERROR(VLOOKUP($F9,Arrangörslista!Q$8:$AG$45,16,FALSE),"DNS")))))</f>
        <v/>
      </c>
      <c r="Y9" s="5" t="str">
        <f>IF(Deltagarlista!$K$3=4,IF(ISBLANK(Deltagarlista!$C63),"",IF(ISBLANK(Arrangörslista!C$98),"",IFERROR(VLOOKUP($F9,Arrangörslista!C$98:$AG$135,16,FALSE),IF(ISBLANK(Deltagarlista!$C63),"",IF(ISBLANK(Arrangörslista!C$98),"",IFERROR(VLOOKUP($F9,Arrangörslista!D$98:$AG$135,16,FALSE),"DNS")))))),IF(Deltagarlista!$K$3=2,
IF(ISBLANK(Deltagarlista!$C63),"",IF(ISBLANK(Arrangörslista!C$53),"",IF($GV9=Y$64," DNS ",IFERROR(VLOOKUP($F9,Arrangörslista!C$53:$AG$90,16,FALSE),"DNS")))),IF(ISBLANK(Deltagarlista!$C63),"",IF(ISBLANK(Arrangörslista!C$53),"",IFERROR(VLOOKUP($F9,Arrangörslista!C$53:$AG$90,16,FALSE),"DNS")))))</f>
        <v/>
      </c>
      <c r="Z9" s="5" t="str">
        <f>IF(Deltagarlista!$K$3=4,IF(ISBLANK(Deltagarlista!$C63),"",IF(ISBLANK(Arrangörslista!E$98),"",IFERROR(VLOOKUP($F9,Arrangörslista!E$98:$AG$135,16,FALSE),IF(ISBLANK(Deltagarlista!$C63),"",IF(ISBLANK(Arrangörslista!E$98),"",IFERROR(VLOOKUP($F9,Arrangörslista!F$98:$AG$135,16,FALSE),"DNS")))))),IF(Deltagarlista!$K$3=2,
IF(ISBLANK(Deltagarlista!$C63),"",IF(ISBLANK(Arrangörslista!D$53),"",IF($GV9=Z$64," DNS ",IFERROR(VLOOKUP($F9,Arrangörslista!D$53:$AG$90,16,FALSE),"DNS")))),IF(ISBLANK(Deltagarlista!$C63),"",IF(ISBLANK(Arrangörslista!D$53),"",IFERROR(VLOOKUP($F9,Arrangörslista!D$53:$AG$90,16,FALSE),"DNS")))))</f>
        <v/>
      </c>
      <c r="AA9" s="5" t="str">
        <f>IF(Deltagarlista!$K$3=4,IF(ISBLANK(Deltagarlista!$C63),"",IF(ISBLANK(Arrangörslista!G$98),"",IFERROR(VLOOKUP($F9,Arrangörslista!G$98:$AG$135,16,FALSE),IF(ISBLANK(Deltagarlista!$C63),"",IF(ISBLANK(Arrangörslista!G$98),"",IFERROR(VLOOKUP($F9,Arrangörslista!H$98:$AG$135,16,FALSE),"DNS")))))),IF(Deltagarlista!$K$3=2,
IF(ISBLANK(Deltagarlista!$C63),"",IF(ISBLANK(Arrangörslista!E$53),"",IF($GV9=AA$64," DNS ",IFERROR(VLOOKUP($F9,Arrangörslista!E$53:$AG$90,16,FALSE),"DNS")))),IF(ISBLANK(Deltagarlista!$C63),"",IF(ISBLANK(Arrangörslista!E$53),"",IFERROR(VLOOKUP($F9,Arrangörslista!E$53:$AG$90,16,FALSE),"DNS")))))</f>
        <v/>
      </c>
      <c r="AB9" s="5" t="str">
        <f>IF(Deltagarlista!$K$3=4,IF(ISBLANK(Deltagarlista!$C63),"",IF(ISBLANK(Arrangörslista!I$98),"",IFERROR(VLOOKUP($F9,Arrangörslista!I$98:$AG$135,16,FALSE),IF(ISBLANK(Deltagarlista!$C63),"",IF(ISBLANK(Arrangörslista!I$98),"",IFERROR(VLOOKUP($F9,Arrangörslista!J$98:$AG$135,16,FALSE),"DNS")))))),IF(Deltagarlista!$K$3=2,
IF(ISBLANK(Deltagarlista!$C63),"",IF(ISBLANK(Arrangörslista!F$53),"",IF($GV9=AB$64," DNS ",IFERROR(VLOOKUP($F9,Arrangörslista!F$53:$AG$90,16,FALSE),"DNS")))),IF(ISBLANK(Deltagarlista!$C63),"",IF(ISBLANK(Arrangörslista!F$53),"",IFERROR(VLOOKUP($F9,Arrangörslista!F$53:$AG$90,16,FALSE),"DNS")))))</f>
        <v/>
      </c>
      <c r="AC9" s="5" t="str">
        <f>IF(Deltagarlista!$K$3=4,IF(ISBLANK(Deltagarlista!$C63),"",IF(ISBLANK(Arrangörslista!K$98),"",IFERROR(VLOOKUP($F9,Arrangörslista!K$98:$AG$135,16,FALSE),IF(ISBLANK(Deltagarlista!$C63),"",IF(ISBLANK(Arrangörslista!K$98),"",IFERROR(VLOOKUP($F9,Arrangörslista!L$98:$AG$135,16,FALSE),"DNS")))))),IF(Deltagarlista!$K$3=2,
IF(ISBLANK(Deltagarlista!$C63),"",IF(ISBLANK(Arrangörslista!G$53),"",IF($GV9=AC$64," DNS ",IFERROR(VLOOKUP($F9,Arrangörslista!G$53:$AG$90,16,FALSE),"DNS")))),IF(ISBLANK(Deltagarlista!$C63),"",IF(ISBLANK(Arrangörslista!G$53),"",IFERROR(VLOOKUP($F9,Arrangörslista!G$53:$AG$90,16,FALSE),"DNS")))))</f>
        <v/>
      </c>
      <c r="AD9" s="5" t="str">
        <f>IF(Deltagarlista!$K$3=4,IF(ISBLANK(Deltagarlista!$C63),"",IF(ISBLANK(Arrangörslista!M$98),"",IFERROR(VLOOKUP($F9,Arrangörslista!M$98:$AG$135,16,FALSE),IF(ISBLANK(Deltagarlista!$C63),"",IF(ISBLANK(Arrangörslista!M$98),"",IFERROR(VLOOKUP($F9,Arrangörslista!N$98:$AG$135,16,FALSE),"DNS")))))),IF(Deltagarlista!$K$3=2,
IF(ISBLANK(Deltagarlista!$C63),"",IF(ISBLANK(Arrangörslista!H$53),"",IF($GV9=AD$64," DNS ",IFERROR(VLOOKUP($F9,Arrangörslista!H$53:$AG$90,16,FALSE),"DNS")))),IF(ISBLANK(Deltagarlista!$C63),"",IF(ISBLANK(Arrangörslista!H$53),"",IFERROR(VLOOKUP($F9,Arrangörslista!H$53:$AG$90,16,FALSE),"DNS")))))</f>
        <v/>
      </c>
      <c r="AE9" s="5" t="str">
        <f>IF(Deltagarlista!$K$3=4,IF(ISBLANK(Deltagarlista!$C63),"",IF(ISBLANK(Arrangörslista!O$98),"",IFERROR(VLOOKUP($F9,Arrangörslista!O$98:$AG$135,16,FALSE),IF(ISBLANK(Deltagarlista!$C63),"",IF(ISBLANK(Arrangörslista!O$98),"",IFERROR(VLOOKUP($F9,Arrangörslista!P$98:$AG$135,16,FALSE),"DNS")))))),IF(Deltagarlista!$K$3=2,
IF(ISBLANK(Deltagarlista!$C63),"",IF(ISBLANK(Arrangörslista!I$53),"",IF($GV9=AE$64," DNS ",IFERROR(VLOOKUP($F9,Arrangörslista!I$53:$AG$90,16,FALSE),"DNS")))),IF(ISBLANK(Deltagarlista!$C63),"",IF(ISBLANK(Arrangörslista!I$53),"",IFERROR(VLOOKUP($F9,Arrangörslista!I$53:$AG$90,16,FALSE),"DNS")))))</f>
        <v/>
      </c>
      <c r="AF9" s="5" t="str">
        <f>IF(Deltagarlista!$K$3=4,IF(ISBLANK(Deltagarlista!$C63),"",IF(ISBLANK(Arrangörslista!Q$98),"",IFERROR(VLOOKUP($F9,Arrangörslista!Q$98:$AG$135,16,FALSE),IF(ISBLANK(Deltagarlista!$C63),"",IF(ISBLANK(Arrangörslista!Q$98),"",IFERROR(VLOOKUP($F9,Arrangörslista!C$143:$AG$180,16,FALSE),"DNS")))))),IF(Deltagarlista!$K$3=2,
IF(ISBLANK(Deltagarlista!$C63),"",IF(ISBLANK(Arrangörslista!J$53),"",IF($GV9=AF$64," DNS ",IFERROR(VLOOKUP($F9,Arrangörslista!J$53:$AG$90,16,FALSE),"DNS")))),IF(ISBLANK(Deltagarlista!$C63),"",IF(ISBLANK(Arrangörslista!J$53),"",IFERROR(VLOOKUP($F9,Arrangörslista!J$53:$AG$90,16,FALSE),"DNS")))))</f>
        <v/>
      </c>
      <c r="AG9" s="5" t="str">
        <f>IF(Deltagarlista!$K$3=4,IF(ISBLANK(Deltagarlista!$C63),"",IF(ISBLANK(Arrangörslista!D$143),"",IFERROR(VLOOKUP($F9,Arrangörslista!D$143:$AG$180,16,FALSE),IF(ISBLANK(Deltagarlista!$C63),"",IF(ISBLANK(Arrangörslista!D$143),"",IFERROR(VLOOKUP($F9,Arrangörslista!E$143:$AG$180,16,FALSE),"DNS")))))),IF(Deltagarlista!$K$3=2,
IF(ISBLANK(Deltagarlista!$C63),"",IF(ISBLANK(Arrangörslista!K$53),"",IF($GV9=AG$64," DNS ",IFERROR(VLOOKUP($F9,Arrangörslista!K$53:$AG$90,16,FALSE),"DNS")))),IF(ISBLANK(Deltagarlista!$C63),"",IF(ISBLANK(Arrangörslista!K$53),"",IFERROR(VLOOKUP($F9,Arrangörslista!K$53:$AG$90,16,FALSE),"DNS")))))</f>
        <v/>
      </c>
      <c r="AH9" s="5" t="str">
        <f>IF(Deltagarlista!$K$3=4,IF(ISBLANK(Deltagarlista!$C63),"",IF(ISBLANK(Arrangörslista!F$143),"",IFERROR(VLOOKUP($F9,Arrangörslista!F$143:$AG$180,16,FALSE),IF(ISBLANK(Deltagarlista!$C63),"",IF(ISBLANK(Arrangörslista!F$143),"",IFERROR(VLOOKUP($F9,Arrangörslista!G$143:$AG$180,16,FALSE),"DNS")))))),IF(Deltagarlista!$K$3=2,
IF(ISBLANK(Deltagarlista!$C63),"",IF(ISBLANK(Arrangörslista!L$53),"",IF($GV9=AH$64," DNS ",IFERROR(VLOOKUP($F9,Arrangörslista!L$53:$AG$90,16,FALSE),"DNS")))),IF(ISBLANK(Deltagarlista!$C63),"",IF(ISBLANK(Arrangörslista!L$53),"",IFERROR(VLOOKUP($F9,Arrangörslista!L$53:$AG$90,16,FALSE),"DNS")))))</f>
        <v/>
      </c>
      <c r="AI9" s="5" t="str">
        <f>IF(Deltagarlista!$K$3=4,IF(ISBLANK(Deltagarlista!$C63),"",IF(ISBLANK(Arrangörslista!H$143),"",IFERROR(VLOOKUP($F9,Arrangörslista!H$143:$AG$180,16,FALSE),IF(ISBLANK(Deltagarlista!$C63),"",IF(ISBLANK(Arrangörslista!H$143),"",IFERROR(VLOOKUP($F9,Arrangörslista!I$143:$AG$180,16,FALSE),"DNS")))))),IF(Deltagarlista!$K$3=2,
IF(ISBLANK(Deltagarlista!$C63),"",IF(ISBLANK(Arrangörslista!M$53),"",IF($GV9=AI$64," DNS ",IFERROR(VLOOKUP($F9,Arrangörslista!M$53:$AG$90,16,FALSE),"DNS")))),IF(ISBLANK(Deltagarlista!$C63),"",IF(ISBLANK(Arrangörslista!M$53),"",IFERROR(VLOOKUP($F9,Arrangörslista!M$53:$AG$90,16,FALSE),"DNS")))))</f>
        <v/>
      </c>
      <c r="AJ9" s="5" t="str">
        <f>IF(Deltagarlista!$K$3=4,IF(ISBLANK(Deltagarlista!$C63),"",IF(ISBLANK(Arrangörslista!J$143),"",IFERROR(VLOOKUP($F9,Arrangörslista!J$143:$AG$180,16,FALSE),IF(ISBLANK(Deltagarlista!$C63),"",IF(ISBLANK(Arrangörslista!J$143),"",IFERROR(VLOOKUP($F9,Arrangörslista!K$143:$AG$180,16,FALSE),"DNS")))))),IF(Deltagarlista!$K$3=2,
IF(ISBLANK(Deltagarlista!$C63),"",IF(ISBLANK(Arrangörslista!N$53),"",IF($GV9=AJ$64," DNS ",IFERROR(VLOOKUP($F9,Arrangörslista!N$53:$AG$90,16,FALSE),"DNS")))),IF(ISBLANK(Deltagarlista!$C63),"",IF(ISBLANK(Arrangörslista!N$53),"",IFERROR(VLOOKUP($F9,Arrangörslista!N$53:$AG$90,16,FALSE),"DNS")))))</f>
        <v/>
      </c>
      <c r="AK9" s="5" t="str">
        <f>IF(Deltagarlista!$K$3=4,IF(ISBLANK(Deltagarlista!$C63),"",IF(ISBLANK(Arrangörslista!L$143),"",IFERROR(VLOOKUP($F9,Arrangörslista!L$143:$AG$180,16,FALSE),IF(ISBLANK(Deltagarlista!$C63),"",IF(ISBLANK(Arrangörslista!L$143),"",IFERROR(VLOOKUP($F9,Arrangörslista!M$143:$AG$180,16,FALSE),"DNS")))))),IF(Deltagarlista!$K$3=2,
IF(ISBLANK(Deltagarlista!$C63),"",IF(ISBLANK(Arrangörslista!O$53),"",IF($GV9=AK$64," DNS ",IFERROR(VLOOKUP($F9,Arrangörslista!O$53:$AG$90,16,FALSE),"DNS")))),IF(ISBLANK(Deltagarlista!$C63),"",IF(ISBLANK(Arrangörslista!O$53),"",IFERROR(VLOOKUP($F9,Arrangörslista!O$53:$AG$90,16,FALSE),"DNS")))))</f>
        <v/>
      </c>
      <c r="AL9" s="5" t="str">
        <f>IF(Deltagarlista!$K$3=4,IF(ISBLANK(Deltagarlista!$C63),"",IF(ISBLANK(Arrangörslista!N$143),"",IFERROR(VLOOKUP($F9,Arrangörslista!N$143:$AG$180,16,FALSE),IF(ISBLANK(Deltagarlista!$C63),"",IF(ISBLANK(Arrangörslista!N$143),"",IFERROR(VLOOKUP($F9,Arrangörslista!O$143:$AG$180,16,FALSE),"DNS")))))),IF(Deltagarlista!$K$3=2,
IF(ISBLANK(Deltagarlista!$C63),"",IF(ISBLANK(Arrangörslista!P$53),"",IF($GV9=AL$64," DNS ",IFERROR(VLOOKUP($F9,Arrangörslista!P$53:$AG$90,16,FALSE),"DNS")))),IF(ISBLANK(Deltagarlista!$C63),"",IF(ISBLANK(Arrangörslista!P$53),"",IFERROR(VLOOKUP($F9,Arrangörslista!P$53:$AG$90,16,FALSE),"DNS")))))</f>
        <v/>
      </c>
      <c r="AM9" s="5" t="str">
        <f>IF(Deltagarlista!$K$3=4,IF(ISBLANK(Deltagarlista!$C63),"",IF(ISBLANK(Arrangörslista!P$143),"",IFERROR(VLOOKUP($F9,Arrangörslista!P$143:$AG$180,16,FALSE),IF(ISBLANK(Deltagarlista!$C63),"",IF(ISBLANK(Arrangörslista!P$143),"",IFERROR(VLOOKUP($F9,Arrangörslista!Q$143:$AG$180,16,FALSE),"DNS")))))),IF(Deltagarlista!$K$3=2,
IF(ISBLANK(Deltagarlista!$C63),"",IF(ISBLANK(Arrangörslista!Q$53),"",IF($GV9=AM$64," DNS ",IFERROR(VLOOKUP($F9,Arrangörslista!Q$53:$AG$90,16,FALSE),"DNS")))),IF(ISBLANK(Deltagarlista!$C63),"",IF(ISBLANK(Arrangörslista!Q$53),"",IFERROR(VLOOKUP($F9,Arrangörslista!Q$53:$AG$90,16,FALSE),"DNS")))))</f>
        <v/>
      </c>
      <c r="AN9" s="5" t="str">
        <f>IF(Deltagarlista!$K$3=2,
IF(ISBLANK(Deltagarlista!$C63),"",IF(ISBLANK(Arrangörslista!C$98),"",IF($GV9=AN$64," DNS ",IFERROR(VLOOKUP($F9,Arrangörslista!C$98:$AG$135,16,FALSE), "DNS")))), IF(Deltagarlista!$K$3=1,IF(ISBLANK(Deltagarlista!$C63),"",IF(ISBLANK(Arrangörslista!C$98),"",IFERROR(VLOOKUP($F9,Arrangörslista!C$98:$AG$135,16,FALSE), "DNS"))),""))</f>
        <v/>
      </c>
      <c r="AO9" s="5" t="str">
        <f>IF(Deltagarlista!$K$3=2,
IF(ISBLANK(Deltagarlista!$C63),"",IF(ISBLANK(Arrangörslista!D$98),"",IF($GV9=AO$64," DNS ",IFERROR(VLOOKUP($F9,Arrangörslista!D$98:$AG$135,16,FALSE), "DNS")))), IF(Deltagarlista!$K$3=1,IF(ISBLANK(Deltagarlista!$C63),"",IF(ISBLANK(Arrangörslista!D$98),"",IFERROR(VLOOKUP($F9,Arrangörslista!D$98:$AG$135,16,FALSE), "DNS"))),""))</f>
        <v/>
      </c>
      <c r="AP9" s="5" t="str">
        <f>IF(Deltagarlista!$K$3=2,
IF(ISBLANK(Deltagarlista!$C63),"",IF(ISBLANK(Arrangörslista!E$98),"",IF($GV9=AP$64," DNS ",IFERROR(VLOOKUP($F9,Arrangörslista!E$98:$AG$135,16,FALSE), "DNS")))), IF(Deltagarlista!$K$3=1,IF(ISBLANK(Deltagarlista!$C63),"",IF(ISBLANK(Arrangörslista!E$98),"",IFERROR(VLOOKUP($F9,Arrangörslista!E$98:$AG$135,16,FALSE), "DNS"))),""))</f>
        <v/>
      </c>
      <c r="AQ9" s="5" t="str">
        <f>IF(Deltagarlista!$K$3=2,
IF(ISBLANK(Deltagarlista!$C63),"",IF(ISBLANK(Arrangörslista!F$98),"",IF($GV9=AQ$64," DNS ",IFERROR(VLOOKUP($F9,Arrangörslista!F$98:$AG$135,16,FALSE), "DNS")))), IF(Deltagarlista!$K$3=1,IF(ISBLANK(Deltagarlista!$C63),"",IF(ISBLANK(Arrangörslista!F$98),"",IFERROR(VLOOKUP($F9,Arrangörslista!F$98:$AG$135,16,FALSE), "DNS"))),""))</f>
        <v/>
      </c>
      <c r="AR9" s="5" t="str">
        <f>IF(Deltagarlista!$K$3=2,
IF(ISBLANK(Deltagarlista!$C63),"",IF(ISBLANK(Arrangörslista!G$98),"",IF($GV9=AR$64," DNS ",IFERROR(VLOOKUP($F9,Arrangörslista!G$98:$AG$135,16,FALSE), "DNS")))), IF(Deltagarlista!$K$3=1,IF(ISBLANK(Deltagarlista!$C63),"",IF(ISBLANK(Arrangörslista!G$98),"",IFERROR(VLOOKUP($F9,Arrangörslista!G$98:$AG$135,16,FALSE), "DNS"))),""))</f>
        <v/>
      </c>
      <c r="AS9" s="5" t="str">
        <f>IF(Deltagarlista!$K$3=2,
IF(ISBLANK(Deltagarlista!$C63),"",IF(ISBLANK(Arrangörslista!H$98),"",IF($GV9=AS$64," DNS ",IFERROR(VLOOKUP($F9,Arrangörslista!H$98:$AG$135,16,FALSE), "DNS")))), IF(Deltagarlista!$K$3=1,IF(ISBLANK(Deltagarlista!$C63),"",IF(ISBLANK(Arrangörslista!H$98),"",IFERROR(VLOOKUP($F9,Arrangörslista!H$98:$AG$135,16,FALSE), "DNS"))),""))</f>
        <v/>
      </c>
      <c r="AT9" s="5" t="str">
        <f>IF(Deltagarlista!$K$3=2,
IF(ISBLANK(Deltagarlista!$C63),"",IF(ISBLANK(Arrangörslista!I$98),"",IF($GV9=AT$64," DNS ",IFERROR(VLOOKUP($F9,Arrangörslista!I$98:$AG$135,16,FALSE), "DNS")))), IF(Deltagarlista!$K$3=1,IF(ISBLANK(Deltagarlista!$C63),"",IF(ISBLANK(Arrangörslista!I$98),"",IFERROR(VLOOKUP($F9,Arrangörslista!I$98:$AG$135,16,FALSE), "DNS"))),""))</f>
        <v/>
      </c>
      <c r="AU9" s="5" t="str">
        <f>IF(Deltagarlista!$K$3=2,
IF(ISBLANK(Deltagarlista!$C63),"",IF(ISBLANK(Arrangörslista!J$98),"",IF($GV9=AU$64," DNS ",IFERROR(VLOOKUP($F9,Arrangörslista!J$98:$AG$135,16,FALSE), "DNS")))), IF(Deltagarlista!$K$3=1,IF(ISBLANK(Deltagarlista!$C63),"",IF(ISBLANK(Arrangörslista!J$98),"",IFERROR(VLOOKUP($F9,Arrangörslista!J$98:$AG$135,16,FALSE), "DNS"))),""))</f>
        <v/>
      </c>
      <c r="AV9" s="5" t="str">
        <f>IF(Deltagarlista!$K$3=2,
IF(ISBLANK(Deltagarlista!$C63),"",IF(ISBLANK(Arrangörslista!K$98),"",IF($GV9=AV$64," DNS ",IFERROR(VLOOKUP($F9,Arrangörslista!K$98:$AG$135,16,FALSE), "DNS")))), IF(Deltagarlista!$K$3=1,IF(ISBLANK(Deltagarlista!$C63),"",IF(ISBLANK(Arrangörslista!K$98),"",IFERROR(VLOOKUP($F9,Arrangörslista!K$98:$AG$135,16,FALSE), "DNS"))),""))</f>
        <v/>
      </c>
      <c r="AW9" s="5" t="str">
        <f>IF(Deltagarlista!$K$3=2,
IF(ISBLANK(Deltagarlista!$C63),"",IF(ISBLANK(Arrangörslista!L$98),"",IF($GV9=AW$64," DNS ",IFERROR(VLOOKUP($F9,Arrangörslista!L$98:$AG$135,16,FALSE), "DNS")))), IF(Deltagarlista!$K$3=1,IF(ISBLANK(Deltagarlista!$C63),"",IF(ISBLANK(Arrangörslista!L$98),"",IFERROR(VLOOKUP($F9,Arrangörslista!L$98:$AG$135,16,FALSE), "DNS"))),""))</f>
        <v/>
      </c>
      <c r="AX9" s="5" t="str">
        <f>IF(Deltagarlista!$K$3=2,
IF(ISBLANK(Deltagarlista!$C63),"",IF(ISBLANK(Arrangörslista!M$98),"",IF($GV9=AX$64," DNS ",IFERROR(VLOOKUP($F9,Arrangörslista!M$98:$AG$135,16,FALSE), "DNS")))), IF(Deltagarlista!$K$3=1,IF(ISBLANK(Deltagarlista!$C63),"",IF(ISBLANK(Arrangörslista!M$98),"",IFERROR(VLOOKUP($F9,Arrangörslista!M$98:$AG$135,16,FALSE), "DNS"))),""))</f>
        <v/>
      </c>
      <c r="AY9" s="5" t="str">
        <f>IF(Deltagarlista!$K$3=2,
IF(ISBLANK(Deltagarlista!$C63),"",IF(ISBLANK(Arrangörslista!N$98),"",IF($GV9=AY$64," DNS ",IFERROR(VLOOKUP($F9,Arrangörslista!N$98:$AG$135,16,FALSE), "DNS")))), IF(Deltagarlista!$K$3=1,IF(ISBLANK(Deltagarlista!$C63),"",IF(ISBLANK(Arrangörslista!N$98),"",IFERROR(VLOOKUP($F9,Arrangörslista!N$98:$AG$135,16,FALSE), "DNS"))),""))</f>
        <v/>
      </c>
      <c r="AZ9" s="5" t="str">
        <f>IF(Deltagarlista!$K$3=2,
IF(ISBLANK(Deltagarlista!$C63),"",IF(ISBLANK(Arrangörslista!O$98),"",IF($GV9=AZ$64," DNS ",IFERROR(VLOOKUP($F9,Arrangörslista!O$98:$AG$135,16,FALSE), "DNS")))), IF(Deltagarlista!$K$3=1,IF(ISBLANK(Deltagarlista!$C63),"",IF(ISBLANK(Arrangörslista!O$98),"",IFERROR(VLOOKUP($F9,Arrangörslista!O$98:$AG$135,16,FALSE), "DNS"))),""))</f>
        <v/>
      </c>
      <c r="BA9" s="5" t="str">
        <f>IF(Deltagarlista!$K$3=2,
IF(ISBLANK(Deltagarlista!$C63),"",IF(ISBLANK(Arrangörslista!P$98),"",IF($GV9=BA$64," DNS ",IFERROR(VLOOKUP($F9,Arrangörslista!P$98:$AG$135,16,FALSE), "DNS")))), IF(Deltagarlista!$K$3=1,IF(ISBLANK(Deltagarlista!$C63),"",IF(ISBLANK(Arrangörslista!P$98),"",IFERROR(VLOOKUP($F9,Arrangörslista!P$98:$AG$135,16,FALSE), "DNS"))),""))</f>
        <v/>
      </c>
      <c r="BB9" s="5" t="str">
        <f>IF(Deltagarlista!$K$3=2,
IF(ISBLANK(Deltagarlista!$C63),"",IF(ISBLANK(Arrangörslista!Q$98),"",IF($GV9=BB$64," DNS ",IFERROR(VLOOKUP($F9,Arrangörslista!Q$98:$AG$135,16,FALSE), "DNS")))), IF(Deltagarlista!$K$3=1,IF(ISBLANK(Deltagarlista!$C63),"",IF(ISBLANK(Arrangörslista!Q$98),"",IFERROR(VLOOKUP($F9,Arrangörslista!Q$98:$AG$135,16,FALSE), "DNS"))),""))</f>
        <v/>
      </c>
      <c r="BC9" s="5" t="str">
        <f>IF(Deltagarlista!$K$3=2,
IF(ISBLANK(Deltagarlista!$C63),"",IF(ISBLANK(Arrangörslista!C$143),"",IF($GV9=BC$64," DNS ",IFERROR(VLOOKUP($F9,Arrangörslista!C$143:$AG$180,16,FALSE), "DNS")))), IF(Deltagarlista!$K$3=1,IF(ISBLANK(Deltagarlista!$C63),"",IF(ISBLANK(Arrangörslista!C$143),"",IFERROR(VLOOKUP($F9,Arrangörslista!C$143:$AG$180,16,FALSE), "DNS"))),""))</f>
        <v/>
      </c>
      <c r="BD9" s="5" t="str">
        <f>IF(Deltagarlista!$K$3=2,
IF(ISBLANK(Deltagarlista!$C63),"",IF(ISBLANK(Arrangörslista!D$143),"",IF($GV9=BD$64," DNS ",IFERROR(VLOOKUP($F9,Arrangörslista!D$143:$AG$180,16,FALSE), "DNS")))), IF(Deltagarlista!$K$3=1,IF(ISBLANK(Deltagarlista!$C63),"",IF(ISBLANK(Arrangörslista!D$143),"",IFERROR(VLOOKUP($F9,Arrangörslista!D$143:$AG$180,16,FALSE), "DNS"))),""))</f>
        <v/>
      </c>
      <c r="BE9" s="5" t="str">
        <f>IF(Deltagarlista!$K$3=2,
IF(ISBLANK(Deltagarlista!$C63),"",IF(ISBLANK(Arrangörslista!E$143),"",IF($GV9=BE$64," DNS ",IFERROR(VLOOKUP($F9,Arrangörslista!E$143:$AG$180,16,FALSE), "DNS")))), IF(Deltagarlista!$K$3=1,IF(ISBLANK(Deltagarlista!$C63),"",IF(ISBLANK(Arrangörslista!E$143),"",IFERROR(VLOOKUP($F9,Arrangörslista!E$143:$AG$180,16,FALSE), "DNS"))),""))</f>
        <v/>
      </c>
      <c r="BF9" s="5" t="str">
        <f>IF(Deltagarlista!$K$3=2,
IF(ISBLANK(Deltagarlista!$C63),"",IF(ISBLANK(Arrangörslista!F$143),"",IF($GV9=BF$64," DNS ",IFERROR(VLOOKUP($F9,Arrangörslista!F$143:$AG$180,16,FALSE), "DNS")))), IF(Deltagarlista!$K$3=1,IF(ISBLANK(Deltagarlista!$C63),"",IF(ISBLANK(Arrangörslista!F$143),"",IFERROR(VLOOKUP($F9,Arrangörslista!F$143:$AG$180,16,FALSE), "DNS"))),""))</f>
        <v/>
      </c>
      <c r="BG9" s="5" t="str">
        <f>IF(Deltagarlista!$K$3=2,
IF(ISBLANK(Deltagarlista!$C63),"",IF(ISBLANK(Arrangörslista!G$143),"",IF($GV9=BG$64," DNS ",IFERROR(VLOOKUP($F9,Arrangörslista!G$143:$AG$180,16,FALSE), "DNS")))), IF(Deltagarlista!$K$3=1,IF(ISBLANK(Deltagarlista!$C63),"",IF(ISBLANK(Arrangörslista!G$143),"",IFERROR(VLOOKUP($F9,Arrangörslista!G$143:$AG$180,16,FALSE), "DNS"))),""))</f>
        <v/>
      </c>
      <c r="BH9" s="5" t="str">
        <f>IF(Deltagarlista!$K$3=2,
IF(ISBLANK(Deltagarlista!$C63),"",IF(ISBLANK(Arrangörslista!H$143),"",IF($GV9=BH$64," DNS ",IFERROR(VLOOKUP($F9,Arrangörslista!H$143:$AG$180,16,FALSE), "DNS")))), IF(Deltagarlista!$K$3=1,IF(ISBLANK(Deltagarlista!$C63),"",IF(ISBLANK(Arrangörslista!H$143),"",IFERROR(VLOOKUP($F9,Arrangörslista!H$143:$AG$180,16,FALSE), "DNS"))),""))</f>
        <v/>
      </c>
      <c r="BI9" s="5" t="str">
        <f>IF(Deltagarlista!$K$3=2,
IF(ISBLANK(Deltagarlista!$C63),"",IF(ISBLANK(Arrangörslista!I$143),"",IF($GV9=BI$64," DNS ",IFERROR(VLOOKUP($F9,Arrangörslista!I$143:$AG$180,16,FALSE), "DNS")))), IF(Deltagarlista!$K$3=1,IF(ISBLANK(Deltagarlista!$C63),"",IF(ISBLANK(Arrangörslista!I$143),"",IFERROR(VLOOKUP($F9,Arrangörslista!I$143:$AG$180,16,FALSE), "DNS"))),""))</f>
        <v/>
      </c>
      <c r="BJ9" s="5" t="str">
        <f>IF(Deltagarlista!$K$3=2,
IF(ISBLANK(Deltagarlista!$C63),"",IF(ISBLANK(Arrangörslista!J$143),"",IF($GV9=BJ$64," DNS ",IFERROR(VLOOKUP($F9,Arrangörslista!J$143:$AG$180,16,FALSE), "DNS")))), IF(Deltagarlista!$K$3=1,IF(ISBLANK(Deltagarlista!$C63),"",IF(ISBLANK(Arrangörslista!J$143),"",IFERROR(VLOOKUP($F9,Arrangörslista!J$143:$AG$180,16,FALSE), "DNS"))),""))</f>
        <v/>
      </c>
      <c r="BK9" s="5" t="str">
        <f>IF(Deltagarlista!$K$3=2,
IF(ISBLANK(Deltagarlista!$C63),"",IF(ISBLANK(Arrangörslista!K$143),"",IF($GV9=BK$64," DNS ",IFERROR(VLOOKUP($F9,Arrangörslista!K$143:$AG$180,16,FALSE), "DNS")))), IF(Deltagarlista!$K$3=1,IF(ISBLANK(Deltagarlista!$C63),"",IF(ISBLANK(Arrangörslista!K$143),"",IFERROR(VLOOKUP($F9,Arrangörslista!K$143:$AG$180,16,FALSE), "DNS"))),""))</f>
        <v/>
      </c>
      <c r="BL9" s="5" t="str">
        <f>IF(Deltagarlista!$K$3=2,
IF(ISBLANK(Deltagarlista!$C63),"",IF(ISBLANK(Arrangörslista!L$143),"",IF($GV9=BL$64," DNS ",IFERROR(VLOOKUP($F9,Arrangörslista!L$143:$AG$180,16,FALSE), "DNS")))), IF(Deltagarlista!$K$3=1,IF(ISBLANK(Deltagarlista!$C63),"",IF(ISBLANK(Arrangörslista!L$143),"",IFERROR(VLOOKUP($F9,Arrangörslista!L$143:$AG$180,16,FALSE), "DNS"))),""))</f>
        <v/>
      </c>
      <c r="BM9" s="5" t="str">
        <f>IF(Deltagarlista!$K$3=2,
IF(ISBLANK(Deltagarlista!$C63),"",IF(ISBLANK(Arrangörslista!M$143),"",IF($GV9=BM$64," DNS ",IFERROR(VLOOKUP($F9,Arrangörslista!M$143:$AG$180,16,FALSE), "DNS")))), IF(Deltagarlista!$K$3=1,IF(ISBLANK(Deltagarlista!$C63),"",IF(ISBLANK(Arrangörslista!M$143),"",IFERROR(VLOOKUP($F9,Arrangörslista!M$143:$AG$180,16,FALSE), "DNS"))),""))</f>
        <v/>
      </c>
      <c r="BN9" s="5" t="str">
        <f>IF(Deltagarlista!$K$3=2,
IF(ISBLANK(Deltagarlista!$C63),"",IF(ISBLANK(Arrangörslista!N$143),"",IF($GV9=BN$64," DNS ",IFERROR(VLOOKUP($F9,Arrangörslista!N$143:$AG$180,16,FALSE), "DNS")))), IF(Deltagarlista!$K$3=1,IF(ISBLANK(Deltagarlista!$C63),"",IF(ISBLANK(Arrangörslista!N$143),"",IFERROR(VLOOKUP($F9,Arrangörslista!N$143:$AG$180,16,FALSE), "DNS"))),""))</f>
        <v/>
      </c>
      <c r="BO9" s="5" t="str">
        <f>IF(Deltagarlista!$K$3=2,
IF(ISBLANK(Deltagarlista!$C63),"",IF(ISBLANK(Arrangörslista!O$143),"",IF($GV9=BO$64," DNS ",IFERROR(VLOOKUP($F9,Arrangörslista!O$143:$AG$180,16,FALSE), "DNS")))), IF(Deltagarlista!$K$3=1,IF(ISBLANK(Deltagarlista!$C63),"",IF(ISBLANK(Arrangörslista!O$143),"",IFERROR(VLOOKUP($F9,Arrangörslista!O$143:$AG$180,16,FALSE), "DNS"))),""))</f>
        <v/>
      </c>
      <c r="BP9" s="5" t="str">
        <f>IF(Deltagarlista!$K$3=2,
IF(ISBLANK(Deltagarlista!$C63),"",IF(ISBLANK(Arrangörslista!P$143),"",IF($GV9=BP$64," DNS ",IFERROR(VLOOKUP($F9,Arrangörslista!P$143:$AG$180,16,FALSE), "DNS")))), IF(Deltagarlista!$K$3=1,IF(ISBLANK(Deltagarlista!$C63),"",IF(ISBLANK(Arrangörslista!P$143),"",IFERROR(VLOOKUP($F9,Arrangörslista!P$143:$AG$180,16,FALSE), "DNS"))),""))</f>
        <v/>
      </c>
      <c r="BQ9" s="80" t="str">
        <f>IF(Deltagarlista!$K$3=2,
IF(ISBLANK(Deltagarlista!$C63),"",IF(ISBLANK(Arrangörslista!Q$143),"",IF($GV9=BQ$64," DNS ",IFERROR(VLOOKUP($F9,Arrangörslista!Q$143:$AG$180,16,FALSE), "DNS")))), IF(Deltagarlista!$K$3=1,IF(ISBLANK(Deltagarlista!$C63),"",IF(ISBLANK(Arrangörslista!Q$143),"",IFERROR(VLOOKUP($F9,Arrangörslista!Q$143:$AG$180,16,FALSE), "DNS"))),""))</f>
        <v/>
      </c>
      <c r="BR9" s="48"/>
      <c r="BS9" s="50" t="str">
        <f t="shared" si="0"/>
        <v>2</v>
      </c>
      <c r="BU9" s="71">
        <f t="shared" si="1"/>
        <v>0</v>
      </c>
      <c r="BV9" s="61">
        <f t="shared" si="2"/>
        <v>0</v>
      </c>
      <c r="BW9" s="61">
        <f t="shared" si="3"/>
        <v>0</v>
      </c>
      <c r="BX9" s="61">
        <f t="shared" si="4"/>
        <v>0</v>
      </c>
      <c r="BY9" s="61">
        <f t="shared" si="5"/>
        <v>0</v>
      </c>
      <c r="BZ9" s="61">
        <f t="shared" si="6"/>
        <v>0</v>
      </c>
      <c r="CA9" s="61">
        <f t="shared" si="7"/>
        <v>0</v>
      </c>
      <c r="CB9" s="61">
        <f t="shared" si="8"/>
        <v>0</v>
      </c>
      <c r="CC9" s="61">
        <f t="shared" si="9"/>
        <v>0</v>
      </c>
      <c r="CD9" s="61">
        <f t="shared" si="10"/>
        <v>0</v>
      </c>
      <c r="CE9" s="61">
        <f t="shared" si="11"/>
        <v>0</v>
      </c>
      <c r="CF9" s="61">
        <f t="shared" si="12"/>
        <v>0</v>
      </c>
      <c r="CG9" s="61">
        <f t="shared" si="13"/>
        <v>0</v>
      </c>
      <c r="CH9" s="61">
        <f t="shared" si="14"/>
        <v>0</v>
      </c>
      <c r="CI9" s="61">
        <f t="shared" si="15"/>
        <v>0</v>
      </c>
      <c r="CJ9" s="61">
        <f t="shared" si="16"/>
        <v>0</v>
      </c>
      <c r="CK9" s="61">
        <f t="shared" si="17"/>
        <v>0</v>
      </c>
      <c r="CL9" s="61">
        <f t="shared" si="18"/>
        <v>0</v>
      </c>
      <c r="CM9" s="61">
        <f t="shared" si="19"/>
        <v>0</v>
      </c>
      <c r="CN9" s="61">
        <f t="shared" si="20"/>
        <v>0</v>
      </c>
      <c r="CO9" s="61">
        <f t="shared" si="21"/>
        <v>0</v>
      </c>
      <c r="CP9" s="61">
        <f t="shared" si="22"/>
        <v>0</v>
      </c>
      <c r="CQ9" s="61">
        <f t="shared" si="23"/>
        <v>0</v>
      </c>
      <c r="CR9" s="61">
        <f t="shared" si="24"/>
        <v>0</v>
      </c>
      <c r="CS9" s="61">
        <f t="shared" si="25"/>
        <v>0</v>
      </c>
      <c r="CT9" s="61">
        <f t="shared" si="26"/>
        <v>0</v>
      </c>
      <c r="CU9" s="61">
        <f t="shared" si="27"/>
        <v>0</v>
      </c>
      <c r="CV9" s="61">
        <f t="shared" si="28"/>
        <v>0</v>
      </c>
      <c r="CW9" s="61">
        <f t="shared" si="29"/>
        <v>0</v>
      </c>
      <c r="CX9" s="61">
        <f t="shared" si="30"/>
        <v>0</v>
      </c>
      <c r="CY9" s="61">
        <f t="shared" si="31"/>
        <v>0</v>
      </c>
      <c r="CZ9" s="61">
        <f t="shared" si="32"/>
        <v>0</v>
      </c>
      <c r="DA9" s="61">
        <f t="shared" si="33"/>
        <v>0</v>
      </c>
      <c r="DB9" s="61">
        <f t="shared" si="34"/>
        <v>0</v>
      </c>
      <c r="DC9" s="61">
        <f t="shared" si="35"/>
        <v>0</v>
      </c>
      <c r="DD9" s="61">
        <f t="shared" si="36"/>
        <v>0</v>
      </c>
      <c r="DE9" s="61">
        <f t="shared" si="37"/>
        <v>0</v>
      </c>
      <c r="DF9" s="61">
        <f t="shared" si="38"/>
        <v>0</v>
      </c>
      <c r="DG9" s="61">
        <f t="shared" si="39"/>
        <v>0</v>
      </c>
      <c r="DH9" s="61">
        <f t="shared" si="40"/>
        <v>0</v>
      </c>
      <c r="DI9" s="61">
        <f t="shared" si="41"/>
        <v>0</v>
      </c>
      <c r="DJ9" s="61">
        <f t="shared" si="42"/>
        <v>0</v>
      </c>
      <c r="DK9" s="61">
        <f t="shared" si="43"/>
        <v>0</v>
      </c>
      <c r="DL9" s="61">
        <f t="shared" si="44"/>
        <v>0</v>
      </c>
      <c r="DM9" s="61">
        <f t="shared" si="45"/>
        <v>0</v>
      </c>
      <c r="DN9" s="61">
        <f t="shared" si="46"/>
        <v>0</v>
      </c>
      <c r="DO9" s="61">
        <f t="shared" si="47"/>
        <v>0</v>
      </c>
      <c r="DP9" s="61">
        <f t="shared" si="48"/>
        <v>0</v>
      </c>
      <c r="DQ9" s="61">
        <f t="shared" si="49"/>
        <v>0</v>
      </c>
      <c r="DR9" s="61">
        <f t="shared" si="50"/>
        <v>0</v>
      </c>
      <c r="DS9" s="61">
        <f t="shared" si="51"/>
        <v>0</v>
      </c>
      <c r="DT9" s="61">
        <f t="shared" si="52"/>
        <v>0</v>
      </c>
      <c r="DU9" s="61">
        <f t="shared" si="53"/>
        <v>0</v>
      </c>
      <c r="DV9" s="61">
        <f t="shared" si="54"/>
        <v>0</v>
      </c>
      <c r="DW9" s="61">
        <f t="shared" si="55"/>
        <v>0</v>
      </c>
      <c r="DX9" s="61">
        <f t="shared" si="56"/>
        <v>0</v>
      </c>
      <c r="DY9" s="61">
        <f t="shared" si="57"/>
        <v>0</v>
      </c>
      <c r="DZ9" s="61">
        <f t="shared" si="58"/>
        <v>0</v>
      </c>
      <c r="EA9" s="61">
        <f t="shared" si="59"/>
        <v>0</v>
      </c>
      <c r="EB9" s="61">
        <f t="shared" si="60"/>
        <v>0</v>
      </c>
      <c r="EC9" s="61">
        <f t="shared" si="61"/>
        <v>0</v>
      </c>
      <c r="EE9" s="61">
        <f xml:space="preserve">
IF(OR(Deltagarlista!$K$3=3,Deltagarlista!$K$3=4),
IF(Arrangörslista!$U$5&lt;8,0,
IF(Arrangörslista!$U$5&lt;16,SUM(LARGE(BV9:CJ9,1)),
IF(Arrangörslista!$U$5&lt;24,SUM(LARGE(BV9:CR9,{1;2})),
IF(Arrangörslista!$U$5&lt;32,SUM(LARGE(BV9:CZ9,{1;2;3})),
IF(Arrangörslista!$U$5&lt;40,SUM(LARGE(BV9:DH9,{1;2;3;4})),
IF(Arrangörslista!$U$5&lt;48,SUM(LARGE(BV9:DP9,{1;2;3;4;5})),
IF(Arrangörslista!$U$5&lt;56,SUM(LARGE(BV9:DX9,{1;2;3;4;5;6})),
IF(Arrangörslista!$U$5&lt;64,SUM(LARGE(BV9:EC9,{1;2;3;4;5;6;7})),0)))))))),
IF(Deltagarlista!$K$3=2,
IF(Arrangörslista!$U$5&lt;4,LARGE(BV9:BX9,1),
IF(Arrangörslista!$U$5&lt;7,SUM(LARGE(BV9:CA9,{1;2;3})),
IF(Arrangörslista!$U$5&lt;10,SUM(LARGE(BV9:CD9,{1;2;3;4})),
IF(Arrangörslista!$U$5&lt;13,SUM(LARGE(BV9:CG9,{1;2;3;4;5;6})),
IF(Arrangörslista!$U$5&lt;16,SUM(LARGE(BV9:CJ9,{1;2;3;4;5;6;7})),
IF(Arrangörslista!$U$5&lt;19,SUM(LARGE(BV9:CM9,{1;2;3;4;5;6;7;8;9})),
IF(Arrangörslista!$U$5&lt;22,SUM(LARGE(BV9:CP9,{1;2;3;4;5;6;7;8;9;10})),
IF(Arrangörslista!$U$5&lt;25,SUM(LARGE(BV9:CS9,{1;2;3;4;5;6;7;8;9;10;11;12})),
IF(Arrangörslista!$U$5&lt;28,SUM(LARGE(BV9:CV9,{1;2;3;4;5;6;7;8;9;10;11;12;13})),
IF(Arrangörslista!$U$5&lt;31,SUM(LARGE(BV9:CY9,{1;2;3;4;5;6;7;8;9;10;11;12;13;14;15})),
IF(Arrangörslista!$U$5&lt;34,SUM(LARGE(BV9:DB9,{1;2;3;4;5;6;7;8;9;10;11;12;13;14;15;16})),
IF(Arrangörslista!$U$5&lt;37,SUM(LARGE(BV9:DE9,{1;2;3;4;5;6;7;8;9;10;11;12;13;14;15;16;17;18})),
IF(Arrangörslista!$U$5&lt;40,SUM(LARGE(BV9:DH9,{1;2;3;4;5;6;7;8;9;10;11;12;13;14;15;16;17;18;19})),
IF(Arrangörslista!$U$5&lt;43,SUM(LARGE(BV9:DK9,{1;2;3;4;5;6;7;8;9;10;11;12;13;14;15;16;17;18;19;20;21})),
IF(Arrangörslista!$U$5&lt;46,SUM(LARGE(BV9:DN9,{1;2;3;4;5;6;7;8;9;10;11;12;13;14;15;16;17;18;19;20;21;22})),
IF(Arrangörslista!$U$5&lt;49,SUM(LARGE(BV9:DQ9,{1;2;3;4;5;6;7;8;9;10;11;12;13;14;15;16;17;18;19;20;21;22;23;24})),
IF(Arrangörslista!$U$5&lt;52,SUM(LARGE(BV9:DT9,{1;2;3;4;5;6;7;8;9;10;11;12;13;14;15;16;17;18;19;20;21;22;23;24;25})),
IF(Arrangörslista!$U$5&lt;55,SUM(LARGE(BV9:DW9,{1;2;3;4;5;6;7;8;9;10;11;12;13;14;15;16;17;18;19;20;21;22;23;24;25;26;27})),
IF(Arrangörslista!$U$5&lt;58,SUM(LARGE(BV9:DZ9,{1;2;3;4;5;6;7;8;9;10;11;12;13;14;15;16;17;18;19;20;21;22;23;24;25;26;27;28})),
IF(Arrangörslista!$U$5&lt;61,SUM(LARGE(BV9:EC9,{1;2;3;4;5;6;7;8;9;10;11;12;13;14;15;16;17;18;19;20;21;22;23;24;25;26;27;28;29;30})),0)))))))))))))))))))),
IF(Arrangörslista!$U$5&lt;4,0,
IF(Arrangörslista!$U$5&lt;8,SUM(LARGE(BV9:CB9,1)),
IF(Arrangörslista!$U$5&lt;12,SUM(LARGE(BV9:CF9,{1;2})),
IF(Arrangörslista!$U$5&lt;16,SUM(LARGE(BV9:CJ9,{1;2;3})),
IF(Arrangörslista!$U$5&lt;20,SUM(LARGE(BV9:CN9,{1;2;3;4})),
IF(Arrangörslista!$U$5&lt;24,SUM(LARGE(BV9:CR9,{1;2;3;4;5})),
IF(Arrangörslista!$U$5&lt;28,SUM(LARGE(BV9:CV9,{1;2;3;4;5;6})),
IF(Arrangörslista!$U$5&lt;32,SUM(LARGE(BV9:CZ9,{1;2;3;4;5;6;7})),
IF(Arrangörslista!$U$5&lt;36,SUM(LARGE(BV9:DD9,{1;2;3;4;5;6;7;8})),
IF(Arrangörslista!$U$5&lt;40,SUM(LARGE(BV9:DH9,{1;2;3;4;5;6;7;8;9})),
IF(Arrangörslista!$U$5&lt;44,SUM(LARGE(BV9:DL9,{1;2;3;4;5;6;7;8;9;10})),
IF(Arrangörslista!$U$5&lt;48,SUM(LARGE(BV9:DP9,{1;2;3;4;5;6;7;8;9;10;11})),
IF(Arrangörslista!$U$5&lt;52,SUM(LARGE(BV9:DT9,{1;2;3;4;5;6;7;8;9;10;11;12})),
IF(Arrangörslista!$U$5&lt;56,SUM(LARGE(BV9:DX9,{1;2;3;4;5;6;7;8;9;10;11;12;13})),
IF(Arrangörslista!$U$5&lt;60,SUM(LARGE(BV9:EB9,{1;2;3;4;5;6;7;8;9;10;11;12;13;14})),
IF(Arrangörslista!$U$5=60,SUM(LARGE(BV9:EC9,{1;2;3;4;5;6;7;8;9;10;11;12;13;14;15})),0))))))))))))))))))</f>
        <v>0</v>
      </c>
      <c r="EG9" s="67">
        <f t="shared" si="62"/>
        <v>0</v>
      </c>
      <c r="EH9" s="61"/>
      <c r="EI9" s="61"/>
      <c r="EK9" s="62">
        <f t="shared" si="63"/>
        <v>61</v>
      </c>
      <c r="EL9" s="62">
        <f t="shared" si="64"/>
        <v>61</v>
      </c>
      <c r="EM9" s="62">
        <f t="shared" si="65"/>
        <v>61</v>
      </c>
      <c r="EN9" s="62">
        <f t="shared" si="66"/>
        <v>61</v>
      </c>
      <c r="EO9" s="62">
        <f t="shared" si="67"/>
        <v>61</v>
      </c>
      <c r="EP9" s="62">
        <f t="shared" si="68"/>
        <v>61</v>
      </c>
      <c r="EQ9" s="62">
        <f t="shared" si="69"/>
        <v>61</v>
      </c>
      <c r="ER9" s="62">
        <f t="shared" si="70"/>
        <v>61</v>
      </c>
      <c r="ES9" s="62">
        <f t="shared" si="71"/>
        <v>61</v>
      </c>
      <c r="ET9" s="62">
        <f t="shared" si="72"/>
        <v>61</v>
      </c>
      <c r="EU9" s="62">
        <f t="shared" si="73"/>
        <v>61</v>
      </c>
      <c r="EV9" s="62">
        <f t="shared" si="74"/>
        <v>61</v>
      </c>
      <c r="EW9" s="62">
        <f t="shared" si="75"/>
        <v>61</v>
      </c>
      <c r="EX9" s="62">
        <f t="shared" si="76"/>
        <v>61</v>
      </c>
      <c r="EY9" s="62">
        <f t="shared" si="77"/>
        <v>61</v>
      </c>
      <c r="EZ9" s="62">
        <f t="shared" si="78"/>
        <v>61</v>
      </c>
      <c r="FA9" s="62">
        <f t="shared" si="79"/>
        <v>61</v>
      </c>
      <c r="FB9" s="62">
        <f t="shared" si="80"/>
        <v>61</v>
      </c>
      <c r="FC9" s="62">
        <f t="shared" si="81"/>
        <v>61</v>
      </c>
      <c r="FD9" s="62">
        <f t="shared" si="82"/>
        <v>61</v>
      </c>
      <c r="FE9" s="62">
        <f t="shared" si="83"/>
        <v>61</v>
      </c>
      <c r="FF9" s="62">
        <f t="shared" si="84"/>
        <v>61</v>
      </c>
      <c r="FG9" s="62">
        <f t="shared" si="85"/>
        <v>61</v>
      </c>
      <c r="FH9" s="62">
        <f t="shared" si="86"/>
        <v>61</v>
      </c>
      <c r="FI9" s="62">
        <f t="shared" si="87"/>
        <v>61</v>
      </c>
      <c r="FJ9" s="62">
        <f t="shared" si="88"/>
        <v>61</v>
      </c>
      <c r="FK9" s="62">
        <f t="shared" si="89"/>
        <v>61</v>
      </c>
      <c r="FL9" s="62">
        <f t="shared" si="90"/>
        <v>61</v>
      </c>
      <c r="FM9" s="62">
        <f t="shared" si="91"/>
        <v>61</v>
      </c>
      <c r="FN9" s="62">
        <f t="shared" si="92"/>
        <v>61</v>
      </c>
      <c r="FO9" s="62">
        <f t="shared" si="93"/>
        <v>61</v>
      </c>
      <c r="FP9" s="62">
        <f t="shared" si="94"/>
        <v>61</v>
      </c>
      <c r="FQ9" s="62">
        <f t="shared" si="95"/>
        <v>61</v>
      </c>
      <c r="FR9" s="62">
        <f t="shared" si="96"/>
        <v>61</v>
      </c>
      <c r="FS9" s="62">
        <f t="shared" si="97"/>
        <v>61</v>
      </c>
      <c r="FT9" s="62">
        <f t="shared" si="98"/>
        <v>61</v>
      </c>
      <c r="FU9" s="62">
        <f t="shared" si="99"/>
        <v>61</v>
      </c>
      <c r="FV9" s="62">
        <f t="shared" si="100"/>
        <v>61</v>
      </c>
      <c r="FW9" s="62">
        <f t="shared" si="101"/>
        <v>61</v>
      </c>
      <c r="FX9" s="62">
        <f t="shared" si="102"/>
        <v>61</v>
      </c>
      <c r="FY9" s="62">
        <f t="shared" si="103"/>
        <v>61</v>
      </c>
      <c r="FZ9" s="62">
        <f t="shared" si="104"/>
        <v>61</v>
      </c>
      <c r="GA9" s="62">
        <f t="shared" si="105"/>
        <v>61</v>
      </c>
      <c r="GB9" s="62">
        <f t="shared" si="106"/>
        <v>61</v>
      </c>
      <c r="GC9" s="62">
        <f t="shared" si="107"/>
        <v>61</v>
      </c>
      <c r="GD9" s="62">
        <f t="shared" si="108"/>
        <v>61</v>
      </c>
      <c r="GE9" s="62">
        <f t="shared" si="109"/>
        <v>61</v>
      </c>
      <c r="GF9" s="62">
        <f t="shared" si="110"/>
        <v>61</v>
      </c>
      <c r="GG9" s="62">
        <f t="shared" si="111"/>
        <v>61</v>
      </c>
      <c r="GH9" s="62">
        <f t="shared" si="112"/>
        <v>61</v>
      </c>
      <c r="GI9" s="62">
        <f t="shared" si="113"/>
        <v>61</v>
      </c>
      <c r="GJ9" s="62">
        <f t="shared" si="114"/>
        <v>61</v>
      </c>
      <c r="GK9" s="62">
        <f t="shared" si="115"/>
        <v>61</v>
      </c>
      <c r="GL9" s="62">
        <f t="shared" si="116"/>
        <v>61</v>
      </c>
      <c r="GM9" s="62">
        <f t="shared" si="117"/>
        <v>61</v>
      </c>
      <c r="GN9" s="62">
        <f t="shared" si="118"/>
        <v>61</v>
      </c>
      <c r="GO9" s="62">
        <f t="shared" si="119"/>
        <v>61</v>
      </c>
      <c r="GP9" s="62">
        <f t="shared" si="120"/>
        <v>61</v>
      </c>
      <c r="GQ9" s="62">
        <f t="shared" si="121"/>
        <v>61</v>
      </c>
      <c r="GR9" s="62">
        <f t="shared" si="122"/>
        <v>61</v>
      </c>
      <c r="GT9" s="62">
        <f>IF(Deltagarlista!$K$3=2,
IF(GW9="1",
      IF(Arrangörslista!$U$5=1,J72,
IF(Arrangörslista!$U$5=2,K72,
IF(Arrangörslista!$U$5=3,L72,
IF(Arrangörslista!$U$5=4,M72,
IF(Arrangörslista!$U$5=5,N72,
IF(Arrangörslista!$U$5=6,O72,
IF(Arrangörslista!$U$5=7,P72,
IF(Arrangörslista!$U$5=8,Q72,
IF(Arrangörslista!$U$5=9,R72,
IF(Arrangörslista!$U$5=10,S72,
IF(Arrangörslista!$U$5=11,T72,
IF(Arrangörslista!$U$5=12,U72,
IF(Arrangörslista!$U$5=13,V72,
IF(Arrangörslista!$U$5=14,W72,
IF(Arrangörslista!$U$5=15,X72,
IF(Arrangörslista!$U$5=16,Y72,IF(Arrangörslista!$U$5=17,Z72,IF(Arrangörslista!$U$5=18,AA72,IF(Arrangörslista!$U$5=19,AB72,IF(Arrangörslista!$U$5=20,AC72,IF(Arrangörslista!$U$5=21,AD72,IF(Arrangörslista!$U$5=22,AE72,IF(Arrangörslista!$U$5=23,AF72, IF(Arrangörslista!$U$5=24,AG72, IF(Arrangörslista!$U$5=25,AH72, IF(Arrangörslista!$U$5=26,AI72, IF(Arrangörslista!$U$5=27,AJ72, IF(Arrangörslista!$U$5=28,AK72, IF(Arrangörslista!$U$5=29,AL72, IF(Arrangörslista!$U$5=30,AM72, IF(Arrangörslista!$U$5=31,AN72, IF(Arrangörslista!$U$5=32,AO72, IF(Arrangörslista!$U$5=33,AP72, IF(Arrangörslista!$U$5=34,AQ72, IF(Arrangörslista!$U$5=35,AR72, IF(Arrangörslista!$U$5=36,AS72, IF(Arrangörslista!$U$5=37,AT72, IF(Arrangörslista!$U$5=38,AU72, IF(Arrangörslista!$U$5=39,AV72, IF(Arrangörslista!$U$5=40,AW72, IF(Arrangörslista!$U$5=41,AX72, IF(Arrangörslista!$U$5=42,AY72, IF(Arrangörslista!$U$5=43,AZ72, IF(Arrangörslista!$U$5=44,BA72, IF(Arrangörslista!$U$5=45,BB72, IF(Arrangörslista!$U$5=46,BC72, IF(Arrangörslista!$U$5=47,BD72, IF(Arrangörslista!$U$5=48,BE72, IF(Arrangörslista!$U$5=49,BF72, IF(Arrangörslista!$U$5=50,BG72, IF(Arrangörslista!$U$5=51,BH72, IF(Arrangörslista!$U$5=52,BI72, IF(Arrangörslista!$U$5=53,BJ72, IF(Arrangörslista!$U$5=54,BK72, IF(Arrangörslista!$U$5=55,BL72, IF(Arrangörslista!$U$5=56,BM72, IF(Arrangörslista!$U$5=57,BN72, IF(Arrangörslista!$U$5=58,BO72, IF(Arrangörslista!$U$5=59,BP72, IF(Arrangörslista!$U$5=60,BQ72,0))))))))))))))))))))))))))))))))))))))))))))))))))))))))))))),IF(Deltagarlista!$K$3=4, IF(Arrangörslista!$U$5=1,J72,
IF(Arrangörslista!$U$5=2,J72,
IF(Arrangörslista!$U$5=3,K72,
IF(Arrangörslista!$U$5=4,K72,
IF(Arrangörslista!$U$5=5,L72,
IF(Arrangörslista!$U$5=6,L72,
IF(Arrangörslista!$U$5=7,M72,
IF(Arrangörslista!$U$5=8,M72,
IF(Arrangörslista!$U$5=9,N72,
IF(Arrangörslista!$U$5=10,N72,
IF(Arrangörslista!$U$5=11,O72,
IF(Arrangörslista!$U$5=12,O72,
IF(Arrangörslista!$U$5=13,P72,
IF(Arrangörslista!$U$5=14,P72,
IF(Arrangörslista!$U$5=15,Q72,
IF(Arrangörslista!$U$5=16,Q72,
IF(Arrangörslista!$U$5=17,R72,
IF(Arrangörslista!$U$5=18,R72,
IF(Arrangörslista!$U$5=19,S72,
IF(Arrangörslista!$U$5=20,S72,
IF(Arrangörslista!$U$5=21,T72,
IF(Arrangörslista!$U$5=22,T72,IF(Arrangörslista!$U$5=23,U72, IF(Arrangörslista!$U$5=24,U72, IF(Arrangörslista!$U$5=25,V72, IF(Arrangörslista!$U$5=26,V72, IF(Arrangörslista!$U$5=27,W72, IF(Arrangörslista!$U$5=28,W72, IF(Arrangörslista!$U$5=29,X72, IF(Arrangörslista!$U$5=30,X72, IF(Arrangörslista!$U$5=31,X72, IF(Arrangörslista!$U$5=32,Y72, IF(Arrangörslista!$U$5=33,AO72, IF(Arrangörslista!$U$5=34,Y72, IF(Arrangörslista!$U$5=35,Z72, IF(Arrangörslista!$U$5=36,AR72, IF(Arrangörslista!$U$5=37,Z72, IF(Arrangörslista!$U$5=38,AA72, IF(Arrangörslista!$U$5=39,AU72, IF(Arrangörslista!$U$5=40,AA72, IF(Arrangörslista!$U$5=41,AB72, IF(Arrangörslista!$U$5=42,AX72, IF(Arrangörslista!$U$5=43,AB72, IF(Arrangörslista!$U$5=44,AC72, IF(Arrangörslista!$U$5=45,BA72, IF(Arrangörslista!$U$5=46,AC72, IF(Arrangörslista!$U$5=47,AD72, IF(Arrangörslista!$U$5=48,BD72, IF(Arrangörslista!$U$5=49,AD72, IF(Arrangörslista!$U$5=50,AE72, IF(Arrangörslista!$U$5=51,BG72, IF(Arrangörslista!$U$5=52,AE72, IF(Arrangörslista!$U$5=53,AF72, IF(Arrangörslista!$U$5=54,BJ72, IF(Arrangörslista!$U$5=55,AF72, IF(Arrangörslista!$U$5=56,AG72, IF(Arrangörslista!$U$5=57,BM72, IF(Arrangörslista!$U$5=58,AG72, IF(Arrangörslista!$U$5=59,AH72, IF(Arrangörslista!$U$5=60,AH72,0)))))))))))))))))))))))))))))))))))))))))))))))))))))))))))),IF(Arrangörslista!$U$5=1,J72,
IF(Arrangörslista!$U$5=2,K72,
IF(Arrangörslista!$U$5=3,L72,
IF(Arrangörslista!$U$5=4,M72,
IF(Arrangörslista!$U$5=5,N72,
IF(Arrangörslista!$U$5=6,O72,
IF(Arrangörslista!$U$5=7,P72,
IF(Arrangörslista!$U$5=8,Q72,
IF(Arrangörslista!$U$5=9,R72,
IF(Arrangörslista!$U$5=10,S72,
IF(Arrangörslista!$U$5=11,T72,
IF(Arrangörslista!$U$5=12,U72,
IF(Arrangörslista!$U$5=13,V72,
IF(Arrangörslista!$U$5=14,W72,
IF(Arrangörslista!$U$5=15,X72,
IF(Arrangörslista!$U$5=16,Y72,IF(Arrangörslista!$U$5=17,Z72,IF(Arrangörslista!$U$5=18,AA72,IF(Arrangörslista!$U$5=19,AB72,IF(Arrangörslista!$U$5=20,AC72,IF(Arrangörslista!$U$5=21,AD72,IF(Arrangörslista!$U$5=22,AE72,IF(Arrangörslista!$U$5=23,AF72, IF(Arrangörslista!$U$5=24,AG72, IF(Arrangörslista!$U$5=25,AH72, IF(Arrangörslista!$U$5=26,AI72, IF(Arrangörslista!$U$5=27,AJ72, IF(Arrangörslista!$U$5=28,AK72, IF(Arrangörslista!$U$5=29,AL72, IF(Arrangörslista!$U$5=30,AM72, IF(Arrangörslista!$U$5=31,AN72, IF(Arrangörslista!$U$5=32,AO72, IF(Arrangörslista!$U$5=33,AP72, IF(Arrangörslista!$U$5=34,AQ72, IF(Arrangörslista!$U$5=35,AR72, IF(Arrangörslista!$U$5=36,AS72, IF(Arrangörslista!$U$5=37,AT72, IF(Arrangörslista!$U$5=38,AU72, IF(Arrangörslista!$U$5=39,AV72, IF(Arrangörslista!$U$5=40,AW72, IF(Arrangörslista!$U$5=41,AX72, IF(Arrangörslista!$U$5=42,AY72, IF(Arrangörslista!$U$5=43,AZ72, IF(Arrangörslista!$U$5=44,BA72, IF(Arrangörslista!$U$5=45,BB72, IF(Arrangörslista!$U$5=46,BC72, IF(Arrangörslista!$U$5=47,BD72, IF(Arrangörslista!$U$5=48,BE72, IF(Arrangörslista!$U$5=49,BF72, IF(Arrangörslista!$U$5=50,BG72, IF(Arrangörslista!$U$5=51,BH72, IF(Arrangörslista!$U$5=52,BI72, IF(Arrangörslista!$U$5=53,BJ72, IF(Arrangörslista!$U$5=54,BK72, IF(Arrangörslista!$U$5=55,BL72, IF(Arrangörslista!$U$5=56,BM72, IF(Arrangörslista!$U$5=57,BN72, IF(Arrangörslista!$U$5=58,BO72, IF(Arrangörslista!$U$5=59,BP72, IF(Arrangörslista!$U$5=60,BQ72,0))))))))))))))))))))))))))))))))))))))))))))))))))))))))))))
))</f>
        <v>0</v>
      </c>
      <c r="GV9" s="65" t="str">
        <f>IFERROR(IF(VLOOKUP(F9,Deltagarlista!$E$5:$I$64,5,FALSE)="Grön","Gr",IF(VLOOKUP(F9,Deltagarlista!$E$5:$I$64,5,FALSE)="Röd","R",IF(VLOOKUP(F9,Deltagarlista!$E$5:$I$64,5,FALSE)="Blå","B","Gu"))),"")</f>
        <v/>
      </c>
      <c r="GW9" s="62" t="str">
        <f t="shared" si="123"/>
        <v/>
      </c>
    </row>
    <row r="10" spans="1:206" x14ac:dyDescent="0.3">
      <c r="B10" s="23" t="str">
        <f>IF((COUNTIF(Deltagarlista!$H$5:$H$64,"GM"))&gt;6,7,"")</f>
        <v/>
      </c>
      <c r="C10" s="92" t="str">
        <f>IF(ISBLANK(Deltagarlista!C44),"",Deltagarlista!C44)</f>
        <v/>
      </c>
      <c r="D10" s="109" t="str">
        <f>CONCATENATE(IF(Deltagarlista!H44="GM","GM   ",""), IF(OR(Deltagarlista!$K$3=4,Deltagarlista!$K$3=2),Deltagarlista!I44,""))</f>
        <v/>
      </c>
      <c r="E10" s="8" t="str">
        <f>IF(ISBLANK(Deltagarlista!D44),"",Deltagarlista!D44)</f>
        <v/>
      </c>
      <c r="F10" s="8" t="str">
        <f>IF(ISBLANK(Deltagarlista!E44),"",Deltagarlista!E44)</f>
        <v/>
      </c>
      <c r="G10" s="95" t="str">
        <f>IF(ISBLANK(Deltagarlista!F44),"",Deltagarlista!F44)</f>
        <v/>
      </c>
      <c r="H10" s="72" t="str">
        <f>IF(ISBLANK(Deltagarlista!C44),"",BU10-EE10)</f>
        <v/>
      </c>
      <c r="I10" s="13" t="str">
        <f>IF(ISBLANK(Deltagarlista!C44),"",IF(AND(Deltagarlista!$K$3=2,Deltagarlista!$L$3&lt;37),SUM(SUM(BV10:EC10)-(ROUNDDOWN(Arrangörslista!$U$5/3,1))*($BW$3+1)),SUM(BV10:EC10)))</f>
        <v/>
      </c>
      <c r="J10" s="79" t="str">
        <f>IF(Deltagarlista!$K$3=4,IF(ISBLANK(Deltagarlista!$C44),"",IF(ISBLANK(Arrangörslista!C$8),"",IFERROR(VLOOKUP($F10,Arrangörslista!C$8:$AG$45,16,FALSE),IF(ISBLANK(Deltagarlista!$C44),"",IF(ISBLANK(Arrangörslista!C$8),"",IFERROR(VLOOKUP($F10,Arrangörslista!D$8:$AG$45,16,FALSE),"DNS")))))),IF(Deltagarlista!$K$3=2,
IF(ISBLANK(Deltagarlista!$C44),"",IF(ISBLANK(Arrangörslista!C$8),"",IF($GV10=J$64," DNS ",IFERROR(VLOOKUP($F10,Arrangörslista!C$8:$AG$45,16,FALSE),"DNS")))),IF(ISBLANK(Deltagarlista!$C44),"",IF(ISBLANK(Arrangörslista!C$8),"",IFERROR(VLOOKUP($F10,Arrangörslista!C$8:$AG$45,16,FALSE),"DNS")))))</f>
        <v/>
      </c>
      <c r="K10" s="5" t="str">
        <f>IF(Deltagarlista!$K$3=4,IF(ISBLANK(Deltagarlista!$C44),"",IF(ISBLANK(Arrangörslista!E$8),"",IFERROR(VLOOKUP($F10,Arrangörslista!E$8:$AG$45,16,FALSE),IF(ISBLANK(Deltagarlista!$C44),"",IF(ISBLANK(Arrangörslista!E$8),"",IFERROR(VLOOKUP($F10,Arrangörslista!F$8:$AG$45,16,FALSE),"DNS")))))),IF(Deltagarlista!$K$3=2,
IF(ISBLANK(Deltagarlista!$C44),"",IF(ISBLANK(Arrangörslista!D$8),"",IF($GV10=K$64," DNS ",IFERROR(VLOOKUP($F10,Arrangörslista!D$8:$AG$45,16,FALSE),"DNS")))),IF(ISBLANK(Deltagarlista!$C44),"",IF(ISBLANK(Arrangörslista!D$8),"",IFERROR(VLOOKUP($F10,Arrangörslista!D$8:$AG$45,16,FALSE),"DNS")))))</f>
        <v/>
      </c>
      <c r="L10" s="5" t="str">
        <f>IF(Deltagarlista!$K$3=4,IF(ISBLANK(Deltagarlista!$C44),"",IF(ISBLANK(Arrangörslista!G$8),"",IFERROR(VLOOKUP($F10,Arrangörslista!G$8:$AG$45,16,FALSE),IF(ISBLANK(Deltagarlista!$C44),"",IF(ISBLANK(Arrangörslista!G$8),"",IFERROR(VLOOKUP($F10,Arrangörslista!H$8:$AG$45,16,FALSE),"DNS")))))),IF(Deltagarlista!$K$3=2,
IF(ISBLANK(Deltagarlista!$C44),"",IF(ISBLANK(Arrangörslista!E$8),"",IF($GV10=L$64," DNS ",IFERROR(VLOOKUP($F10,Arrangörslista!E$8:$AG$45,16,FALSE),"DNS")))),IF(ISBLANK(Deltagarlista!$C44),"",IF(ISBLANK(Arrangörslista!E$8),"",IFERROR(VLOOKUP($F10,Arrangörslista!E$8:$AG$45,16,FALSE),"DNS")))))</f>
        <v/>
      </c>
      <c r="M10" s="5" t="str">
        <f>IF(Deltagarlista!$K$3=4,IF(ISBLANK(Deltagarlista!$C44),"",IF(ISBLANK(Arrangörslista!I$8),"",IFERROR(VLOOKUP($F10,Arrangörslista!I$8:$AG$45,16,FALSE),IF(ISBLANK(Deltagarlista!$C44),"",IF(ISBLANK(Arrangörslista!I$8),"",IFERROR(VLOOKUP($F10,Arrangörslista!J$8:$AG$45,16,FALSE),"DNS")))))),IF(Deltagarlista!$K$3=2,
IF(ISBLANK(Deltagarlista!$C44),"",IF(ISBLANK(Arrangörslista!F$8),"",IF($GV10=M$64," DNS ",IFERROR(VLOOKUP($F10,Arrangörslista!F$8:$AG$45,16,FALSE),"DNS")))),IF(ISBLANK(Deltagarlista!$C44),"",IF(ISBLANK(Arrangörslista!F$8),"",IFERROR(VLOOKUP($F10,Arrangörslista!F$8:$AG$45,16,FALSE),"DNS")))))</f>
        <v/>
      </c>
      <c r="N10" s="5" t="str">
        <f>IF(Deltagarlista!$K$3=4,IF(ISBLANK(Deltagarlista!$C44),"",IF(ISBLANK(Arrangörslista!K$8),"",IFERROR(VLOOKUP($F10,Arrangörslista!K$8:$AG$45,16,FALSE),IF(ISBLANK(Deltagarlista!$C44),"",IF(ISBLANK(Arrangörslista!K$8),"",IFERROR(VLOOKUP($F10,Arrangörslista!L$8:$AG$45,16,FALSE),"DNS")))))),IF(Deltagarlista!$K$3=2,
IF(ISBLANK(Deltagarlista!$C44),"",IF(ISBLANK(Arrangörslista!G$8),"",IF($GV10=N$64," DNS ",IFERROR(VLOOKUP($F10,Arrangörslista!G$8:$AG$45,16,FALSE),"DNS")))),IF(ISBLANK(Deltagarlista!$C44),"",IF(ISBLANK(Arrangörslista!G$8),"",IFERROR(VLOOKUP($F10,Arrangörslista!G$8:$AG$45,16,FALSE),"DNS")))))</f>
        <v/>
      </c>
      <c r="O10" s="5" t="str">
        <f>IF(Deltagarlista!$K$3=4,IF(ISBLANK(Deltagarlista!$C44),"",IF(ISBLANK(Arrangörslista!M$8),"",IFERROR(VLOOKUP($F10,Arrangörslista!M$8:$AG$45,16,FALSE),IF(ISBLANK(Deltagarlista!$C44),"",IF(ISBLANK(Arrangörslista!M$8),"",IFERROR(VLOOKUP($F10,Arrangörslista!N$8:$AG$45,16,FALSE),"DNS")))))),IF(Deltagarlista!$K$3=2,
IF(ISBLANK(Deltagarlista!$C44),"",IF(ISBLANK(Arrangörslista!H$8),"",IF($GV10=O$64," DNS ",IFERROR(VLOOKUP($F10,Arrangörslista!H$8:$AG$45,16,FALSE),"DNS")))),IF(ISBLANK(Deltagarlista!$C44),"",IF(ISBLANK(Arrangörslista!H$8),"",IFERROR(VLOOKUP($F10,Arrangörslista!H$8:$AG$45,16,FALSE),"DNS")))))</f>
        <v/>
      </c>
      <c r="P10" s="5" t="str">
        <f>IF(Deltagarlista!$K$3=4,IF(ISBLANK(Deltagarlista!$C44),"",IF(ISBLANK(Arrangörslista!O$8),"",IFERROR(VLOOKUP($F10,Arrangörslista!O$8:$AG$45,16,FALSE),IF(ISBLANK(Deltagarlista!$C44),"",IF(ISBLANK(Arrangörslista!O$8),"",IFERROR(VLOOKUP($F10,Arrangörslista!P$8:$AG$45,16,FALSE),"DNS")))))),IF(Deltagarlista!$K$3=2,
IF(ISBLANK(Deltagarlista!$C44),"",IF(ISBLANK(Arrangörslista!I$8),"",IF($GV10=P$64," DNS ",IFERROR(VLOOKUP($F10,Arrangörslista!I$8:$AG$45,16,FALSE),"DNS")))),IF(ISBLANK(Deltagarlista!$C44),"",IF(ISBLANK(Arrangörslista!I$8),"",IFERROR(VLOOKUP($F10,Arrangörslista!I$8:$AG$45,16,FALSE),"DNS")))))</f>
        <v/>
      </c>
      <c r="Q10" s="5" t="str">
        <f>IF(Deltagarlista!$K$3=4,IF(ISBLANK(Deltagarlista!$C44),"",IF(ISBLANK(Arrangörslista!Q$8),"",IFERROR(VLOOKUP($F10,Arrangörslista!Q$8:$AG$45,16,FALSE),IF(ISBLANK(Deltagarlista!$C44),"",IF(ISBLANK(Arrangörslista!Q$8),"",IFERROR(VLOOKUP($F10,Arrangörslista!C$53:$AG$90,16,FALSE),"DNS")))))),IF(Deltagarlista!$K$3=2,
IF(ISBLANK(Deltagarlista!$C44),"",IF(ISBLANK(Arrangörslista!J$8),"",IF($GV10=Q$64," DNS ",IFERROR(VLOOKUP($F10,Arrangörslista!J$8:$AG$45,16,FALSE),"DNS")))),IF(ISBLANK(Deltagarlista!$C44),"",IF(ISBLANK(Arrangörslista!J$8),"",IFERROR(VLOOKUP($F10,Arrangörslista!J$8:$AG$45,16,FALSE),"DNS")))))</f>
        <v/>
      </c>
      <c r="R10" s="5" t="str">
        <f>IF(Deltagarlista!$K$3=4,IF(ISBLANK(Deltagarlista!$C44),"",IF(ISBLANK(Arrangörslista!D$53),"",IFERROR(VLOOKUP($F10,Arrangörslista!D$53:$AG$90,16,FALSE),IF(ISBLANK(Deltagarlista!$C44),"",IF(ISBLANK(Arrangörslista!D$53),"",IFERROR(VLOOKUP($F10,Arrangörslista!E$53:$AG$90,16,FALSE),"DNS")))))),IF(Deltagarlista!$K$3=2,
IF(ISBLANK(Deltagarlista!$C44),"",IF(ISBLANK(Arrangörslista!K$8),"",IF($GV10=R$64," DNS ",IFERROR(VLOOKUP($F10,Arrangörslista!K$8:$AG$45,16,FALSE),"DNS")))),IF(ISBLANK(Deltagarlista!$C44),"",IF(ISBLANK(Arrangörslista!K$8),"",IFERROR(VLOOKUP($F10,Arrangörslista!K$8:$AG$45,16,FALSE),"DNS")))))</f>
        <v/>
      </c>
      <c r="S10" s="5" t="str">
        <f>IF(Deltagarlista!$K$3=4,IF(ISBLANK(Deltagarlista!$C44),"",IF(ISBLANK(Arrangörslista!F$53),"",IFERROR(VLOOKUP($F10,Arrangörslista!F$53:$AG$90,16,FALSE),IF(ISBLANK(Deltagarlista!$C44),"",IF(ISBLANK(Arrangörslista!F$53),"",IFERROR(VLOOKUP($F10,Arrangörslista!G$53:$AG$90,16,FALSE),"DNS")))))),IF(Deltagarlista!$K$3=2,
IF(ISBLANK(Deltagarlista!$C44),"",IF(ISBLANK(Arrangörslista!L$8),"",IF($GV10=S$64," DNS ",IFERROR(VLOOKUP($F10,Arrangörslista!L$8:$AG$45,16,FALSE),"DNS")))),IF(ISBLANK(Deltagarlista!$C44),"",IF(ISBLANK(Arrangörslista!L$8),"",IFERROR(VLOOKUP($F10,Arrangörslista!L$8:$AG$45,16,FALSE),"DNS")))))</f>
        <v/>
      </c>
      <c r="T10" s="5" t="str">
        <f>IF(Deltagarlista!$K$3=4,IF(ISBLANK(Deltagarlista!$C44),"",IF(ISBLANK(Arrangörslista!H$53),"",IFERROR(VLOOKUP($F10,Arrangörslista!H$53:$AG$90,16,FALSE),IF(ISBLANK(Deltagarlista!$C44),"",IF(ISBLANK(Arrangörslista!H$53),"",IFERROR(VLOOKUP($F10,Arrangörslista!I$53:$AG$90,16,FALSE),"DNS")))))),IF(Deltagarlista!$K$3=2,
IF(ISBLANK(Deltagarlista!$C44),"",IF(ISBLANK(Arrangörslista!M$8),"",IF($GV10=T$64," DNS ",IFERROR(VLOOKUP($F10,Arrangörslista!M$8:$AG$45,16,FALSE),"DNS")))),IF(ISBLANK(Deltagarlista!$C44),"",IF(ISBLANK(Arrangörslista!M$8),"",IFERROR(VLOOKUP($F10,Arrangörslista!M$8:$AG$45,16,FALSE),"DNS")))))</f>
        <v/>
      </c>
      <c r="U10" s="5" t="str">
        <f>IF(Deltagarlista!$K$3=4,IF(ISBLANK(Deltagarlista!$C44),"",IF(ISBLANK(Arrangörslista!J$53),"",IFERROR(VLOOKUP($F10,Arrangörslista!J$53:$AG$90,16,FALSE),IF(ISBLANK(Deltagarlista!$C44),"",IF(ISBLANK(Arrangörslista!J$53),"",IFERROR(VLOOKUP($F10,Arrangörslista!K$53:$AG$90,16,FALSE),"DNS")))))),IF(Deltagarlista!$K$3=2,
IF(ISBLANK(Deltagarlista!$C44),"",IF(ISBLANK(Arrangörslista!N$8),"",IF($GV10=U$64," DNS ",IFERROR(VLOOKUP($F10,Arrangörslista!N$8:$AG$45,16,FALSE),"DNS")))),IF(ISBLANK(Deltagarlista!$C44),"",IF(ISBLANK(Arrangörslista!N$8),"",IFERROR(VLOOKUP($F10,Arrangörslista!N$8:$AG$45,16,FALSE),"DNS")))))</f>
        <v/>
      </c>
      <c r="V10" s="5" t="str">
        <f>IF(Deltagarlista!$K$3=4,IF(ISBLANK(Deltagarlista!$C44),"",IF(ISBLANK(Arrangörslista!L$53),"",IFERROR(VLOOKUP($F10,Arrangörslista!L$53:$AG$90,16,FALSE),IF(ISBLANK(Deltagarlista!$C44),"",IF(ISBLANK(Arrangörslista!L$53),"",IFERROR(VLOOKUP($F10,Arrangörslista!M$53:$AG$90,16,FALSE),"DNS")))))),IF(Deltagarlista!$K$3=2,
IF(ISBLANK(Deltagarlista!$C44),"",IF(ISBLANK(Arrangörslista!O$8),"",IF($GV10=V$64," DNS ",IFERROR(VLOOKUP($F10,Arrangörslista!O$8:$AG$45,16,FALSE),"DNS")))),IF(ISBLANK(Deltagarlista!$C44),"",IF(ISBLANK(Arrangörslista!O$8),"",IFERROR(VLOOKUP($F10,Arrangörslista!O$8:$AG$45,16,FALSE),"DNS")))))</f>
        <v/>
      </c>
      <c r="W10" s="5" t="str">
        <f>IF(Deltagarlista!$K$3=4,IF(ISBLANK(Deltagarlista!$C44),"",IF(ISBLANK(Arrangörslista!N$53),"",IFERROR(VLOOKUP($F10,Arrangörslista!N$53:$AG$90,16,FALSE),IF(ISBLANK(Deltagarlista!$C44),"",IF(ISBLANK(Arrangörslista!N$53),"",IFERROR(VLOOKUP($F10,Arrangörslista!O$53:$AG$90,16,FALSE),"DNS")))))),IF(Deltagarlista!$K$3=2,
IF(ISBLANK(Deltagarlista!$C44),"",IF(ISBLANK(Arrangörslista!P$8),"",IF($GV10=W$64," DNS ",IFERROR(VLOOKUP($F10,Arrangörslista!P$8:$AG$45,16,FALSE),"DNS")))),IF(ISBLANK(Deltagarlista!$C44),"",IF(ISBLANK(Arrangörslista!P$8),"",IFERROR(VLOOKUP($F10,Arrangörslista!P$8:$AG$45,16,FALSE),"DNS")))))</f>
        <v/>
      </c>
      <c r="X10" s="5" t="str">
        <f>IF(Deltagarlista!$K$3=4,IF(ISBLANK(Deltagarlista!$C44),"",IF(ISBLANK(Arrangörslista!P$53),"",IFERROR(VLOOKUP($F10,Arrangörslista!P$53:$AG$90,16,FALSE),IF(ISBLANK(Deltagarlista!$C44),"",IF(ISBLANK(Arrangörslista!P$53),"",IFERROR(VLOOKUP($F10,Arrangörslista!Q$53:$AG$90,16,FALSE),"DNS")))))),IF(Deltagarlista!$K$3=2,
IF(ISBLANK(Deltagarlista!$C44),"",IF(ISBLANK(Arrangörslista!Q$8),"",IF($GV10=X$64," DNS ",IFERROR(VLOOKUP($F10,Arrangörslista!Q$8:$AG$45,16,FALSE),"DNS")))),IF(ISBLANK(Deltagarlista!$C44),"",IF(ISBLANK(Arrangörslista!Q$8),"",IFERROR(VLOOKUP($F10,Arrangörslista!Q$8:$AG$45,16,FALSE),"DNS")))))</f>
        <v/>
      </c>
      <c r="Y10" s="5" t="str">
        <f>IF(Deltagarlista!$K$3=4,IF(ISBLANK(Deltagarlista!$C44),"",IF(ISBLANK(Arrangörslista!C$98),"",IFERROR(VLOOKUP($F10,Arrangörslista!C$98:$AG$135,16,FALSE),IF(ISBLANK(Deltagarlista!$C44),"",IF(ISBLANK(Arrangörslista!C$98),"",IFERROR(VLOOKUP($F10,Arrangörslista!D$98:$AG$135,16,FALSE),"DNS")))))),IF(Deltagarlista!$K$3=2,
IF(ISBLANK(Deltagarlista!$C44),"",IF(ISBLANK(Arrangörslista!C$53),"",IF($GV10=Y$64," DNS ",IFERROR(VLOOKUP($F10,Arrangörslista!C$53:$AG$90,16,FALSE),"DNS")))),IF(ISBLANK(Deltagarlista!$C44),"",IF(ISBLANK(Arrangörslista!C$53),"",IFERROR(VLOOKUP($F10,Arrangörslista!C$53:$AG$90,16,FALSE),"DNS")))))</f>
        <v/>
      </c>
      <c r="Z10" s="5" t="str">
        <f>IF(Deltagarlista!$K$3=4,IF(ISBLANK(Deltagarlista!$C44),"",IF(ISBLANK(Arrangörslista!E$98),"",IFERROR(VLOOKUP($F10,Arrangörslista!E$98:$AG$135,16,FALSE),IF(ISBLANK(Deltagarlista!$C44),"",IF(ISBLANK(Arrangörslista!E$98),"",IFERROR(VLOOKUP($F10,Arrangörslista!F$98:$AG$135,16,FALSE),"DNS")))))),IF(Deltagarlista!$K$3=2,
IF(ISBLANK(Deltagarlista!$C44),"",IF(ISBLANK(Arrangörslista!D$53),"",IF($GV10=Z$64," DNS ",IFERROR(VLOOKUP($F10,Arrangörslista!D$53:$AG$90,16,FALSE),"DNS")))),IF(ISBLANK(Deltagarlista!$C44),"",IF(ISBLANK(Arrangörslista!D$53),"",IFERROR(VLOOKUP($F10,Arrangörslista!D$53:$AG$90,16,FALSE),"DNS")))))</f>
        <v/>
      </c>
      <c r="AA10" s="5" t="str">
        <f>IF(Deltagarlista!$K$3=4,IF(ISBLANK(Deltagarlista!$C44),"",IF(ISBLANK(Arrangörslista!G$98),"",IFERROR(VLOOKUP($F10,Arrangörslista!G$98:$AG$135,16,FALSE),IF(ISBLANK(Deltagarlista!$C44),"",IF(ISBLANK(Arrangörslista!G$98),"",IFERROR(VLOOKUP($F10,Arrangörslista!H$98:$AG$135,16,FALSE),"DNS")))))),IF(Deltagarlista!$K$3=2,
IF(ISBLANK(Deltagarlista!$C44),"",IF(ISBLANK(Arrangörslista!E$53),"",IF($GV10=AA$64," DNS ",IFERROR(VLOOKUP($F10,Arrangörslista!E$53:$AG$90,16,FALSE),"DNS")))),IF(ISBLANK(Deltagarlista!$C44),"",IF(ISBLANK(Arrangörslista!E$53),"",IFERROR(VLOOKUP($F10,Arrangörslista!E$53:$AG$90,16,FALSE),"DNS")))))</f>
        <v/>
      </c>
      <c r="AB10" s="5" t="str">
        <f>IF(Deltagarlista!$K$3=4,IF(ISBLANK(Deltagarlista!$C44),"",IF(ISBLANK(Arrangörslista!I$98),"",IFERROR(VLOOKUP($F10,Arrangörslista!I$98:$AG$135,16,FALSE),IF(ISBLANK(Deltagarlista!$C44),"",IF(ISBLANK(Arrangörslista!I$98),"",IFERROR(VLOOKUP($F10,Arrangörslista!J$98:$AG$135,16,FALSE),"DNS")))))),IF(Deltagarlista!$K$3=2,
IF(ISBLANK(Deltagarlista!$C44),"",IF(ISBLANK(Arrangörslista!F$53),"",IF($GV10=AB$64," DNS ",IFERROR(VLOOKUP($F10,Arrangörslista!F$53:$AG$90,16,FALSE),"DNS")))),IF(ISBLANK(Deltagarlista!$C44),"",IF(ISBLANK(Arrangörslista!F$53),"",IFERROR(VLOOKUP($F10,Arrangörslista!F$53:$AG$90,16,FALSE),"DNS")))))</f>
        <v/>
      </c>
      <c r="AC10" s="5" t="str">
        <f>IF(Deltagarlista!$K$3=4,IF(ISBLANK(Deltagarlista!$C44),"",IF(ISBLANK(Arrangörslista!K$98),"",IFERROR(VLOOKUP($F10,Arrangörslista!K$98:$AG$135,16,FALSE),IF(ISBLANK(Deltagarlista!$C44),"",IF(ISBLANK(Arrangörslista!K$98),"",IFERROR(VLOOKUP($F10,Arrangörslista!L$98:$AG$135,16,FALSE),"DNS")))))),IF(Deltagarlista!$K$3=2,
IF(ISBLANK(Deltagarlista!$C44),"",IF(ISBLANK(Arrangörslista!G$53),"",IF($GV10=AC$64," DNS ",IFERROR(VLOOKUP($F10,Arrangörslista!G$53:$AG$90,16,FALSE),"DNS")))),IF(ISBLANK(Deltagarlista!$C44),"",IF(ISBLANK(Arrangörslista!G$53),"",IFERROR(VLOOKUP($F10,Arrangörslista!G$53:$AG$90,16,FALSE),"DNS")))))</f>
        <v/>
      </c>
      <c r="AD10" s="5" t="str">
        <f>IF(Deltagarlista!$K$3=4,IF(ISBLANK(Deltagarlista!$C44),"",IF(ISBLANK(Arrangörslista!M$98),"",IFERROR(VLOOKUP($F10,Arrangörslista!M$98:$AG$135,16,FALSE),IF(ISBLANK(Deltagarlista!$C44),"",IF(ISBLANK(Arrangörslista!M$98),"",IFERROR(VLOOKUP($F10,Arrangörslista!N$98:$AG$135,16,FALSE),"DNS")))))),IF(Deltagarlista!$K$3=2,
IF(ISBLANK(Deltagarlista!$C44),"",IF(ISBLANK(Arrangörslista!H$53),"",IF($GV10=AD$64," DNS ",IFERROR(VLOOKUP($F10,Arrangörslista!H$53:$AG$90,16,FALSE),"DNS")))),IF(ISBLANK(Deltagarlista!$C44),"",IF(ISBLANK(Arrangörslista!H$53),"",IFERROR(VLOOKUP($F10,Arrangörslista!H$53:$AG$90,16,FALSE),"DNS")))))</f>
        <v/>
      </c>
      <c r="AE10" s="5" t="str">
        <f>IF(Deltagarlista!$K$3=4,IF(ISBLANK(Deltagarlista!$C44),"",IF(ISBLANK(Arrangörslista!O$98),"",IFERROR(VLOOKUP($F10,Arrangörslista!O$98:$AG$135,16,FALSE),IF(ISBLANK(Deltagarlista!$C44),"",IF(ISBLANK(Arrangörslista!O$98),"",IFERROR(VLOOKUP($F10,Arrangörslista!P$98:$AG$135,16,FALSE),"DNS")))))),IF(Deltagarlista!$K$3=2,
IF(ISBLANK(Deltagarlista!$C44),"",IF(ISBLANK(Arrangörslista!I$53),"",IF($GV10=AE$64," DNS ",IFERROR(VLOOKUP($F10,Arrangörslista!I$53:$AG$90,16,FALSE),"DNS")))),IF(ISBLANK(Deltagarlista!$C44),"",IF(ISBLANK(Arrangörslista!I$53),"",IFERROR(VLOOKUP($F10,Arrangörslista!I$53:$AG$90,16,FALSE),"DNS")))))</f>
        <v/>
      </c>
      <c r="AF10" s="5" t="str">
        <f>IF(Deltagarlista!$K$3=4,IF(ISBLANK(Deltagarlista!$C44),"",IF(ISBLANK(Arrangörslista!Q$98),"",IFERROR(VLOOKUP($F10,Arrangörslista!Q$98:$AG$135,16,FALSE),IF(ISBLANK(Deltagarlista!$C44),"",IF(ISBLANK(Arrangörslista!Q$98),"",IFERROR(VLOOKUP($F10,Arrangörslista!C$143:$AG$180,16,FALSE),"DNS")))))),IF(Deltagarlista!$K$3=2,
IF(ISBLANK(Deltagarlista!$C44),"",IF(ISBLANK(Arrangörslista!J$53),"",IF($GV10=AF$64," DNS ",IFERROR(VLOOKUP($F10,Arrangörslista!J$53:$AG$90,16,FALSE),"DNS")))),IF(ISBLANK(Deltagarlista!$C44),"",IF(ISBLANK(Arrangörslista!J$53),"",IFERROR(VLOOKUP($F10,Arrangörslista!J$53:$AG$90,16,FALSE),"DNS")))))</f>
        <v/>
      </c>
      <c r="AG10" s="5" t="str">
        <f>IF(Deltagarlista!$K$3=4,IF(ISBLANK(Deltagarlista!$C44),"",IF(ISBLANK(Arrangörslista!D$143),"",IFERROR(VLOOKUP($F10,Arrangörslista!D$143:$AG$180,16,FALSE),IF(ISBLANK(Deltagarlista!$C44),"",IF(ISBLANK(Arrangörslista!D$143),"",IFERROR(VLOOKUP($F10,Arrangörslista!E$143:$AG$180,16,FALSE),"DNS")))))),IF(Deltagarlista!$K$3=2,
IF(ISBLANK(Deltagarlista!$C44),"",IF(ISBLANK(Arrangörslista!K$53),"",IF($GV10=AG$64," DNS ",IFERROR(VLOOKUP($F10,Arrangörslista!K$53:$AG$90,16,FALSE),"DNS")))),IF(ISBLANK(Deltagarlista!$C44),"",IF(ISBLANK(Arrangörslista!K$53),"",IFERROR(VLOOKUP($F10,Arrangörslista!K$53:$AG$90,16,FALSE),"DNS")))))</f>
        <v/>
      </c>
      <c r="AH10" s="5" t="str">
        <f>IF(Deltagarlista!$K$3=4,IF(ISBLANK(Deltagarlista!$C44),"",IF(ISBLANK(Arrangörslista!F$143),"",IFERROR(VLOOKUP($F10,Arrangörslista!F$143:$AG$180,16,FALSE),IF(ISBLANK(Deltagarlista!$C44),"",IF(ISBLANK(Arrangörslista!F$143),"",IFERROR(VLOOKUP($F10,Arrangörslista!G$143:$AG$180,16,FALSE),"DNS")))))),IF(Deltagarlista!$K$3=2,
IF(ISBLANK(Deltagarlista!$C44),"",IF(ISBLANK(Arrangörslista!L$53),"",IF($GV10=AH$64," DNS ",IFERROR(VLOOKUP($F10,Arrangörslista!L$53:$AG$90,16,FALSE),"DNS")))),IF(ISBLANK(Deltagarlista!$C44),"",IF(ISBLANK(Arrangörslista!L$53),"",IFERROR(VLOOKUP($F10,Arrangörslista!L$53:$AG$90,16,FALSE),"DNS")))))</f>
        <v/>
      </c>
      <c r="AI10" s="5" t="str">
        <f>IF(Deltagarlista!$K$3=4,IF(ISBLANK(Deltagarlista!$C44),"",IF(ISBLANK(Arrangörslista!H$143),"",IFERROR(VLOOKUP($F10,Arrangörslista!H$143:$AG$180,16,FALSE),IF(ISBLANK(Deltagarlista!$C44),"",IF(ISBLANK(Arrangörslista!H$143),"",IFERROR(VLOOKUP($F10,Arrangörslista!I$143:$AG$180,16,FALSE),"DNS")))))),IF(Deltagarlista!$K$3=2,
IF(ISBLANK(Deltagarlista!$C44),"",IF(ISBLANK(Arrangörslista!M$53),"",IF($GV10=AI$64," DNS ",IFERROR(VLOOKUP($F10,Arrangörslista!M$53:$AG$90,16,FALSE),"DNS")))),IF(ISBLANK(Deltagarlista!$C44),"",IF(ISBLANK(Arrangörslista!M$53),"",IFERROR(VLOOKUP($F10,Arrangörslista!M$53:$AG$90,16,FALSE),"DNS")))))</f>
        <v/>
      </c>
      <c r="AJ10" s="5" t="str">
        <f>IF(Deltagarlista!$K$3=4,IF(ISBLANK(Deltagarlista!$C44),"",IF(ISBLANK(Arrangörslista!J$143),"",IFERROR(VLOOKUP($F10,Arrangörslista!J$143:$AG$180,16,FALSE),IF(ISBLANK(Deltagarlista!$C44),"",IF(ISBLANK(Arrangörslista!J$143),"",IFERROR(VLOOKUP($F10,Arrangörslista!K$143:$AG$180,16,FALSE),"DNS")))))),IF(Deltagarlista!$K$3=2,
IF(ISBLANK(Deltagarlista!$C44),"",IF(ISBLANK(Arrangörslista!N$53),"",IF($GV10=AJ$64," DNS ",IFERROR(VLOOKUP($F10,Arrangörslista!N$53:$AG$90,16,FALSE),"DNS")))),IF(ISBLANK(Deltagarlista!$C44),"",IF(ISBLANK(Arrangörslista!N$53),"",IFERROR(VLOOKUP($F10,Arrangörslista!N$53:$AG$90,16,FALSE),"DNS")))))</f>
        <v/>
      </c>
      <c r="AK10" s="5" t="str">
        <f>IF(Deltagarlista!$K$3=4,IF(ISBLANK(Deltagarlista!$C44),"",IF(ISBLANK(Arrangörslista!L$143),"",IFERROR(VLOOKUP($F10,Arrangörslista!L$143:$AG$180,16,FALSE),IF(ISBLANK(Deltagarlista!$C44),"",IF(ISBLANK(Arrangörslista!L$143),"",IFERROR(VLOOKUP($F10,Arrangörslista!M$143:$AG$180,16,FALSE),"DNS")))))),IF(Deltagarlista!$K$3=2,
IF(ISBLANK(Deltagarlista!$C44),"",IF(ISBLANK(Arrangörslista!O$53),"",IF($GV10=AK$64," DNS ",IFERROR(VLOOKUP($F10,Arrangörslista!O$53:$AG$90,16,FALSE),"DNS")))),IF(ISBLANK(Deltagarlista!$C44),"",IF(ISBLANK(Arrangörslista!O$53),"",IFERROR(VLOOKUP($F10,Arrangörslista!O$53:$AG$90,16,FALSE),"DNS")))))</f>
        <v/>
      </c>
      <c r="AL10" s="5" t="str">
        <f>IF(Deltagarlista!$K$3=4,IF(ISBLANK(Deltagarlista!$C44),"",IF(ISBLANK(Arrangörslista!N$143),"",IFERROR(VLOOKUP($F10,Arrangörslista!N$143:$AG$180,16,FALSE),IF(ISBLANK(Deltagarlista!$C44),"",IF(ISBLANK(Arrangörslista!N$143),"",IFERROR(VLOOKUP($F10,Arrangörslista!O$143:$AG$180,16,FALSE),"DNS")))))),IF(Deltagarlista!$K$3=2,
IF(ISBLANK(Deltagarlista!$C44),"",IF(ISBLANK(Arrangörslista!P$53),"",IF($GV10=AL$64," DNS ",IFERROR(VLOOKUP($F10,Arrangörslista!P$53:$AG$90,16,FALSE),"DNS")))),IF(ISBLANK(Deltagarlista!$C44),"",IF(ISBLANK(Arrangörslista!P$53),"",IFERROR(VLOOKUP($F10,Arrangörslista!P$53:$AG$90,16,FALSE),"DNS")))))</f>
        <v/>
      </c>
      <c r="AM10" s="5" t="str">
        <f>IF(Deltagarlista!$K$3=4,IF(ISBLANK(Deltagarlista!$C44),"",IF(ISBLANK(Arrangörslista!P$143),"",IFERROR(VLOOKUP($F10,Arrangörslista!P$143:$AG$180,16,FALSE),IF(ISBLANK(Deltagarlista!$C44),"",IF(ISBLANK(Arrangörslista!P$143),"",IFERROR(VLOOKUP($F10,Arrangörslista!Q$143:$AG$180,16,FALSE),"DNS")))))),IF(Deltagarlista!$K$3=2,
IF(ISBLANK(Deltagarlista!$C44),"",IF(ISBLANK(Arrangörslista!Q$53),"",IF($GV10=AM$64," DNS ",IFERROR(VLOOKUP($F10,Arrangörslista!Q$53:$AG$90,16,FALSE),"DNS")))),IF(ISBLANK(Deltagarlista!$C44),"",IF(ISBLANK(Arrangörslista!Q$53),"",IFERROR(VLOOKUP($F10,Arrangörslista!Q$53:$AG$90,16,FALSE),"DNS")))))</f>
        <v/>
      </c>
      <c r="AN10" s="5" t="str">
        <f>IF(Deltagarlista!$K$3=2,
IF(ISBLANK(Deltagarlista!$C44),"",IF(ISBLANK(Arrangörslista!C$98),"",IF($GV10=AN$64," DNS ",IFERROR(VLOOKUP($F10,Arrangörslista!C$98:$AG$135,16,FALSE), "DNS")))), IF(Deltagarlista!$K$3=1,IF(ISBLANK(Deltagarlista!$C44),"",IF(ISBLANK(Arrangörslista!C$98),"",IFERROR(VLOOKUP($F10,Arrangörslista!C$98:$AG$135,16,FALSE), "DNS"))),""))</f>
        <v/>
      </c>
      <c r="AO10" s="5" t="str">
        <f>IF(Deltagarlista!$K$3=2,
IF(ISBLANK(Deltagarlista!$C44),"",IF(ISBLANK(Arrangörslista!D$98),"",IF($GV10=AO$64," DNS ",IFERROR(VLOOKUP($F10,Arrangörslista!D$98:$AG$135,16,FALSE), "DNS")))), IF(Deltagarlista!$K$3=1,IF(ISBLANK(Deltagarlista!$C44),"",IF(ISBLANK(Arrangörslista!D$98),"",IFERROR(VLOOKUP($F10,Arrangörslista!D$98:$AG$135,16,FALSE), "DNS"))),""))</f>
        <v/>
      </c>
      <c r="AP10" s="5" t="str">
        <f>IF(Deltagarlista!$K$3=2,
IF(ISBLANK(Deltagarlista!$C44),"",IF(ISBLANK(Arrangörslista!E$98),"",IF($GV10=AP$64," DNS ",IFERROR(VLOOKUP($F10,Arrangörslista!E$98:$AG$135,16,FALSE), "DNS")))), IF(Deltagarlista!$K$3=1,IF(ISBLANK(Deltagarlista!$C44),"",IF(ISBLANK(Arrangörslista!E$98),"",IFERROR(VLOOKUP($F10,Arrangörslista!E$98:$AG$135,16,FALSE), "DNS"))),""))</f>
        <v/>
      </c>
      <c r="AQ10" s="5" t="str">
        <f>IF(Deltagarlista!$K$3=2,
IF(ISBLANK(Deltagarlista!$C44),"",IF(ISBLANK(Arrangörslista!F$98),"",IF($GV10=AQ$64," DNS ",IFERROR(VLOOKUP($F10,Arrangörslista!F$98:$AG$135,16,FALSE), "DNS")))), IF(Deltagarlista!$K$3=1,IF(ISBLANK(Deltagarlista!$C44),"",IF(ISBLANK(Arrangörslista!F$98),"",IFERROR(VLOOKUP($F10,Arrangörslista!F$98:$AG$135,16,FALSE), "DNS"))),""))</f>
        <v/>
      </c>
      <c r="AR10" s="5" t="str">
        <f>IF(Deltagarlista!$K$3=2,
IF(ISBLANK(Deltagarlista!$C44),"",IF(ISBLANK(Arrangörslista!G$98),"",IF($GV10=AR$64," DNS ",IFERROR(VLOOKUP($F10,Arrangörslista!G$98:$AG$135,16,FALSE), "DNS")))), IF(Deltagarlista!$K$3=1,IF(ISBLANK(Deltagarlista!$C44),"",IF(ISBLANK(Arrangörslista!G$98),"",IFERROR(VLOOKUP($F10,Arrangörslista!G$98:$AG$135,16,FALSE), "DNS"))),""))</f>
        <v/>
      </c>
      <c r="AS10" s="5" t="str">
        <f>IF(Deltagarlista!$K$3=2,
IF(ISBLANK(Deltagarlista!$C44),"",IF(ISBLANK(Arrangörslista!H$98),"",IF($GV10=AS$64," DNS ",IFERROR(VLOOKUP($F10,Arrangörslista!H$98:$AG$135,16,FALSE), "DNS")))), IF(Deltagarlista!$K$3=1,IF(ISBLANK(Deltagarlista!$C44),"",IF(ISBLANK(Arrangörslista!H$98),"",IFERROR(VLOOKUP($F10,Arrangörslista!H$98:$AG$135,16,FALSE), "DNS"))),""))</f>
        <v/>
      </c>
      <c r="AT10" s="5" t="str">
        <f>IF(Deltagarlista!$K$3=2,
IF(ISBLANK(Deltagarlista!$C44),"",IF(ISBLANK(Arrangörslista!I$98),"",IF($GV10=AT$64," DNS ",IFERROR(VLOOKUP($F10,Arrangörslista!I$98:$AG$135,16,FALSE), "DNS")))), IF(Deltagarlista!$K$3=1,IF(ISBLANK(Deltagarlista!$C44),"",IF(ISBLANK(Arrangörslista!I$98),"",IFERROR(VLOOKUP($F10,Arrangörslista!I$98:$AG$135,16,FALSE), "DNS"))),""))</f>
        <v/>
      </c>
      <c r="AU10" s="5" t="str">
        <f>IF(Deltagarlista!$K$3=2,
IF(ISBLANK(Deltagarlista!$C44),"",IF(ISBLANK(Arrangörslista!J$98),"",IF($GV10=AU$64," DNS ",IFERROR(VLOOKUP($F10,Arrangörslista!J$98:$AG$135,16,FALSE), "DNS")))), IF(Deltagarlista!$K$3=1,IF(ISBLANK(Deltagarlista!$C44),"",IF(ISBLANK(Arrangörslista!J$98),"",IFERROR(VLOOKUP($F10,Arrangörslista!J$98:$AG$135,16,FALSE), "DNS"))),""))</f>
        <v/>
      </c>
      <c r="AV10" s="5" t="str">
        <f>IF(Deltagarlista!$K$3=2,
IF(ISBLANK(Deltagarlista!$C44),"",IF(ISBLANK(Arrangörslista!K$98),"",IF($GV10=AV$64," DNS ",IFERROR(VLOOKUP($F10,Arrangörslista!K$98:$AG$135,16,FALSE), "DNS")))), IF(Deltagarlista!$K$3=1,IF(ISBLANK(Deltagarlista!$C44),"",IF(ISBLANK(Arrangörslista!K$98),"",IFERROR(VLOOKUP($F10,Arrangörslista!K$98:$AG$135,16,FALSE), "DNS"))),""))</f>
        <v/>
      </c>
      <c r="AW10" s="5" t="str">
        <f>IF(Deltagarlista!$K$3=2,
IF(ISBLANK(Deltagarlista!$C44),"",IF(ISBLANK(Arrangörslista!L$98),"",IF($GV10=AW$64," DNS ",IFERROR(VLOOKUP($F10,Arrangörslista!L$98:$AG$135,16,FALSE), "DNS")))), IF(Deltagarlista!$K$3=1,IF(ISBLANK(Deltagarlista!$C44),"",IF(ISBLANK(Arrangörslista!L$98),"",IFERROR(VLOOKUP($F10,Arrangörslista!L$98:$AG$135,16,FALSE), "DNS"))),""))</f>
        <v/>
      </c>
      <c r="AX10" s="5" t="str">
        <f>IF(Deltagarlista!$K$3=2,
IF(ISBLANK(Deltagarlista!$C44),"",IF(ISBLANK(Arrangörslista!M$98),"",IF($GV10=AX$64," DNS ",IFERROR(VLOOKUP($F10,Arrangörslista!M$98:$AG$135,16,FALSE), "DNS")))), IF(Deltagarlista!$K$3=1,IF(ISBLANK(Deltagarlista!$C44),"",IF(ISBLANK(Arrangörslista!M$98),"",IFERROR(VLOOKUP($F10,Arrangörslista!M$98:$AG$135,16,FALSE), "DNS"))),""))</f>
        <v/>
      </c>
      <c r="AY10" s="5" t="str">
        <f>IF(Deltagarlista!$K$3=2,
IF(ISBLANK(Deltagarlista!$C44),"",IF(ISBLANK(Arrangörslista!N$98),"",IF($GV10=AY$64," DNS ",IFERROR(VLOOKUP($F10,Arrangörslista!N$98:$AG$135,16,FALSE), "DNS")))), IF(Deltagarlista!$K$3=1,IF(ISBLANK(Deltagarlista!$C44),"",IF(ISBLANK(Arrangörslista!N$98),"",IFERROR(VLOOKUP($F10,Arrangörslista!N$98:$AG$135,16,FALSE), "DNS"))),""))</f>
        <v/>
      </c>
      <c r="AZ10" s="5" t="str">
        <f>IF(Deltagarlista!$K$3=2,
IF(ISBLANK(Deltagarlista!$C44),"",IF(ISBLANK(Arrangörslista!O$98),"",IF($GV10=AZ$64," DNS ",IFERROR(VLOOKUP($F10,Arrangörslista!O$98:$AG$135,16,FALSE), "DNS")))), IF(Deltagarlista!$K$3=1,IF(ISBLANK(Deltagarlista!$C44),"",IF(ISBLANK(Arrangörslista!O$98),"",IFERROR(VLOOKUP($F10,Arrangörslista!O$98:$AG$135,16,FALSE), "DNS"))),""))</f>
        <v/>
      </c>
      <c r="BA10" s="5" t="str">
        <f>IF(Deltagarlista!$K$3=2,
IF(ISBLANK(Deltagarlista!$C44),"",IF(ISBLANK(Arrangörslista!P$98),"",IF($GV10=BA$64," DNS ",IFERROR(VLOOKUP($F10,Arrangörslista!P$98:$AG$135,16,FALSE), "DNS")))), IF(Deltagarlista!$K$3=1,IF(ISBLANK(Deltagarlista!$C44),"",IF(ISBLANK(Arrangörslista!P$98),"",IFERROR(VLOOKUP($F10,Arrangörslista!P$98:$AG$135,16,FALSE), "DNS"))),""))</f>
        <v/>
      </c>
      <c r="BB10" s="5" t="str">
        <f>IF(Deltagarlista!$K$3=2,
IF(ISBLANK(Deltagarlista!$C44),"",IF(ISBLANK(Arrangörslista!Q$98),"",IF($GV10=BB$64," DNS ",IFERROR(VLOOKUP($F10,Arrangörslista!Q$98:$AG$135,16,FALSE), "DNS")))), IF(Deltagarlista!$K$3=1,IF(ISBLANK(Deltagarlista!$C44),"",IF(ISBLANK(Arrangörslista!Q$98),"",IFERROR(VLOOKUP($F10,Arrangörslista!Q$98:$AG$135,16,FALSE), "DNS"))),""))</f>
        <v/>
      </c>
      <c r="BC10" s="5" t="str">
        <f>IF(Deltagarlista!$K$3=2,
IF(ISBLANK(Deltagarlista!$C44),"",IF(ISBLANK(Arrangörslista!C$143),"",IF($GV10=BC$64," DNS ",IFERROR(VLOOKUP($F10,Arrangörslista!C$143:$AG$180,16,FALSE), "DNS")))), IF(Deltagarlista!$K$3=1,IF(ISBLANK(Deltagarlista!$C44),"",IF(ISBLANK(Arrangörslista!C$143),"",IFERROR(VLOOKUP($F10,Arrangörslista!C$143:$AG$180,16,FALSE), "DNS"))),""))</f>
        <v/>
      </c>
      <c r="BD10" s="5" t="str">
        <f>IF(Deltagarlista!$K$3=2,
IF(ISBLANK(Deltagarlista!$C44),"",IF(ISBLANK(Arrangörslista!D$143),"",IF($GV10=BD$64," DNS ",IFERROR(VLOOKUP($F10,Arrangörslista!D$143:$AG$180,16,FALSE), "DNS")))), IF(Deltagarlista!$K$3=1,IF(ISBLANK(Deltagarlista!$C44),"",IF(ISBLANK(Arrangörslista!D$143),"",IFERROR(VLOOKUP($F10,Arrangörslista!D$143:$AG$180,16,FALSE), "DNS"))),""))</f>
        <v/>
      </c>
      <c r="BE10" s="5" t="str">
        <f>IF(Deltagarlista!$K$3=2,
IF(ISBLANK(Deltagarlista!$C44),"",IF(ISBLANK(Arrangörslista!E$143),"",IF($GV10=BE$64," DNS ",IFERROR(VLOOKUP($F10,Arrangörslista!E$143:$AG$180,16,FALSE), "DNS")))), IF(Deltagarlista!$K$3=1,IF(ISBLANK(Deltagarlista!$C44),"",IF(ISBLANK(Arrangörslista!E$143),"",IFERROR(VLOOKUP($F10,Arrangörslista!E$143:$AG$180,16,FALSE), "DNS"))),""))</f>
        <v/>
      </c>
      <c r="BF10" s="5" t="str">
        <f>IF(Deltagarlista!$K$3=2,
IF(ISBLANK(Deltagarlista!$C44),"",IF(ISBLANK(Arrangörslista!F$143),"",IF($GV10=BF$64," DNS ",IFERROR(VLOOKUP($F10,Arrangörslista!F$143:$AG$180,16,FALSE), "DNS")))), IF(Deltagarlista!$K$3=1,IF(ISBLANK(Deltagarlista!$C44),"",IF(ISBLANK(Arrangörslista!F$143),"",IFERROR(VLOOKUP($F10,Arrangörslista!F$143:$AG$180,16,FALSE), "DNS"))),""))</f>
        <v/>
      </c>
      <c r="BG10" s="5" t="str">
        <f>IF(Deltagarlista!$K$3=2,
IF(ISBLANK(Deltagarlista!$C44),"",IF(ISBLANK(Arrangörslista!G$143),"",IF($GV10=BG$64," DNS ",IFERROR(VLOOKUP($F10,Arrangörslista!G$143:$AG$180,16,FALSE), "DNS")))), IF(Deltagarlista!$K$3=1,IF(ISBLANK(Deltagarlista!$C44),"",IF(ISBLANK(Arrangörslista!G$143),"",IFERROR(VLOOKUP($F10,Arrangörslista!G$143:$AG$180,16,FALSE), "DNS"))),""))</f>
        <v/>
      </c>
      <c r="BH10" s="5" t="str">
        <f>IF(Deltagarlista!$K$3=2,
IF(ISBLANK(Deltagarlista!$C44),"",IF(ISBLANK(Arrangörslista!H$143),"",IF($GV10=BH$64," DNS ",IFERROR(VLOOKUP($F10,Arrangörslista!H$143:$AG$180,16,FALSE), "DNS")))), IF(Deltagarlista!$K$3=1,IF(ISBLANK(Deltagarlista!$C44),"",IF(ISBLANK(Arrangörslista!H$143),"",IFERROR(VLOOKUP($F10,Arrangörslista!H$143:$AG$180,16,FALSE), "DNS"))),""))</f>
        <v/>
      </c>
      <c r="BI10" s="5" t="str">
        <f>IF(Deltagarlista!$K$3=2,
IF(ISBLANK(Deltagarlista!$C44),"",IF(ISBLANK(Arrangörslista!I$143),"",IF($GV10=BI$64," DNS ",IFERROR(VLOOKUP($F10,Arrangörslista!I$143:$AG$180,16,FALSE), "DNS")))), IF(Deltagarlista!$K$3=1,IF(ISBLANK(Deltagarlista!$C44),"",IF(ISBLANK(Arrangörslista!I$143),"",IFERROR(VLOOKUP($F10,Arrangörslista!I$143:$AG$180,16,FALSE), "DNS"))),""))</f>
        <v/>
      </c>
      <c r="BJ10" s="5" t="str">
        <f>IF(Deltagarlista!$K$3=2,
IF(ISBLANK(Deltagarlista!$C44),"",IF(ISBLANK(Arrangörslista!J$143),"",IF($GV10=BJ$64," DNS ",IFERROR(VLOOKUP($F10,Arrangörslista!J$143:$AG$180,16,FALSE), "DNS")))), IF(Deltagarlista!$K$3=1,IF(ISBLANK(Deltagarlista!$C44),"",IF(ISBLANK(Arrangörslista!J$143),"",IFERROR(VLOOKUP($F10,Arrangörslista!J$143:$AG$180,16,FALSE), "DNS"))),""))</f>
        <v/>
      </c>
      <c r="BK10" s="5" t="str">
        <f>IF(Deltagarlista!$K$3=2,
IF(ISBLANK(Deltagarlista!$C44),"",IF(ISBLANK(Arrangörslista!K$143),"",IF($GV10=BK$64," DNS ",IFERROR(VLOOKUP($F10,Arrangörslista!K$143:$AG$180,16,FALSE), "DNS")))), IF(Deltagarlista!$K$3=1,IF(ISBLANK(Deltagarlista!$C44),"",IF(ISBLANK(Arrangörslista!K$143),"",IFERROR(VLOOKUP($F10,Arrangörslista!K$143:$AG$180,16,FALSE), "DNS"))),""))</f>
        <v/>
      </c>
      <c r="BL10" s="5" t="str">
        <f>IF(Deltagarlista!$K$3=2,
IF(ISBLANK(Deltagarlista!$C44),"",IF(ISBLANK(Arrangörslista!L$143),"",IF($GV10=BL$64," DNS ",IFERROR(VLOOKUP($F10,Arrangörslista!L$143:$AG$180,16,FALSE), "DNS")))), IF(Deltagarlista!$K$3=1,IF(ISBLANK(Deltagarlista!$C44),"",IF(ISBLANK(Arrangörslista!L$143),"",IFERROR(VLOOKUP($F10,Arrangörslista!L$143:$AG$180,16,FALSE), "DNS"))),""))</f>
        <v/>
      </c>
      <c r="BM10" s="5" t="str">
        <f>IF(Deltagarlista!$K$3=2,
IF(ISBLANK(Deltagarlista!$C44),"",IF(ISBLANK(Arrangörslista!M$143),"",IF($GV10=BM$64," DNS ",IFERROR(VLOOKUP($F10,Arrangörslista!M$143:$AG$180,16,FALSE), "DNS")))), IF(Deltagarlista!$K$3=1,IF(ISBLANK(Deltagarlista!$C44),"",IF(ISBLANK(Arrangörslista!M$143),"",IFERROR(VLOOKUP($F10,Arrangörslista!M$143:$AG$180,16,FALSE), "DNS"))),""))</f>
        <v/>
      </c>
      <c r="BN10" s="5" t="str">
        <f>IF(Deltagarlista!$K$3=2,
IF(ISBLANK(Deltagarlista!$C44),"",IF(ISBLANK(Arrangörslista!N$143),"",IF($GV10=BN$64," DNS ",IFERROR(VLOOKUP($F10,Arrangörslista!N$143:$AG$180,16,FALSE), "DNS")))), IF(Deltagarlista!$K$3=1,IF(ISBLANK(Deltagarlista!$C44),"",IF(ISBLANK(Arrangörslista!N$143),"",IFERROR(VLOOKUP($F10,Arrangörslista!N$143:$AG$180,16,FALSE), "DNS"))),""))</f>
        <v/>
      </c>
      <c r="BO10" s="5" t="str">
        <f>IF(Deltagarlista!$K$3=2,
IF(ISBLANK(Deltagarlista!$C44),"",IF(ISBLANK(Arrangörslista!O$143),"",IF($GV10=BO$64," DNS ",IFERROR(VLOOKUP($F10,Arrangörslista!O$143:$AG$180,16,FALSE), "DNS")))), IF(Deltagarlista!$K$3=1,IF(ISBLANK(Deltagarlista!$C44),"",IF(ISBLANK(Arrangörslista!O$143),"",IFERROR(VLOOKUP($F10,Arrangörslista!O$143:$AG$180,16,FALSE), "DNS"))),""))</f>
        <v/>
      </c>
      <c r="BP10" s="5" t="str">
        <f>IF(Deltagarlista!$K$3=2,
IF(ISBLANK(Deltagarlista!$C44),"",IF(ISBLANK(Arrangörslista!P$143),"",IF($GV10=BP$64," DNS ",IFERROR(VLOOKUP($F10,Arrangörslista!P$143:$AG$180,16,FALSE), "DNS")))), IF(Deltagarlista!$K$3=1,IF(ISBLANK(Deltagarlista!$C44),"",IF(ISBLANK(Arrangörslista!P$143),"",IFERROR(VLOOKUP($F10,Arrangörslista!P$143:$AG$180,16,FALSE), "DNS"))),""))</f>
        <v/>
      </c>
      <c r="BQ10" s="80" t="str">
        <f>IF(Deltagarlista!$K$3=2,
IF(ISBLANK(Deltagarlista!$C44),"",IF(ISBLANK(Arrangörslista!Q$143),"",IF($GV10=BQ$64," DNS ",IFERROR(VLOOKUP($F10,Arrangörslista!Q$143:$AG$180,16,FALSE), "DNS")))), IF(Deltagarlista!$K$3=1,IF(ISBLANK(Deltagarlista!$C44),"",IF(ISBLANK(Arrangörslista!Q$143),"",IFERROR(VLOOKUP($F10,Arrangörslista!Q$143:$AG$180,16,FALSE), "DNS"))),""))</f>
        <v/>
      </c>
      <c r="BR10" s="48"/>
      <c r="BS10" s="50" t="str">
        <f t="shared" si="0"/>
        <v>2</v>
      </c>
      <c r="BU10" s="71">
        <f t="shared" si="1"/>
        <v>0</v>
      </c>
      <c r="BV10" s="61">
        <f t="shared" si="2"/>
        <v>0</v>
      </c>
      <c r="BW10" s="61">
        <f t="shared" si="3"/>
        <v>0</v>
      </c>
      <c r="BX10" s="61">
        <f t="shared" si="4"/>
        <v>0</v>
      </c>
      <c r="BY10" s="61">
        <f t="shared" si="5"/>
        <v>0</v>
      </c>
      <c r="BZ10" s="61">
        <f t="shared" si="6"/>
        <v>0</v>
      </c>
      <c r="CA10" s="61">
        <f t="shared" si="7"/>
        <v>0</v>
      </c>
      <c r="CB10" s="61">
        <f t="shared" si="8"/>
        <v>0</v>
      </c>
      <c r="CC10" s="61">
        <f t="shared" si="9"/>
        <v>0</v>
      </c>
      <c r="CD10" s="61">
        <f t="shared" si="10"/>
        <v>0</v>
      </c>
      <c r="CE10" s="61">
        <f t="shared" si="11"/>
        <v>0</v>
      </c>
      <c r="CF10" s="61">
        <f t="shared" si="12"/>
        <v>0</v>
      </c>
      <c r="CG10" s="61">
        <f t="shared" si="13"/>
        <v>0</v>
      </c>
      <c r="CH10" s="61">
        <f t="shared" si="14"/>
        <v>0</v>
      </c>
      <c r="CI10" s="61">
        <f t="shared" si="15"/>
        <v>0</v>
      </c>
      <c r="CJ10" s="61">
        <f t="shared" si="16"/>
        <v>0</v>
      </c>
      <c r="CK10" s="61">
        <f t="shared" si="17"/>
        <v>0</v>
      </c>
      <c r="CL10" s="61">
        <f t="shared" si="18"/>
        <v>0</v>
      </c>
      <c r="CM10" s="61">
        <f t="shared" si="19"/>
        <v>0</v>
      </c>
      <c r="CN10" s="61">
        <f t="shared" si="20"/>
        <v>0</v>
      </c>
      <c r="CO10" s="61">
        <f t="shared" si="21"/>
        <v>0</v>
      </c>
      <c r="CP10" s="61">
        <f t="shared" si="22"/>
        <v>0</v>
      </c>
      <c r="CQ10" s="61">
        <f t="shared" si="23"/>
        <v>0</v>
      </c>
      <c r="CR10" s="61">
        <f t="shared" si="24"/>
        <v>0</v>
      </c>
      <c r="CS10" s="61">
        <f t="shared" si="25"/>
        <v>0</v>
      </c>
      <c r="CT10" s="61">
        <f t="shared" si="26"/>
        <v>0</v>
      </c>
      <c r="CU10" s="61">
        <f t="shared" si="27"/>
        <v>0</v>
      </c>
      <c r="CV10" s="61">
        <f t="shared" si="28"/>
        <v>0</v>
      </c>
      <c r="CW10" s="61">
        <f t="shared" si="29"/>
        <v>0</v>
      </c>
      <c r="CX10" s="61">
        <f t="shared" si="30"/>
        <v>0</v>
      </c>
      <c r="CY10" s="61">
        <f t="shared" si="31"/>
        <v>0</v>
      </c>
      <c r="CZ10" s="61">
        <f t="shared" si="32"/>
        <v>0</v>
      </c>
      <c r="DA10" s="61">
        <f t="shared" si="33"/>
        <v>0</v>
      </c>
      <c r="DB10" s="61">
        <f t="shared" si="34"/>
        <v>0</v>
      </c>
      <c r="DC10" s="61">
        <f t="shared" si="35"/>
        <v>0</v>
      </c>
      <c r="DD10" s="61">
        <f t="shared" si="36"/>
        <v>0</v>
      </c>
      <c r="DE10" s="61">
        <f t="shared" si="37"/>
        <v>0</v>
      </c>
      <c r="DF10" s="61">
        <f t="shared" si="38"/>
        <v>0</v>
      </c>
      <c r="DG10" s="61">
        <f t="shared" si="39"/>
        <v>0</v>
      </c>
      <c r="DH10" s="61">
        <f t="shared" si="40"/>
        <v>0</v>
      </c>
      <c r="DI10" s="61">
        <f t="shared" si="41"/>
        <v>0</v>
      </c>
      <c r="DJ10" s="61">
        <f t="shared" si="42"/>
        <v>0</v>
      </c>
      <c r="DK10" s="61">
        <f t="shared" si="43"/>
        <v>0</v>
      </c>
      <c r="DL10" s="61">
        <f t="shared" si="44"/>
        <v>0</v>
      </c>
      <c r="DM10" s="61">
        <f t="shared" si="45"/>
        <v>0</v>
      </c>
      <c r="DN10" s="61">
        <f t="shared" si="46"/>
        <v>0</v>
      </c>
      <c r="DO10" s="61">
        <f t="shared" si="47"/>
        <v>0</v>
      </c>
      <c r="DP10" s="61">
        <f t="shared" si="48"/>
        <v>0</v>
      </c>
      <c r="DQ10" s="61">
        <f t="shared" si="49"/>
        <v>0</v>
      </c>
      <c r="DR10" s="61">
        <f t="shared" si="50"/>
        <v>0</v>
      </c>
      <c r="DS10" s="61">
        <f t="shared" si="51"/>
        <v>0</v>
      </c>
      <c r="DT10" s="61">
        <f t="shared" si="52"/>
        <v>0</v>
      </c>
      <c r="DU10" s="61">
        <f t="shared" si="53"/>
        <v>0</v>
      </c>
      <c r="DV10" s="61">
        <f t="shared" si="54"/>
        <v>0</v>
      </c>
      <c r="DW10" s="61">
        <f t="shared" si="55"/>
        <v>0</v>
      </c>
      <c r="DX10" s="61">
        <f t="shared" si="56"/>
        <v>0</v>
      </c>
      <c r="DY10" s="61">
        <f t="shared" si="57"/>
        <v>0</v>
      </c>
      <c r="DZ10" s="61">
        <f t="shared" si="58"/>
        <v>0</v>
      </c>
      <c r="EA10" s="61">
        <f t="shared" si="59"/>
        <v>0</v>
      </c>
      <c r="EB10" s="61">
        <f t="shared" si="60"/>
        <v>0</v>
      </c>
      <c r="EC10" s="61">
        <f t="shared" si="61"/>
        <v>0</v>
      </c>
      <c r="EE10" s="61">
        <f xml:space="preserve">
IF(OR(Deltagarlista!$K$3=3,Deltagarlista!$K$3=4),
IF(Arrangörslista!$U$5&lt;8,0,
IF(Arrangörslista!$U$5&lt;16,SUM(LARGE(BV10:CJ10,1)),
IF(Arrangörslista!$U$5&lt;24,SUM(LARGE(BV10:CR10,{1;2})),
IF(Arrangörslista!$U$5&lt;32,SUM(LARGE(BV10:CZ10,{1;2;3})),
IF(Arrangörslista!$U$5&lt;40,SUM(LARGE(BV10:DH10,{1;2;3;4})),
IF(Arrangörslista!$U$5&lt;48,SUM(LARGE(BV10:DP10,{1;2;3;4;5})),
IF(Arrangörslista!$U$5&lt;56,SUM(LARGE(BV10:DX10,{1;2;3;4;5;6})),
IF(Arrangörslista!$U$5&lt;64,SUM(LARGE(BV10:EC10,{1;2;3;4;5;6;7})),0)))))))),
IF(Deltagarlista!$K$3=2,
IF(Arrangörslista!$U$5&lt;4,LARGE(BV10:BX10,1),
IF(Arrangörslista!$U$5&lt;7,SUM(LARGE(BV10:CA10,{1;2;3})),
IF(Arrangörslista!$U$5&lt;10,SUM(LARGE(BV10:CD10,{1;2;3;4})),
IF(Arrangörslista!$U$5&lt;13,SUM(LARGE(BV10:CG10,{1;2;3;4;5;6})),
IF(Arrangörslista!$U$5&lt;16,SUM(LARGE(BV10:CJ10,{1;2;3;4;5;6;7})),
IF(Arrangörslista!$U$5&lt;19,SUM(LARGE(BV10:CM10,{1;2;3;4;5;6;7;8;9})),
IF(Arrangörslista!$U$5&lt;22,SUM(LARGE(BV10:CP10,{1;2;3;4;5;6;7;8;9;10})),
IF(Arrangörslista!$U$5&lt;25,SUM(LARGE(BV10:CS10,{1;2;3;4;5;6;7;8;9;10;11;12})),
IF(Arrangörslista!$U$5&lt;28,SUM(LARGE(BV10:CV10,{1;2;3;4;5;6;7;8;9;10;11;12;13})),
IF(Arrangörslista!$U$5&lt;31,SUM(LARGE(BV10:CY10,{1;2;3;4;5;6;7;8;9;10;11;12;13;14;15})),
IF(Arrangörslista!$U$5&lt;34,SUM(LARGE(BV10:DB10,{1;2;3;4;5;6;7;8;9;10;11;12;13;14;15;16})),
IF(Arrangörslista!$U$5&lt;37,SUM(LARGE(BV10:DE10,{1;2;3;4;5;6;7;8;9;10;11;12;13;14;15;16;17;18})),
IF(Arrangörslista!$U$5&lt;40,SUM(LARGE(BV10:DH10,{1;2;3;4;5;6;7;8;9;10;11;12;13;14;15;16;17;18;19})),
IF(Arrangörslista!$U$5&lt;43,SUM(LARGE(BV10:DK10,{1;2;3;4;5;6;7;8;9;10;11;12;13;14;15;16;17;18;19;20;21})),
IF(Arrangörslista!$U$5&lt;46,SUM(LARGE(BV10:DN10,{1;2;3;4;5;6;7;8;9;10;11;12;13;14;15;16;17;18;19;20;21;22})),
IF(Arrangörslista!$U$5&lt;49,SUM(LARGE(BV10:DQ10,{1;2;3;4;5;6;7;8;9;10;11;12;13;14;15;16;17;18;19;20;21;22;23;24})),
IF(Arrangörslista!$U$5&lt;52,SUM(LARGE(BV10:DT10,{1;2;3;4;5;6;7;8;9;10;11;12;13;14;15;16;17;18;19;20;21;22;23;24;25})),
IF(Arrangörslista!$U$5&lt;55,SUM(LARGE(BV10:DW10,{1;2;3;4;5;6;7;8;9;10;11;12;13;14;15;16;17;18;19;20;21;22;23;24;25;26;27})),
IF(Arrangörslista!$U$5&lt;58,SUM(LARGE(BV10:DZ10,{1;2;3;4;5;6;7;8;9;10;11;12;13;14;15;16;17;18;19;20;21;22;23;24;25;26;27;28})),
IF(Arrangörslista!$U$5&lt;61,SUM(LARGE(BV10:EC10,{1;2;3;4;5;6;7;8;9;10;11;12;13;14;15;16;17;18;19;20;21;22;23;24;25;26;27;28;29;30})),0)))))))))))))))))))),
IF(Arrangörslista!$U$5&lt;4,0,
IF(Arrangörslista!$U$5&lt;8,SUM(LARGE(BV10:CB10,1)),
IF(Arrangörslista!$U$5&lt;12,SUM(LARGE(BV10:CF10,{1;2})),
IF(Arrangörslista!$U$5&lt;16,SUM(LARGE(BV10:CJ10,{1;2;3})),
IF(Arrangörslista!$U$5&lt;20,SUM(LARGE(BV10:CN10,{1;2;3;4})),
IF(Arrangörslista!$U$5&lt;24,SUM(LARGE(BV10:CR10,{1;2;3;4;5})),
IF(Arrangörslista!$U$5&lt;28,SUM(LARGE(BV10:CV10,{1;2;3;4;5;6})),
IF(Arrangörslista!$U$5&lt;32,SUM(LARGE(BV10:CZ10,{1;2;3;4;5;6;7})),
IF(Arrangörslista!$U$5&lt;36,SUM(LARGE(BV10:DD10,{1;2;3;4;5;6;7;8})),
IF(Arrangörslista!$U$5&lt;40,SUM(LARGE(BV10:DH10,{1;2;3;4;5;6;7;8;9})),
IF(Arrangörslista!$U$5&lt;44,SUM(LARGE(BV10:DL10,{1;2;3;4;5;6;7;8;9;10})),
IF(Arrangörslista!$U$5&lt;48,SUM(LARGE(BV10:DP10,{1;2;3;4;5;6;7;8;9;10;11})),
IF(Arrangörslista!$U$5&lt;52,SUM(LARGE(BV10:DT10,{1;2;3;4;5;6;7;8;9;10;11;12})),
IF(Arrangörslista!$U$5&lt;56,SUM(LARGE(BV10:DX10,{1;2;3;4;5;6;7;8;9;10;11;12;13})),
IF(Arrangörslista!$U$5&lt;60,SUM(LARGE(BV10:EB10,{1;2;3;4;5;6;7;8;9;10;11;12;13;14})),
IF(Arrangörslista!$U$5=60,SUM(LARGE(BV10:EC10,{1;2;3;4;5;6;7;8;9;10;11;12;13;14;15})),0))))))))))))))))))</f>
        <v>0</v>
      </c>
      <c r="EG10" s="67">
        <f t="shared" si="62"/>
        <v>0</v>
      </c>
      <c r="EH10" s="61"/>
      <c r="EI10" s="61"/>
      <c r="EK10" s="62">
        <f t="shared" si="63"/>
        <v>61</v>
      </c>
      <c r="EL10" s="62">
        <f t="shared" si="64"/>
        <v>61</v>
      </c>
      <c r="EM10" s="62">
        <f t="shared" si="65"/>
        <v>61</v>
      </c>
      <c r="EN10" s="62">
        <f t="shared" si="66"/>
        <v>61</v>
      </c>
      <c r="EO10" s="62">
        <f t="shared" si="67"/>
        <v>61</v>
      </c>
      <c r="EP10" s="62">
        <f t="shared" si="68"/>
        <v>61</v>
      </c>
      <c r="EQ10" s="62">
        <f t="shared" si="69"/>
        <v>61</v>
      </c>
      <c r="ER10" s="62">
        <f t="shared" si="70"/>
        <v>61</v>
      </c>
      <c r="ES10" s="62">
        <f t="shared" si="71"/>
        <v>61</v>
      </c>
      <c r="ET10" s="62">
        <f t="shared" si="72"/>
        <v>61</v>
      </c>
      <c r="EU10" s="62">
        <f t="shared" si="73"/>
        <v>61</v>
      </c>
      <c r="EV10" s="62">
        <f t="shared" si="74"/>
        <v>61</v>
      </c>
      <c r="EW10" s="62">
        <f t="shared" si="75"/>
        <v>61</v>
      </c>
      <c r="EX10" s="62">
        <f t="shared" si="76"/>
        <v>61</v>
      </c>
      <c r="EY10" s="62">
        <f t="shared" si="77"/>
        <v>61</v>
      </c>
      <c r="EZ10" s="62">
        <f t="shared" si="78"/>
        <v>61</v>
      </c>
      <c r="FA10" s="62">
        <f t="shared" si="79"/>
        <v>61</v>
      </c>
      <c r="FB10" s="62">
        <f t="shared" si="80"/>
        <v>61</v>
      </c>
      <c r="FC10" s="62">
        <f t="shared" si="81"/>
        <v>61</v>
      </c>
      <c r="FD10" s="62">
        <f t="shared" si="82"/>
        <v>61</v>
      </c>
      <c r="FE10" s="62">
        <f t="shared" si="83"/>
        <v>61</v>
      </c>
      <c r="FF10" s="62">
        <f t="shared" si="84"/>
        <v>61</v>
      </c>
      <c r="FG10" s="62">
        <f t="shared" si="85"/>
        <v>61</v>
      </c>
      <c r="FH10" s="62">
        <f t="shared" si="86"/>
        <v>61</v>
      </c>
      <c r="FI10" s="62">
        <f t="shared" si="87"/>
        <v>61</v>
      </c>
      <c r="FJ10" s="62">
        <f t="shared" si="88"/>
        <v>61</v>
      </c>
      <c r="FK10" s="62">
        <f t="shared" si="89"/>
        <v>61</v>
      </c>
      <c r="FL10" s="62">
        <f t="shared" si="90"/>
        <v>61</v>
      </c>
      <c r="FM10" s="62">
        <f t="shared" si="91"/>
        <v>61</v>
      </c>
      <c r="FN10" s="62">
        <f t="shared" si="92"/>
        <v>61</v>
      </c>
      <c r="FO10" s="62">
        <f t="shared" si="93"/>
        <v>61</v>
      </c>
      <c r="FP10" s="62">
        <f t="shared" si="94"/>
        <v>61</v>
      </c>
      <c r="FQ10" s="62">
        <f t="shared" si="95"/>
        <v>61</v>
      </c>
      <c r="FR10" s="62">
        <f t="shared" si="96"/>
        <v>61</v>
      </c>
      <c r="FS10" s="62">
        <f t="shared" si="97"/>
        <v>61</v>
      </c>
      <c r="FT10" s="62">
        <f t="shared" si="98"/>
        <v>61</v>
      </c>
      <c r="FU10" s="62">
        <f t="shared" si="99"/>
        <v>61</v>
      </c>
      <c r="FV10" s="62">
        <f t="shared" si="100"/>
        <v>61</v>
      </c>
      <c r="FW10" s="62">
        <f t="shared" si="101"/>
        <v>61</v>
      </c>
      <c r="FX10" s="62">
        <f t="shared" si="102"/>
        <v>61</v>
      </c>
      <c r="FY10" s="62">
        <f t="shared" si="103"/>
        <v>61</v>
      </c>
      <c r="FZ10" s="62">
        <f t="shared" si="104"/>
        <v>61</v>
      </c>
      <c r="GA10" s="62">
        <f t="shared" si="105"/>
        <v>61</v>
      </c>
      <c r="GB10" s="62">
        <f t="shared" si="106"/>
        <v>61</v>
      </c>
      <c r="GC10" s="62">
        <f t="shared" si="107"/>
        <v>61</v>
      </c>
      <c r="GD10" s="62">
        <f t="shared" si="108"/>
        <v>61</v>
      </c>
      <c r="GE10" s="62">
        <f t="shared" si="109"/>
        <v>61</v>
      </c>
      <c r="GF10" s="62">
        <f t="shared" si="110"/>
        <v>61</v>
      </c>
      <c r="GG10" s="62">
        <f t="shared" si="111"/>
        <v>61</v>
      </c>
      <c r="GH10" s="62">
        <f t="shared" si="112"/>
        <v>61</v>
      </c>
      <c r="GI10" s="62">
        <f t="shared" si="113"/>
        <v>61</v>
      </c>
      <c r="GJ10" s="62">
        <f t="shared" si="114"/>
        <v>61</v>
      </c>
      <c r="GK10" s="62">
        <f t="shared" si="115"/>
        <v>61</v>
      </c>
      <c r="GL10" s="62">
        <f t="shared" si="116"/>
        <v>61</v>
      </c>
      <c r="GM10" s="62">
        <f t="shared" si="117"/>
        <v>61</v>
      </c>
      <c r="GN10" s="62">
        <f t="shared" si="118"/>
        <v>61</v>
      </c>
      <c r="GO10" s="62">
        <f t="shared" si="119"/>
        <v>61</v>
      </c>
      <c r="GP10" s="62">
        <f t="shared" si="120"/>
        <v>61</v>
      </c>
      <c r="GQ10" s="62">
        <f t="shared" si="121"/>
        <v>61</v>
      </c>
      <c r="GR10" s="62">
        <f t="shared" si="122"/>
        <v>61</v>
      </c>
      <c r="GT10" s="62">
        <f>IF(Deltagarlista!$K$3=2,
IF(GW10="1",
      IF(Arrangörslista!$U$5=1,J73,
IF(Arrangörslista!$U$5=2,K73,
IF(Arrangörslista!$U$5=3,L73,
IF(Arrangörslista!$U$5=4,M73,
IF(Arrangörslista!$U$5=5,N73,
IF(Arrangörslista!$U$5=6,O73,
IF(Arrangörslista!$U$5=7,P73,
IF(Arrangörslista!$U$5=8,Q73,
IF(Arrangörslista!$U$5=9,R73,
IF(Arrangörslista!$U$5=10,S73,
IF(Arrangörslista!$U$5=11,T73,
IF(Arrangörslista!$U$5=12,U73,
IF(Arrangörslista!$U$5=13,V73,
IF(Arrangörslista!$U$5=14,W73,
IF(Arrangörslista!$U$5=15,X73,
IF(Arrangörslista!$U$5=16,Y73,IF(Arrangörslista!$U$5=17,Z73,IF(Arrangörslista!$U$5=18,AA73,IF(Arrangörslista!$U$5=19,AB73,IF(Arrangörslista!$U$5=20,AC73,IF(Arrangörslista!$U$5=21,AD73,IF(Arrangörslista!$U$5=22,AE73,IF(Arrangörslista!$U$5=23,AF73, IF(Arrangörslista!$U$5=24,AG73, IF(Arrangörslista!$U$5=25,AH73, IF(Arrangörslista!$U$5=26,AI73, IF(Arrangörslista!$U$5=27,AJ73, IF(Arrangörslista!$U$5=28,AK73, IF(Arrangörslista!$U$5=29,AL73, IF(Arrangörslista!$U$5=30,AM73, IF(Arrangörslista!$U$5=31,AN73, IF(Arrangörslista!$U$5=32,AO73, IF(Arrangörslista!$U$5=33,AP73, IF(Arrangörslista!$U$5=34,AQ73, IF(Arrangörslista!$U$5=35,AR73, IF(Arrangörslista!$U$5=36,AS73, IF(Arrangörslista!$U$5=37,AT73, IF(Arrangörslista!$U$5=38,AU73, IF(Arrangörslista!$U$5=39,AV73, IF(Arrangörslista!$U$5=40,AW73, IF(Arrangörslista!$U$5=41,AX73, IF(Arrangörslista!$U$5=42,AY73, IF(Arrangörslista!$U$5=43,AZ73, IF(Arrangörslista!$U$5=44,BA73, IF(Arrangörslista!$U$5=45,BB73, IF(Arrangörslista!$U$5=46,BC73, IF(Arrangörslista!$U$5=47,BD73, IF(Arrangörslista!$U$5=48,BE73, IF(Arrangörslista!$U$5=49,BF73, IF(Arrangörslista!$U$5=50,BG73, IF(Arrangörslista!$U$5=51,BH73, IF(Arrangörslista!$U$5=52,BI73, IF(Arrangörslista!$U$5=53,BJ73, IF(Arrangörslista!$U$5=54,BK73, IF(Arrangörslista!$U$5=55,BL73, IF(Arrangörslista!$U$5=56,BM73, IF(Arrangörslista!$U$5=57,BN73, IF(Arrangörslista!$U$5=58,BO73, IF(Arrangörslista!$U$5=59,BP73, IF(Arrangörslista!$U$5=60,BQ73,0))))))))))))))))))))))))))))))))))))))))))))))))))))))))))))),IF(Deltagarlista!$K$3=4, IF(Arrangörslista!$U$5=1,J73,
IF(Arrangörslista!$U$5=2,J73,
IF(Arrangörslista!$U$5=3,K73,
IF(Arrangörslista!$U$5=4,K73,
IF(Arrangörslista!$U$5=5,L73,
IF(Arrangörslista!$U$5=6,L73,
IF(Arrangörslista!$U$5=7,M73,
IF(Arrangörslista!$U$5=8,M73,
IF(Arrangörslista!$U$5=9,N73,
IF(Arrangörslista!$U$5=10,N73,
IF(Arrangörslista!$U$5=11,O73,
IF(Arrangörslista!$U$5=12,O73,
IF(Arrangörslista!$U$5=13,P73,
IF(Arrangörslista!$U$5=14,P73,
IF(Arrangörslista!$U$5=15,Q73,
IF(Arrangörslista!$U$5=16,Q73,
IF(Arrangörslista!$U$5=17,R73,
IF(Arrangörslista!$U$5=18,R73,
IF(Arrangörslista!$U$5=19,S73,
IF(Arrangörslista!$U$5=20,S73,
IF(Arrangörslista!$U$5=21,T73,
IF(Arrangörslista!$U$5=22,T73,IF(Arrangörslista!$U$5=23,U73, IF(Arrangörslista!$U$5=24,U73, IF(Arrangörslista!$U$5=25,V73, IF(Arrangörslista!$U$5=26,V73, IF(Arrangörslista!$U$5=27,W73, IF(Arrangörslista!$U$5=28,W73, IF(Arrangörslista!$U$5=29,X73, IF(Arrangörslista!$U$5=30,X73, IF(Arrangörslista!$U$5=31,X73, IF(Arrangörslista!$U$5=32,Y73, IF(Arrangörslista!$U$5=33,AO73, IF(Arrangörslista!$U$5=34,Y73, IF(Arrangörslista!$U$5=35,Z73, IF(Arrangörslista!$U$5=36,AR73, IF(Arrangörslista!$U$5=37,Z73, IF(Arrangörslista!$U$5=38,AA73, IF(Arrangörslista!$U$5=39,AU73, IF(Arrangörslista!$U$5=40,AA73, IF(Arrangörslista!$U$5=41,AB73, IF(Arrangörslista!$U$5=42,AX73, IF(Arrangörslista!$U$5=43,AB73, IF(Arrangörslista!$U$5=44,AC73, IF(Arrangörslista!$U$5=45,BA73, IF(Arrangörslista!$U$5=46,AC73, IF(Arrangörslista!$U$5=47,AD73, IF(Arrangörslista!$U$5=48,BD73, IF(Arrangörslista!$U$5=49,AD73, IF(Arrangörslista!$U$5=50,AE73, IF(Arrangörslista!$U$5=51,BG73, IF(Arrangörslista!$U$5=52,AE73, IF(Arrangörslista!$U$5=53,AF73, IF(Arrangörslista!$U$5=54,BJ73, IF(Arrangörslista!$U$5=55,AF73, IF(Arrangörslista!$U$5=56,AG73, IF(Arrangörslista!$U$5=57,BM73, IF(Arrangörslista!$U$5=58,AG73, IF(Arrangörslista!$U$5=59,AH73, IF(Arrangörslista!$U$5=60,AH73,0)))))))))))))))))))))))))))))))))))))))))))))))))))))))))))),IF(Arrangörslista!$U$5=1,J73,
IF(Arrangörslista!$U$5=2,K73,
IF(Arrangörslista!$U$5=3,L73,
IF(Arrangörslista!$U$5=4,M73,
IF(Arrangörslista!$U$5=5,N73,
IF(Arrangörslista!$U$5=6,O73,
IF(Arrangörslista!$U$5=7,P73,
IF(Arrangörslista!$U$5=8,Q73,
IF(Arrangörslista!$U$5=9,R73,
IF(Arrangörslista!$U$5=10,S73,
IF(Arrangörslista!$U$5=11,T73,
IF(Arrangörslista!$U$5=12,U73,
IF(Arrangörslista!$U$5=13,V73,
IF(Arrangörslista!$U$5=14,W73,
IF(Arrangörslista!$U$5=15,X73,
IF(Arrangörslista!$U$5=16,Y73,IF(Arrangörslista!$U$5=17,Z73,IF(Arrangörslista!$U$5=18,AA73,IF(Arrangörslista!$U$5=19,AB73,IF(Arrangörslista!$U$5=20,AC73,IF(Arrangörslista!$U$5=21,AD73,IF(Arrangörslista!$U$5=22,AE73,IF(Arrangörslista!$U$5=23,AF73, IF(Arrangörslista!$U$5=24,AG73, IF(Arrangörslista!$U$5=25,AH73, IF(Arrangörslista!$U$5=26,AI73, IF(Arrangörslista!$U$5=27,AJ73, IF(Arrangörslista!$U$5=28,AK73, IF(Arrangörslista!$U$5=29,AL73, IF(Arrangörslista!$U$5=30,AM73, IF(Arrangörslista!$U$5=31,AN73, IF(Arrangörslista!$U$5=32,AO73, IF(Arrangörslista!$U$5=33,AP73, IF(Arrangörslista!$U$5=34,AQ73, IF(Arrangörslista!$U$5=35,AR73, IF(Arrangörslista!$U$5=36,AS73, IF(Arrangörslista!$U$5=37,AT73, IF(Arrangörslista!$U$5=38,AU73, IF(Arrangörslista!$U$5=39,AV73, IF(Arrangörslista!$U$5=40,AW73, IF(Arrangörslista!$U$5=41,AX73, IF(Arrangörslista!$U$5=42,AY73, IF(Arrangörslista!$U$5=43,AZ73, IF(Arrangörslista!$U$5=44,BA73, IF(Arrangörslista!$U$5=45,BB73, IF(Arrangörslista!$U$5=46,BC73, IF(Arrangörslista!$U$5=47,BD73, IF(Arrangörslista!$U$5=48,BE73, IF(Arrangörslista!$U$5=49,BF73, IF(Arrangörslista!$U$5=50,BG73, IF(Arrangörslista!$U$5=51,BH73, IF(Arrangörslista!$U$5=52,BI73, IF(Arrangörslista!$U$5=53,BJ73, IF(Arrangörslista!$U$5=54,BK73, IF(Arrangörslista!$U$5=55,BL73, IF(Arrangörslista!$U$5=56,BM73, IF(Arrangörslista!$U$5=57,BN73, IF(Arrangörslista!$U$5=58,BO73, IF(Arrangörslista!$U$5=59,BP73, IF(Arrangörslista!$U$5=60,BQ73,0))))))))))))))))))))))))))))))))))))))))))))))))))))))))))))
))</f>
        <v>0</v>
      </c>
      <c r="GV10" s="65" t="str">
        <f>IFERROR(IF(VLOOKUP(F10,Deltagarlista!$E$5:$I$64,5,FALSE)="Grön","Gr",IF(VLOOKUP(F10,Deltagarlista!$E$5:$I$64,5,FALSE)="Röd","R",IF(VLOOKUP(F10,Deltagarlista!$E$5:$I$64,5,FALSE)="Blå","B","Gu"))),"")</f>
        <v/>
      </c>
      <c r="GW10" s="62" t="str">
        <f t="shared" ref="GW10:GW63" si="124">IF(GV10="","",IF(AND($GX$2="R/B",OR(GV10="R",GV10="B")),"JA",IF(AND($GX$2="G/R",OR(GV10="R",GV10="G")),"JA",IF(AND($GX$2="G/B",OR(GV10="B",GV10="G")),"JA","NEJ"))))</f>
        <v/>
      </c>
    </row>
    <row r="11" spans="1:206" x14ac:dyDescent="0.3">
      <c r="B11" s="23" t="str">
        <f>IF((COUNTIF(Deltagarlista!$H$5:$H$64,"GM"))&gt;7,8,"")</f>
        <v/>
      </c>
      <c r="C11" s="92" t="str">
        <f>IF(ISBLANK(Deltagarlista!C61),"",Deltagarlista!C61)</f>
        <v/>
      </c>
      <c r="D11" s="109" t="str">
        <f>CONCATENATE(IF(Deltagarlista!H61="GM","GM   ",""), IF(OR(Deltagarlista!$K$3=4,Deltagarlista!$K$3=2),Deltagarlista!I61,""))</f>
        <v/>
      </c>
      <c r="E11" s="8" t="str">
        <f>IF(ISBLANK(Deltagarlista!D61),"",Deltagarlista!D61)</f>
        <v/>
      </c>
      <c r="F11" s="8" t="str">
        <f>IF(ISBLANK(Deltagarlista!E61),"",Deltagarlista!E61)</f>
        <v/>
      </c>
      <c r="G11" s="95" t="str">
        <f>IF(ISBLANK(Deltagarlista!F61),"",Deltagarlista!F61)</f>
        <v/>
      </c>
      <c r="H11" s="72" t="str">
        <f>IF(ISBLANK(Deltagarlista!C61),"",BU11-EE11)</f>
        <v/>
      </c>
      <c r="I11" s="13" t="str">
        <f>IF(ISBLANK(Deltagarlista!C61),"",IF(AND(Deltagarlista!$K$3=2,Deltagarlista!$L$3&lt;37),SUM(SUM(BV11:EC11)-(ROUNDDOWN(Arrangörslista!$U$5/3,1))*($BW$3+1)),SUM(BV11:EC11)))</f>
        <v/>
      </c>
      <c r="J11" s="79" t="str">
        <f>IF(Deltagarlista!$K$3=4,IF(ISBLANK(Deltagarlista!$C61),"",IF(ISBLANK(Arrangörslista!C$8),"",IFERROR(VLOOKUP($F11,Arrangörslista!C$8:$AG$45,16,FALSE),IF(ISBLANK(Deltagarlista!$C61),"",IF(ISBLANK(Arrangörslista!C$8),"",IFERROR(VLOOKUP($F11,Arrangörslista!D$8:$AG$45,16,FALSE),"DNS")))))),IF(Deltagarlista!$K$3=2,
IF(ISBLANK(Deltagarlista!$C61),"",IF(ISBLANK(Arrangörslista!C$8),"",IF($GV11=J$64," DNS ",IFERROR(VLOOKUP($F11,Arrangörslista!C$8:$AG$45,16,FALSE),"DNS")))),IF(ISBLANK(Deltagarlista!$C61),"",IF(ISBLANK(Arrangörslista!C$8),"",IFERROR(VLOOKUP($F11,Arrangörslista!C$8:$AG$45,16,FALSE),"DNS")))))</f>
        <v/>
      </c>
      <c r="K11" s="5" t="str">
        <f>IF(Deltagarlista!$K$3=4,IF(ISBLANK(Deltagarlista!$C61),"",IF(ISBLANK(Arrangörslista!E$8),"",IFERROR(VLOOKUP($F11,Arrangörslista!E$8:$AG$45,16,FALSE),IF(ISBLANK(Deltagarlista!$C61),"",IF(ISBLANK(Arrangörslista!E$8),"",IFERROR(VLOOKUP($F11,Arrangörslista!F$8:$AG$45,16,FALSE),"DNS")))))),IF(Deltagarlista!$K$3=2,
IF(ISBLANK(Deltagarlista!$C61),"",IF(ISBLANK(Arrangörslista!D$8),"",IF($GV11=K$64," DNS ",IFERROR(VLOOKUP($F11,Arrangörslista!D$8:$AG$45,16,FALSE),"DNS")))),IF(ISBLANK(Deltagarlista!$C61),"",IF(ISBLANK(Arrangörslista!D$8),"",IFERROR(VLOOKUP($F11,Arrangörslista!D$8:$AG$45,16,FALSE),"DNS")))))</f>
        <v/>
      </c>
      <c r="L11" s="5" t="str">
        <f>IF(Deltagarlista!$K$3=4,IF(ISBLANK(Deltagarlista!$C61),"",IF(ISBLANK(Arrangörslista!G$8),"",IFERROR(VLOOKUP($F11,Arrangörslista!G$8:$AG$45,16,FALSE),IF(ISBLANK(Deltagarlista!$C61),"",IF(ISBLANK(Arrangörslista!G$8),"",IFERROR(VLOOKUP($F11,Arrangörslista!H$8:$AG$45,16,FALSE),"DNS")))))),IF(Deltagarlista!$K$3=2,
IF(ISBLANK(Deltagarlista!$C61),"",IF(ISBLANK(Arrangörslista!E$8),"",IF($GV11=L$64," DNS ",IFERROR(VLOOKUP($F11,Arrangörslista!E$8:$AG$45,16,FALSE),"DNS")))),IF(ISBLANK(Deltagarlista!$C61),"",IF(ISBLANK(Arrangörslista!E$8),"",IFERROR(VLOOKUP($F11,Arrangörslista!E$8:$AG$45,16,FALSE),"DNS")))))</f>
        <v/>
      </c>
      <c r="M11" s="5" t="str">
        <f>IF(Deltagarlista!$K$3=4,IF(ISBLANK(Deltagarlista!$C61),"",IF(ISBLANK(Arrangörslista!I$8),"",IFERROR(VLOOKUP($F11,Arrangörslista!I$8:$AG$45,16,FALSE),IF(ISBLANK(Deltagarlista!$C61),"",IF(ISBLANK(Arrangörslista!I$8),"",IFERROR(VLOOKUP($F11,Arrangörslista!J$8:$AG$45,16,FALSE),"DNS")))))),IF(Deltagarlista!$K$3=2,
IF(ISBLANK(Deltagarlista!$C61),"",IF(ISBLANK(Arrangörslista!F$8),"",IF($GV11=M$64," DNS ",IFERROR(VLOOKUP($F11,Arrangörslista!F$8:$AG$45,16,FALSE),"DNS")))),IF(ISBLANK(Deltagarlista!$C61),"",IF(ISBLANK(Arrangörslista!F$8),"",IFERROR(VLOOKUP($F11,Arrangörslista!F$8:$AG$45,16,FALSE),"DNS")))))</f>
        <v/>
      </c>
      <c r="N11" s="5" t="str">
        <f>IF(Deltagarlista!$K$3=4,IF(ISBLANK(Deltagarlista!$C61),"",IF(ISBLANK(Arrangörslista!K$8),"",IFERROR(VLOOKUP($F11,Arrangörslista!K$8:$AG$45,16,FALSE),IF(ISBLANK(Deltagarlista!$C61),"",IF(ISBLANK(Arrangörslista!K$8),"",IFERROR(VLOOKUP($F11,Arrangörslista!L$8:$AG$45,16,FALSE),"DNS")))))),IF(Deltagarlista!$K$3=2,
IF(ISBLANK(Deltagarlista!$C61),"",IF(ISBLANK(Arrangörslista!G$8),"",IF($GV11=N$64," DNS ",IFERROR(VLOOKUP($F11,Arrangörslista!G$8:$AG$45,16,FALSE),"DNS")))),IF(ISBLANK(Deltagarlista!$C61),"",IF(ISBLANK(Arrangörslista!G$8),"",IFERROR(VLOOKUP($F11,Arrangörslista!G$8:$AG$45,16,FALSE),"DNS")))))</f>
        <v/>
      </c>
      <c r="O11" s="5" t="str">
        <f>IF(Deltagarlista!$K$3=4,IF(ISBLANK(Deltagarlista!$C61),"",IF(ISBLANK(Arrangörslista!M$8),"",IFERROR(VLOOKUP($F11,Arrangörslista!M$8:$AG$45,16,FALSE),IF(ISBLANK(Deltagarlista!$C61),"",IF(ISBLANK(Arrangörslista!M$8),"",IFERROR(VLOOKUP($F11,Arrangörslista!N$8:$AG$45,16,FALSE),"DNS")))))),IF(Deltagarlista!$K$3=2,
IF(ISBLANK(Deltagarlista!$C61),"",IF(ISBLANK(Arrangörslista!H$8),"",IF($GV11=O$64," DNS ",IFERROR(VLOOKUP($F11,Arrangörslista!H$8:$AG$45,16,FALSE),"DNS")))),IF(ISBLANK(Deltagarlista!$C61),"",IF(ISBLANK(Arrangörslista!H$8),"",IFERROR(VLOOKUP($F11,Arrangörslista!H$8:$AG$45,16,FALSE),"DNS")))))</f>
        <v/>
      </c>
      <c r="P11" s="5" t="str">
        <f>IF(Deltagarlista!$K$3=4,IF(ISBLANK(Deltagarlista!$C61),"",IF(ISBLANK(Arrangörslista!O$8),"",IFERROR(VLOOKUP($F11,Arrangörslista!O$8:$AG$45,16,FALSE),IF(ISBLANK(Deltagarlista!$C61),"",IF(ISBLANK(Arrangörslista!O$8),"",IFERROR(VLOOKUP($F11,Arrangörslista!P$8:$AG$45,16,FALSE),"DNS")))))),IF(Deltagarlista!$K$3=2,
IF(ISBLANK(Deltagarlista!$C61),"",IF(ISBLANK(Arrangörslista!I$8),"",IF($GV11=P$64," DNS ",IFERROR(VLOOKUP($F11,Arrangörslista!I$8:$AG$45,16,FALSE),"DNS")))),IF(ISBLANK(Deltagarlista!$C61),"",IF(ISBLANK(Arrangörslista!I$8),"",IFERROR(VLOOKUP($F11,Arrangörslista!I$8:$AG$45,16,FALSE),"DNS")))))</f>
        <v/>
      </c>
      <c r="Q11" s="5" t="str">
        <f>IF(Deltagarlista!$K$3=4,IF(ISBLANK(Deltagarlista!$C61),"",IF(ISBLANK(Arrangörslista!Q$8),"",IFERROR(VLOOKUP($F11,Arrangörslista!Q$8:$AG$45,16,FALSE),IF(ISBLANK(Deltagarlista!$C61),"",IF(ISBLANK(Arrangörslista!Q$8),"",IFERROR(VLOOKUP($F11,Arrangörslista!C$53:$AG$90,16,FALSE),"DNS")))))),IF(Deltagarlista!$K$3=2,
IF(ISBLANK(Deltagarlista!$C61),"",IF(ISBLANK(Arrangörslista!J$8),"",IF($GV11=Q$64," DNS ",IFERROR(VLOOKUP($F11,Arrangörslista!J$8:$AG$45,16,FALSE),"DNS")))),IF(ISBLANK(Deltagarlista!$C61),"",IF(ISBLANK(Arrangörslista!J$8),"",IFERROR(VLOOKUP($F11,Arrangörslista!J$8:$AG$45,16,FALSE),"DNS")))))</f>
        <v/>
      </c>
      <c r="R11" s="5" t="str">
        <f>IF(Deltagarlista!$K$3=4,IF(ISBLANK(Deltagarlista!$C61),"",IF(ISBLANK(Arrangörslista!D$53),"",IFERROR(VLOOKUP($F11,Arrangörslista!D$53:$AG$90,16,FALSE),IF(ISBLANK(Deltagarlista!$C61),"",IF(ISBLANK(Arrangörslista!D$53),"",IFERROR(VLOOKUP($F11,Arrangörslista!E$53:$AG$90,16,FALSE),"DNS")))))),IF(Deltagarlista!$K$3=2,
IF(ISBLANK(Deltagarlista!$C61),"",IF(ISBLANK(Arrangörslista!K$8),"",IF($GV11=R$64," DNS ",IFERROR(VLOOKUP($F11,Arrangörslista!K$8:$AG$45,16,FALSE),"DNS")))),IF(ISBLANK(Deltagarlista!$C61),"",IF(ISBLANK(Arrangörslista!K$8),"",IFERROR(VLOOKUP($F11,Arrangörslista!K$8:$AG$45,16,FALSE),"DNS")))))</f>
        <v/>
      </c>
      <c r="S11" s="5" t="str">
        <f>IF(Deltagarlista!$K$3=4,IF(ISBLANK(Deltagarlista!$C61),"",IF(ISBLANK(Arrangörslista!F$53),"",IFERROR(VLOOKUP($F11,Arrangörslista!F$53:$AG$90,16,FALSE),IF(ISBLANK(Deltagarlista!$C61),"",IF(ISBLANK(Arrangörslista!F$53),"",IFERROR(VLOOKUP($F11,Arrangörslista!G$53:$AG$90,16,FALSE),"DNS")))))),IF(Deltagarlista!$K$3=2,
IF(ISBLANK(Deltagarlista!$C61),"",IF(ISBLANK(Arrangörslista!L$8),"",IF($GV11=S$64," DNS ",IFERROR(VLOOKUP($F11,Arrangörslista!L$8:$AG$45,16,FALSE),"DNS")))),IF(ISBLANK(Deltagarlista!$C61),"",IF(ISBLANK(Arrangörslista!L$8),"",IFERROR(VLOOKUP($F11,Arrangörslista!L$8:$AG$45,16,FALSE),"DNS")))))</f>
        <v/>
      </c>
      <c r="T11" s="5" t="str">
        <f>IF(Deltagarlista!$K$3=4,IF(ISBLANK(Deltagarlista!$C61),"",IF(ISBLANK(Arrangörslista!H$53),"",IFERROR(VLOOKUP($F11,Arrangörslista!H$53:$AG$90,16,FALSE),IF(ISBLANK(Deltagarlista!$C61),"",IF(ISBLANK(Arrangörslista!H$53),"",IFERROR(VLOOKUP($F11,Arrangörslista!I$53:$AG$90,16,FALSE),"DNS")))))),IF(Deltagarlista!$K$3=2,
IF(ISBLANK(Deltagarlista!$C61),"",IF(ISBLANK(Arrangörslista!M$8),"",IF($GV11=T$64," DNS ",IFERROR(VLOOKUP($F11,Arrangörslista!M$8:$AG$45,16,FALSE),"DNS")))),IF(ISBLANK(Deltagarlista!$C61),"",IF(ISBLANK(Arrangörslista!M$8),"",IFERROR(VLOOKUP($F11,Arrangörslista!M$8:$AG$45,16,FALSE),"DNS")))))</f>
        <v/>
      </c>
      <c r="U11" s="5" t="str">
        <f>IF(Deltagarlista!$K$3=4,IF(ISBLANK(Deltagarlista!$C61),"",IF(ISBLANK(Arrangörslista!J$53),"",IFERROR(VLOOKUP($F11,Arrangörslista!J$53:$AG$90,16,FALSE),IF(ISBLANK(Deltagarlista!$C61),"",IF(ISBLANK(Arrangörslista!J$53),"",IFERROR(VLOOKUP($F11,Arrangörslista!K$53:$AG$90,16,FALSE),"DNS")))))),IF(Deltagarlista!$K$3=2,
IF(ISBLANK(Deltagarlista!$C61),"",IF(ISBLANK(Arrangörslista!N$8),"",IF($GV11=U$64," DNS ",IFERROR(VLOOKUP($F11,Arrangörslista!N$8:$AG$45,16,FALSE),"DNS")))),IF(ISBLANK(Deltagarlista!$C61),"",IF(ISBLANK(Arrangörslista!N$8),"",IFERROR(VLOOKUP($F11,Arrangörslista!N$8:$AG$45,16,FALSE),"DNS")))))</f>
        <v/>
      </c>
      <c r="V11" s="5" t="str">
        <f>IF(Deltagarlista!$K$3=4,IF(ISBLANK(Deltagarlista!$C61),"",IF(ISBLANK(Arrangörslista!L$53),"",IFERROR(VLOOKUP($F11,Arrangörslista!L$53:$AG$90,16,FALSE),IF(ISBLANK(Deltagarlista!$C61),"",IF(ISBLANK(Arrangörslista!L$53),"",IFERROR(VLOOKUP($F11,Arrangörslista!M$53:$AG$90,16,FALSE),"DNS")))))),IF(Deltagarlista!$K$3=2,
IF(ISBLANK(Deltagarlista!$C61),"",IF(ISBLANK(Arrangörslista!O$8),"",IF($GV11=V$64," DNS ",IFERROR(VLOOKUP($F11,Arrangörslista!O$8:$AG$45,16,FALSE),"DNS")))),IF(ISBLANK(Deltagarlista!$C61),"",IF(ISBLANK(Arrangörslista!O$8),"",IFERROR(VLOOKUP($F11,Arrangörslista!O$8:$AG$45,16,FALSE),"DNS")))))</f>
        <v/>
      </c>
      <c r="W11" s="5" t="str">
        <f>IF(Deltagarlista!$K$3=4,IF(ISBLANK(Deltagarlista!$C61),"",IF(ISBLANK(Arrangörslista!N$53),"",IFERROR(VLOOKUP($F11,Arrangörslista!N$53:$AG$90,16,FALSE),IF(ISBLANK(Deltagarlista!$C61),"",IF(ISBLANK(Arrangörslista!N$53),"",IFERROR(VLOOKUP($F11,Arrangörslista!O$53:$AG$90,16,FALSE),"DNS")))))),IF(Deltagarlista!$K$3=2,
IF(ISBLANK(Deltagarlista!$C61),"",IF(ISBLANK(Arrangörslista!P$8),"",IF($GV11=W$64," DNS ",IFERROR(VLOOKUP($F11,Arrangörslista!P$8:$AG$45,16,FALSE),"DNS")))),IF(ISBLANK(Deltagarlista!$C61),"",IF(ISBLANK(Arrangörslista!P$8),"",IFERROR(VLOOKUP($F11,Arrangörslista!P$8:$AG$45,16,FALSE),"DNS")))))</f>
        <v/>
      </c>
      <c r="X11" s="5" t="str">
        <f>IF(Deltagarlista!$K$3=4,IF(ISBLANK(Deltagarlista!$C61),"",IF(ISBLANK(Arrangörslista!P$53),"",IFERROR(VLOOKUP($F11,Arrangörslista!P$53:$AG$90,16,FALSE),IF(ISBLANK(Deltagarlista!$C61),"",IF(ISBLANK(Arrangörslista!P$53),"",IFERROR(VLOOKUP($F11,Arrangörslista!Q$53:$AG$90,16,FALSE),"DNS")))))),IF(Deltagarlista!$K$3=2,
IF(ISBLANK(Deltagarlista!$C61),"",IF(ISBLANK(Arrangörslista!Q$8),"",IF($GV11=X$64," DNS ",IFERROR(VLOOKUP($F11,Arrangörslista!Q$8:$AG$45,16,FALSE),"DNS")))),IF(ISBLANK(Deltagarlista!$C61),"",IF(ISBLANK(Arrangörslista!Q$8),"",IFERROR(VLOOKUP($F11,Arrangörslista!Q$8:$AG$45,16,FALSE),"DNS")))))</f>
        <v/>
      </c>
      <c r="Y11" s="5" t="str">
        <f>IF(Deltagarlista!$K$3=4,IF(ISBLANK(Deltagarlista!$C61),"",IF(ISBLANK(Arrangörslista!C$98),"",IFERROR(VLOOKUP($F11,Arrangörslista!C$98:$AG$135,16,FALSE),IF(ISBLANK(Deltagarlista!$C61),"",IF(ISBLANK(Arrangörslista!C$98),"",IFERROR(VLOOKUP($F11,Arrangörslista!D$98:$AG$135,16,FALSE),"DNS")))))),IF(Deltagarlista!$K$3=2,
IF(ISBLANK(Deltagarlista!$C61),"",IF(ISBLANK(Arrangörslista!C$53),"",IF($GV11=Y$64," DNS ",IFERROR(VLOOKUP($F11,Arrangörslista!C$53:$AG$90,16,FALSE),"DNS")))),IF(ISBLANK(Deltagarlista!$C61),"",IF(ISBLANK(Arrangörslista!C$53),"",IFERROR(VLOOKUP($F11,Arrangörslista!C$53:$AG$90,16,FALSE),"DNS")))))</f>
        <v/>
      </c>
      <c r="Z11" s="5" t="str">
        <f>IF(Deltagarlista!$K$3=4,IF(ISBLANK(Deltagarlista!$C61),"",IF(ISBLANK(Arrangörslista!E$98),"",IFERROR(VLOOKUP($F11,Arrangörslista!E$98:$AG$135,16,FALSE),IF(ISBLANK(Deltagarlista!$C61),"",IF(ISBLANK(Arrangörslista!E$98),"",IFERROR(VLOOKUP($F11,Arrangörslista!F$98:$AG$135,16,FALSE),"DNS")))))),IF(Deltagarlista!$K$3=2,
IF(ISBLANK(Deltagarlista!$C61),"",IF(ISBLANK(Arrangörslista!D$53),"",IF($GV11=Z$64," DNS ",IFERROR(VLOOKUP($F11,Arrangörslista!D$53:$AG$90,16,FALSE),"DNS")))),IF(ISBLANK(Deltagarlista!$C61),"",IF(ISBLANK(Arrangörslista!D$53),"",IFERROR(VLOOKUP($F11,Arrangörslista!D$53:$AG$90,16,FALSE),"DNS")))))</f>
        <v/>
      </c>
      <c r="AA11" s="5" t="str">
        <f>IF(Deltagarlista!$K$3=4,IF(ISBLANK(Deltagarlista!$C61),"",IF(ISBLANK(Arrangörslista!G$98),"",IFERROR(VLOOKUP($F11,Arrangörslista!G$98:$AG$135,16,FALSE),IF(ISBLANK(Deltagarlista!$C61),"",IF(ISBLANK(Arrangörslista!G$98),"",IFERROR(VLOOKUP($F11,Arrangörslista!H$98:$AG$135,16,FALSE),"DNS")))))),IF(Deltagarlista!$K$3=2,
IF(ISBLANK(Deltagarlista!$C61),"",IF(ISBLANK(Arrangörslista!E$53),"",IF($GV11=AA$64," DNS ",IFERROR(VLOOKUP($F11,Arrangörslista!E$53:$AG$90,16,FALSE),"DNS")))),IF(ISBLANK(Deltagarlista!$C61),"",IF(ISBLANK(Arrangörslista!E$53),"",IFERROR(VLOOKUP($F11,Arrangörslista!E$53:$AG$90,16,FALSE),"DNS")))))</f>
        <v/>
      </c>
      <c r="AB11" s="5" t="str">
        <f>IF(Deltagarlista!$K$3=4,IF(ISBLANK(Deltagarlista!$C61),"",IF(ISBLANK(Arrangörslista!I$98),"",IFERROR(VLOOKUP($F11,Arrangörslista!I$98:$AG$135,16,FALSE),IF(ISBLANK(Deltagarlista!$C61),"",IF(ISBLANK(Arrangörslista!I$98),"",IFERROR(VLOOKUP($F11,Arrangörslista!J$98:$AG$135,16,FALSE),"DNS")))))),IF(Deltagarlista!$K$3=2,
IF(ISBLANK(Deltagarlista!$C61),"",IF(ISBLANK(Arrangörslista!F$53),"",IF($GV11=AB$64," DNS ",IFERROR(VLOOKUP($F11,Arrangörslista!F$53:$AG$90,16,FALSE),"DNS")))),IF(ISBLANK(Deltagarlista!$C61),"",IF(ISBLANK(Arrangörslista!F$53),"",IFERROR(VLOOKUP($F11,Arrangörslista!F$53:$AG$90,16,FALSE),"DNS")))))</f>
        <v/>
      </c>
      <c r="AC11" s="5" t="str">
        <f>IF(Deltagarlista!$K$3=4,IF(ISBLANK(Deltagarlista!$C61),"",IF(ISBLANK(Arrangörslista!K$98),"",IFERROR(VLOOKUP($F11,Arrangörslista!K$98:$AG$135,16,FALSE),IF(ISBLANK(Deltagarlista!$C61),"",IF(ISBLANK(Arrangörslista!K$98),"",IFERROR(VLOOKUP($F11,Arrangörslista!L$98:$AG$135,16,FALSE),"DNS")))))),IF(Deltagarlista!$K$3=2,
IF(ISBLANK(Deltagarlista!$C61),"",IF(ISBLANK(Arrangörslista!G$53),"",IF($GV11=AC$64," DNS ",IFERROR(VLOOKUP($F11,Arrangörslista!G$53:$AG$90,16,FALSE),"DNS")))),IF(ISBLANK(Deltagarlista!$C61),"",IF(ISBLANK(Arrangörslista!G$53),"",IFERROR(VLOOKUP($F11,Arrangörslista!G$53:$AG$90,16,FALSE),"DNS")))))</f>
        <v/>
      </c>
      <c r="AD11" s="5" t="str">
        <f>IF(Deltagarlista!$K$3=4,IF(ISBLANK(Deltagarlista!$C61),"",IF(ISBLANK(Arrangörslista!M$98),"",IFERROR(VLOOKUP($F11,Arrangörslista!M$98:$AG$135,16,FALSE),IF(ISBLANK(Deltagarlista!$C61),"",IF(ISBLANK(Arrangörslista!M$98),"",IFERROR(VLOOKUP($F11,Arrangörslista!N$98:$AG$135,16,FALSE),"DNS")))))),IF(Deltagarlista!$K$3=2,
IF(ISBLANK(Deltagarlista!$C61),"",IF(ISBLANK(Arrangörslista!H$53),"",IF($GV11=AD$64," DNS ",IFERROR(VLOOKUP($F11,Arrangörslista!H$53:$AG$90,16,FALSE),"DNS")))),IF(ISBLANK(Deltagarlista!$C61),"",IF(ISBLANK(Arrangörslista!H$53),"",IFERROR(VLOOKUP($F11,Arrangörslista!H$53:$AG$90,16,FALSE),"DNS")))))</f>
        <v/>
      </c>
      <c r="AE11" s="5" t="str">
        <f>IF(Deltagarlista!$K$3=4,IF(ISBLANK(Deltagarlista!$C61),"",IF(ISBLANK(Arrangörslista!O$98),"",IFERROR(VLOOKUP($F11,Arrangörslista!O$98:$AG$135,16,FALSE),IF(ISBLANK(Deltagarlista!$C61),"",IF(ISBLANK(Arrangörslista!O$98),"",IFERROR(VLOOKUP($F11,Arrangörslista!P$98:$AG$135,16,FALSE),"DNS")))))),IF(Deltagarlista!$K$3=2,
IF(ISBLANK(Deltagarlista!$C61),"",IF(ISBLANK(Arrangörslista!I$53),"",IF($GV11=AE$64," DNS ",IFERROR(VLOOKUP($F11,Arrangörslista!I$53:$AG$90,16,FALSE),"DNS")))),IF(ISBLANK(Deltagarlista!$C61),"",IF(ISBLANK(Arrangörslista!I$53),"",IFERROR(VLOOKUP($F11,Arrangörslista!I$53:$AG$90,16,FALSE),"DNS")))))</f>
        <v/>
      </c>
      <c r="AF11" s="5" t="str">
        <f>IF(Deltagarlista!$K$3=4,IF(ISBLANK(Deltagarlista!$C61),"",IF(ISBLANK(Arrangörslista!Q$98),"",IFERROR(VLOOKUP($F11,Arrangörslista!Q$98:$AG$135,16,FALSE),IF(ISBLANK(Deltagarlista!$C61),"",IF(ISBLANK(Arrangörslista!Q$98),"",IFERROR(VLOOKUP($F11,Arrangörslista!C$143:$AG$180,16,FALSE),"DNS")))))),IF(Deltagarlista!$K$3=2,
IF(ISBLANK(Deltagarlista!$C61),"",IF(ISBLANK(Arrangörslista!J$53),"",IF($GV11=AF$64," DNS ",IFERROR(VLOOKUP($F11,Arrangörslista!J$53:$AG$90,16,FALSE),"DNS")))),IF(ISBLANK(Deltagarlista!$C61),"",IF(ISBLANK(Arrangörslista!J$53),"",IFERROR(VLOOKUP($F11,Arrangörslista!J$53:$AG$90,16,FALSE),"DNS")))))</f>
        <v/>
      </c>
      <c r="AG11" s="5" t="str">
        <f>IF(Deltagarlista!$K$3=4,IF(ISBLANK(Deltagarlista!$C61),"",IF(ISBLANK(Arrangörslista!D$143),"",IFERROR(VLOOKUP($F11,Arrangörslista!D$143:$AG$180,16,FALSE),IF(ISBLANK(Deltagarlista!$C61),"",IF(ISBLANK(Arrangörslista!D$143),"",IFERROR(VLOOKUP($F11,Arrangörslista!E$143:$AG$180,16,FALSE),"DNS")))))),IF(Deltagarlista!$K$3=2,
IF(ISBLANK(Deltagarlista!$C61),"",IF(ISBLANK(Arrangörslista!K$53),"",IF($GV11=AG$64," DNS ",IFERROR(VLOOKUP($F11,Arrangörslista!K$53:$AG$90,16,FALSE),"DNS")))),IF(ISBLANK(Deltagarlista!$C61),"",IF(ISBLANK(Arrangörslista!K$53),"",IFERROR(VLOOKUP($F11,Arrangörslista!K$53:$AG$90,16,FALSE),"DNS")))))</f>
        <v/>
      </c>
      <c r="AH11" s="5" t="str">
        <f>IF(Deltagarlista!$K$3=4,IF(ISBLANK(Deltagarlista!$C61),"",IF(ISBLANK(Arrangörslista!F$143),"",IFERROR(VLOOKUP($F11,Arrangörslista!F$143:$AG$180,16,FALSE),IF(ISBLANK(Deltagarlista!$C61),"",IF(ISBLANK(Arrangörslista!F$143),"",IFERROR(VLOOKUP($F11,Arrangörslista!G$143:$AG$180,16,FALSE),"DNS")))))),IF(Deltagarlista!$K$3=2,
IF(ISBLANK(Deltagarlista!$C61),"",IF(ISBLANK(Arrangörslista!L$53),"",IF($GV11=AH$64," DNS ",IFERROR(VLOOKUP($F11,Arrangörslista!L$53:$AG$90,16,FALSE),"DNS")))),IF(ISBLANK(Deltagarlista!$C61),"",IF(ISBLANK(Arrangörslista!L$53),"",IFERROR(VLOOKUP($F11,Arrangörslista!L$53:$AG$90,16,FALSE),"DNS")))))</f>
        <v/>
      </c>
      <c r="AI11" s="5" t="str">
        <f>IF(Deltagarlista!$K$3=4,IF(ISBLANK(Deltagarlista!$C61),"",IF(ISBLANK(Arrangörslista!H$143),"",IFERROR(VLOOKUP($F11,Arrangörslista!H$143:$AG$180,16,FALSE),IF(ISBLANK(Deltagarlista!$C61),"",IF(ISBLANK(Arrangörslista!H$143),"",IFERROR(VLOOKUP($F11,Arrangörslista!I$143:$AG$180,16,FALSE),"DNS")))))),IF(Deltagarlista!$K$3=2,
IF(ISBLANK(Deltagarlista!$C61),"",IF(ISBLANK(Arrangörslista!M$53),"",IF($GV11=AI$64," DNS ",IFERROR(VLOOKUP($F11,Arrangörslista!M$53:$AG$90,16,FALSE),"DNS")))),IF(ISBLANK(Deltagarlista!$C61),"",IF(ISBLANK(Arrangörslista!M$53),"",IFERROR(VLOOKUP($F11,Arrangörslista!M$53:$AG$90,16,FALSE),"DNS")))))</f>
        <v/>
      </c>
      <c r="AJ11" s="5" t="str">
        <f>IF(Deltagarlista!$K$3=4,IF(ISBLANK(Deltagarlista!$C61),"",IF(ISBLANK(Arrangörslista!J$143),"",IFERROR(VLOOKUP($F11,Arrangörslista!J$143:$AG$180,16,FALSE),IF(ISBLANK(Deltagarlista!$C61),"",IF(ISBLANK(Arrangörslista!J$143),"",IFERROR(VLOOKUP($F11,Arrangörslista!K$143:$AG$180,16,FALSE),"DNS")))))),IF(Deltagarlista!$K$3=2,
IF(ISBLANK(Deltagarlista!$C61),"",IF(ISBLANK(Arrangörslista!N$53),"",IF($GV11=AJ$64," DNS ",IFERROR(VLOOKUP($F11,Arrangörslista!N$53:$AG$90,16,FALSE),"DNS")))),IF(ISBLANK(Deltagarlista!$C61),"",IF(ISBLANK(Arrangörslista!N$53),"",IFERROR(VLOOKUP($F11,Arrangörslista!N$53:$AG$90,16,FALSE),"DNS")))))</f>
        <v/>
      </c>
      <c r="AK11" s="5" t="str">
        <f>IF(Deltagarlista!$K$3=4,IF(ISBLANK(Deltagarlista!$C61),"",IF(ISBLANK(Arrangörslista!L$143),"",IFERROR(VLOOKUP($F11,Arrangörslista!L$143:$AG$180,16,FALSE),IF(ISBLANK(Deltagarlista!$C61),"",IF(ISBLANK(Arrangörslista!L$143),"",IFERROR(VLOOKUP($F11,Arrangörslista!M$143:$AG$180,16,FALSE),"DNS")))))),IF(Deltagarlista!$K$3=2,
IF(ISBLANK(Deltagarlista!$C61),"",IF(ISBLANK(Arrangörslista!O$53),"",IF($GV11=AK$64," DNS ",IFERROR(VLOOKUP($F11,Arrangörslista!O$53:$AG$90,16,FALSE),"DNS")))),IF(ISBLANK(Deltagarlista!$C61),"",IF(ISBLANK(Arrangörslista!O$53),"",IFERROR(VLOOKUP($F11,Arrangörslista!O$53:$AG$90,16,FALSE),"DNS")))))</f>
        <v/>
      </c>
      <c r="AL11" s="5" t="str">
        <f>IF(Deltagarlista!$K$3=4,IF(ISBLANK(Deltagarlista!$C61),"",IF(ISBLANK(Arrangörslista!N$143),"",IFERROR(VLOOKUP($F11,Arrangörslista!N$143:$AG$180,16,FALSE),IF(ISBLANK(Deltagarlista!$C61),"",IF(ISBLANK(Arrangörslista!N$143),"",IFERROR(VLOOKUP($F11,Arrangörslista!O$143:$AG$180,16,FALSE),"DNS")))))),IF(Deltagarlista!$K$3=2,
IF(ISBLANK(Deltagarlista!$C61),"",IF(ISBLANK(Arrangörslista!P$53),"",IF($GV11=AL$64," DNS ",IFERROR(VLOOKUP($F11,Arrangörslista!P$53:$AG$90,16,FALSE),"DNS")))),IF(ISBLANK(Deltagarlista!$C61),"",IF(ISBLANK(Arrangörslista!P$53),"",IFERROR(VLOOKUP($F11,Arrangörslista!P$53:$AG$90,16,FALSE),"DNS")))))</f>
        <v/>
      </c>
      <c r="AM11" s="5" t="str">
        <f>IF(Deltagarlista!$K$3=4,IF(ISBLANK(Deltagarlista!$C61),"",IF(ISBLANK(Arrangörslista!P$143),"",IFERROR(VLOOKUP($F11,Arrangörslista!P$143:$AG$180,16,FALSE),IF(ISBLANK(Deltagarlista!$C61),"",IF(ISBLANK(Arrangörslista!P$143),"",IFERROR(VLOOKUP($F11,Arrangörslista!Q$143:$AG$180,16,FALSE),"DNS")))))),IF(Deltagarlista!$K$3=2,
IF(ISBLANK(Deltagarlista!$C61),"",IF(ISBLANK(Arrangörslista!Q$53),"",IF($GV11=AM$64," DNS ",IFERROR(VLOOKUP($F11,Arrangörslista!Q$53:$AG$90,16,FALSE),"DNS")))),IF(ISBLANK(Deltagarlista!$C61),"",IF(ISBLANK(Arrangörslista!Q$53),"",IFERROR(VLOOKUP($F11,Arrangörslista!Q$53:$AG$90,16,FALSE),"DNS")))))</f>
        <v/>
      </c>
      <c r="AN11" s="5" t="str">
        <f>IF(Deltagarlista!$K$3=2,
IF(ISBLANK(Deltagarlista!$C61),"",IF(ISBLANK(Arrangörslista!C$98),"",IF($GV11=AN$64," DNS ",IFERROR(VLOOKUP($F11,Arrangörslista!C$98:$AG$135,16,FALSE), "DNS")))), IF(Deltagarlista!$K$3=1,IF(ISBLANK(Deltagarlista!$C61),"",IF(ISBLANK(Arrangörslista!C$98),"",IFERROR(VLOOKUP($F11,Arrangörslista!C$98:$AG$135,16,FALSE), "DNS"))),""))</f>
        <v/>
      </c>
      <c r="AO11" s="5" t="str">
        <f>IF(Deltagarlista!$K$3=2,
IF(ISBLANK(Deltagarlista!$C61),"",IF(ISBLANK(Arrangörslista!D$98),"",IF($GV11=AO$64," DNS ",IFERROR(VLOOKUP($F11,Arrangörslista!D$98:$AG$135,16,FALSE), "DNS")))), IF(Deltagarlista!$K$3=1,IF(ISBLANK(Deltagarlista!$C61),"",IF(ISBLANK(Arrangörslista!D$98),"",IFERROR(VLOOKUP($F11,Arrangörslista!D$98:$AG$135,16,FALSE), "DNS"))),""))</f>
        <v/>
      </c>
      <c r="AP11" s="5" t="str">
        <f>IF(Deltagarlista!$K$3=2,
IF(ISBLANK(Deltagarlista!$C61),"",IF(ISBLANK(Arrangörslista!E$98),"",IF($GV11=AP$64," DNS ",IFERROR(VLOOKUP($F11,Arrangörslista!E$98:$AG$135,16,FALSE), "DNS")))), IF(Deltagarlista!$K$3=1,IF(ISBLANK(Deltagarlista!$C61),"",IF(ISBLANK(Arrangörslista!E$98),"",IFERROR(VLOOKUP($F11,Arrangörslista!E$98:$AG$135,16,FALSE), "DNS"))),""))</f>
        <v/>
      </c>
      <c r="AQ11" s="5" t="str">
        <f>IF(Deltagarlista!$K$3=2,
IF(ISBLANK(Deltagarlista!$C61),"",IF(ISBLANK(Arrangörslista!F$98),"",IF($GV11=AQ$64," DNS ",IFERROR(VLOOKUP($F11,Arrangörslista!F$98:$AG$135,16,FALSE), "DNS")))), IF(Deltagarlista!$K$3=1,IF(ISBLANK(Deltagarlista!$C61),"",IF(ISBLANK(Arrangörslista!F$98),"",IFERROR(VLOOKUP($F11,Arrangörslista!F$98:$AG$135,16,FALSE), "DNS"))),""))</f>
        <v/>
      </c>
      <c r="AR11" s="5" t="str">
        <f>IF(Deltagarlista!$K$3=2,
IF(ISBLANK(Deltagarlista!$C61),"",IF(ISBLANK(Arrangörslista!G$98),"",IF($GV11=AR$64," DNS ",IFERROR(VLOOKUP($F11,Arrangörslista!G$98:$AG$135,16,FALSE), "DNS")))), IF(Deltagarlista!$K$3=1,IF(ISBLANK(Deltagarlista!$C61),"",IF(ISBLANK(Arrangörslista!G$98),"",IFERROR(VLOOKUP($F11,Arrangörslista!G$98:$AG$135,16,FALSE), "DNS"))),""))</f>
        <v/>
      </c>
      <c r="AS11" s="5" t="str">
        <f>IF(Deltagarlista!$K$3=2,
IF(ISBLANK(Deltagarlista!$C61),"",IF(ISBLANK(Arrangörslista!H$98),"",IF($GV11=AS$64," DNS ",IFERROR(VLOOKUP($F11,Arrangörslista!H$98:$AG$135,16,FALSE), "DNS")))), IF(Deltagarlista!$K$3=1,IF(ISBLANK(Deltagarlista!$C61),"",IF(ISBLANK(Arrangörslista!H$98),"",IFERROR(VLOOKUP($F11,Arrangörslista!H$98:$AG$135,16,FALSE), "DNS"))),""))</f>
        <v/>
      </c>
      <c r="AT11" s="5" t="str">
        <f>IF(Deltagarlista!$K$3=2,
IF(ISBLANK(Deltagarlista!$C61),"",IF(ISBLANK(Arrangörslista!I$98),"",IF($GV11=AT$64," DNS ",IFERROR(VLOOKUP($F11,Arrangörslista!I$98:$AG$135,16,FALSE), "DNS")))), IF(Deltagarlista!$K$3=1,IF(ISBLANK(Deltagarlista!$C61),"",IF(ISBLANK(Arrangörslista!I$98),"",IFERROR(VLOOKUP($F11,Arrangörslista!I$98:$AG$135,16,FALSE), "DNS"))),""))</f>
        <v/>
      </c>
      <c r="AU11" s="5" t="str">
        <f>IF(Deltagarlista!$K$3=2,
IF(ISBLANK(Deltagarlista!$C61),"",IF(ISBLANK(Arrangörslista!J$98),"",IF($GV11=AU$64," DNS ",IFERROR(VLOOKUP($F11,Arrangörslista!J$98:$AG$135,16,FALSE), "DNS")))), IF(Deltagarlista!$K$3=1,IF(ISBLANK(Deltagarlista!$C61),"",IF(ISBLANK(Arrangörslista!J$98),"",IFERROR(VLOOKUP($F11,Arrangörslista!J$98:$AG$135,16,FALSE), "DNS"))),""))</f>
        <v/>
      </c>
      <c r="AV11" s="5" t="str">
        <f>IF(Deltagarlista!$K$3=2,
IF(ISBLANK(Deltagarlista!$C61),"",IF(ISBLANK(Arrangörslista!K$98),"",IF($GV11=AV$64," DNS ",IFERROR(VLOOKUP($F11,Arrangörslista!K$98:$AG$135,16,FALSE), "DNS")))), IF(Deltagarlista!$K$3=1,IF(ISBLANK(Deltagarlista!$C61),"",IF(ISBLANK(Arrangörslista!K$98),"",IFERROR(VLOOKUP($F11,Arrangörslista!K$98:$AG$135,16,FALSE), "DNS"))),""))</f>
        <v/>
      </c>
      <c r="AW11" s="5" t="str">
        <f>IF(Deltagarlista!$K$3=2,
IF(ISBLANK(Deltagarlista!$C61),"",IF(ISBLANK(Arrangörslista!L$98),"",IF($GV11=AW$64," DNS ",IFERROR(VLOOKUP($F11,Arrangörslista!L$98:$AG$135,16,FALSE), "DNS")))), IF(Deltagarlista!$K$3=1,IF(ISBLANK(Deltagarlista!$C61),"",IF(ISBLANK(Arrangörslista!L$98),"",IFERROR(VLOOKUP($F11,Arrangörslista!L$98:$AG$135,16,FALSE), "DNS"))),""))</f>
        <v/>
      </c>
      <c r="AX11" s="5" t="str">
        <f>IF(Deltagarlista!$K$3=2,
IF(ISBLANK(Deltagarlista!$C61),"",IF(ISBLANK(Arrangörslista!M$98),"",IF($GV11=AX$64," DNS ",IFERROR(VLOOKUP($F11,Arrangörslista!M$98:$AG$135,16,FALSE), "DNS")))), IF(Deltagarlista!$K$3=1,IF(ISBLANK(Deltagarlista!$C61),"",IF(ISBLANK(Arrangörslista!M$98),"",IFERROR(VLOOKUP($F11,Arrangörslista!M$98:$AG$135,16,FALSE), "DNS"))),""))</f>
        <v/>
      </c>
      <c r="AY11" s="5" t="str">
        <f>IF(Deltagarlista!$K$3=2,
IF(ISBLANK(Deltagarlista!$C61),"",IF(ISBLANK(Arrangörslista!N$98),"",IF($GV11=AY$64," DNS ",IFERROR(VLOOKUP($F11,Arrangörslista!N$98:$AG$135,16,FALSE), "DNS")))), IF(Deltagarlista!$K$3=1,IF(ISBLANK(Deltagarlista!$C61),"",IF(ISBLANK(Arrangörslista!N$98),"",IFERROR(VLOOKUP($F11,Arrangörslista!N$98:$AG$135,16,FALSE), "DNS"))),""))</f>
        <v/>
      </c>
      <c r="AZ11" s="5" t="str">
        <f>IF(Deltagarlista!$K$3=2,
IF(ISBLANK(Deltagarlista!$C61),"",IF(ISBLANK(Arrangörslista!O$98),"",IF($GV11=AZ$64," DNS ",IFERROR(VLOOKUP($F11,Arrangörslista!O$98:$AG$135,16,FALSE), "DNS")))), IF(Deltagarlista!$K$3=1,IF(ISBLANK(Deltagarlista!$C61),"",IF(ISBLANK(Arrangörslista!O$98),"",IFERROR(VLOOKUP($F11,Arrangörslista!O$98:$AG$135,16,FALSE), "DNS"))),""))</f>
        <v/>
      </c>
      <c r="BA11" s="5" t="str">
        <f>IF(Deltagarlista!$K$3=2,
IF(ISBLANK(Deltagarlista!$C61),"",IF(ISBLANK(Arrangörslista!P$98),"",IF($GV11=BA$64," DNS ",IFERROR(VLOOKUP($F11,Arrangörslista!P$98:$AG$135,16,FALSE), "DNS")))), IF(Deltagarlista!$K$3=1,IF(ISBLANK(Deltagarlista!$C61),"",IF(ISBLANK(Arrangörslista!P$98),"",IFERROR(VLOOKUP($F11,Arrangörslista!P$98:$AG$135,16,FALSE), "DNS"))),""))</f>
        <v/>
      </c>
      <c r="BB11" s="5" t="str">
        <f>IF(Deltagarlista!$K$3=2,
IF(ISBLANK(Deltagarlista!$C61),"",IF(ISBLANK(Arrangörslista!Q$98),"",IF($GV11=BB$64," DNS ",IFERROR(VLOOKUP($F11,Arrangörslista!Q$98:$AG$135,16,FALSE), "DNS")))), IF(Deltagarlista!$K$3=1,IF(ISBLANK(Deltagarlista!$C61),"",IF(ISBLANK(Arrangörslista!Q$98),"",IFERROR(VLOOKUP($F11,Arrangörslista!Q$98:$AG$135,16,FALSE), "DNS"))),""))</f>
        <v/>
      </c>
      <c r="BC11" s="5" t="str">
        <f>IF(Deltagarlista!$K$3=2,
IF(ISBLANK(Deltagarlista!$C61),"",IF(ISBLANK(Arrangörslista!C$143),"",IF($GV11=BC$64," DNS ",IFERROR(VLOOKUP($F11,Arrangörslista!C$143:$AG$180,16,FALSE), "DNS")))), IF(Deltagarlista!$K$3=1,IF(ISBLANK(Deltagarlista!$C61),"",IF(ISBLANK(Arrangörslista!C$143),"",IFERROR(VLOOKUP($F11,Arrangörslista!C$143:$AG$180,16,FALSE), "DNS"))),""))</f>
        <v/>
      </c>
      <c r="BD11" s="5" t="str">
        <f>IF(Deltagarlista!$K$3=2,
IF(ISBLANK(Deltagarlista!$C61),"",IF(ISBLANK(Arrangörslista!D$143),"",IF($GV11=BD$64," DNS ",IFERROR(VLOOKUP($F11,Arrangörslista!D$143:$AG$180,16,FALSE), "DNS")))), IF(Deltagarlista!$K$3=1,IF(ISBLANK(Deltagarlista!$C61),"",IF(ISBLANK(Arrangörslista!D$143),"",IFERROR(VLOOKUP($F11,Arrangörslista!D$143:$AG$180,16,FALSE), "DNS"))),""))</f>
        <v/>
      </c>
      <c r="BE11" s="5" t="str">
        <f>IF(Deltagarlista!$K$3=2,
IF(ISBLANK(Deltagarlista!$C61),"",IF(ISBLANK(Arrangörslista!E$143),"",IF($GV11=BE$64," DNS ",IFERROR(VLOOKUP($F11,Arrangörslista!E$143:$AG$180,16,FALSE), "DNS")))), IF(Deltagarlista!$K$3=1,IF(ISBLANK(Deltagarlista!$C61),"",IF(ISBLANK(Arrangörslista!E$143),"",IFERROR(VLOOKUP($F11,Arrangörslista!E$143:$AG$180,16,FALSE), "DNS"))),""))</f>
        <v/>
      </c>
      <c r="BF11" s="5" t="str">
        <f>IF(Deltagarlista!$K$3=2,
IF(ISBLANK(Deltagarlista!$C61),"",IF(ISBLANK(Arrangörslista!F$143),"",IF($GV11=BF$64," DNS ",IFERROR(VLOOKUP($F11,Arrangörslista!F$143:$AG$180,16,FALSE), "DNS")))), IF(Deltagarlista!$K$3=1,IF(ISBLANK(Deltagarlista!$C61),"",IF(ISBLANK(Arrangörslista!F$143),"",IFERROR(VLOOKUP($F11,Arrangörslista!F$143:$AG$180,16,FALSE), "DNS"))),""))</f>
        <v/>
      </c>
      <c r="BG11" s="5" t="str">
        <f>IF(Deltagarlista!$K$3=2,
IF(ISBLANK(Deltagarlista!$C61),"",IF(ISBLANK(Arrangörslista!G$143),"",IF($GV11=BG$64," DNS ",IFERROR(VLOOKUP($F11,Arrangörslista!G$143:$AG$180,16,FALSE), "DNS")))), IF(Deltagarlista!$K$3=1,IF(ISBLANK(Deltagarlista!$C61),"",IF(ISBLANK(Arrangörslista!G$143),"",IFERROR(VLOOKUP($F11,Arrangörslista!G$143:$AG$180,16,FALSE), "DNS"))),""))</f>
        <v/>
      </c>
      <c r="BH11" s="5" t="str">
        <f>IF(Deltagarlista!$K$3=2,
IF(ISBLANK(Deltagarlista!$C61),"",IF(ISBLANK(Arrangörslista!H$143),"",IF($GV11=BH$64," DNS ",IFERROR(VLOOKUP($F11,Arrangörslista!H$143:$AG$180,16,FALSE), "DNS")))), IF(Deltagarlista!$K$3=1,IF(ISBLANK(Deltagarlista!$C61),"",IF(ISBLANK(Arrangörslista!H$143),"",IFERROR(VLOOKUP($F11,Arrangörslista!H$143:$AG$180,16,FALSE), "DNS"))),""))</f>
        <v/>
      </c>
      <c r="BI11" s="5" t="str">
        <f>IF(Deltagarlista!$K$3=2,
IF(ISBLANK(Deltagarlista!$C61),"",IF(ISBLANK(Arrangörslista!I$143),"",IF($GV11=BI$64," DNS ",IFERROR(VLOOKUP($F11,Arrangörslista!I$143:$AG$180,16,FALSE), "DNS")))), IF(Deltagarlista!$K$3=1,IF(ISBLANK(Deltagarlista!$C61),"",IF(ISBLANK(Arrangörslista!I$143),"",IFERROR(VLOOKUP($F11,Arrangörslista!I$143:$AG$180,16,FALSE), "DNS"))),""))</f>
        <v/>
      </c>
      <c r="BJ11" s="5" t="str">
        <f>IF(Deltagarlista!$K$3=2,
IF(ISBLANK(Deltagarlista!$C61),"",IF(ISBLANK(Arrangörslista!J$143),"",IF($GV11=BJ$64," DNS ",IFERROR(VLOOKUP($F11,Arrangörslista!J$143:$AG$180,16,FALSE), "DNS")))), IF(Deltagarlista!$K$3=1,IF(ISBLANK(Deltagarlista!$C61),"",IF(ISBLANK(Arrangörslista!J$143),"",IFERROR(VLOOKUP($F11,Arrangörslista!J$143:$AG$180,16,FALSE), "DNS"))),""))</f>
        <v/>
      </c>
      <c r="BK11" s="5" t="str">
        <f>IF(Deltagarlista!$K$3=2,
IF(ISBLANK(Deltagarlista!$C61),"",IF(ISBLANK(Arrangörslista!K$143),"",IF($GV11=BK$64," DNS ",IFERROR(VLOOKUP($F11,Arrangörslista!K$143:$AG$180,16,FALSE), "DNS")))), IF(Deltagarlista!$K$3=1,IF(ISBLANK(Deltagarlista!$C61),"",IF(ISBLANK(Arrangörslista!K$143),"",IFERROR(VLOOKUP($F11,Arrangörslista!K$143:$AG$180,16,FALSE), "DNS"))),""))</f>
        <v/>
      </c>
      <c r="BL11" s="5" t="str">
        <f>IF(Deltagarlista!$K$3=2,
IF(ISBLANK(Deltagarlista!$C61),"",IF(ISBLANK(Arrangörslista!L$143),"",IF($GV11=BL$64," DNS ",IFERROR(VLOOKUP($F11,Arrangörslista!L$143:$AG$180,16,FALSE), "DNS")))), IF(Deltagarlista!$K$3=1,IF(ISBLANK(Deltagarlista!$C61),"",IF(ISBLANK(Arrangörslista!L$143),"",IFERROR(VLOOKUP($F11,Arrangörslista!L$143:$AG$180,16,FALSE), "DNS"))),""))</f>
        <v/>
      </c>
      <c r="BM11" s="5" t="str">
        <f>IF(Deltagarlista!$K$3=2,
IF(ISBLANK(Deltagarlista!$C61),"",IF(ISBLANK(Arrangörslista!M$143),"",IF($GV11=BM$64," DNS ",IFERROR(VLOOKUP($F11,Arrangörslista!M$143:$AG$180,16,FALSE), "DNS")))), IF(Deltagarlista!$K$3=1,IF(ISBLANK(Deltagarlista!$C61),"",IF(ISBLANK(Arrangörslista!M$143),"",IFERROR(VLOOKUP($F11,Arrangörslista!M$143:$AG$180,16,FALSE), "DNS"))),""))</f>
        <v/>
      </c>
      <c r="BN11" s="5" t="str">
        <f>IF(Deltagarlista!$K$3=2,
IF(ISBLANK(Deltagarlista!$C61),"",IF(ISBLANK(Arrangörslista!N$143),"",IF($GV11=BN$64," DNS ",IFERROR(VLOOKUP($F11,Arrangörslista!N$143:$AG$180,16,FALSE), "DNS")))), IF(Deltagarlista!$K$3=1,IF(ISBLANK(Deltagarlista!$C61),"",IF(ISBLANK(Arrangörslista!N$143),"",IFERROR(VLOOKUP($F11,Arrangörslista!N$143:$AG$180,16,FALSE), "DNS"))),""))</f>
        <v/>
      </c>
      <c r="BO11" s="5" t="str">
        <f>IF(Deltagarlista!$K$3=2,
IF(ISBLANK(Deltagarlista!$C61),"",IF(ISBLANK(Arrangörslista!O$143),"",IF($GV11=BO$64," DNS ",IFERROR(VLOOKUP($F11,Arrangörslista!O$143:$AG$180,16,FALSE), "DNS")))), IF(Deltagarlista!$K$3=1,IF(ISBLANK(Deltagarlista!$C61),"",IF(ISBLANK(Arrangörslista!O$143),"",IFERROR(VLOOKUP($F11,Arrangörslista!O$143:$AG$180,16,FALSE), "DNS"))),""))</f>
        <v/>
      </c>
      <c r="BP11" s="5" t="str">
        <f>IF(Deltagarlista!$K$3=2,
IF(ISBLANK(Deltagarlista!$C61),"",IF(ISBLANK(Arrangörslista!P$143),"",IF($GV11=BP$64," DNS ",IFERROR(VLOOKUP($F11,Arrangörslista!P$143:$AG$180,16,FALSE), "DNS")))), IF(Deltagarlista!$K$3=1,IF(ISBLANK(Deltagarlista!$C61),"",IF(ISBLANK(Arrangörslista!P$143),"",IFERROR(VLOOKUP($F11,Arrangörslista!P$143:$AG$180,16,FALSE), "DNS"))),""))</f>
        <v/>
      </c>
      <c r="BQ11" s="80" t="str">
        <f>IF(Deltagarlista!$K$3=2,
IF(ISBLANK(Deltagarlista!$C61),"",IF(ISBLANK(Arrangörslista!Q$143),"",IF($GV11=BQ$64," DNS ",IFERROR(VLOOKUP($F11,Arrangörslista!Q$143:$AG$180,16,FALSE), "DNS")))), IF(Deltagarlista!$K$3=1,IF(ISBLANK(Deltagarlista!$C61),"",IF(ISBLANK(Arrangörslista!Q$143),"",IFERROR(VLOOKUP($F11,Arrangörslista!Q$143:$AG$180,16,FALSE), "DNS"))),""))</f>
        <v/>
      </c>
      <c r="BR11" s="48"/>
      <c r="BS11" s="50" t="str">
        <f t="shared" si="0"/>
        <v>2</v>
      </c>
      <c r="BU11" s="71">
        <f t="shared" si="1"/>
        <v>0</v>
      </c>
      <c r="BV11" s="61">
        <f t="shared" si="2"/>
        <v>0</v>
      </c>
      <c r="BW11" s="61">
        <f t="shared" si="3"/>
        <v>0</v>
      </c>
      <c r="BX11" s="61">
        <f t="shared" si="4"/>
        <v>0</v>
      </c>
      <c r="BY11" s="61">
        <f t="shared" si="5"/>
        <v>0</v>
      </c>
      <c r="BZ11" s="61">
        <f t="shared" si="6"/>
        <v>0</v>
      </c>
      <c r="CA11" s="61">
        <f t="shared" si="7"/>
        <v>0</v>
      </c>
      <c r="CB11" s="61">
        <f t="shared" si="8"/>
        <v>0</v>
      </c>
      <c r="CC11" s="61">
        <f t="shared" si="9"/>
        <v>0</v>
      </c>
      <c r="CD11" s="61">
        <f t="shared" si="10"/>
        <v>0</v>
      </c>
      <c r="CE11" s="61">
        <f t="shared" si="11"/>
        <v>0</v>
      </c>
      <c r="CF11" s="61">
        <f t="shared" si="12"/>
        <v>0</v>
      </c>
      <c r="CG11" s="61">
        <f t="shared" si="13"/>
        <v>0</v>
      </c>
      <c r="CH11" s="61">
        <f t="shared" si="14"/>
        <v>0</v>
      </c>
      <c r="CI11" s="61">
        <f t="shared" si="15"/>
        <v>0</v>
      </c>
      <c r="CJ11" s="61">
        <f t="shared" si="16"/>
        <v>0</v>
      </c>
      <c r="CK11" s="61">
        <f t="shared" si="17"/>
        <v>0</v>
      </c>
      <c r="CL11" s="61">
        <f t="shared" si="18"/>
        <v>0</v>
      </c>
      <c r="CM11" s="61">
        <f t="shared" si="19"/>
        <v>0</v>
      </c>
      <c r="CN11" s="61">
        <f t="shared" si="20"/>
        <v>0</v>
      </c>
      <c r="CO11" s="61">
        <f t="shared" si="21"/>
        <v>0</v>
      </c>
      <c r="CP11" s="61">
        <f t="shared" si="22"/>
        <v>0</v>
      </c>
      <c r="CQ11" s="61">
        <f t="shared" si="23"/>
        <v>0</v>
      </c>
      <c r="CR11" s="61">
        <f t="shared" si="24"/>
        <v>0</v>
      </c>
      <c r="CS11" s="61">
        <f t="shared" si="25"/>
        <v>0</v>
      </c>
      <c r="CT11" s="61">
        <f t="shared" si="26"/>
        <v>0</v>
      </c>
      <c r="CU11" s="61">
        <f t="shared" si="27"/>
        <v>0</v>
      </c>
      <c r="CV11" s="61">
        <f t="shared" si="28"/>
        <v>0</v>
      </c>
      <c r="CW11" s="61">
        <f t="shared" si="29"/>
        <v>0</v>
      </c>
      <c r="CX11" s="61">
        <f t="shared" si="30"/>
        <v>0</v>
      </c>
      <c r="CY11" s="61">
        <f t="shared" si="31"/>
        <v>0</v>
      </c>
      <c r="CZ11" s="61">
        <f t="shared" si="32"/>
        <v>0</v>
      </c>
      <c r="DA11" s="61">
        <f t="shared" si="33"/>
        <v>0</v>
      </c>
      <c r="DB11" s="61">
        <f t="shared" si="34"/>
        <v>0</v>
      </c>
      <c r="DC11" s="61">
        <f t="shared" si="35"/>
        <v>0</v>
      </c>
      <c r="DD11" s="61">
        <f t="shared" si="36"/>
        <v>0</v>
      </c>
      <c r="DE11" s="61">
        <f t="shared" si="37"/>
        <v>0</v>
      </c>
      <c r="DF11" s="61">
        <f t="shared" si="38"/>
        <v>0</v>
      </c>
      <c r="DG11" s="61">
        <f t="shared" si="39"/>
        <v>0</v>
      </c>
      <c r="DH11" s="61">
        <f t="shared" si="40"/>
        <v>0</v>
      </c>
      <c r="DI11" s="61">
        <f t="shared" si="41"/>
        <v>0</v>
      </c>
      <c r="DJ11" s="61">
        <f t="shared" si="42"/>
        <v>0</v>
      </c>
      <c r="DK11" s="61">
        <f t="shared" si="43"/>
        <v>0</v>
      </c>
      <c r="DL11" s="61">
        <f t="shared" si="44"/>
        <v>0</v>
      </c>
      <c r="DM11" s="61">
        <f t="shared" si="45"/>
        <v>0</v>
      </c>
      <c r="DN11" s="61">
        <f t="shared" si="46"/>
        <v>0</v>
      </c>
      <c r="DO11" s="61">
        <f t="shared" si="47"/>
        <v>0</v>
      </c>
      <c r="DP11" s="61">
        <f t="shared" si="48"/>
        <v>0</v>
      </c>
      <c r="DQ11" s="61">
        <f t="shared" si="49"/>
        <v>0</v>
      </c>
      <c r="DR11" s="61">
        <f t="shared" si="50"/>
        <v>0</v>
      </c>
      <c r="DS11" s="61">
        <f t="shared" si="51"/>
        <v>0</v>
      </c>
      <c r="DT11" s="61">
        <f t="shared" si="52"/>
        <v>0</v>
      </c>
      <c r="DU11" s="61">
        <f t="shared" si="53"/>
        <v>0</v>
      </c>
      <c r="DV11" s="61">
        <f t="shared" si="54"/>
        <v>0</v>
      </c>
      <c r="DW11" s="61">
        <f t="shared" si="55"/>
        <v>0</v>
      </c>
      <c r="DX11" s="61">
        <f t="shared" si="56"/>
        <v>0</v>
      </c>
      <c r="DY11" s="61">
        <f t="shared" si="57"/>
        <v>0</v>
      </c>
      <c r="DZ11" s="61">
        <f t="shared" si="58"/>
        <v>0</v>
      </c>
      <c r="EA11" s="61">
        <f t="shared" si="59"/>
        <v>0</v>
      </c>
      <c r="EB11" s="61">
        <f t="shared" si="60"/>
        <v>0</v>
      </c>
      <c r="EC11" s="61">
        <f t="shared" si="61"/>
        <v>0</v>
      </c>
      <c r="EE11" s="61">
        <f xml:space="preserve">
IF(OR(Deltagarlista!$K$3=3,Deltagarlista!$K$3=4),
IF(Arrangörslista!$U$5&lt;8,0,
IF(Arrangörslista!$U$5&lt;16,SUM(LARGE(BV11:CJ11,1)),
IF(Arrangörslista!$U$5&lt;24,SUM(LARGE(BV11:CR11,{1;2})),
IF(Arrangörslista!$U$5&lt;32,SUM(LARGE(BV11:CZ11,{1;2;3})),
IF(Arrangörslista!$U$5&lt;40,SUM(LARGE(BV11:DH11,{1;2;3;4})),
IF(Arrangörslista!$U$5&lt;48,SUM(LARGE(BV11:DP11,{1;2;3;4;5})),
IF(Arrangörslista!$U$5&lt;56,SUM(LARGE(BV11:DX11,{1;2;3;4;5;6})),
IF(Arrangörslista!$U$5&lt;64,SUM(LARGE(BV11:EC11,{1;2;3;4;5;6;7})),0)))))))),
IF(Deltagarlista!$K$3=2,
IF(Arrangörslista!$U$5&lt;4,LARGE(BV11:BX11,1),
IF(Arrangörslista!$U$5&lt;7,SUM(LARGE(BV11:CA11,{1;2;3})),
IF(Arrangörslista!$U$5&lt;10,SUM(LARGE(BV11:CD11,{1;2;3;4})),
IF(Arrangörslista!$U$5&lt;13,SUM(LARGE(BV11:CG11,{1;2;3;4;5;6})),
IF(Arrangörslista!$U$5&lt;16,SUM(LARGE(BV11:CJ11,{1;2;3;4;5;6;7})),
IF(Arrangörslista!$U$5&lt;19,SUM(LARGE(BV11:CM11,{1;2;3;4;5;6;7;8;9})),
IF(Arrangörslista!$U$5&lt;22,SUM(LARGE(BV11:CP11,{1;2;3;4;5;6;7;8;9;10})),
IF(Arrangörslista!$U$5&lt;25,SUM(LARGE(BV11:CS11,{1;2;3;4;5;6;7;8;9;10;11;12})),
IF(Arrangörslista!$U$5&lt;28,SUM(LARGE(BV11:CV11,{1;2;3;4;5;6;7;8;9;10;11;12;13})),
IF(Arrangörslista!$U$5&lt;31,SUM(LARGE(BV11:CY11,{1;2;3;4;5;6;7;8;9;10;11;12;13;14;15})),
IF(Arrangörslista!$U$5&lt;34,SUM(LARGE(BV11:DB11,{1;2;3;4;5;6;7;8;9;10;11;12;13;14;15;16})),
IF(Arrangörslista!$U$5&lt;37,SUM(LARGE(BV11:DE11,{1;2;3;4;5;6;7;8;9;10;11;12;13;14;15;16;17;18})),
IF(Arrangörslista!$U$5&lt;40,SUM(LARGE(BV11:DH11,{1;2;3;4;5;6;7;8;9;10;11;12;13;14;15;16;17;18;19})),
IF(Arrangörslista!$U$5&lt;43,SUM(LARGE(BV11:DK11,{1;2;3;4;5;6;7;8;9;10;11;12;13;14;15;16;17;18;19;20;21})),
IF(Arrangörslista!$U$5&lt;46,SUM(LARGE(BV11:DN11,{1;2;3;4;5;6;7;8;9;10;11;12;13;14;15;16;17;18;19;20;21;22})),
IF(Arrangörslista!$U$5&lt;49,SUM(LARGE(BV11:DQ11,{1;2;3;4;5;6;7;8;9;10;11;12;13;14;15;16;17;18;19;20;21;22;23;24})),
IF(Arrangörslista!$U$5&lt;52,SUM(LARGE(BV11:DT11,{1;2;3;4;5;6;7;8;9;10;11;12;13;14;15;16;17;18;19;20;21;22;23;24;25})),
IF(Arrangörslista!$U$5&lt;55,SUM(LARGE(BV11:DW11,{1;2;3;4;5;6;7;8;9;10;11;12;13;14;15;16;17;18;19;20;21;22;23;24;25;26;27})),
IF(Arrangörslista!$U$5&lt;58,SUM(LARGE(BV11:DZ11,{1;2;3;4;5;6;7;8;9;10;11;12;13;14;15;16;17;18;19;20;21;22;23;24;25;26;27;28})),
IF(Arrangörslista!$U$5&lt;61,SUM(LARGE(BV11:EC11,{1;2;3;4;5;6;7;8;9;10;11;12;13;14;15;16;17;18;19;20;21;22;23;24;25;26;27;28;29;30})),0)))))))))))))))))))),
IF(Arrangörslista!$U$5&lt;4,0,
IF(Arrangörslista!$U$5&lt;8,SUM(LARGE(BV11:CB11,1)),
IF(Arrangörslista!$U$5&lt;12,SUM(LARGE(BV11:CF11,{1;2})),
IF(Arrangörslista!$U$5&lt;16,SUM(LARGE(BV11:CJ11,{1;2;3})),
IF(Arrangörslista!$U$5&lt;20,SUM(LARGE(BV11:CN11,{1;2;3;4})),
IF(Arrangörslista!$U$5&lt;24,SUM(LARGE(BV11:CR11,{1;2;3;4;5})),
IF(Arrangörslista!$U$5&lt;28,SUM(LARGE(BV11:CV11,{1;2;3;4;5;6})),
IF(Arrangörslista!$U$5&lt;32,SUM(LARGE(BV11:CZ11,{1;2;3;4;5;6;7})),
IF(Arrangörslista!$U$5&lt;36,SUM(LARGE(BV11:DD11,{1;2;3;4;5;6;7;8})),
IF(Arrangörslista!$U$5&lt;40,SUM(LARGE(BV11:DH11,{1;2;3;4;5;6;7;8;9})),
IF(Arrangörslista!$U$5&lt;44,SUM(LARGE(BV11:DL11,{1;2;3;4;5;6;7;8;9;10})),
IF(Arrangörslista!$U$5&lt;48,SUM(LARGE(BV11:DP11,{1;2;3;4;5;6;7;8;9;10;11})),
IF(Arrangörslista!$U$5&lt;52,SUM(LARGE(BV11:DT11,{1;2;3;4;5;6;7;8;9;10;11;12})),
IF(Arrangörslista!$U$5&lt;56,SUM(LARGE(BV11:DX11,{1;2;3;4;5;6;7;8;9;10;11;12;13})),
IF(Arrangörslista!$U$5&lt;60,SUM(LARGE(BV11:EB11,{1;2;3;4;5;6;7;8;9;10;11;12;13;14})),
IF(Arrangörslista!$U$5=60,SUM(LARGE(BV11:EC11,{1;2;3;4;5;6;7;8;9;10;11;12;13;14;15})),0))))))))))))))))))</f>
        <v>0</v>
      </c>
      <c r="EG11" s="67">
        <f t="shared" si="62"/>
        <v>0</v>
      </c>
      <c r="EH11" s="61"/>
      <c r="EI11" s="61"/>
      <c r="EK11" s="62">
        <f t="shared" si="63"/>
        <v>61</v>
      </c>
      <c r="EL11" s="62">
        <f t="shared" si="64"/>
        <v>61</v>
      </c>
      <c r="EM11" s="62">
        <f t="shared" si="65"/>
        <v>61</v>
      </c>
      <c r="EN11" s="62">
        <f t="shared" si="66"/>
        <v>61</v>
      </c>
      <c r="EO11" s="62">
        <f t="shared" si="67"/>
        <v>61</v>
      </c>
      <c r="EP11" s="62">
        <f t="shared" si="68"/>
        <v>61</v>
      </c>
      <c r="EQ11" s="62">
        <f t="shared" si="69"/>
        <v>61</v>
      </c>
      <c r="ER11" s="62">
        <f t="shared" si="70"/>
        <v>61</v>
      </c>
      <c r="ES11" s="62">
        <f t="shared" si="71"/>
        <v>61</v>
      </c>
      <c r="ET11" s="62">
        <f t="shared" si="72"/>
        <v>61</v>
      </c>
      <c r="EU11" s="62">
        <f t="shared" si="73"/>
        <v>61</v>
      </c>
      <c r="EV11" s="62">
        <f t="shared" si="74"/>
        <v>61</v>
      </c>
      <c r="EW11" s="62">
        <f t="shared" si="75"/>
        <v>61</v>
      </c>
      <c r="EX11" s="62">
        <f t="shared" si="76"/>
        <v>61</v>
      </c>
      <c r="EY11" s="62">
        <f t="shared" si="77"/>
        <v>61</v>
      </c>
      <c r="EZ11" s="62">
        <f t="shared" si="78"/>
        <v>61</v>
      </c>
      <c r="FA11" s="62">
        <f t="shared" si="79"/>
        <v>61</v>
      </c>
      <c r="FB11" s="62">
        <f t="shared" si="80"/>
        <v>61</v>
      </c>
      <c r="FC11" s="62">
        <f t="shared" si="81"/>
        <v>61</v>
      </c>
      <c r="FD11" s="62">
        <f t="shared" si="82"/>
        <v>61</v>
      </c>
      <c r="FE11" s="62">
        <f t="shared" si="83"/>
        <v>61</v>
      </c>
      <c r="FF11" s="62">
        <f t="shared" si="84"/>
        <v>61</v>
      </c>
      <c r="FG11" s="62">
        <f t="shared" si="85"/>
        <v>61</v>
      </c>
      <c r="FH11" s="62">
        <f t="shared" si="86"/>
        <v>61</v>
      </c>
      <c r="FI11" s="62">
        <f t="shared" si="87"/>
        <v>61</v>
      </c>
      <c r="FJ11" s="62">
        <f t="shared" si="88"/>
        <v>61</v>
      </c>
      <c r="FK11" s="62">
        <f t="shared" si="89"/>
        <v>61</v>
      </c>
      <c r="FL11" s="62">
        <f t="shared" si="90"/>
        <v>61</v>
      </c>
      <c r="FM11" s="62">
        <f t="shared" si="91"/>
        <v>61</v>
      </c>
      <c r="FN11" s="62">
        <f t="shared" si="92"/>
        <v>61</v>
      </c>
      <c r="FO11" s="62">
        <f t="shared" si="93"/>
        <v>61</v>
      </c>
      <c r="FP11" s="62">
        <f t="shared" si="94"/>
        <v>61</v>
      </c>
      <c r="FQ11" s="62">
        <f t="shared" si="95"/>
        <v>61</v>
      </c>
      <c r="FR11" s="62">
        <f t="shared" si="96"/>
        <v>61</v>
      </c>
      <c r="FS11" s="62">
        <f t="shared" si="97"/>
        <v>61</v>
      </c>
      <c r="FT11" s="62">
        <f t="shared" si="98"/>
        <v>61</v>
      </c>
      <c r="FU11" s="62">
        <f t="shared" si="99"/>
        <v>61</v>
      </c>
      <c r="FV11" s="62">
        <f t="shared" si="100"/>
        <v>61</v>
      </c>
      <c r="FW11" s="62">
        <f t="shared" si="101"/>
        <v>61</v>
      </c>
      <c r="FX11" s="62">
        <f t="shared" si="102"/>
        <v>61</v>
      </c>
      <c r="FY11" s="62">
        <f t="shared" si="103"/>
        <v>61</v>
      </c>
      <c r="FZ11" s="62">
        <f t="shared" si="104"/>
        <v>61</v>
      </c>
      <c r="GA11" s="62">
        <f t="shared" si="105"/>
        <v>61</v>
      </c>
      <c r="GB11" s="62">
        <f t="shared" si="106"/>
        <v>61</v>
      </c>
      <c r="GC11" s="62">
        <f t="shared" si="107"/>
        <v>61</v>
      </c>
      <c r="GD11" s="62">
        <f t="shared" si="108"/>
        <v>61</v>
      </c>
      <c r="GE11" s="62">
        <f t="shared" si="109"/>
        <v>61</v>
      </c>
      <c r="GF11" s="62">
        <f t="shared" si="110"/>
        <v>61</v>
      </c>
      <c r="GG11" s="62">
        <f t="shared" si="111"/>
        <v>61</v>
      </c>
      <c r="GH11" s="62">
        <f t="shared" si="112"/>
        <v>61</v>
      </c>
      <c r="GI11" s="62">
        <f t="shared" si="113"/>
        <v>61</v>
      </c>
      <c r="GJ11" s="62">
        <f t="shared" si="114"/>
        <v>61</v>
      </c>
      <c r="GK11" s="62">
        <f t="shared" si="115"/>
        <v>61</v>
      </c>
      <c r="GL11" s="62">
        <f t="shared" si="116"/>
        <v>61</v>
      </c>
      <c r="GM11" s="62">
        <f t="shared" si="117"/>
        <v>61</v>
      </c>
      <c r="GN11" s="62">
        <f t="shared" si="118"/>
        <v>61</v>
      </c>
      <c r="GO11" s="62">
        <f t="shared" si="119"/>
        <v>61</v>
      </c>
      <c r="GP11" s="62">
        <f t="shared" si="120"/>
        <v>61</v>
      </c>
      <c r="GQ11" s="62">
        <f t="shared" si="121"/>
        <v>61</v>
      </c>
      <c r="GR11" s="62">
        <f t="shared" si="122"/>
        <v>61</v>
      </c>
      <c r="GT11" s="62">
        <f>IF(Deltagarlista!$K$3=2,
IF(GW11="1",
      IF(Arrangörslista!$U$5=1,J74,
IF(Arrangörslista!$U$5=2,K74,
IF(Arrangörslista!$U$5=3,L74,
IF(Arrangörslista!$U$5=4,M74,
IF(Arrangörslista!$U$5=5,N74,
IF(Arrangörslista!$U$5=6,O74,
IF(Arrangörslista!$U$5=7,P74,
IF(Arrangörslista!$U$5=8,Q74,
IF(Arrangörslista!$U$5=9,R74,
IF(Arrangörslista!$U$5=10,S74,
IF(Arrangörslista!$U$5=11,T74,
IF(Arrangörslista!$U$5=12,U74,
IF(Arrangörslista!$U$5=13,V74,
IF(Arrangörslista!$U$5=14,W74,
IF(Arrangörslista!$U$5=15,X74,
IF(Arrangörslista!$U$5=16,Y74,IF(Arrangörslista!$U$5=17,Z74,IF(Arrangörslista!$U$5=18,AA74,IF(Arrangörslista!$U$5=19,AB74,IF(Arrangörslista!$U$5=20,AC74,IF(Arrangörslista!$U$5=21,AD74,IF(Arrangörslista!$U$5=22,AE74,IF(Arrangörslista!$U$5=23,AF74, IF(Arrangörslista!$U$5=24,AG74, IF(Arrangörslista!$U$5=25,AH74, IF(Arrangörslista!$U$5=26,AI74, IF(Arrangörslista!$U$5=27,AJ74, IF(Arrangörslista!$U$5=28,AK74, IF(Arrangörslista!$U$5=29,AL74, IF(Arrangörslista!$U$5=30,AM74, IF(Arrangörslista!$U$5=31,AN74, IF(Arrangörslista!$U$5=32,AO74, IF(Arrangörslista!$U$5=33,AP74, IF(Arrangörslista!$U$5=34,AQ74, IF(Arrangörslista!$U$5=35,AR74, IF(Arrangörslista!$U$5=36,AS74, IF(Arrangörslista!$U$5=37,AT74, IF(Arrangörslista!$U$5=38,AU74, IF(Arrangörslista!$U$5=39,AV74, IF(Arrangörslista!$U$5=40,AW74, IF(Arrangörslista!$U$5=41,AX74, IF(Arrangörslista!$U$5=42,AY74, IF(Arrangörslista!$U$5=43,AZ74, IF(Arrangörslista!$U$5=44,BA74, IF(Arrangörslista!$U$5=45,BB74, IF(Arrangörslista!$U$5=46,BC74, IF(Arrangörslista!$U$5=47,BD74, IF(Arrangörslista!$U$5=48,BE74, IF(Arrangörslista!$U$5=49,BF74, IF(Arrangörslista!$U$5=50,BG74, IF(Arrangörslista!$U$5=51,BH74, IF(Arrangörslista!$U$5=52,BI74, IF(Arrangörslista!$U$5=53,BJ74, IF(Arrangörslista!$U$5=54,BK74, IF(Arrangörslista!$U$5=55,BL74, IF(Arrangörslista!$U$5=56,BM74, IF(Arrangörslista!$U$5=57,BN74, IF(Arrangörslista!$U$5=58,BO74, IF(Arrangörslista!$U$5=59,BP74, IF(Arrangörslista!$U$5=60,BQ74,0))))))))))))))))))))))))))))))))))))))))))))))))))))))))))))),IF(Deltagarlista!$K$3=4, IF(Arrangörslista!$U$5=1,J74,
IF(Arrangörslista!$U$5=2,J74,
IF(Arrangörslista!$U$5=3,K74,
IF(Arrangörslista!$U$5=4,K74,
IF(Arrangörslista!$U$5=5,L74,
IF(Arrangörslista!$U$5=6,L74,
IF(Arrangörslista!$U$5=7,M74,
IF(Arrangörslista!$U$5=8,M74,
IF(Arrangörslista!$U$5=9,N74,
IF(Arrangörslista!$U$5=10,N74,
IF(Arrangörslista!$U$5=11,O74,
IF(Arrangörslista!$U$5=12,O74,
IF(Arrangörslista!$U$5=13,P74,
IF(Arrangörslista!$U$5=14,P74,
IF(Arrangörslista!$U$5=15,Q74,
IF(Arrangörslista!$U$5=16,Q74,
IF(Arrangörslista!$U$5=17,R74,
IF(Arrangörslista!$U$5=18,R74,
IF(Arrangörslista!$U$5=19,S74,
IF(Arrangörslista!$U$5=20,S74,
IF(Arrangörslista!$U$5=21,T74,
IF(Arrangörslista!$U$5=22,T74,IF(Arrangörslista!$U$5=23,U74, IF(Arrangörslista!$U$5=24,U74, IF(Arrangörslista!$U$5=25,V74, IF(Arrangörslista!$U$5=26,V74, IF(Arrangörslista!$U$5=27,W74, IF(Arrangörslista!$U$5=28,W74, IF(Arrangörslista!$U$5=29,X74, IF(Arrangörslista!$U$5=30,X74, IF(Arrangörslista!$U$5=31,X74, IF(Arrangörslista!$U$5=32,Y74, IF(Arrangörslista!$U$5=33,AO74, IF(Arrangörslista!$U$5=34,Y74, IF(Arrangörslista!$U$5=35,Z74, IF(Arrangörslista!$U$5=36,AR74, IF(Arrangörslista!$U$5=37,Z74, IF(Arrangörslista!$U$5=38,AA74, IF(Arrangörslista!$U$5=39,AU74, IF(Arrangörslista!$U$5=40,AA74, IF(Arrangörslista!$U$5=41,AB74, IF(Arrangörslista!$U$5=42,AX74, IF(Arrangörslista!$U$5=43,AB74, IF(Arrangörslista!$U$5=44,AC74, IF(Arrangörslista!$U$5=45,BA74, IF(Arrangörslista!$U$5=46,AC74, IF(Arrangörslista!$U$5=47,AD74, IF(Arrangörslista!$U$5=48,BD74, IF(Arrangörslista!$U$5=49,AD74, IF(Arrangörslista!$U$5=50,AE74, IF(Arrangörslista!$U$5=51,BG74, IF(Arrangörslista!$U$5=52,AE74, IF(Arrangörslista!$U$5=53,AF74, IF(Arrangörslista!$U$5=54,BJ74, IF(Arrangörslista!$U$5=55,AF74, IF(Arrangörslista!$U$5=56,AG74, IF(Arrangörslista!$U$5=57,BM74, IF(Arrangörslista!$U$5=58,AG74, IF(Arrangörslista!$U$5=59,AH74, IF(Arrangörslista!$U$5=60,AH74,0)))))))))))))))))))))))))))))))))))))))))))))))))))))))))))),IF(Arrangörslista!$U$5=1,J74,
IF(Arrangörslista!$U$5=2,K74,
IF(Arrangörslista!$U$5=3,L74,
IF(Arrangörslista!$U$5=4,M74,
IF(Arrangörslista!$U$5=5,N74,
IF(Arrangörslista!$U$5=6,O74,
IF(Arrangörslista!$U$5=7,P74,
IF(Arrangörslista!$U$5=8,Q74,
IF(Arrangörslista!$U$5=9,R74,
IF(Arrangörslista!$U$5=10,S74,
IF(Arrangörslista!$U$5=11,T74,
IF(Arrangörslista!$U$5=12,U74,
IF(Arrangörslista!$U$5=13,V74,
IF(Arrangörslista!$U$5=14,W74,
IF(Arrangörslista!$U$5=15,X74,
IF(Arrangörslista!$U$5=16,Y74,IF(Arrangörslista!$U$5=17,Z74,IF(Arrangörslista!$U$5=18,AA74,IF(Arrangörslista!$U$5=19,AB74,IF(Arrangörslista!$U$5=20,AC74,IF(Arrangörslista!$U$5=21,AD74,IF(Arrangörslista!$U$5=22,AE74,IF(Arrangörslista!$U$5=23,AF74, IF(Arrangörslista!$U$5=24,AG74, IF(Arrangörslista!$U$5=25,AH74, IF(Arrangörslista!$U$5=26,AI74, IF(Arrangörslista!$U$5=27,AJ74, IF(Arrangörslista!$U$5=28,AK74, IF(Arrangörslista!$U$5=29,AL74, IF(Arrangörslista!$U$5=30,AM74, IF(Arrangörslista!$U$5=31,AN74, IF(Arrangörslista!$U$5=32,AO74, IF(Arrangörslista!$U$5=33,AP74, IF(Arrangörslista!$U$5=34,AQ74, IF(Arrangörslista!$U$5=35,AR74, IF(Arrangörslista!$U$5=36,AS74, IF(Arrangörslista!$U$5=37,AT74, IF(Arrangörslista!$U$5=38,AU74, IF(Arrangörslista!$U$5=39,AV74, IF(Arrangörslista!$U$5=40,AW74, IF(Arrangörslista!$U$5=41,AX74, IF(Arrangörslista!$U$5=42,AY74, IF(Arrangörslista!$U$5=43,AZ74, IF(Arrangörslista!$U$5=44,BA74, IF(Arrangörslista!$U$5=45,BB74, IF(Arrangörslista!$U$5=46,BC74, IF(Arrangörslista!$U$5=47,BD74, IF(Arrangörslista!$U$5=48,BE74, IF(Arrangörslista!$U$5=49,BF74, IF(Arrangörslista!$U$5=50,BG74, IF(Arrangörslista!$U$5=51,BH74, IF(Arrangörslista!$U$5=52,BI74, IF(Arrangörslista!$U$5=53,BJ74, IF(Arrangörslista!$U$5=54,BK74, IF(Arrangörslista!$U$5=55,BL74, IF(Arrangörslista!$U$5=56,BM74, IF(Arrangörslista!$U$5=57,BN74, IF(Arrangörslista!$U$5=58,BO74, IF(Arrangörslista!$U$5=59,BP74, IF(Arrangörslista!$U$5=60,BQ74,0))))))))))))))))))))))))))))))))))))))))))))))))))))))))))))
))</f>
        <v>0</v>
      </c>
      <c r="GV11" s="65" t="str">
        <f>IFERROR(IF(VLOOKUP(F11,Deltagarlista!$E$5:$I$64,5,FALSE)="Grön","Gr",IF(VLOOKUP(F11,Deltagarlista!$E$5:$I$64,5,FALSE)="Röd","R",IF(VLOOKUP(F11,Deltagarlista!$E$5:$I$64,5,FALSE)="Blå","B","Gu"))),"")</f>
        <v/>
      </c>
      <c r="GW11" s="62" t="str">
        <f t="shared" si="124"/>
        <v/>
      </c>
    </row>
    <row r="12" spans="1:206" x14ac:dyDescent="0.3">
      <c r="B12" s="23" t="str">
        <f>IF((COUNTIF(Deltagarlista!$H$5:$H$64,"GM"))&gt;8,9,"")</f>
        <v/>
      </c>
      <c r="C12" s="92" t="str">
        <f>IF(ISBLANK(Deltagarlista!C60),"",Deltagarlista!C60)</f>
        <v/>
      </c>
      <c r="D12" s="109" t="str">
        <f>CONCATENATE(IF(Deltagarlista!H60="GM","GM   ",""), IF(OR(Deltagarlista!$K$3=4,Deltagarlista!$K$3=2),Deltagarlista!I60,""))</f>
        <v/>
      </c>
      <c r="E12" s="8" t="str">
        <f>IF(ISBLANK(Deltagarlista!D60),"",Deltagarlista!D60)</f>
        <v/>
      </c>
      <c r="F12" s="8" t="str">
        <f>IF(ISBLANK(Deltagarlista!E60),"",Deltagarlista!E60)</f>
        <v/>
      </c>
      <c r="G12" s="95" t="str">
        <f>IF(ISBLANK(Deltagarlista!F60),"",Deltagarlista!F60)</f>
        <v/>
      </c>
      <c r="H12" s="72" t="str">
        <f>IF(ISBLANK(Deltagarlista!C60),"",BU12-EE12)</f>
        <v/>
      </c>
      <c r="I12" s="13" t="str">
        <f>IF(ISBLANK(Deltagarlista!C60),"",IF(AND(Deltagarlista!$K$3=2,Deltagarlista!$L$3&lt;37),SUM(SUM(BV12:EC12)-(ROUNDDOWN(Arrangörslista!$U$5/3,1))*($BW$3+1)),SUM(BV12:EC12)))</f>
        <v/>
      </c>
      <c r="J12" s="79" t="str">
        <f>IF(Deltagarlista!$K$3=4,IF(ISBLANK(Deltagarlista!$C60),"",IF(ISBLANK(Arrangörslista!C$8),"",IFERROR(VLOOKUP($F12,Arrangörslista!C$8:$AG$45,16,FALSE),IF(ISBLANK(Deltagarlista!$C60),"",IF(ISBLANK(Arrangörslista!C$8),"",IFERROR(VLOOKUP($F12,Arrangörslista!D$8:$AG$45,16,FALSE),"DNS")))))),IF(Deltagarlista!$K$3=2,
IF(ISBLANK(Deltagarlista!$C60),"",IF(ISBLANK(Arrangörslista!C$8),"",IF($GV12=J$64," DNS ",IFERROR(VLOOKUP($F12,Arrangörslista!C$8:$AG$45,16,FALSE),"DNS")))),IF(ISBLANK(Deltagarlista!$C60),"",IF(ISBLANK(Arrangörslista!C$8),"",IFERROR(VLOOKUP($F12,Arrangörslista!C$8:$AG$45,16,FALSE),"DNS")))))</f>
        <v/>
      </c>
      <c r="K12" s="5" t="str">
        <f>IF(Deltagarlista!$K$3=4,IF(ISBLANK(Deltagarlista!$C60),"",IF(ISBLANK(Arrangörslista!E$8),"",IFERROR(VLOOKUP($F12,Arrangörslista!E$8:$AG$45,16,FALSE),IF(ISBLANK(Deltagarlista!$C60),"",IF(ISBLANK(Arrangörslista!E$8),"",IFERROR(VLOOKUP($F12,Arrangörslista!F$8:$AG$45,16,FALSE),"DNS")))))),IF(Deltagarlista!$K$3=2,
IF(ISBLANK(Deltagarlista!$C60),"",IF(ISBLANK(Arrangörslista!D$8),"",IF($GV12=K$64," DNS ",IFERROR(VLOOKUP($F12,Arrangörslista!D$8:$AG$45,16,FALSE),"DNS")))),IF(ISBLANK(Deltagarlista!$C60),"",IF(ISBLANK(Arrangörslista!D$8),"",IFERROR(VLOOKUP($F12,Arrangörslista!D$8:$AG$45,16,FALSE),"DNS")))))</f>
        <v/>
      </c>
      <c r="L12" s="5" t="str">
        <f>IF(Deltagarlista!$K$3=4,IF(ISBLANK(Deltagarlista!$C60),"",IF(ISBLANK(Arrangörslista!G$8),"",IFERROR(VLOOKUP($F12,Arrangörslista!G$8:$AG$45,16,FALSE),IF(ISBLANK(Deltagarlista!$C60),"",IF(ISBLANK(Arrangörslista!G$8),"",IFERROR(VLOOKUP($F12,Arrangörslista!H$8:$AG$45,16,FALSE),"DNS")))))),IF(Deltagarlista!$K$3=2,
IF(ISBLANK(Deltagarlista!$C60),"",IF(ISBLANK(Arrangörslista!E$8),"",IF($GV12=L$64," DNS ",IFERROR(VLOOKUP($F12,Arrangörslista!E$8:$AG$45,16,FALSE),"DNS")))),IF(ISBLANK(Deltagarlista!$C60),"",IF(ISBLANK(Arrangörslista!E$8),"",IFERROR(VLOOKUP($F12,Arrangörslista!E$8:$AG$45,16,FALSE),"DNS")))))</f>
        <v/>
      </c>
      <c r="M12" s="5" t="str">
        <f>IF(Deltagarlista!$K$3=4,IF(ISBLANK(Deltagarlista!$C60),"",IF(ISBLANK(Arrangörslista!I$8),"",IFERROR(VLOOKUP($F12,Arrangörslista!I$8:$AG$45,16,FALSE),IF(ISBLANK(Deltagarlista!$C60),"",IF(ISBLANK(Arrangörslista!I$8),"",IFERROR(VLOOKUP($F12,Arrangörslista!J$8:$AG$45,16,FALSE),"DNS")))))),IF(Deltagarlista!$K$3=2,
IF(ISBLANK(Deltagarlista!$C60),"",IF(ISBLANK(Arrangörslista!F$8),"",IF($GV12=M$64," DNS ",IFERROR(VLOOKUP($F12,Arrangörslista!F$8:$AG$45,16,FALSE),"DNS")))),IF(ISBLANK(Deltagarlista!$C60),"",IF(ISBLANK(Arrangörslista!F$8),"",IFERROR(VLOOKUP($F12,Arrangörslista!F$8:$AG$45,16,FALSE),"DNS")))))</f>
        <v/>
      </c>
      <c r="N12" s="5" t="str">
        <f>IF(Deltagarlista!$K$3=4,IF(ISBLANK(Deltagarlista!$C60),"",IF(ISBLANK(Arrangörslista!K$8),"",IFERROR(VLOOKUP($F12,Arrangörslista!K$8:$AG$45,16,FALSE),IF(ISBLANK(Deltagarlista!$C60),"",IF(ISBLANK(Arrangörslista!K$8),"",IFERROR(VLOOKUP($F12,Arrangörslista!L$8:$AG$45,16,FALSE),"DNS")))))),IF(Deltagarlista!$K$3=2,
IF(ISBLANK(Deltagarlista!$C60),"",IF(ISBLANK(Arrangörslista!G$8),"",IF($GV12=N$64," DNS ",IFERROR(VLOOKUP($F12,Arrangörslista!G$8:$AG$45,16,FALSE),"DNS")))),IF(ISBLANK(Deltagarlista!$C60),"",IF(ISBLANK(Arrangörslista!G$8),"",IFERROR(VLOOKUP($F12,Arrangörslista!G$8:$AG$45,16,FALSE),"DNS")))))</f>
        <v/>
      </c>
      <c r="O12" s="5" t="str">
        <f>IF(Deltagarlista!$K$3=4,IF(ISBLANK(Deltagarlista!$C60),"",IF(ISBLANK(Arrangörslista!M$8),"",IFERROR(VLOOKUP($F12,Arrangörslista!M$8:$AG$45,16,FALSE),IF(ISBLANK(Deltagarlista!$C60),"",IF(ISBLANK(Arrangörslista!M$8),"",IFERROR(VLOOKUP($F12,Arrangörslista!N$8:$AG$45,16,FALSE),"DNS")))))),IF(Deltagarlista!$K$3=2,
IF(ISBLANK(Deltagarlista!$C60),"",IF(ISBLANK(Arrangörslista!H$8),"",IF($GV12=O$64," DNS ",IFERROR(VLOOKUP($F12,Arrangörslista!H$8:$AG$45,16,FALSE),"DNS")))),IF(ISBLANK(Deltagarlista!$C60),"",IF(ISBLANK(Arrangörslista!H$8),"",IFERROR(VLOOKUP($F12,Arrangörslista!H$8:$AG$45,16,FALSE),"DNS")))))</f>
        <v/>
      </c>
      <c r="P12" s="5" t="str">
        <f>IF(Deltagarlista!$K$3=4,IF(ISBLANK(Deltagarlista!$C60),"",IF(ISBLANK(Arrangörslista!O$8),"",IFERROR(VLOOKUP($F12,Arrangörslista!O$8:$AG$45,16,FALSE),IF(ISBLANK(Deltagarlista!$C60),"",IF(ISBLANK(Arrangörslista!O$8),"",IFERROR(VLOOKUP($F12,Arrangörslista!P$8:$AG$45,16,FALSE),"DNS")))))),IF(Deltagarlista!$K$3=2,
IF(ISBLANK(Deltagarlista!$C60),"",IF(ISBLANK(Arrangörslista!I$8),"",IF($GV12=P$64," DNS ",IFERROR(VLOOKUP($F12,Arrangörslista!I$8:$AG$45,16,FALSE),"DNS")))),IF(ISBLANK(Deltagarlista!$C60),"",IF(ISBLANK(Arrangörslista!I$8),"",IFERROR(VLOOKUP($F12,Arrangörslista!I$8:$AG$45,16,FALSE),"DNS")))))</f>
        <v/>
      </c>
      <c r="Q12" s="5" t="str">
        <f>IF(Deltagarlista!$K$3=4,IF(ISBLANK(Deltagarlista!$C60),"",IF(ISBLANK(Arrangörslista!Q$8),"",IFERROR(VLOOKUP($F12,Arrangörslista!Q$8:$AG$45,16,FALSE),IF(ISBLANK(Deltagarlista!$C60),"",IF(ISBLANK(Arrangörslista!Q$8),"",IFERROR(VLOOKUP($F12,Arrangörslista!C$53:$AG$90,16,FALSE),"DNS")))))),IF(Deltagarlista!$K$3=2,
IF(ISBLANK(Deltagarlista!$C60),"",IF(ISBLANK(Arrangörslista!J$8),"",IF($GV12=Q$64," DNS ",IFERROR(VLOOKUP($F12,Arrangörslista!J$8:$AG$45,16,FALSE),"DNS")))),IF(ISBLANK(Deltagarlista!$C60),"",IF(ISBLANK(Arrangörslista!J$8),"",IFERROR(VLOOKUP($F12,Arrangörslista!J$8:$AG$45,16,FALSE),"DNS")))))</f>
        <v/>
      </c>
      <c r="R12" s="5" t="str">
        <f>IF(Deltagarlista!$K$3=4,IF(ISBLANK(Deltagarlista!$C60),"",IF(ISBLANK(Arrangörslista!D$53),"",IFERROR(VLOOKUP($F12,Arrangörslista!D$53:$AG$90,16,FALSE),IF(ISBLANK(Deltagarlista!$C60),"",IF(ISBLANK(Arrangörslista!D$53),"",IFERROR(VLOOKUP($F12,Arrangörslista!E$53:$AG$90,16,FALSE),"DNS")))))),IF(Deltagarlista!$K$3=2,
IF(ISBLANK(Deltagarlista!$C60),"",IF(ISBLANK(Arrangörslista!K$8),"",IF($GV12=R$64," DNS ",IFERROR(VLOOKUP($F12,Arrangörslista!K$8:$AG$45,16,FALSE),"DNS")))),IF(ISBLANK(Deltagarlista!$C60),"",IF(ISBLANK(Arrangörslista!K$8),"",IFERROR(VLOOKUP($F12,Arrangörslista!K$8:$AG$45,16,FALSE),"DNS")))))</f>
        <v/>
      </c>
      <c r="S12" s="5" t="str">
        <f>IF(Deltagarlista!$K$3=4,IF(ISBLANK(Deltagarlista!$C60),"",IF(ISBLANK(Arrangörslista!F$53),"",IFERROR(VLOOKUP($F12,Arrangörslista!F$53:$AG$90,16,FALSE),IF(ISBLANK(Deltagarlista!$C60),"",IF(ISBLANK(Arrangörslista!F$53),"",IFERROR(VLOOKUP($F12,Arrangörslista!G$53:$AG$90,16,FALSE),"DNS")))))),IF(Deltagarlista!$K$3=2,
IF(ISBLANK(Deltagarlista!$C60),"",IF(ISBLANK(Arrangörslista!L$8),"",IF($GV12=S$64," DNS ",IFERROR(VLOOKUP($F12,Arrangörslista!L$8:$AG$45,16,FALSE),"DNS")))),IF(ISBLANK(Deltagarlista!$C60),"",IF(ISBLANK(Arrangörslista!L$8),"",IFERROR(VLOOKUP($F12,Arrangörslista!L$8:$AG$45,16,FALSE),"DNS")))))</f>
        <v/>
      </c>
      <c r="T12" s="5" t="str">
        <f>IF(Deltagarlista!$K$3=4,IF(ISBLANK(Deltagarlista!$C60),"",IF(ISBLANK(Arrangörslista!H$53),"",IFERROR(VLOOKUP($F12,Arrangörslista!H$53:$AG$90,16,FALSE),IF(ISBLANK(Deltagarlista!$C60),"",IF(ISBLANK(Arrangörslista!H$53),"",IFERROR(VLOOKUP($F12,Arrangörslista!I$53:$AG$90,16,FALSE),"DNS")))))),IF(Deltagarlista!$K$3=2,
IF(ISBLANK(Deltagarlista!$C60),"",IF(ISBLANK(Arrangörslista!M$8),"",IF($GV12=T$64," DNS ",IFERROR(VLOOKUP($F12,Arrangörslista!M$8:$AG$45,16,FALSE),"DNS")))),IF(ISBLANK(Deltagarlista!$C60),"",IF(ISBLANK(Arrangörslista!M$8),"",IFERROR(VLOOKUP($F12,Arrangörslista!M$8:$AG$45,16,FALSE),"DNS")))))</f>
        <v/>
      </c>
      <c r="U12" s="5" t="str">
        <f>IF(Deltagarlista!$K$3=4,IF(ISBLANK(Deltagarlista!$C60),"",IF(ISBLANK(Arrangörslista!J$53),"",IFERROR(VLOOKUP($F12,Arrangörslista!J$53:$AG$90,16,FALSE),IF(ISBLANK(Deltagarlista!$C60),"",IF(ISBLANK(Arrangörslista!J$53),"",IFERROR(VLOOKUP($F12,Arrangörslista!K$53:$AG$90,16,FALSE),"DNS")))))),IF(Deltagarlista!$K$3=2,
IF(ISBLANK(Deltagarlista!$C60),"",IF(ISBLANK(Arrangörslista!N$8),"",IF($GV12=U$64," DNS ",IFERROR(VLOOKUP($F12,Arrangörslista!N$8:$AG$45,16,FALSE),"DNS")))),IF(ISBLANK(Deltagarlista!$C60),"",IF(ISBLANK(Arrangörslista!N$8),"",IFERROR(VLOOKUP($F12,Arrangörslista!N$8:$AG$45,16,FALSE),"DNS")))))</f>
        <v/>
      </c>
      <c r="V12" s="5" t="str">
        <f>IF(Deltagarlista!$K$3=4,IF(ISBLANK(Deltagarlista!$C60),"",IF(ISBLANK(Arrangörslista!L$53),"",IFERROR(VLOOKUP($F12,Arrangörslista!L$53:$AG$90,16,FALSE),IF(ISBLANK(Deltagarlista!$C60),"",IF(ISBLANK(Arrangörslista!L$53),"",IFERROR(VLOOKUP($F12,Arrangörslista!M$53:$AG$90,16,FALSE),"DNS")))))),IF(Deltagarlista!$K$3=2,
IF(ISBLANK(Deltagarlista!$C60),"",IF(ISBLANK(Arrangörslista!O$8),"",IF($GV12=V$64," DNS ",IFERROR(VLOOKUP($F12,Arrangörslista!O$8:$AG$45,16,FALSE),"DNS")))),IF(ISBLANK(Deltagarlista!$C60),"",IF(ISBLANK(Arrangörslista!O$8),"",IFERROR(VLOOKUP($F12,Arrangörslista!O$8:$AG$45,16,FALSE),"DNS")))))</f>
        <v/>
      </c>
      <c r="W12" s="5" t="str">
        <f>IF(Deltagarlista!$K$3=4,IF(ISBLANK(Deltagarlista!$C60),"",IF(ISBLANK(Arrangörslista!N$53),"",IFERROR(VLOOKUP($F12,Arrangörslista!N$53:$AG$90,16,FALSE),IF(ISBLANK(Deltagarlista!$C60),"",IF(ISBLANK(Arrangörslista!N$53),"",IFERROR(VLOOKUP($F12,Arrangörslista!O$53:$AG$90,16,FALSE),"DNS")))))),IF(Deltagarlista!$K$3=2,
IF(ISBLANK(Deltagarlista!$C60),"",IF(ISBLANK(Arrangörslista!P$8),"",IF($GV12=W$64," DNS ",IFERROR(VLOOKUP($F12,Arrangörslista!P$8:$AG$45,16,FALSE),"DNS")))),IF(ISBLANK(Deltagarlista!$C60),"",IF(ISBLANK(Arrangörslista!P$8),"",IFERROR(VLOOKUP($F12,Arrangörslista!P$8:$AG$45,16,FALSE),"DNS")))))</f>
        <v/>
      </c>
      <c r="X12" s="5" t="str">
        <f>IF(Deltagarlista!$K$3=4,IF(ISBLANK(Deltagarlista!$C60),"",IF(ISBLANK(Arrangörslista!P$53),"",IFERROR(VLOOKUP($F12,Arrangörslista!P$53:$AG$90,16,FALSE),IF(ISBLANK(Deltagarlista!$C60),"",IF(ISBLANK(Arrangörslista!P$53),"",IFERROR(VLOOKUP($F12,Arrangörslista!Q$53:$AG$90,16,FALSE),"DNS")))))),IF(Deltagarlista!$K$3=2,
IF(ISBLANK(Deltagarlista!$C60),"",IF(ISBLANK(Arrangörslista!Q$8),"",IF($GV12=X$64," DNS ",IFERROR(VLOOKUP($F12,Arrangörslista!Q$8:$AG$45,16,FALSE),"DNS")))),IF(ISBLANK(Deltagarlista!$C60),"",IF(ISBLANK(Arrangörslista!Q$8),"",IFERROR(VLOOKUP($F12,Arrangörslista!Q$8:$AG$45,16,FALSE),"DNS")))))</f>
        <v/>
      </c>
      <c r="Y12" s="5" t="str">
        <f>IF(Deltagarlista!$K$3=4,IF(ISBLANK(Deltagarlista!$C60),"",IF(ISBLANK(Arrangörslista!C$98),"",IFERROR(VLOOKUP($F12,Arrangörslista!C$98:$AG$135,16,FALSE),IF(ISBLANK(Deltagarlista!$C60),"",IF(ISBLANK(Arrangörslista!C$98),"",IFERROR(VLOOKUP($F12,Arrangörslista!D$98:$AG$135,16,FALSE),"DNS")))))),IF(Deltagarlista!$K$3=2,
IF(ISBLANK(Deltagarlista!$C60),"",IF(ISBLANK(Arrangörslista!C$53),"",IF($GV12=Y$64," DNS ",IFERROR(VLOOKUP($F12,Arrangörslista!C$53:$AG$90,16,FALSE),"DNS")))),IF(ISBLANK(Deltagarlista!$C60),"",IF(ISBLANK(Arrangörslista!C$53),"",IFERROR(VLOOKUP($F12,Arrangörslista!C$53:$AG$90,16,FALSE),"DNS")))))</f>
        <v/>
      </c>
      <c r="Z12" s="5" t="str">
        <f>IF(Deltagarlista!$K$3=4,IF(ISBLANK(Deltagarlista!$C60),"",IF(ISBLANK(Arrangörslista!E$98),"",IFERROR(VLOOKUP($F12,Arrangörslista!E$98:$AG$135,16,FALSE),IF(ISBLANK(Deltagarlista!$C60),"",IF(ISBLANK(Arrangörslista!E$98),"",IFERROR(VLOOKUP($F12,Arrangörslista!F$98:$AG$135,16,FALSE),"DNS")))))),IF(Deltagarlista!$K$3=2,
IF(ISBLANK(Deltagarlista!$C60),"",IF(ISBLANK(Arrangörslista!D$53),"",IF($GV12=Z$64," DNS ",IFERROR(VLOOKUP($F12,Arrangörslista!D$53:$AG$90,16,FALSE),"DNS")))),IF(ISBLANK(Deltagarlista!$C60),"",IF(ISBLANK(Arrangörslista!D$53),"",IFERROR(VLOOKUP($F12,Arrangörslista!D$53:$AG$90,16,FALSE),"DNS")))))</f>
        <v/>
      </c>
      <c r="AA12" s="5" t="str">
        <f>IF(Deltagarlista!$K$3=4,IF(ISBLANK(Deltagarlista!$C60),"",IF(ISBLANK(Arrangörslista!G$98),"",IFERROR(VLOOKUP($F12,Arrangörslista!G$98:$AG$135,16,FALSE),IF(ISBLANK(Deltagarlista!$C60),"",IF(ISBLANK(Arrangörslista!G$98),"",IFERROR(VLOOKUP($F12,Arrangörslista!H$98:$AG$135,16,FALSE),"DNS")))))),IF(Deltagarlista!$K$3=2,
IF(ISBLANK(Deltagarlista!$C60),"",IF(ISBLANK(Arrangörslista!E$53),"",IF($GV12=AA$64," DNS ",IFERROR(VLOOKUP($F12,Arrangörslista!E$53:$AG$90,16,FALSE),"DNS")))),IF(ISBLANK(Deltagarlista!$C60),"",IF(ISBLANK(Arrangörslista!E$53),"",IFERROR(VLOOKUP($F12,Arrangörslista!E$53:$AG$90,16,FALSE),"DNS")))))</f>
        <v/>
      </c>
      <c r="AB12" s="5" t="str">
        <f>IF(Deltagarlista!$K$3=4,IF(ISBLANK(Deltagarlista!$C60),"",IF(ISBLANK(Arrangörslista!I$98),"",IFERROR(VLOOKUP($F12,Arrangörslista!I$98:$AG$135,16,FALSE),IF(ISBLANK(Deltagarlista!$C60),"",IF(ISBLANK(Arrangörslista!I$98),"",IFERROR(VLOOKUP($F12,Arrangörslista!J$98:$AG$135,16,FALSE),"DNS")))))),IF(Deltagarlista!$K$3=2,
IF(ISBLANK(Deltagarlista!$C60),"",IF(ISBLANK(Arrangörslista!F$53),"",IF($GV12=AB$64," DNS ",IFERROR(VLOOKUP($F12,Arrangörslista!F$53:$AG$90,16,FALSE),"DNS")))),IF(ISBLANK(Deltagarlista!$C60),"",IF(ISBLANK(Arrangörslista!F$53),"",IFERROR(VLOOKUP($F12,Arrangörslista!F$53:$AG$90,16,FALSE),"DNS")))))</f>
        <v/>
      </c>
      <c r="AC12" s="5" t="str">
        <f>IF(Deltagarlista!$K$3=4,IF(ISBLANK(Deltagarlista!$C60),"",IF(ISBLANK(Arrangörslista!K$98),"",IFERROR(VLOOKUP($F12,Arrangörslista!K$98:$AG$135,16,FALSE),IF(ISBLANK(Deltagarlista!$C60),"",IF(ISBLANK(Arrangörslista!K$98),"",IFERROR(VLOOKUP($F12,Arrangörslista!L$98:$AG$135,16,FALSE),"DNS")))))),IF(Deltagarlista!$K$3=2,
IF(ISBLANK(Deltagarlista!$C60),"",IF(ISBLANK(Arrangörslista!G$53),"",IF($GV12=AC$64," DNS ",IFERROR(VLOOKUP($F12,Arrangörslista!G$53:$AG$90,16,FALSE),"DNS")))),IF(ISBLANK(Deltagarlista!$C60),"",IF(ISBLANK(Arrangörslista!G$53),"",IFERROR(VLOOKUP($F12,Arrangörslista!G$53:$AG$90,16,FALSE),"DNS")))))</f>
        <v/>
      </c>
      <c r="AD12" s="5" t="str">
        <f>IF(Deltagarlista!$K$3=4,IF(ISBLANK(Deltagarlista!$C60),"",IF(ISBLANK(Arrangörslista!M$98),"",IFERROR(VLOOKUP($F12,Arrangörslista!M$98:$AG$135,16,FALSE),IF(ISBLANK(Deltagarlista!$C60),"",IF(ISBLANK(Arrangörslista!M$98),"",IFERROR(VLOOKUP($F12,Arrangörslista!N$98:$AG$135,16,FALSE),"DNS")))))),IF(Deltagarlista!$K$3=2,
IF(ISBLANK(Deltagarlista!$C60),"",IF(ISBLANK(Arrangörslista!H$53),"",IF($GV12=AD$64," DNS ",IFERROR(VLOOKUP($F12,Arrangörslista!H$53:$AG$90,16,FALSE),"DNS")))),IF(ISBLANK(Deltagarlista!$C60),"",IF(ISBLANK(Arrangörslista!H$53),"",IFERROR(VLOOKUP($F12,Arrangörslista!H$53:$AG$90,16,FALSE),"DNS")))))</f>
        <v/>
      </c>
      <c r="AE12" s="5" t="str">
        <f>IF(Deltagarlista!$K$3=4,IF(ISBLANK(Deltagarlista!$C60),"",IF(ISBLANK(Arrangörslista!O$98),"",IFERROR(VLOOKUP($F12,Arrangörslista!O$98:$AG$135,16,FALSE),IF(ISBLANK(Deltagarlista!$C60),"",IF(ISBLANK(Arrangörslista!O$98),"",IFERROR(VLOOKUP($F12,Arrangörslista!P$98:$AG$135,16,FALSE),"DNS")))))),IF(Deltagarlista!$K$3=2,
IF(ISBLANK(Deltagarlista!$C60),"",IF(ISBLANK(Arrangörslista!I$53),"",IF($GV12=AE$64," DNS ",IFERROR(VLOOKUP($F12,Arrangörslista!I$53:$AG$90,16,FALSE),"DNS")))),IF(ISBLANK(Deltagarlista!$C60),"",IF(ISBLANK(Arrangörslista!I$53),"",IFERROR(VLOOKUP($F12,Arrangörslista!I$53:$AG$90,16,FALSE),"DNS")))))</f>
        <v/>
      </c>
      <c r="AF12" s="5" t="str">
        <f>IF(Deltagarlista!$K$3=4,IF(ISBLANK(Deltagarlista!$C60),"",IF(ISBLANK(Arrangörslista!Q$98),"",IFERROR(VLOOKUP($F12,Arrangörslista!Q$98:$AG$135,16,FALSE),IF(ISBLANK(Deltagarlista!$C60),"",IF(ISBLANK(Arrangörslista!Q$98),"",IFERROR(VLOOKUP($F12,Arrangörslista!C$143:$AG$180,16,FALSE),"DNS")))))),IF(Deltagarlista!$K$3=2,
IF(ISBLANK(Deltagarlista!$C60),"",IF(ISBLANK(Arrangörslista!J$53),"",IF($GV12=AF$64," DNS ",IFERROR(VLOOKUP($F12,Arrangörslista!J$53:$AG$90,16,FALSE),"DNS")))),IF(ISBLANK(Deltagarlista!$C60),"",IF(ISBLANK(Arrangörslista!J$53),"",IFERROR(VLOOKUP($F12,Arrangörslista!J$53:$AG$90,16,FALSE),"DNS")))))</f>
        <v/>
      </c>
      <c r="AG12" s="5" t="str">
        <f>IF(Deltagarlista!$K$3=4,IF(ISBLANK(Deltagarlista!$C60),"",IF(ISBLANK(Arrangörslista!D$143),"",IFERROR(VLOOKUP($F12,Arrangörslista!D$143:$AG$180,16,FALSE),IF(ISBLANK(Deltagarlista!$C60),"",IF(ISBLANK(Arrangörslista!D$143),"",IFERROR(VLOOKUP($F12,Arrangörslista!E$143:$AG$180,16,FALSE),"DNS")))))),IF(Deltagarlista!$K$3=2,
IF(ISBLANK(Deltagarlista!$C60),"",IF(ISBLANK(Arrangörslista!K$53),"",IF($GV12=AG$64," DNS ",IFERROR(VLOOKUP($F12,Arrangörslista!K$53:$AG$90,16,FALSE),"DNS")))),IF(ISBLANK(Deltagarlista!$C60),"",IF(ISBLANK(Arrangörslista!K$53),"",IFERROR(VLOOKUP($F12,Arrangörslista!K$53:$AG$90,16,FALSE),"DNS")))))</f>
        <v/>
      </c>
      <c r="AH12" s="5" t="str">
        <f>IF(Deltagarlista!$K$3=4,IF(ISBLANK(Deltagarlista!$C60),"",IF(ISBLANK(Arrangörslista!F$143),"",IFERROR(VLOOKUP($F12,Arrangörslista!F$143:$AG$180,16,FALSE),IF(ISBLANK(Deltagarlista!$C60),"",IF(ISBLANK(Arrangörslista!F$143),"",IFERROR(VLOOKUP($F12,Arrangörslista!G$143:$AG$180,16,FALSE),"DNS")))))),IF(Deltagarlista!$K$3=2,
IF(ISBLANK(Deltagarlista!$C60),"",IF(ISBLANK(Arrangörslista!L$53),"",IF($GV12=AH$64," DNS ",IFERROR(VLOOKUP($F12,Arrangörslista!L$53:$AG$90,16,FALSE),"DNS")))),IF(ISBLANK(Deltagarlista!$C60),"",IF(ISBLANK(Arrangörslista!L$53),"",IFERROR(VLOOKUP($F12,Arrangörslista!L$53:$AG$90,16,FALSE),"DNS")))))</f>
        <v/>
      </c>
      <c r="AI12" s="5" t="str">
        <f>IF(Deltagarlista!$K$3=4,IF(ISBLANK(Deltagarlista!$C60),"",IF(ISBLANK(Arrangörslista!H$143),"",IFERROR(VLOOKUP($F12,Arrangörslista!H$143:$AG$180,16,FALSE),IF(ISBLANK(Deltagarlista!$C60),"",IF(ISBLANK(Arrangörslista!H$143),"",IFERROR(VLOOKUP($F12,Arrangörslista!I$143:$AG$180,16,FALSE),"DNS")))))),IF(Deltagarlista!$K$3=2,
IF(ISBLANK(Deltagarlista!$C60),"",IF(ISBLANK(Arrangörslista!M$53),"",IF($GV12=AI$64," DNS ",IFERROR(VLOOKUP($F12,Arrangörslista!M$53:$AG$90,16,FALSE),"DNS")))),IF(ISBLANK(Deltagarlista!$C60),"",IF(ISBLANK(Arrangörslista!M$53),"",IFERROR(VLOOKUP($F12,Arrangörslista!M$53:$AG$90,16,FALSE),"DNS")))))</f>
        <v/>
      </c>
      <c r="AJ12" s="5" t="str">
        <f>IF(Deltagarlista!$K$3=4,IF(ISBLANK(Deltagarlista!$C60),"",IF(ISBLANK(Arrangörslista!J$143),"",IFERROR(VLOOKUP($F12,Arrangörslista!J$143:$AG$180,16,FALSE),IF(ISBLANK(Deltagarlista!$C60),"",IF(ISBLANK(Arrangörslista!J$143),"",IFERROR(VLOOKUP($F12,Arrangörslista!K$143:$AG$180,16,FALSE),"DNS")))))),IF(Deltagarlista!$K$3=2,
IF(ISBLANK(Deltagarlista!$C60),"",IF(ISBLANK(Arrangörslista!N$53),"",IF($GV12=AJ$64," DNS ",IFERROR(VLOOKUP($F12,Arrangörslista!N$53:$AG$90,16,FALSE),"DNS")))),IF(ISBLANK(Deltagarlista!$C60),"",IF(ISBLANK(Arrangörslista!N$53),"",IFERROR(VLOOKUP($F12,Arrangörslista!N$53:$AG$90,16,FALSE),"DNS")))))</f>
        <v/>
      </c>
      <c r="AK12" s="5" t="str">
        <f>IF(Deltagarlista!$K$3=4,IF(ISBLANK(Deltagarlista!$C60),"",IF(ISBLANK(Arrangörslista!L$143),"",IFERROR(VLOOKUP($F12,Arrangörslista!L$143:$AG$180,16,FALSE),IF(ISBLANK(Deltagarlista!$C60),"",IF(ISBLANK(Arrangörslista!L$143),"",IFERROR(VLOOKUP($F12,Arrangörslista!M$143:$AG$180,16,FALSE),"DNS")))))),IF(Deltagarlista!$K$3=2,
IF(ISBLANK(Deltagarlista!$C60),"",IF(ISBLANK(Arrangörslista!O$53),"",IF($GV12=AK$64," DNS ",IFERROR(VLOOKUP($F12,Arrangörslista!O$53:$AG$90,16,FALSE),"DNS")))),IF(ISBLANK(Deltagarlista!$C60),"",IF(ISBLANK(Arrangörslista!O$53),"",IFERROR(VLOOKUP($F12,Arrangörslista!O$53:$AG$90,16,FALSE),"DNS")))))</f>
        <v/>
      </c>
      <c r="AL12" s="5" t="str">
        <f>IF(Deltagarlista!$K$3=4,IF(ISBLANK(Deltagarlista!$C60),"",IF(ISBLANK(Arrangörslista!N$143),"",IFERROR(VLOOKUP($F12,Arrangörslista!N$143:$AG$180,16,FALSE),IF(ISBLANK(Deltagarlista!$C60),"",IF(ISBLANK(Arrangörslista!N$143),"",IFERROR(VLOOKUP($F12,Arrangörslista!O$143:$AG$180,16,FALSE),"DNS")))))),IF(Deltagarlista!$K$3=2,
IF(ISBLANK(Deltagarlista!$C60),"",IF(ISBLANK(Arrangörslista!P$53),"",IF($GV12=AL$64," DNS ",IFERROR(VLOOKUP($F12,Arrangörslista!P$53:$AG$90,16,FALSE),"DNS")))),IF(ISBLANK(Deltagarlista!$C60),"",IF(ISBLANK(Arrangörslista!P$53),"",IFERROR(VLOOKUP($F12,Arrangörslista!P$53:$AG$90,16,FALSE),"DNS")))))</f>
        <v/>
      </c>
      <c r="AM12" s="5" t="str">
        <f>IF(Deltagarlista!$K$3=4,IF(ISBLANK(Deltagarlista!$C60),"",IF(ISBLANK(Arrangörslista!P$143),"",IFERROR(VLOOKUP($F12,Arrangörslista!P$143:$AG$180,16,FALSE),IF(ISBLANK(Deltagarlista!$C60),"",IF(ISBLANK(Arrangörslista!P$143),"",IFERROR(VLOOKUP($F12,Arrangörslista!Q$143:$AG$180,16,FALSE),"DNS")))))),IF(Deltagarlista!$K$3=2,
IF(ISBLANK(Deltagarlista!$C60),"",IF(ISBLANK(Arrangörslista!Q$53),"",IF($GV12=AM$64," DNS ",IFERROR(VLOOKUP($F12,Arrangörslista!Q$53:$AG$90,16,FALSE),"DNS")))),IF(ISBLANK(Deltagarlista!$C60),"",IF(ISBLANK(Arrangörslista!Q$53),"",IFERROR(VLOOKUP($F12,Arrangörslista!Q$53:$AG$90,16,FALSE),"DNS")))))</f>
        <v/>
      </c>
      <c r="AN12" s="5" t="str">
        <f>IF(Deltagarlista!$K$3=2,
IF(ISBLANK(Deltagarlista!$C60),"",IF(ISBLANK(Arrangörslista!C$98),"",IF($GV12=AN$64," DNS ",IFERROR(VLOOKUP($F12,Arrangörslista!C$98:$AG$135,16,FALSE), "DNS")))), IF(Deltagarlista!$K$3=1,IF(ISBLANK(Deltagarlista!$C60),"",IF(ISBLANK(Arrangörslista!C$98),"",IFERROR(VLOOKUP($F12,Arrangörslista!C$98:$AG$135,16,FALSE), "DNS"))),""))</f>
        <v/>
      </c>
      <c r="AO12" s="5" t="str">
        <f>IF(Deltagarlista!$K$3=2,
IF(ISBLANK(Deltagarlista!$C60),"",IF(ISBLANK(Arrangörslista!D$98),"",IF($GV12=AO$64," DNS ",IFERROR(VLOOKUP($F12,Arrangörslista!D$98:$AG$135,16,FALSE), "DNS")))), IF(Deltagarlista!$K$3=1,IF(ISBLANK(Deltagarlista!$C60),"",IF(ISBLANK(Arrangörslista!D$98),"",IFERROR(VLOOKUP($F12,Arrangörslista!D$98:$AG$135,16,FALSE), "DNS"))),""))</f>
        <v/>
      </c>
      <c r="AP12" s="5" t="str">
        <f>IF(Deltagarlista!$K$3=2,
IF(ISBLANK(Deltagarlista!$C60),"",IF(ISBLANK(Arrangörslista!E$98),"",IF($GV12=AP$64," DNS ",IFERROR(VLOOKUP($F12,Arrangörslista!E$98:$AG$135,16,FALSE), "DNS")))), IF(Deltagarlista!$K$3=1,IF(ISBLANK(Deltagarlista!$C60),"",IF(ISBLANK(Arrangörslista!E$98),"",IFERROR(VLOOKUP($F12,Arrangörslista!E$98:$AG$135,16,FALSE), "DNS"))),""))</f>
        <v/>
      </c>
      <c r="AQ12" s="5" t="str">
        <f>IF(Deltagarlista!$K$3=2,
IF(ISBLANK(Deltagarlista!$C60),"",IF(ISBLANK(Arrangörslista!F$98),"",IF($GV12=AQ$64," DNS ",IFERROR(VLOOKUP($F12,Arrangörslista!F$98:$AG$135,16,FALSE), "DNS")))), IF(Deltagarlista!$K$3=1,IF(ISBLANK(Deltagarlista!$C60),"",IF(ISBLANK(Arrangörslista!F$98),"",IFERROR(VLOOKUP($F12,Arrangörslista!F$98:$AG$135,16,FALSE), "DNS"))),""))</f>
        <v/>
      </c>
      <c r="AR12" s="5" t="str">
        <f>IF(Deltagarlista!$K$3=2,
IF(ISBLANK(Deltagarlista!$C60),"",IF(ISBLANK(Arrangörslista!G$98),"",IF($GV12=AR$64," DNS ",IFERROR(VLOOKUP($F12,Arrangörslista!G$98:$AG$135,16,FALSE), "DNS")))), IF(Deltagarlista!$K$3=1,IF(ISBLANK(Deltagarlista!$C60),"",IF(ISBLANK(Arrangörslista!G$98),"",IFERROR(VLOOKUP($F12,Arrangörslista!G$98:$AG$135,16,FALSE), "DNS"))),""))</f>
        <v/>
      </c>
      <c r="AS12" s="5" t="str">
        <f>IF(Deltagarlista!$K$3=2,
IF(ISBLANK(Deltagarlista!$C60),"",IF(ISBLANK(Arrangörslista!H$98),"",IF($GV12=AS$64," DNS ",IFERROR(VLOOKUP($F12,Arrangörslista!H$98:$AG$135,16,FALSE), "DNS")))), IF(Deltagarlista!$K$3=1,IF(ISBLANK(Deltagarlista!$C60),"",IF(ISBLANK(Arrangörslista!H$98),"",IFERROR(VLOOKUP($F12,Arrangörslista!H$98:$AG$135,16,FALSE), "DNS"))),""))</f>
        <v/>
      </c>
      <c r="AT12" s="5" t="str">
        <f>IF(Deltagarlista!$K$3=2,
IF(ISBLANK(Deltagarlista!$C60),"",IF(ISBLANK(Arrangörslista!I$98),"",IF($GV12=AT$64," DNS ",IFERROR(VLOOKUP($F12,Arrangörslista!I$98:$AG$135,16,FALSE), "DNS")))), IF(Deltagarlista!$K$3=1,IF(ISBLANK(Deltagarlista!$C60),"",IF(ISBLANK(Arrangörslista!I$98),"",IFERROR(VLOOKUP($F12,Arrangörslista!I$98:$AG$135,16,FALSE), "DNS"))),""))</f>
        <v/>
      </c>
      <c r="AU12" s="5" t="str">
        <f>IF(Deltagarlista!$K$3=2,
IF(ISBLANK(Deltagarlista!$C60),"",IF(ISBLANK(Arrangörslista!J$98),"",IF($GV12=AU$64," DNS ",IFERROR(VLOOKUP($F12,Arrangörslista!J$98:$AG$135,16,FALSE), "DNS")))), IF(Deltagarlista!$K$3=1,IF(ISBLANK(Deltagarlista!$C60),"",IF(ISBLANK(Arrangörslista!J$98),"",IFERROR(VLOOKUP($F12,Arrangörslista!J$98:$AG$135,16,FALSE), "DNS"))),""))</f>
        <v/>
      </c>
      <c r="AV12" s="5" t="str">
        <f>IF(Deltagarlista!$K$3=2,
IF(ISBLANK(Deltagarlista!$C60),"",IF(ISBLANK(Arrangörslista!K$98),"",IF($GV12=AV$64," DNS ",IFERROR(VLOOKUP($F12,Arrangörslista!K$98:$AG$135,16,FALSE), "DNS")))), IF(Deltagarlista!$K$3=1,IF(ISBLANK(Deltagarlista!$C60),"",IF(ISBLANK(Arrangörslista!K$98),"",IFERROR(VLOOKUP($F12,Arrangörslista!K$98:$AG$135,16,FALSE), "DNS"))),""))</f>
        <v/>
      </c>
      <c r="AW12" s="5" t="str">
        <f>IF(Deltagarlista!$K$3=2,
IF(ISBLANK(Deltagarlista!$C60),"",IF(ISBLANK(Arrangörslista!L$98),"",IF($GV12=AW$64," DNS ",IFERROR(VLOOKUP($F12,Arrangörslista!L$98:$AG$135,16,FALSE), "DNS")))), IF(Deltagarlista!$K$3=1,IF(ISBLANK(Deltagarlista!$C60),"",IF(ISBLANK(Arrangörslista!L$98),"",IFERROR(VLOOKUP($F12,Arrangörslista!L$98:$AG$135,16,FALSE), "DNS"))),""))</f>
        <v/>
      </c>
      <c r="AX12" s="5" t="str">
        <f>IF(Deltagarlista!$K$3=2,
IF(ISBLANK(Deltagarlista!$C60),"",IF(ISBLANK(Arrangörslista!M$98),"",IF($GV12=AX$64," DNS ",IFERROR(VLOOKUP($F12,Arrangörslista!M$98:$AG$135,16,FALSE), "DNS")))), IF(Deltagarlista!$K$3=1,IF(ISBLANK(Deltagarlista!$C60),"",IF(ISBLANK(Arrangörslista!M$98),"",IFERROR(VLOOKUP($F12,Arrangörslista!M$98:$AG$135,16,FALSE), "DNS"))),""))</f>
        <v/>
      </c>
      <c r="AY12" s="5" t="str">
        <f>IF(Deltagarlista!$K$3=2,
IF(ISBLANK(Deltagarlista!$C60),"",IF(ISBLANK(Arrangörslista!N$98),"",IF($GV12=AY$64," DNS ",IFERROR(VLOOKUP($F12,Arrangörslista!N$98:$AG$135,16,FALSE), "DNS")))), IF(Deltagarlista!$K$3=1,IF(ISBLANK(Deltagarlista!$C60),"",IF(ISBLANK(Arrangörslista!N$98),"",IFERROR(VLOOKUP($F12,Arrangörslista!N$98:$AG$135,16,FALSE), "DNS"))),""))</f>
        <v/>
      </c>
      <c r="AZ12" s="5" t="str">
        <f>IF(Deltagarlista!$K$3=2,
IF(ISBLANK(Deltagarlista!$C60),"",IF(ISBLANK(Arrangörslista!O$98),"",IF($GV12=AZ$64," DNS ",IFERROR(VLOOKUP($F12,Arrangörslista!O$98:$AG$135,16,FALSE), "DNS")))), IF(Deltagarlista!$K$3=1,IF(ISBLANK(Deltagarlista!$C60),"",IF(ISBLANK(Arrangörslista!O$98),"",IFERROR(VLOOKUP($F12,Arrangörslista!O$98:$AG$135,16,FALSE), "DNS"))),""))</f>
        <v/>
      </c>
      <c r="BA12" s="5" t="str">
        <f>IF(Deltagarlista!$K$3=2,
IF(ISBLANK(Deltagarlista!$C60),"",IF(ISBLANK(Arrangörslista!P$98),"",IF($GV12=BA$64," DNS ",IFERROR(VLOOKUP($F12,Arrangörslista!P$98:$AG$135,16,FALSE), "DNS")))), IF(Deltagarlista!$K$3=1,IF(ISBLANK(Deltagarlista!$C60),"",IF(ISBLANK(Arrangörslista!P$98),"",IFERROR(VLOOKUP($F12,Arrangörslista!P$98:$AG$135,16,FALSE), "DNS"))),""))</f>
        <v/>
      </c>
      <c r="BB12" s="5" t="str">
        <f>IF(Deltagarlista!$K$3=2,
IF(ISBLANK(Deltagarlista!$C60),"",IF(ISBLANK(Arrangörslista!Q$98),"",IF($GV12=BB$64," DNS ",IFERROR(VLOOKUP($F12,Arrangörslista!Q$98:$AG$135,16,FALSE), "DNS")))), IF(Deltagarlista!$K$3=1,IF(ISBLANK(Deltagarlista!$C60),"",IF(ISBLANK(Arrangörslista!Q$98),"",IFERROR(VLOOKUP($F12,Arrangörslista!Q$98:$AG$135,16,FALSE), "DNS"))),""))</f>
        <v/>
      </c>
      <c r="BC12" s="5" t="str">
        <f>IF(Deltagarlista!$K$3=2,
IF(ISBLANK(Deltagarlista!$C60),"",IF(ISBLANK(Arrangörslista!C$143),"",IF($GV12=BC$64," DNS ",IFERROR(VLOOKUP($F12,Arrangörslista!C$143:$AG$180,16,FALSE), "DNS")))), IF(Deltagarlista!$K$3=1,IF(ISBLANK(Deltagarlista!$C60),"",IF(ISBLANK(Arrangörslista!C$143),"",IFERROR(VLOOKUP($F12,Arrangörslista!C$143:$AG$180,16,FALSE), "DNS"))),""))</f>
        <v/>
      </c>
      <c r="BD12" s="5" t="str">
        <f>IF(Deltagarlista!$K$3=2,
IF(ISBLANK(Deltagarlista!$C60),"",IF(ISBLANK(Arrangörslista!D$143),"",IF($GV12=BD$64," DNS ",IFERROR(VLOOKUP($F12,Arrangörslista!D$143:$AG$180,16,FALSE), "DNS")))), IF(Deltagarlista!$K$3=1,IF(ISBLANK(Deltagarlista!$C60),"",IF(ISBLANK(Arrangörslista!D$143),"",IFERROR(VLOOKUP($F12,Arrangörslista!D$143:$AG$180,16,FALSE), "DNS"))),""))</f>
        <v/>
      </c>
      <c r="BE12" s="5" t="str">
        <f>IF(Deltagarlista!$K$3=2,
IF(ISBLANK(Deltagarlista!$C60),"",IF(ISBLANK(Arrangörslista!E$143),"",IF($GV12=BE$64," DNS ",IFERROR(VLOOKUP($F12,Arrangörslista!E$143:$AG$180,16,FALSE), "DNS")))), IF(Deltagarlista!$K$3=1,IF(ISBLANK(Deltagarlista!$C60),"",IF(ISBLANK(Arrangörslista!E$143),"",IFERROR(VLOOKUP($F12,Arrangörslista!E$143:$AG$180,16,FALSE), "DNS"))),""))</f>
        <v/>
      </c>
      <c r="BF12" s="5" t="str">
        <f>IF(Deltagarlista!$K$3=2,
IF(ISBLANK(Deltagarlista!$C60),"",IF(ISBLANK(Arrangörslista!F$143),"",IF($GV12=BF$64," DNS ",IFERROR(VLOOKUP($F12,Arrangörslista!F$143:$AG$180,16,FALSE), "DNS")))), IF(Deltagarlista!$K$3=1,IF(ISBLANK(Deltagarlista!$C60),"",IF(ISBLANK(Arrangörslista!F$143),"",IFERROR(VLOOKUP($F12,Arrangörslista!F$143:$AG$180,16,FALSE), "DNS"))),""))</f>
        <v/>
      </c>
      <c r="BG12" s="5" t="str">
        <f>IF(Deltagarlista!$K$3=2,
IF(ISBLANK(Deltagarlista!$C60),"",IF(ISBLANK(Arrangörslista!G$143),"",IF($GV12=BG$64," DNS ",IFERROR(VLOOKUP($F12,Arrangörslista!G$143:$AG$180,16,FALSE), "DNS")))), IF(Deltagarlista!$K$3=1,IF(ISBLANK(Deltagarlista!$C60),"",IF(ISBLANK(Arrangörslista!G$143),"",IFERROR(VLOOKUP($F12,Arrangörslista!G$143:$AG$180,16,FALSE), "DNS"))),""))</f>
        <v/>
      </c>
      <c r="BH12" s="5" t="str">
        <f>IF(Deltagarlista!$K$3=2,
IF(ISBLANK(Deltagarlista!$C60),"",IF(ISBLANK(Arrangörslista!H$143),"",IF($GV12=BH$64," DNS ",IFERROR(VLOOKUP($F12,Arrangörslista!H$143:$AG$180,16,FALSE), "DNS")))), IF(Deltagarlista!$K$3=1,IF(ISBLANK(Deltagarlista!$C60),"",IF(ISBLANK(Arrangörslista!H$143),"",IFERROR(VLOOKUP($F12,Arrangörslista!H$143:$AG$180,16,FALSE), "DNS"))),""))</f>
        <v/>
      </c>
      <c r="BI12" s="5" t="str">
        <f>IF(Deltagarlista!$K$3=2,
IF(ISBLANK(Deltagarlista!$C60),"",IF(ISBLANK(Arrangörslista!I$143),"",IF($GV12=BI$64," DNS ",IFERROR(VLOOKUP($F12,Arrangörslista!I$143:$AG$180,16,FALSE), "DNS")))), IF(Deltagarlista!$K$3=1,IF(ISBLANK(Deltagarlista!$C60),"",IF(ISBLANK(Arrangörslista!I$143),"",IFERROR(VLOOKUP($F12,Arrangörslista!I$143:$AG$180,16,FALSE), "DNS"))),""))</f>
        <v/>
      </c>
      <c r="BJ12" s="5" t="str">
        <f>IF(Deltagarlista!$K$3=2,
IF(ISBLANK(Deltagarlista!$C60),"",IF(ISBLANK(Arrangörslista!J$143),"",IF($GV12=BJ$64," DNS ",IFERROR(VLOOKUP($F12,Arrangörslista!J$143:$AG$180,16,FALSE), "DNS")))), IF(Deltagarlista!$K$3=1,IF(ISBLANK(Deltagarlista!$C60),"",IF(ISBLANK(Arrangörslista!J$143),"",IFERROR(VLOOKUP($F12,Arrangörslista!J$143:$AG$180,16,FALSE), "DNS"))),""))</f>
        <v/>
      </c>
      <c r="BK12" s="5" t="str">
        <f>IF(Deltagarlista!$K$3=2,
IF(ISBLANK(Deltagarlista!$C60),"",IF(ISBLANK(Arrangörslista!K$143),"",IF($GV12=BK$64," DNS ",IFERROR(VLOOKUP($F12,Arrangörslista!K$143:$AG$180,16,FALSE), "DNS")))), IF(Deltagarlista!$K$3=1,IF(ISBLANK(Deltagarlista!$C60),"",IF(ISBLANK(Arrangörslista!K$143),"",IFERROR(VLOOKUP($F12,Arrangörslista!K$143:$AG$180,16,FALSE), "DNS"))),""))</f>
        <v/>
      </c>
      <c r="BL12" s="5" t="str">
        <f>IF(Deltagarlista!$K$3=2,
IF(ISBLANK(Deltagarlista!$C60),"",IF(ISBLANK(Arrangörslista!L$143),"",IF($GV12=BL$64," DNS ",IFERROR(VLOOKUP($F12,Arrangörslista!L$143:$AG$180,16,FALSE), "DNS")))), IF(Deltagarlista!$K$3=1,IF(ISBLANK(Deltagarlista!$C60),"",IF(ISBLANK(Arrangörslista!L$143),"",IFERROR(VLOOKUP($F12,Arrangörslista!L$143:$AG$180,16,FALSE), "DNS"))),""))</f>
        <v/>
      </c>
      <c r="BM12" s="5" t="str">
        <f>IF(Deltagarlista!$K$3=2,
IF(ISBLANK(Deltagarlista!$C60),"",IF(ISBLANK(Arrangörslista!M$143),"",IF($GV12=BM$64," DNS ",IFERROR(VLOOKUP($F12,Arrangörslista!M$143:$AG$180,16,FALSE), "DNS")))), IF(Deltagarlista!$K$3=1,IF(ISBLANK(Deltagarlista!$C60),"",IF(ISBLANK(Arrangörslista!M$143),"",IFERROR(VLOOKUP($F12,Arrangörslista!M$143:$AG$180,16,FALSE), "DNS"))),""))</f>
        <v/>
      </c>
      <c r="BN12" s="5" t="str">
        <f>IF(Deltagarlista!$K$3=2,
IF(ISBLANK(Deltagarlista!$C60),"",IF(ISBLANK(Arrangörslista!N$143),"",IF($GV12=BN$64," DNS ",IFERROR(VLOOKUP($F12,Arrangörslista!N$143:$AG$180,16,FALSE), "DNS")))), IF(Deltagarlista!$K$3=1,IF(ISBLANK(Deltagarlista!$C60),"",IF(ISBLANK(Arrangörslista!N$143),"",IFERROR(VLOOKUP($F12,Arrangörslista!N$143:$AG$180,16,FALSE), "DNS"))),""))</f>
        <v/>
      </c>
      <c r="BO12" s="5" t="str">
        <f>IF(Deltagarlista!$K$3=2,
IF(ISBLANK(Deltagarlista!$C60),"",IF(ISBLANK(Arrangörslista!O$143),"",IF($GV12=BO$64," DNS ",IFERROR(VLOOKUP($F12,Arrangörslista!O$143:$AG$180,16,FALSE), "DNS")))), IF(Deltagarlista!$K$3=1,IF(ISBLANK(Deltagarlista!$C60),"",IF(ISBLANK(Arrangörslista!O$143),"",IFERROR(VLOOKUP($F12,Arrangörslista!O$143:$AG$180,16,FALSE), "DNS"))),""))</f>
        <v/>
      </c>
      <c r="BP12" s="5" t="str">
        <f>IF(Deltagarlista!$K$3=2,
IF(ISBLANK(Deltagarlista!$C60),"",IF(ISBLANK(Arrangörslista!P$143),"",IF($GV12=BP$64," DNS ",IFERROR(VLOOKUP($F12,Arrangörslista!P$143:$AG$180,16,FALSE), "DNS")))), IF(Deltagarlista!$K$3=1,IF(ISBLANK(Deltagarlista!$C60),"",IF(ISBLANK(Arrangörslista!P$143),"",IFERROR(VLOOKUP($F12,Arrangörslista!P$143:$AG$180,16,FALSE), "DNS"))),""))</f>
        <v/>
      </c>
      <c r="BQ12" s="80" t="str">
        <f>IF(Deltagarlista!$K$3=2,
IF(ISBLANK(Deltagarlista!$C60),"",IF(ISBLANK(Arrangörslista!Q$143),"",IF($GV12=BQ$64," DNS ",IFERROR(VLOOKUP($F12,Arrangörslista!Q$143:$AG$180,16,FALSE), "DNS")))), IF(Deltagarlista!$K$3=1,IF(ISBLANK(Deltagarlista!$C60),"",IF(ISBLANK(Arrangörslista!Q$143),"",IFERROR(VLOOKUP($F12,Arrangörslista!Q$143:$AG$180,16,FALSE), "DNS"))),""))</f>
        <v/>
      </c>
      <c r="BR12" s="48"/>
      <c r="BS12" s="50" t="str">
        <f t="shared" si="0"/>
        <v>2</v>
      </c>
      <c r="BU12" s="71">
        <f t="shared" si="1"/>
        <v>0</v>
      </c>
      <c r="BV12" s="61">
        <f t="shared" si="2"/>
        <v>0</v>
      </c>
      <c r="BW12" s="61">
        <f t="shared" si="3"/>
        <v>0</v>
      </c>
      <c r="BX12" s="61">
        <f t="shared" si="4"/>
        <v>0</v>
      </c>
      <c r="BY12" s="61">
        <f t="shared" si="5"/>
        <v>0</v>
      </c>
      <c r="BZ12" s="61">
        <f t="shared" si="6"/>
        <v>0</v>
      </c>
      <c r="CA12" s="61">
        <f t="shared" si="7"/>
        <v>0</v>
      </c>
      <c r="CB12" s="61">
        <f t="shared" si="8"/>
        <v>0</v>
      </c>
      <c r="CC12" s="61">
        <f t="shared" si="9"/>
        <v>0</v>
      </c>
      <c r="CD12" s="61">
        <f t="shared" si="10"/>
        <v>0</v>
      </c>
      <c r="CE12" s="61">
        <f t="shared" si="11"/>
        <v>0</v>
      </c>
      <c r="CF12" s="61">
        <f t="shared" si="12"/>
        <v>0</v>
      </c>
      <c r="CG12" s="61">
        <f t="shared" si="13"/>
        <v>0</v>
      </c>
      <c r="CH12" s="61">
        <f t="shared" si="14"/>
        <v>0</v>
      </c>
      <c r="CI12" s="61">
        <f t="shared" si="15"/>
        <v>0</v>
      </c>
      <c r="CJ12" s="61">
        <f t="shared" si="16"/>
        <v>0</v>
      </c>
      <c r="CK12" s="61">
        <f t="shared" si="17"/>
        <v>0</v>
      </c>
      <c r="CL12" s="61">
        <f t="shared" si="18"/>
        <v>0</v>
      </c>
      <c r="CM12" s="61">
        <f t="shared" si="19"/>
        <v>0</v>
      </c>
      <c r="CN12" s="61">
        <f t="shared" si="20"/>
        <v>0</v>
      </c>
      <c r="CO12" s="61">
        <f t="shared" si="21"/>
        <v>0</v>
      </c>
      <c r="CP12" s="61">
        <f t="shared" si="22"/>
        <v>0</v>
      </c>
      <c r="CQ12" s="61">
        <f t="shared" si="23"/>
        <v>0</v>
      </c>
      <c r="CR12" s="61">
        <f t="shared" si="24"/>
        <v>0</v>
      </c>
      <c r="CS12" s="61">
        <f t="shared" si="25"/>
        <v>0</v>
      </c>
      <c r="CT12" s="61">
        <f t="shared" si="26"/>
        <v>0</v>
      </c>
      <c r="CU12" s="61">
        <f t="shared" si="27"/>
        <v>0</v>
      </c>
      <c r="CV12" s="61">
        <f t="shared" si="28"/>
        <v>0</v>
      </c>
      <c r="CW12" s="61">
        <f t="shared" si="29"/>
        <v>0</v>
      </c>
      <c r="CX12" s="61">
        <f t="shared" si="30"/>
        <v>0</v>
      </c>
      <c r="CY12" s="61">
        <f t="shared" si="31"/>
        <v>0</v>
      </c>
      <c r="CZ12" s="61">
        <f t="shared" si="32"/>
        <v>0</v>
      </c>
      <c r="DA12" s="61">
        <f t="shared" si="33"/>
        <v>0</v>
      </c>
      <c r="DB12" s="61">
        <f t="shared" si="34"/>
        <v>0</v>
      </c>
      <c r="DC12" s="61">
        <f t="shared" si="35"/>
        <v>0</v>
      </c>
      <c r="DD12" s="61">
        <f t="shared" si="36"/>
        <v>0</v>
      </c>
      <c r="DE12" s="61">
        <f t="shared" si="37"/>
        <v>0</v>
      </c>
      <c r="DF12" s="61">
        <f t="shared" si="38"/>
        <v>0</v>
      </c>
      <c r="DG12" s="61">
        <f t="shared" si="39"/>
        <v>0</v>
      </c>
      <c r="DH12" s="61">
        <f t="shared" si="40"/>
        <v>0</v>
      </c>
      <c r="DI12" s="61">
        <f t="shared" si="41"/>
        <v>0</v>
      </c>
      <c r="DJ12" s="61">
        <f t="shared" si="42"/>
        <v>0</v>
      </c>
      <c r="DK12" s="61">
        <f t="shared" si="43"/>
        <v>0</v>
      </c>
      <c r="DL12" s="61">
        <f t="shared" si="44"/>
        <v>0</v>
      </c>
      <c r="DM12" s="61">
        <f t="shared" si="45"/>
        <v>0</v>
      </c>
      <c r="DN12" s="61">
        <f t="shared" si="46"/>
        <v>0</v>
      </c>
      <c r="DO12" s="61">
        <f t="shared" si="47"/>
        <v>0</v>
      </c>
      <c r="DP12" s="61">
        <f t="shared" si="48"/>
        <v>0</v>
      </c>
      <c r="DQ12" s="61">
        <f t="shared" si="49"/>
        <v>0</v>
      </c>
      <c r="DR12" s="61">
        <f t="shared" si="50"/>
        <v>0</v>
      </c>
      <c r="DS12" s="61">
        <f t="shared" si="51"/>
        <v>0</v>
      </c>
      <c r="DT12" s="61">
        <f t="shared" si="52"/>
        <v>0</v>
      </c>
      <c r="DU12" s="61">
        <f t="shared" si="53"/>
        <v>0</v>
      </c>
      <c r="DV12" s="61">
        <f t="shared" si="54"/>
        <v>0</v>
      </c>
      <c r="DW12" s="61">
        <f t="shared" si="55"/>
        <v>0</v>
      </c>
      <c r="DX12" s="61">
        <f t="shared" si="56"/>
        <v>0</v>
      </c>
      <c r="DY12" s="61">
        <f t="shared" si="57"/>
        <v>0</v>
      </c>
      <c r="DZ12" s="61">
        <f t="shared" si="58"/>
        <v>0</v>
      </c>
      <c r="EA12" s="61">
        <f t="shared" si="59"/>
        <v>0</v>
      </c>
      <c r="EB12" s="61">
        <f t="shared" si="60"/>
        <v>0</v>
      </c>
      <c r="EC12" s="61">
        <f t="shared" si="61"/>
        <v>0</v>
      </c>
      <c r="EE12" s="61">
        <f xml:space="preserve">
IF(OR(Deltagarlista!$K$3=3,Deltagarlista!$K$3=4),
IF(Arrangörslista!$U$5&lt;8,0,
IF(Arrangörslista!$U$5&lt;16,SUM(LARGE(BV12:CJ12,1)),
IF(Arrangörslista!$U$5&lt;24,SUM(LARGE(BV12:CR12,{1;2})),
IF(Arrangörslista!$U$5&lt;32,SUM(LARGE(BV12:CZ12,{1;2;3})),
IF(Arrangörslista!$U$5&lt;40,SUM(LARGE(BV12:DH12,{1;2;3;4})),
IF(Arrangörslista!$U$5&lt;48,SUM(LARGE(BV12:DP12,{1;2;3;4;5})),
IF(Arrangörslista!$U$5&lt;56,SUM(LARGE(BV12:DX12,{1;2;3;4;5;6})),
IF(Arrangörslista!$U$5&lt;64,SUM(LARGE(BV12:EC12,{1;2;3;4;5;6;7})),0)))))))),
IF(Deltagarlista!$K$3=2,
IF(Arrangörslista!$U$5&lt;4,LARGE(BV12:BX12,1),
IF(Arrangörslista!$U$5&lt;7,SUM(LARGE(BV12:CA12,{1;2;3})),
IF(Arrangörslista!$U$5&lt;10,SUM(LARGE(BV12:CD12,{1;2;3;4})),
IF(Arrangörslista!$U$5&lt;13,SUM(LARGE(BV12:CG12,{1;2;3;4;5;6})),
IF(Arrangörslista!$U$5&lt;16,SUM(LARGE(BV12:CJ12,{1;2;3;4;5;6;7})),
IF(Arrangörslista!$U$5&lt;19,SUM(LARGE(BV12:CM12,{1;2;3;4;5;6;7;8;9})),
IF(Arrangörslista!$U$5&lt;22,SUM(LARGE(BV12:CP12,{1;2;3;4;5;6;7;8;9;10})),
IF(Arrangörslista!$U$5&lt;25,SUM(LARGE(BV12:CS12,{1;2;3;4;5;6;7;8;9;10;11;12})),
IF(Arrangörslista!$U$5&lt;28,SUM(LARGE(BV12:CV12,{1;2;3;4;5;6;7;8;9;10;11;12;13})),
IF(Arrangörslista!$U$5&lt;31,SUM(LARGE(BV12:CY12,{1;2;3;4;5;6;7;8;9;10;11;12;13;14;15})),
IF(Arrangörslista!$U$5&lt;34,SUM(LARGE(BV12:DB12,{1;2;3;4;5;6;7;8;9;10;11;12;13;14;15;16})),
IF(Arrangörslista!$U$5&lt;37,SUM(LARGE(BV12:DE12,{1;2;3;4;5;6;7;8;9;10;11;12;13;14;15;16;17;18})),
IF(Arrangörslista!$U$5&lt;40,SUM(LARGE(BV12:DH12,{1;2;3;4;5;6;7;8;9;10;11;12;13;14;15;16;17;18;19})),
IF(Arrangörslista!$U$5&lt;43,SUM(LARGE(BV12:DK12,{1;2;3;4;5;6;7;8;9;10;11;12;13;14;15;16;17;18;19;20;21})),
IF(Arrangörslista!$U$5&lt;46,SUM(LARGE(BV12:DN12,{1;2;3;4;5;6;7;8;9;10;11;12;13;14;15;16;17;18;19;20;21;22})),
IF(Arrangörslista!$U$5&lt;49,SUM(LARGE(BV12:DQ12,{1;2;3;4;5;6;7;8;9;10;11;12;13;14;15;16;17;18;19;20;21;22;23;24})),
IF(Arrangörslista!$U$5&lt;52,SUM(LARGE(BV12:DT12,{1;2;3;4;5;6;7;8;9;10;11;12;13;14;15;16;17;18;19;20;21;22;23;24;25})),
IF(Arrangörslista!$U$5&lt;55,SUM(LARGE(BV12:DW12,{1;2;3;4;5;6;7;8;9;10;11;12;13;14;15;16;17;18;19;20;21;22;23;24;25;26;27})),
IF(Arrangörslista!$U$5&lt;58,SUM(LARGE(BV12:DZ12,{1;2;3;4;5;6;7;8;9;10;11;12;13;14;15;16;17;18;19;20;21;22;23;24;25;26;27;28})),
IF(Arrangörslista!$U$5&lt;61,SUM(LARGE(BV12:EC12,{1;2;3;4;5;6;7;8;9;10;11;12;13;14;15;16;17;18;19;20;21;22;23;24;25;26;27;28;29;30})),0)))))))))))))))))))),
IF(Arrangörslista!$U$5&lt;4,0,
IF(Arrangörslista!$U$5&lt;8,SUM(LARGE(BV12:CB12,1)),
IF(Arrangörslista!$U$5&lt;12,SUM(LARGE(BV12:CF12,{1;2})),
IF(Arrangörslista!$U$5&lt;16,SUM(LARGE(BV12:CJ12,{1;2;3})),
IF(Arrangörslista!$U$5&lt;20,SUM(LARGE(BV12:CN12,{1;2;3;4})),
IF(Arrangörslista!$U$5&lt;24,SUM(LARGE(BV12:CR12,{1;2;3;4;5})),
IF(Arrangörslista!$U$5&lt;28,SUM(LARGE(BV12:CV12,{1;2;3;4;5;6})),
IF(Arrangörslista!$U$5&lt;32,SUM(LARGE(BV12:CZ12,{1;2;3;4;5;6;7})),
IF(Arrangörslista!$U$5&lt;36,SUM(LARGE(BV12:DD12,{1;2;3;4;5;6;7;8})),
IF(Arrangörslista!$U$5&lt;40,SUM(LARGE(BV12:DH12,{1;2;3;4;5;6;7;8;9})),
IF(Arrangörslista!$U$5&lt;44,SUM(LARGE(BV12:DL12,{1;2;3;4;5;6;7;8;9;10})),
IF(Arrangörslista!$U$5&lt;48,SUM(LARGE(BV12:DP12,{1;2;3;4;5;6;7;8;9;10;11})),
IF(Arrangörslista!$U$5&lt;52,SUM(LARGE(BV12:DT12,{1;2;3;4;5;6;7;8;9;10;11;12})),
IF(Arrangörslista!$U$5&lt;56,SUM(LARGE(BV12:DX12,{1;2;3;4;5;6;7;8;9;10;11;12;13})),
IF(Arrangörslista!$U$5&lt;60,SUM(LARGE(BV12:EB12,{1;2;3;4;5;6;7;8;9;10;11;12;13;14})),
IF(Arrangörslista!$U$5=60,SUM(LARGE(BV12:EC12,{1;2;3;4;5;6;7;8;9;10;11;12;13;14;15})),0))))))))))))))))))</f>
        <v>0</v>
      </c>
      <c r="EG12" s="67">
        <f t="shared" si="62"/>
        <v>0</v>
      </c>
      <c r="EH12" s="61"/>
      <c r="EI12" s="61"/>
      <c r="EK12" s="62">
        <f t="shared" si="63"/>
        <v>61</v>
      </c>
      <c r="EL12" s="62">
        <f t="shared" si="64"/>
        <v>61</v>
      </c>
      <c r="EM12" s="62">
        <f t="shared" si="65"/>
        <v>61</v>
      </c>
      <c r="EN12" s="62">
        <f t="shared" si="66"/>
        <v>61</v>
      </c>
      <c r="EO12" s="62">
        <f t="shared" si="67"/>
        <v>61</v>
      </c>
      <c r="EP12" s="62">
        <f t="shared" si="68"/>
        <v>61</v>
      </c>
      <c r="EQ12" s="62">
        <f t="shared" si="69"/>
        <v>61</v>
      </c>
      <c r="ER12" s="62">
        <f t="shared" si="70"/>
        <v>61</v>
      </c>
      <c r="ES12" s="62">
        <f t="shared" si="71"/>
        <v>61</v>
      </c>
      <c r="ET12" s="62">
        <f t="shared" si="72"/>
        <v>61</v>
      </c>
      <c r="EU12" s="62">
        <f t="shared" si="73"/>
        <v>61</v>
      </c>
      <c r="EV12" s="62">
        <f t="shared" si="74"/>
        <v>61</v>
      </c>
      <c r="EW12" s="62">
        <f t="shared" si="75"/>
        <v>61</v>
      </c>
      <c r="EX12" s="62">
        <f t="shared" si="76"/>
        <v>61</v>
      </c>
      <c r="EY12" s="62">
        <f t="shared" si="77"/>
        <v>61</v>
      </c>
      <c r="EZ12" s="62">
        <f t="shared" si="78"/>
        <v>61</v>
      </c>
      <c r="FA12" s="62">
        <f t="shared" si="79"/>
        <v>61</v>
      </c>
      <c r="FB12" s="62">
        <f t="shared" si="80"/>
        <v>61</v>
      </c>
      <c r="FC12" s="62">
        <f t="shared" si="81"/>
        <v>61</v>
      </c>
      <c r="FD12" s="62">
        <f t="shared" si="82"/>
        <v>61</v>
      </c>
      <c r="FE12" s="62">
        <f t="shared" si="83"/>
        <v>61</v>
      </c>
      <c r="FF12" s="62">
        <f t="shared" si="84"/>
        <v>61</v>
      </c>
      <c r="FG12" s="62">
        <f t="shared" si="85"/>
        <v>61</v>
      </c>
      <c r="FH12" s="62">
        <f t="shared" si="86"/>
        <v>61</v>
      </c>
      <c r="FI12" s="62">
        <f t="shared" si="87"/>
        <v>61</v>
      </c>
      <c r="FJ12" s="62">
        <f t="shared" si="88"/>
        <v>61</v>
      </c>
      <c r="FK12" s="62">
        <f t="shared" si="89"/>
        <v>61</v>
      </c>
      <c r="FL12" s="62">
        <f t="shared" si="90"/>
        <v>61</v>
      </c>
      <c r="FM12" s="62">
        <f t="shared" si="91"/>
        <v>61</v>
      </c>
      <c r="FN12" s="62">
        <f t="shared" si="92"/>
        <v>61</v>
      </c>
      <c r="FO12" s="62">
        <f t="shared" si="93"/>
        <v>61</v>
      </c>
      <c r="FP12" s="62">
        <f t="shared" si="94"/>
        <v>61</v>
      </c>
      <c r="FQ12" s="62">
        <f t="shared" si="95"/>
        <v>61</v>
      </c>
      <c r="FR12" s="62">
        <f t="shared" si="96"/>
        <v>61</v>
      </c>
      <c r="FS12" s="62">
        <f t="shared" si="97"/>
        <v>61</v>
      </c>
      <c r="FT12" s="62">
        <f t="shared" si="98"/>
        <v>61</v>
      </c>
      <c r="FU12" s="62">
        <f t="shared" si="99"/>
        <v>61</v>
      </c>
      <c r="FV12" s="62">
        <f t="shared" si="100"/>
        <v>61</v>
      </c>
      <c r="FW12" s="62">
        <f t="shared" si="101"/>
        <v>61</v>
      </c>
      <c r="FX12" s="62">
        <f t="shared" si="102"/>
        <v>61</v>
      </c>
      <c r="FY12" s="62">
        <f t="shared" si="103"/>
        <v>61</v>
      </c>
      <c r="FZ12" s="62">
        <f t="shared" si="104"/>
        <v>61</v>
      </c>
      <c r="GA12" s="62">
        <f t="shared" si="105"/>
        <v>61</v>
      </c>
      <c r="GB12" s="62">
        <f t="shared" si="106"/>
        <v>61</v>
      </c>
      <c r="GC12" s="62">
        <f t="shared" si="107"/>
        <v>61</v>
      </c>
      <c r="GD12" s="62">
        <f t="shared" si="108"/>
        <v>61</v>
      </c>
      <c r="GE12" s="62">
        <f t="shared" si="109"/>
        <v>61</v>
      </c>
      <c r="GF12" s="62">
        <f t="shared" si="110"/>
        <v>61</v>
      </c>
      <c r="GG12" s="62">
        <f t="shared" si="111"/>
        <v>61</v>
      </c>
      <c r="GH12" s="62">
        <f t="shared" si="112"/>
        <v>61</v>
      </c>
      <c r="GI12" s="62">
        <f t="shared" si="113"/>
        <v>61</v>
      </c>
      <c r="GJ12" s="62">
        <f t="shared" si="114"/>
        <v>61</v>
      </c>
      <c r="GK12" s="62">
        <f t="shared" si="115"/>
        <v>61</v>
      </c>
      <c r="GL12" s="62">
        <f t="shared" si="116"/>
        <v>61</v>
      </c>
      <c r="GM12" s="62">
        <f t="shared" si="117"/>
        <v>61</v>
      </c>
      <c r="GN12" s="62">
        <f t="shared" si="118"/>
        <v>61</v>
      </c>
      <c r="GO12" s="62">
        <f t="shared" si="119"/>
        <v>61</v>
      </c>
      <c r="GP12" s="62">
        <f t="shared" si="120"/>
        <v>61</v>
      </c>
      <c r="GQ12" s="62">
        <f t="shared" si="121"/>
        <v>61</v>
      </c>
      <c r="GR12" s="62">
        <f t="shared" si="122"/>
        <v>61</v>
      </c>
      <c r="GT12" s="62">
        <f>IF(Deltagarlista!$K$3=2,
IF(GW12="1",
      IF(Arrangörslista!$U$5=1,J75,
IF(Arrangörslista!$U$5=2,K75,
IF(Arrangörslista!$U$5=3,L75,
IF(Arrangörslista!$U$5=4,M75,
IF(Arrangörslista!$U$5=5,N75,
IF(Arrangörslista!$U$5=6,O75,
IF(Arrangörslista!$U$5=7,P75,
IF(Arrangörslista!$U$5=8,Q75,
IF(Arrangörslista!$U$5=9,R75,
IF(Arrangörslista!$U$5=10,S75,
IF(Arrangörslista!$U$5=11,T75,
IF(Arrangörslista!$U$5=12,U75,
IF(Arrangörslista!$U$5=13,V75,
IF(Arrangörslista!$U$5=14,W75,
IF(Arrangörslista!$U$5=15,X75,
IF(Arrangörslista!$U$5=16,Y75,IF(Arrangörslista!$U$5=17,Z75,IF(Arrangörslista!$U$5=18,AA75,IF(Arrangörslista!$U$5=19,AB75,IF(Arrangörslista!$U$5=20,AC75,IF(Arrangörslista!$U$5=21,AD75,IF(Arrangörslista!$U$5=22,AE75,IF(Arrangörslista!$U$5=23,AF75, IF(Arrangörslista!$U$5=24,AG75, IF(Arrangörslista!$U$5=25,AH75, IF(Arrangörslista!$U$5=26,AI75, IF(Arrangörslista!$U$5=27,AJ75, IF(Arrangörslista!$U$5=28,AK75, IF(Arrangörslista!$U$5=29,AL75, IF(Arrangörslista!$U$5=30,AM75, IF(Arrangörslista!$U$5=31,AN75, IF(Arrangörslista!$U$5=32,AO75, IF(Arrangörslista!$U$5=33,AP75, IF(Arrangörslista!$U$5=34,AQ75, IF(Arrangörslista!$U$5=35,AR75, IF(Arrangörslista!$U$5=36,AS75, IF(Arrangörslista!$U$5=37,AT75, IF(Arrangörslista!$U$5=38,AU75, IF(Arrangörslista!$U$5=39,AV75, IF(Arrangörslista!$U$5=40,AW75, IF(Arrangörslista!$U$5=41,AX75, IF(Arrangörslista!$U$5=42,AY75, IF(Arrangörslista!$U$5=43,AZ75, IF(Arrangörslista!$U$5=44,BA75, IF(Arrangörslista!$U$5=45,BB75, IF(Arrangörslista!$U$5=46,BC75, IF(Arrangörslista!$U$5=47,BD75, IF(Arrangörslista!$U$5=48,BE75, IF(Arrangörslista!$U$5=49,BF75, IF(Arrangörslista!$U$5=50,BG75, IF(Arrangörslista!$U$5=51,BH75, IF(Arrangörslista!$U$5=52,BI75, IF(Arrangörslista!$U$5=53,BJ75, IF(Arrangörslista!$U$5=54,BK75, IF(Arrangörslista!$U$5=55,BL75, IF(Arrangörslista!$U$5=56,BM75, IF(Arrangörslista!$U$5=57,BN75, IF(Arrangörslista!$U$5=58,BO75, IF(Arrangörslista!$U$5=59,BP75, IF(Arrangörslista!$U$5=60,BQ75,0))))))))))))))))))))))))))))))))))))))))))))))))))))))))))))),IF(Deltagarlista!$K$3=4, IF(Arrangörslista!$U$5=1,J75,
IF(Arrangörslista!$U$5=2,J75,
IF(Arrangörslista!$U$5=3,K75,
IF(Arrangörslista!$U$5=4,K75,
IF(Arrangörslista!$U$5=5,L75,
IF(Arrangörslista!$U$5=6,L75,
IF(Arrangörslista!$U$5=7,M75,
IF(Arrangörslista!$U$5=8,M75,
IF(Arrangörslista!$U$5=9,N75,
IF(Arrangörslista!$U$5=10,N75,
IF(Arrangörslista!$U$5=11,O75,
IF(Arrangörslista!$U$5=12,O75,
IF(Arrangörslista!$U$5=13,P75,
IF(Arrangörslista!$U$5=14,P75,
IF(Arrangörslista!$U$5=15,Q75,
IF(Arrangörslista!$U$5=16,Q75,
IF(Arrangörslista!$U$5=17,R75,
IF(Arrangörslista!$U$5=18,R75,
IF(Arrangörslista!$U$5=19,S75,
IF(Arrangörslista!$U$5=20,S75,
IF(Arrangörslista!$U$5=21,T75,
IF(Arrangörslista!$U$5=22,T75,IF(Arrangörslista!$U$5=23,U75, IF(Arrangörslista!$U$5=24,U75, IF(Arrangörslista!$U$5=25,V75, IF(Arrangörslista!$U$5=26,V75, IF(Arrangörslista!$U$5=27,W75, IF(Arrangörslista!$U$5=28,W75, IF(Arrangörslista!$U$5=29,X75, IF(Arrangörslista!$U$5=30,X75, IF(Arrangörslista!$U$5=31,X75, IF(Arrangörslista!$U$5=32,Y75, IF(Arrangörslista!$U$5=33,AO75, IF(Arrangörslista!$U$5=34,Y75, IF(Arrangörslista!$U$5=35,Z75, IF(Arrangörslista!$U$5=36,AR75, IF(Arrangörslista!$U$5=37,Z75, IF(Arrangörslista!$U$5=38,AA75, IF(Arrangörslista!$U$5=39,AU75, IF(Arrangörslista!$U$5=40,AA75, IF(Arrangörslista!$U$5=41,AB75, IF(Arrangörslista!$U$5=42,AX75, IF(Arrangörslista!$U$5=43,AB75, IF(Arrangörslista!$U$5=44,AC75, IF(Arrangörslista!$U$5=45,BA75, IF(Arrangörslista!$U$5=46,AC75, IF(Arrangörslista!$U$5=47,AD75, IF(Arrangörslista!$U$5=48,BD75, IF(Arrangörslista!$U$5=49,AD75, IF(Arrangörslista!$U$5=50,AE75, IF(Arrangörslista!$U$5=51,BG75, IF(Arrangörslista!$U$5=52,AE75, IF(Arrangörslista!$U$5=53,AF75, IF(Arrangörslista!$U$5=54,BJ75, IF(Arrangörslista!$U$5=55,AF75, IF(Arrangörslista!$U$5=56,AG75, IF(Arrangörslista!$U$5=57,BM75, IF(Arrangörslista!$U$5=58,AG75, IF(Arrangörslista!$U$5=59,AH75, IF(Arrangörslista!$U$5=60,AH75,0)))))))))))))))))))))))))))))))))))))))))))))))))))))))))))),IF(Arrangörslista!$U$5=1,J75,
IF(Arrangörslista!$U$5=2,K75,
IF(Arrangörslista!$U$5=3,L75,
IF(Arrangörslista!$U$5=4,M75,
IF(Arrangörslista!$U$5=5,N75,
IF(Arrangörslista!$U$5=6,O75,
IF(Arrangörslista!$U$5=7,P75,
IF(Arrangörslista!$U$5=8,Q75,
IF(Arrangörslista!$U$5=9,R75,
IF(Arrangörslista!$U$5=10,S75,
IF(Arrangörslista!$U$5=11,T75,
IF(Arrangörslista!$U$5=12,U75,
IF(Arrangörslista!$U$5=13,V75,
IF(Arrangörslista!$U$5=14,W75,
IF(Arrangörslista!$U$5=15,X75,
IF(Arrangörslista!$U$5=16,Y75,IF(Arrangörslista!$U$5=17,Z75,IF(Arrangörslista!$U$5=18,AA75,IF(Arrangörslista!$U$5=19,AB75,IF(Arrangörslista!$U$5=20,AC75,IF(Arrangörslista!$U$5=21,AD75,IF(Arrangörslista!$U$5=22,AE75,IF(Arrangörslista!$U$5=23,AF75, IF(Arrangörslista!$U$5=24,AG75, IF(Arrangörslista!$U$5=25,AH75, IF(Arrangörslista!$U$5=26,AI75, IF(Arrangörslista!$U$5=27,AJ75, IF(Arrangörslista!$U$5=28,AK75, IF(Arrangörslista!$U$5=29,AL75, IF(Arrangörslista!$U$5=30,AM75, IF(Arrangörslista!$U$5=31,AN75, IF(Arrangörslista!$U$5=32,AO75, IF(Arrangörslista!$U$5=33,AP75, IF(Arrangörslista!$U$5=34,AQ75, IF(Arrangörslista!$U$5=35,AR75, IF(Arrangörslista!$U$5=36,AS75, IF(Arrangörslista!$U$5=37,AT75, IF(Arrangörslista!$U$5=38,AU75, IF(Arrangörslista!$U$5=39,AV75, IF(Arrangörslista!$U$5=40,AW75, IF(Arrangörslista!$U$5=41,AX75, IF(Arrangörslista!$U$5=42,AY75, IF(Arrangörslista!$U$5=43,AZ75, IF(Arrangörslista!$U$5=44,BA75, IF(Arrangörslista!$U$5=45,BB75, IF(Arrangörslista!$U$5=46,BC75, IF(Arrangörslista!$U$5=47,BD75, IF(Arrangörslista!$U$5=48,BE75, IF(Arrangörslista!$U$5=49,BF75, IF(Arrangörslista!$U$5=50,BG75, IF(Arrangörslista!$U$5=51,BH75, IF(Arrangörslista!$U$5=52,BI75, IF(Arrangörslista!$U$5=53,BJ75, IF(Arrangörslista!$U$5=54,BK75, IF(Arrangörslista!$U$5=55,BL75, IF(Arrangörslista!$U$5=56,BM75, IF(Arrangörslista!$U$5=57,BN75, IF(Arrangörslista!$U$5=58,BO75, IF(Arrangörslista!$U$5=59,BP75, IF(Arrangörslista!$U$5=60,BQ75,0))))))))))))))))))))))))))))))))))))))))))))))))))))))))))))
))</f>
        <v>0</v>
      </c>
      <c r="GV12" s="65" t="str">
        <f>IFERROR(IF(VLOOKUP(F12,Deltagarlista!$E$5:$I$64,5,FALSE)="Grön","Gr",IF(VLOOKUP(F12,Deltagarlista!$E$5:$I$64,5,FALSE)="Röd","R",IF(VLOOKUP(F12,Deltagarlista!$E$5:$I$64,5,FALSE)="Blå","B","Gu"))),"")</f>
        <v/>
      </c>
      <c r="GW12" s="62" t="str">
        <f t="shared" si="124"/>
        <v/>
      </c>
    </row>
    <row r="13" spans="1:206" x14ac:dyDescent="0.3">
      <c r="B13" s="23" t="str">
        <f>IF((COUNTIF(Deltagarlista!$H$5:$H$64,"GM"))&gt;9,10,"")</f>
        <v/>
      </c>
      <c r="C13" s="92" t="str">
        <f>IF(ISBLANK(Deltagarlista!C43),"",Deltagarlista!C43)</f>
        <v/>
      </c>
      <c r="D13" s="109" t="str">
        <f>CONCATENATE(IF(Deltagarlista!H43="GM","GM   ",""), IF(OR(Deltagarlista!$K$3=4,Deltagarlista!$K$3=2),Deltagarlista!I43,""))</f>
        <v/>
      </c>
      <c r="E13" s="8" t="str">
        <f>IF(ISBLANK(Deltagarlista!D43),"",Deltagarlista!D43)</f>
        <v/>
      </c>
      <c r="F13" s="8" t="str">
        <f>IF(ISBLANK(Deltagarlista!E43),"",Deltagarlista!E43)</f>
        <v/>
      </c>
      <c r="G13" s="95" t="str">
        <f>IF(ISBLANK(Deltagarlista!F43),"",Deltagarlista!F43)</f>
        <v/>
      </c>
      <c r="H13" s="72" t="str">
        <f>IF(ISBLANK(Deltagarlista!C43),"",BU13-EE13)</f>
        <v/>
      </c>
      <c r="I13" s="13" t="str">
        <f>IF(ISBLANK(Deltagarlista!C43),"",IF(AND(Deltagarlista!$K$3=2,Deltagarlista!$L$3&lt;37),SUM(SUM(BV13:EC13)-(ROUNDDOWN(Arrangörslista!$U$5/3,1))*($BW$3+1)),SUM(BV13:EC13)))</f>
        <v/>
      </c>
      <c r="J13" s="79" t="str">
        <f>IF(Deltagarlista!$K$3=4,IF(ISBLANK(Deltagarlista!$C43),"",IF(ISBLANK(Arrangörslista!C$8),"",IFERROR(VLOOKUP($F13,Arrangörslista!C$8:$AG$45,16,FALSE),IF(ISBLANK(Deltagarlista!$C43),"",IF(ISBLANK(Arrangörslista!C$8),"",IFERROR(VLOOKUP($F13,Arrangörslista!D$8:$AG$45,16,FALSE),"DNS")))))),IF(Deltagarlista!$K$3=2,
IF(ISBLANK(Deltagarlista!$C43),"",IF(ISBLANK(Arrangörslista!C$8),"",IF($GV13=J$64," DNS ",IFERROR(VLOOKUP($F13,Arrangörslista!C$8:$AG$45,16,FALSE),"DNS")))),IF(ISBLANK(Deltagarlista!$C43),"",IF(ISBLANK(Arrangörslista!C$8),"",IFERROR(VLOOKUP($F13,Arrangörslista!C$8:$AG$45,16,FALSE),"DNS")))))</f>
        <v/>
      </c>
      <c r="K13" s="5" t="str">
        <f>IF(Deltagarlista!$K$3=4,IF(ISBLANK(Deltagarlista!$C43),"",IF(ISBLANK(Arrangörslista!E$8),"",IFERROR(VLOOKUP($F13,Arrangörslista!E$8:$AG$45,16,FALSE),IF(ISBLANK(Deltagarlista!$C43),"",IF(ISBLANK(Arrangörslista!E$8),"",IFERROR(VLOOKUP($F13,Arrangörslista!F$8:$AG$45,16,FALSE),"DNS")))))),IF(Deltagarlista!$K$3=2,
IF(ISBLANK(Deltagarlista!$C43),"",IF(ISBLANK(Arrangörslista!D$8),"",IF($GV13=K$64," DNS ",IFERROR(VLOOKUP($F13,Arrangörslista!D$8:$AG$45,16,FALSE),"DNS")))),IF(ISBLANK(Deltagarlista!$C43),"",IF(ISBLANK(Arrangörslista!D$8),"",IFERROR(VLOOKUP($F13,Arrangörslista!D$8:$AG$45,16,FALSE),"DNS")))))</f>
        <v/>
      </c>
      <c r="L13" s="5" t="str">
        <f>IF(Deltagarlista!$K$3=4,IF(ISBLANK(Deltagarlista!$C43),"",IF(ISBLANK(Arrangörslista!G$8),"",IFERROR(VLOOKUP($F13,Arrangörslista!G$8:$AG$45,16,FALSE),IF(ISBLANK(Deltagarlista!$C43),"",IF(ISBLANK(Arrangörslista!G$8),"",IFERROR(VLOOKUP($F13,Arrangörslista!H$8:$AG$45,16,FALSE),"DNS")))))),IF(Deltagarlista!$K$3=2,
IF(ISBLANK(Deltagarlista!$C43),"",IF(ISBLANK(Arrangörslista!E$8),"",IF($GV13=L$64," DNS ",IFERROR(VLOOKUP($F13,Arrangörslista!E$8:$AG$45,16,FALSE),"DNS")))),IF(ISBLANK(Deltagarlista!$C43),"",IF(ISBLANK(Arrangörslista!E$8),"",IFERROR(VLOOKUP($F13,Arrangörslista!E$8:$AG$45,16,FALSE),"DNS")))))</f>
        <v/>
      </c>
      <c r="M13" s="5" t="str">
        <f>IF(Deltagarlista!$K$3=4,IF(ISBLANK(Deltagarlista!$C43),"",IF(ISBLANK(Arrangörslista!I$8),"",IFERROR(VLOOKUP($F13,Arrangörslista!I$8:$AG$45,16,FALSE),IF(ISBLANK(Deltagarlista!$C43),"",IF(ISBLANK(Arrangörslista!I$8),"",IFERROR(VLOOKUP($F13,Arrangörslista!J$8:$AG$45,16,FALSE),"DNS")))))),IF(Deltagarlista!$K$3=2,
IF(ISBLANK(Deltagarlista!$C43),"",IF(ISBLANK(Arrangörslista!F$8),"",IF($GV13=M$64," DNS ",IFERROR(VLOOKUP($F13,Arrangörslista!F$8:$AG$45,16,FALSE),"DNS")))),IF(ISBLANK(Deltagarlista!$C43),"",IF(ISBLANK(Arrangörslista!F$8),"",IFERROR(VLOOKUP($F13,Arrangörslista!F$8:$AG$45,16,FALSE),"DNS")))))</f>
        <v/>
      </c>
      <c r="N13" s="5" t="str">
        <f>IF(Deltagarlista!$K$3=4,IF(ISBLANK(Deltagarlista!$C43),"",IF(ISBLANK(Arrangörslista!K$8),"",IFERROR(VLOOKUP($F13,Arrangörslista!K$8:$AG$45,16,FALSE),IF(ISBLANK(Deltagarlista!$C43),"",IF(ISBLANK(Arrangörslista!K$8),"",IFERROR(VLOOKUP($F13,Arrangörslista!L$8:$AG$45,16,FALSE),"DNS")))))),IF(Deltagarlista!$K$3=2,
IF(ISBLANK(Deltagarlista!$C43),"",IF(ISBLANK(Arrangörslista!G$8),"",IF($GV13=N$64," DNS ",IFERROR(VLOOKUP($F13,Arrangörslista!G$8:$AG$45,16,FALSE),"DNS")))),IF(ISBLANK(Deltagarlista!$C43),"",IF(ISBLANK(Arrangörslista!G$8),"",IFERROR(VLOOKUP($F13,Arrangörslista!G$8:$AG$45,16,FALSE),"DNS")))))</f>
        <v/>
      </c>
      <c r="O13" s="5" t="str">
        <f>IF(Deltagarlista!$K$3=4,IF(ISBLANK(Deltagarlista!$C43),"",IF(ISBLANK(Arrangörslista!M$8),"",IFERROR(VLOOKUP($F13,Arrangörslista!M$8:$AG$45,16,FALSE),IF(ISBLANK(Deltagarlista!$C43),"",IF(ISBLANK(Arrangörslista!M$8),"",IFERROR(VLOOKUP($F13,Arrangörslista!N$8:$AG$45,16,FALSE),"DNS")))))),IF(Deltagarlista!$K$3=2,
IF(ISBLANK(Deltagarlista!$C43),"",IF(ISBLANK(Arrangörslista!H$8),"",IF($GV13=O$64," DNS ",IFERROR(VLOOKUP($F13,Arrangörslista!H$8:$AG$45,16,FALSE),"DNS")))),IF(ISBLANK(Deltagarlista!$C43),"",IF(ISBLANK(Arrangörslista!H$8),"",IFERROR(VLOOKUP($F13,Arrangörslista!H$8:$AG$45,16,FALSE),"DNS")))))</f>
        <v/>
      </c>
      <c r="P13" s="5" t="str">
        <f>IF(Deltagarlista!$K$3=4,IF(ISBLANK(Deltagarlista!$C43),"",IF(ISBLANK(Arrangörslista!O$8),"",IFERROR(VLOOKUP($F13,Arrangörslista!O$8:$AG$45,16,FALSE),IF(ISBLANK(Deltagarlista!$C43),"",IF(ISBLANK(Arrangörslista!O$8),"",IFERROR(VLOOKUP($F13,Arrangörslista!P$8:$AG$45,16,FALSE),"DNS")))))),IF(Deltagarlista!$K$3=2,
IF(ISBLANK(Deltagarlista!$C43),"",IF(ISBLANK(Arrangörslista!I$8),"",IF($GV13=P$64," DNS ",IFERROR(VLOOKUP($F13,Arrangörslista!I$8:$AG$45,16,FALSE),"DNS")))),IF(ISBLANK(Deltagarlista!$C43),"",IF(ISBLANK(Arrangörslista!I$8),"",IFERROR(VLOOKUP($F13,Arrangörslista!I$8:$AG$45,16,FALSE),"DNS")))))</f>
        <v/>
      </c>
      <c r="Q13" s="5" t="str">
        <f>IF(Deltagarlista!$K$3=4,IF(ISBLANK(Deltagarlista!$C43),"",IF(ISBLANK(Arrangörslista!Q$8),"",IFERROR(VLOOKUP($F13,Arrangörslista!Q$8:$AG$45,16,FALSE),IF(ISBLANK(Deltagarlista!$C43),"",IF(ISBLANK(Arrangörslista!Q$8),"",IFERROR(VLOOKUP($F13,Arrangörslista!C$53:$AG$90,16,FALSE),"DNS")))))),IF(Deltagarlista!$K$3=2,
IF(ISBLANK(Deltagarlista!$C43),"",IF(ISBLANK(Arrangörslista!J$8),"",IF($GV13=Q$64," DNS ",IFERROR(VLOOKUP($F13,Arrangörslista!J$8:$AG$45,16,FALSE),"DNS")))),IF(ISBLANK(Deltagarlista!$C43),"",IF(ISBLANK(Arrangörslista!J$8),"",IFERROR(VLOOKUP($F13,Arrangörslista!J$8:$AG$45,16,FALSE),"DNS")))))</f>
        <v/>
      </c>
      <c r="R13" s="5" t="str">
        <f>IF(Deltagarlista!$K$3=4,IF(ISBLANK(Deltagarlista!$C43),"",IF(ISBLANK(Arrangörslista!D$53),"",IFERROR(VLOOKUP($F13,Arrangörslista!D$53:$AG$90,16,FALSE),IF(ISBLANK(Deltagarlista!$C43),"",IF(ISBLANK(Arrangörslista!D$53),"",IFERROR(VLOOKUP($F13,Arrangörslista!E$53:$AG$90,16,FALSE),"DNS")))))),IF(Deltagarlista!$K$3=2,
IF(ISBLANK(Deltagarlista!$C43),"",IF(ISBLANK(Arrangörslista!K$8),"",IF($GV13=R$64," DNS ",IFERROR(VLOOKUP($F13,Arrangörslista!K$8:$AG$45,16,FALSE),"DNS")))),IF(ISBLANK(Deltagarlista!$C43),"",IF(ISBLANK(Arrangörslista!K$8),"",IFERROR(VLOOKUP($F13,Arrangörslista!K$8:$AG$45,16,FALSE),"DNS")))))</f>
        <v/>
      </c>
      <c r="S13" s="5" t="str">
        <f>IF(Deltagarlista!$K$3=4,IF(ISBLANK(Deltagarlista!$C43),"",IF(ISBLANK(Arrangörslista!F$53),"",IFERROR(VLOOKUP($F13,Arrangörslista!F$53:$AG$90,16,FALSE),IF(ISBLANK(Deltagarlista!$C43),"",IF(ISBLANK(Arrangörslista!F$53),"",IFERROR(VLOOKUP($F13,Arrangörslista!G$53:$AG$90,16,FALSE),"DNS")))))),IF(Deltagarlista!$K$3=2,
IF(ISBLANK(Deltagarlista!$C43),"",IF(ISBLANK(Arrangörslista!L$8),"",IF($GV13=S$64," DNS ",IFERROR(VLOOKUP($F13,Arrangörslista!L$8:$AG$45,16,FALSE),"DNS")))),IF(ISBLANK(Deltagarlista!$C43),"",IF(ISBLANK(Arrangörslista!L$8),"",IFERROR(VLOOKUP($F13,Arrangörslista!L$8:$AG$45,16,FALSE),"DNS")))))</f>
        <v/>
      </c>
      <c r="T13" s="5" t="str">
        <f>IF(Deltagarlista!$K$3=4,IF(ISBLANK(Deltagarlista!$C43),"",IF(ISBLANK(Arrangörslista!H$53),"",IFERROR(VLOOKUP($F13,Arrangörslista!H$53:$AG$90,16,FALSE),IF(ISBLANK(Deltagarlista!$C43),"",IF(ISBLANK(Arrangörslista!H$53),"",IFERROR(VLOOKUP($F13,Arrangörslista!I$53:$AG$90,16,FALSE),"DNS")))))),IF(Deltagarlista!$K$3=2,
IF(ISBLANK(Deltagarlista!$C43),"",IF(ISBLANK(Arrangörslista!M$8),"",IF($GV13=T$64," DNS ",IFERROR(VLOOKUP($F13,Arrangörslista!M$8:$AG$45,16,FALSE),"DNS")))),IF(ISBLANK(Deltagarlista!$C43),"",IF(ISBLANK(Arrangörslista!M$8),"",IFERROR(VLOOKUP($F13,Arrangörslista!M$8:$AG$45,16,FALSE),"DNS")))))</f>
        <v/>
      </c>
      <c r="U13" s="5" t="str">
        <f>IF(Deltagarlista!$K$3=4,IF(ISBLANK(Deltagarlista!$C43),"",IF(ISBLANK(Arrangörslista!J$53),"",IFERROR(VLOOKUP($F13,Arrangörslista!J$53:$AG$90,16,FALSE),IF(ISBLANK(Deltagarlista!$C43),"",IF(ISBLANK(Arrangörslista!J$53),"",IFERROR(VLOOKUP($F13,Arrangörslista!K$53:$AG$90,16,FALSE),"DNS")))))),IF(Deltagarlista!$K$3=2,
IF(ISBLANK(Deltagarlista!$C43),"",IF(ISBLANK(Arrangörslista!N$8),"",IF($GV13=U$64," DNS ",IFERROR(VLOOKUP($F13,Arrangörslista!N$8:$AG$45,16,FALSE),"DNS")))),IF(ISBLANK(Deltagarlista!$C43),"",IF(ISBLANK(Arrangörslista!N$8),"",IFERROR(VLOOKUP($F13,Arrangörslista!N$8:$AG$45,16,FALSE),"DNS")))))</f>
        <v/>
      </c>
      <c r="V13" s="5" t="str">
        <f>IF(Deltagarlista!$K$3=4,IF(ISBLANK(Deltagarlista!$C43),"",IF(ISBLANK(Arrangörslista!L$53),"",IFERROR(VLOOKUP($F13,Arrangörslista!L$53:$AG$90,16,FALSE),IF(ISBLANK(Deltagarlista!$C43),"",IF(ISBLANK(Arrangörslista!L$53),"",IFERROR(VLOOKUP($F13,Arrangörslista!M$53:$AG$90,16,FALSE),"DNS")))))),IF(Deltagarlista!$K$3=2,
IF(ISBLANK(Deltagarlista!$C43),"",IF(ISBLANK(Arrangörslista!O$8),"",IF($GV13=V$64," DNS ",IFERROR(VLOOKUP($F13,Arrangörslista!O$8:$AG$45,16,FALSE),"DNS")))),IF(ISBLANK(Deltagarlista!$C43),"",IF(ISBLANK(Arrangörslista!O$8),"",IFERROR(VLOOKUP($F13,Arrangörslista!O$8:$AG$45,16,FALSE),"DNS")))))</f>
        <v/>
      </c>
      <c r="W13" s="5" t="str">
        <f>IF(Deltagarlista!$K$3=4,IF(ISBLANK(Deltagarlista!$C43),"",IF(ISBLANK(Arrangörslista!N$53),"",IFERROR(VLOOKUP($F13,Arrangörslista!N$53:$AG$90,16,FALSE),IF(ISBLANK(Deltagarlista!$C43),"",IF(ISBLANK(Arrangörslista!N$53),"",IFERROR(VLOOKUP($F13,Arrangörslista!O$53:$AG$90,16,FALSE),"DNS")))))),IF(Deltagarlista!$K$3=2,
IF(ISBLANK(Deltagarlista!$C43),"",IF(ISBLANK(Arrangörslista!P$8),"",IF($GV13=W$64," DNS ",IFERROR(VLOOKUP($F13,Arrangörslista!P$8:$AG$45,16,FALSE),"DNS")))),IF(ISBLANK(Deltagarlista!$C43),"",IF(ISBLANK(Arrangörslista!P$8),"",IFERROR(VLOOKUP($F13,Arrangörslista!P$8:$AG$45,16,FALSE),"DNS")))))</f>
        <v/>
      </c>
      <c r="X13" s="5" t="str">
        <f>IF(Deltagarlista!$K$3=4,IF(ISBLANK(Deltagarlista!$C43),"",IF(ISBLANK(Arrangörslista!P$53),"",IFERROR(VLOOKUP($F13,Arrangörslista!P$53:$AG$90,16,FALSE),IF(ISBLANK(Deltagarlista!$C43),"",IF(ISBLANK(Arrangörslista!P$53),"",IFERROR(VLOOKUP($F13,Arrangörslista!Q$53:$AG$90,16,FALSE),"DNS")))))),IF(Deltagarlista!$K$3=2,
IF(ISBLANK(Deltagarlista!$C43),"",IF(ISBLANK(Arrangörslista!Q$8),"",IF($GV13=X$64," DNS ",IFERROR(VLOOKUP($F13,Arrangörslista!Q$8:$AG$45,16,FALSE),"DNS")))),IF(ISBLANK(Deltagarlista!$C43),"",IF(ISBLANK(Arrangörslista!Q$8),"",IFERROR(VLOOKUP($F13,Arrangörslista!Q$8:$AG$45,16,FALSE),"DNS")))))</f>
        <v/>
      </c>
      <c r="Y13" s="5" t="str">
        <f>IF(Deltagarlista!$K$3=4,IF(ISBLANK(Deltagarlista!$C43),"",IF(ISBLANK(Arrangörslista!C$98),"",IFERROR(VLOOKUP($F13,Arrangörslista!C$98:$AG$135,16,FALSE),IF(ISBLANK(Deltagarlista!$C43),"",IF(ISBLANK(Arrangörslista!C$98),"",IFERROR(VLOOKUP($F13,Arrangörslista!D$98:$AG$135,16,FALSE),"DNS")))))),IF(Deltagarlista!$K$3=2,
IF(ISBLANK(Deltagarlista!$C43),"",IF(ISBLANK(Arrangörslista!C$53),"",IF($GV13=Y$64," DNS ",IFERROR(VLOOKUP($F13,Arrangörslista!C$53:$AG$90,16,FALSE),"DNS")))),IF(ISBLANK(Deltagarlista!$C43),"",IF(ISBLANK(Arrangörslista!C$53),"",IFERROR(VLOOKUP($F13,Arrangörslista!C$53:$AG$90,16,FALSE),"DNS")))))</f>
        <v/>
      </c>
      <c r="Z13" s="5" t="str">
        <f>IF(Deltagarlista!$K$3=4,IF(ISBLANK(Deltagarlista!$C43),"",IF(ISBLANK(Arrangörslista!E$98),"",IFERROR(VLOOKUP($F13,Arrangörslista!E$98:$AG$135,16,FALSE),IF(ISBLANK(Deltagarlista!$C43),"",IF(ISBLANK(Arrangörslista!E$98),"",IFERROR(VLOOKUP($F13,Arrangörslista!F$98:$AG$135,16,FALSE),"DNS")))))),IF(Deltagarlista!$K$3=2,
IF(ISBLANK(Deltagarlista!$C43),"",IF(ISBLANK(Arrangörslista!D$53),"",IF($GV13=Z$64," DNS ",IFERROR(VLOOKUP($F13,Arrangörslista!D$53:$AG$90,16,FALSE),"DNS")))),IF(ISBLANK(Deltagarlista!$C43),"",IF(ISBLANK(Arrangörslista!D$53),"",IFERROR(VLOOKUP($F13,Arrangörslista!D$53:$AG$90,16,FALSE),"DNS")))))</f>
        <v/>
      </c>
      <c r="AA13" s="5" t="str">
        <f>IF(Deltagarlista!$K$3=4,IF(ISBLANK(Deltagarlista!$C43),"",IF(ISBLANK(Arrangörslista!G$98),"",IFERROR(VLOOKUP($F13,Arrangörslista!G$98:$AG$135,16,FALSE),IF(ISBLANK(Deltagarlista!$C43),"",IF(ISBLANK(Arrangörslista!G$98),"",IFERROR(VLOOKUP($F13,Arrangörslista!H$98:$AG$135,16,FALSE),"DNS")))))),IF(Deltagarlista!$K$3=2,
IF(ISBLANK(Deltagarlista!$C43),"",IF(ISBLANK(Arrangörslista!E$53),"",IF($GV13=AA$64," DNS ",IFERROR(VLOOKUP($F13,Arrangörslista!E$53:$AG$90,16,FALSE),"DNS")))),IF(ISBLANK(Deltagarlista!$C43),"",IF(ISBLANK(Arrangörslista!E$53),"",IFERROR(VLOOKUP($F13,Arrangörslista!E$53:$AG$90,16,FALSE),"DNS")))))</f>
        <v/>
      </c>
      <c r="AB13" s="5" t="str">
        <f>IF(Deltagarlista!$K$3=4,IF(ISBLANK(Deltagarlista!$C43),"",IF(ISBLANK(Arrangörslista!I$98),"",IFERROR(VLOOKUP($F13,Arrangörslista!I$98:$AG$135,16,FALSE),IF(ISBLANK(Deltagarlista!$C43),"",IF(ISBLANK(Arrangörslista!I$98),"",IFERROR(VLOOKUP($F13,Arrangörslista!J$98:$AG$135,16,FALSE),"DNS")))))),IF(Deltagarlista!$K$3=2,
IF(ISBLANK(Deltagarlista!$C43),"",IF(ISBLANK(Arrangörslista!F$53),"",IF($GV13=AB$64," DNS ",IFERROR(VLOOKUP($F13,Arrangörslista!F$53:$AG$90,16,FALSE),"DNS")))),IF(ISBLANK(Deltagarlista!$C43),"",IF(ISBLANK(Arrangörslista!F$53),"",IFERROR(VLOOKUP($F13,Arrangörslista!F$53:$AG$90,16,FALSE),"DNS")))))</f>
        <v/>
      </c>
      <c r="AC13" s="5" t="str">
        <f>IF(Deltagarlista!$K$3=4,IF(ISBLANK(Deltagarlista!$C43),"",IF(ISBLANK(Arrangörslista!K$98),"",IFERROR(VLOOKUP($F13,Arrangörslista!K$98:$AG$135,16,FALSE),IF(ISBLANK(Deltagarlista!$C43),"",IF(ISBLANK(Arrangörslista!K$98),"",IFERROR(VLOOKUP($F13,Arrangörslista!L$98:$AG$135,16,FALSE),"DNS")))))),IF(Deltagarlista!$K$3=2,
IF(ISBLANK(Deltagarlista!$C43),"",IF(ISBLANK(Arrangörslista!G$53),"",IF($GV13=AC$64," DNS ",IFERROR(VLOOKUP($F13,Arrangörslista!G$53:$AG$90,16,FALSE),"DNS")))),IF(ISBLANK(Deltagarlista!$C43),"",IF(ISBLANK(Arrangörslista!G$53),"",IFERROR(VLOOKUP($F13,Arrangörslista!G$53:$AG$90,16,FALSE),"DNS")))))</f>
        <v/>
      </c>
      <c r="AD13" s="5" t="str">
        <f>IF(Deltagarlista!$K$3=4,IF(ISBLANK(Deltagarlista!$C43),"",IF(ISBLANK(Arrangörslista!M$98),"",IFERROR(VLOOKUP($F13,Arrangörslista!M$98:$AG$135,16,FALSE),IF(ISBLANK(Deltagarlista!$C43),"",IF(ISBLANK(Arrangörslista!M$98),"",IFERROR(VLOOKUP($F13,Arrangörslista!N$98:$AG$135,16,FALSE),"DNS")))))),IF(Deltagarlista!$K$3=2,
IF(ISBLANK(Deltagarlista!$C43),"",IF(ISBLANK(Arrangörslista!H$53),"",IF($GV13=AD$64," DNS ",IFERROR(VLOOKUP($F13,Arrangörslista!H$53:$AG$90,16,FALSE),"DNS")))),IF(ISBLANK(Deltagarlista!$C43),"",IF(ISBLANK(Arrangörslista!H$53),"",IFERROR(VLOOKUP($F13,Arrangörslista!H$53:$AG$90,16,FALSE),"DNS")))))</f>
        <v/>
      </c>
      <c r="AE13" s="5" t="str">
        <f>IF(Deltagarlista!$K$3=4,IF(ISBLANK(Deltagarlista!$C43),"",IF(ISBLANK(Arrangörslista!O$98),"",IFERROR(VLOOKUP($F13,Arrangörslista!O$98:$AG$135,16,FALSE),IF(ISBLANK(Deltagarlista!$C43),"",IF(ISBLANK(Arrangörslista!O$98),"",IFERROR(VLOOKUP($F13,Arrangörslista!P$98:$AG$135,16,FALSE),"DNS")))))),IF(Deltagarlista!$K$3=2,
IF(ISBLANK(Deltagarlista!$C43),"",IF(ISBLANK(Arrangörslista!I$53),"",IF($GV13=AE$64," DNS ",IFERROR(VLOOKUP($F13,Arrangörslista!I$53:$AG$90,16,FALSE),"DNS")))),IF(ISBLANK(Deltagarlista!$C43),"",IF(ISBLANK(Arrangörslista!I$53),"",IFERROR(VLOOKUP($F13,Arrangörslista!I$53:$AG$90,16,FALSE),"DNS")))))</f>
        <v/>
      </c>
      <c r="AF13" s="5" t="str">
        <f>IF(Deltagarlista!$K$3=4,IF(ISBLANK(Deltagarlista!$C43),"",IF(ISBLANK(Arrangörslista!Q$98),"",IFERROR(VLOOKUP($F13,Arrangörslista!Q$98:$AG$135,16,FALSE),IF(ISBLANK(Deltagarlista!$C43),"",IF(ISBLANK(Arrangörslista!Q$98),"",IFERROR(VLOOKUP($F13,Arrangörslista!C$143:$AG$180,16,FALSE),"DNS")))))),IF(Deltagarlista!$K$3=2,
IF(ISBLANK(Deltagarlista!$C43),"",IF(ISBLANK(Arrangörslista!J$53),"",IF($GV13=AF$64," DNS ",IFERROR(VLOOKUP($F13,Arrangörslista!J$53:$AG$90,16,FALSE),"DNS")))),IF(ISBLANK(Deltagarlista!$C43),"",IF(ISBLANK(Arrangörslista!J$53),"",IFERROR(VLOOKUP($F13,Arrangörslista!J$53:$AG$90,16,FALSE),"DNS")))))</f>
        <v/>
      </c>
      <c r="AG13" s="5" t="str">
        <f>IF(Deltagarlista!$K$3=4,IF(ISBLANK(Deltagarlista!$C43),"",IF(ISBLANK(Arrangörslista!D$143),"",IFERROR(VLOOKUP($F13,Arrangörslista!D$143:$AG$180,16,FALSE),IF(ISBLANK(Deltagarlista!$C43),"",IF(ISBLANK(Arrangörslista!D$143),"",IFERROR(VLOOKUP($F13,Arrangörslista!E$143:$AG$180,16,FALSE),"DNS")))))),IF(Deltagarlista!$K$3=2,
IF(ISBLANK(Deltagarlista!$C43),"",IF(ISBLANK(Arrangörslista!K$53),"",IF($GV13=AG$64," DNS ",IFERROR(VLOOKUP($F13,Arrangörslista!K$53:$AG$90,16,FALSE),"DNS")))),IF(ISBLANK(Deltagarlista!$C43),"",IF(ISBLANK(Arrangörslista!K$53),"",IFERROR(VLOOKUP($F13,Arrangörslista!K$53:$AG$90,16,FALSE),"DNS")))))</f>
        <v/>
      </c>
      <c r="AH13" s="5" t="str">
        <f>IF(Deltagarlista!$K$3=4,IF(ISBLANK(Deltagarlista!$C43),"",IF(ISBLANK(Arrangörslista!F$143),"",IFERROR(VLOOKUP($F13,Arrangörslista!F$143:$AG$180,16,FALSE),IF(ISBLANK(Deltagarlista!$C43),"",IF(ISBLANK(Arrangörslista!F$143),"",IFERROR(VLOOKUP($F13,Arrangörslista!G$143:$AG$180,16,FALSE),"DNS")))))),IF(Deltagarlista!$K$3=2,
IF(ISBLANK(Deltagarlista!$C43),"",IF(ISBLANK(Arrangörslista!L$53),"",IF($GV13=AH$64," DNS ",IFERROR(VLOOKUP($F13,Arrangörslista!L$53:$AG$90,16,FALSE),"DNS")))),IF(ISBLANK(Deltagarlista!$C43),"",IF(ISBLANK(Arrangörslista!L$53),"",IFERROR(VLOOKUP($F13,Arrangörslista!L$53:$AG$90,16,FALSE),"DNS")))))</f>
        <v/>
      </c>
      <c r="AI13" s="5" t="str">
        <f>IF(Deltagarlista!$K$3=4,IF(ISBLANK(Deltagarlista!$C43),"",IF(ISBLANK(Arrangörslista!H$143),"",IFERROR(VLOOKUP($F13,Arrangörslista!H$143:$AG$180,16,FALSE),IF(ISBLANK(Deltagarlista!$C43),"",IF(ISBLANK(Arrangörslista!H$143),"",IFERROR(VLOOKUP($F13,Arrangörslista!I$143:$AG$180,16,FALSE),"DNS")))))),IF(Deltagarlista!$K$3=2,
IF(ISBLANK(Deltagarlista!$C43),"",IF(ISBLANK(Arrangörslista!M$53),"",IF($GV13=AI$64," DNS ",IFERROR(VLOOKUP($F13,Arrangörslista!M$53:$AG$90,16,FALSE),"DNS")))),IF(ISBLANK(Deltagarlista!$C43),"",IF(ISBLANK(Arrangörslista!M$53),"",IFERROR(VLOOKUP($F13,Arrangörslista!M$53:$AG$90,16,FALSE),"DNS")))))</f>
        <v/>
      </c>
      <c r="AJ13" s="5" t="str">
        <f>IF(Deltagarlista!$K$3=4,IF(ISBLANK(Deltagarlista!$C43),"",IF(ISBLANK(Arrangörslista!J$143),"",IFERROR(VLOOKUP($F13,Arrangörslista!J$143:$AG$180,16,FALSE),IF(ISBLANK(Deltagarlista!$C43),"",IF(ISBLANK(Arrangörslista!J$143),"",IFERROR(VLOOKUP($F13,Arrangörslista!K$143:$AG$180,16,FALSE),"DNS")))))),IF(Deltagarlista!$K$3=2,
IF(ISBLANK(Deltagarlista!$C43),"",IF(ISBLANK(Arrangörslista!N$53),"",IF($GV13=AJ$64," DNS ",IFERROR(VLOOKUP($F13,Arrangörslista!N$53:$AG$90,16,FALSE),"DNS")))),IF(ISBLANK(Deltagarlista!$C43),"",IF(ISBLANK(Arrangörslista!N$53),"",IFERROR(VLOOKUP($F13,Arrangörslista!N$53:$AG$90,16,FALSE),"DNS")))))</f>
        <v/>
      </c>
      <c r="AK13" s="5" t="str">
        <f>IF(Deltagarlista!$K$3=4,IF(ISBLANK(Deltagarlista!$C43),"",IF(ISBLANK(Arrangörslista!L$143),"",IFERROR(VLOOKUP($F13,Arrangörslista!L$143:$AG$180,16,FALSE),IF(ISBLANK(Deltagarlista!$C43),"",IF(ISBLANK(Arrangörslista!L$143),"",IFERROR(VLOOKUP($F13,Arrangörslista!M$143:$AG$180,16,FALSE),"DNS")))))),IF(Deltagarlista!$K$3=2,
IF(ISBLANK(Deltagarlista!$C43),"",IF(ISBLANK(Arrangörslista!O$53),"",IF($GV13=AK$64," DNS ",IFERROR(VLOOKUP($F13,Arrangörslista!O$53:$AG$90,16,FALSE),"DNS")))),IF(ISBLANK(Deltagarlista!$C43),"",IF(ISBLANK(Arrangörslista!O$53),"",IFERROR(VLOOKUP($F13,Arrangörslista!O$53:$AG$90,16,FALSE),"DNS")))))</f>
        <v/>
      </c>
      <c r="AL13" s="5" t="str">
        <f>IF(Deltagarlista!$K$3=4,IF(ISBLANK(Deltagarlista!$C43),"",IF(ISBLANK(Arrangörslista!N$143),"",IFERROR(VLOOKUP($F13,Arrangörslista!N$143:$AG$180,16,FALSE),IF(ISBLANK(Deltagarlista!$C43),"",IF(ISBLANK(Arrangörslista!N$143),"",IFERROR(VLOOKUP($F13,Arrangörslista!O$143:$AG$180,16,FALSE),"DNS")))))),IF(Deltagarlista!$K$3=2,
IF(ISBLANK(Deltagarlista!$C43),"",IF(ISBLANK(Arrangörslista!P$53),"",IF($GV13=AL$64," DNS ",IFERROR(VLOOKUP($F13,Arrangörslista!P$53:$AG$90,16,FALSE),"DNS")))),IF(ISBLANK(Deltagarlista!$C43),"",IF(ISBLANK(Arrangörslista!P$53),"",IFERROR(VLOOKUP($F13,Arrangörslista!P$53:$AG$90,16,FALSE),"DNS")))))</f>
        <v/>
      </c>
      <c r="AM13" s="5" t="str">
        <f>IF(Deltagarlista!$K$3=4,IF(ISBLANK(Deltagarlista!$C43),"",IF(ISBLANK(Arrangörslista!P$143),"",IFERROR(VLOOKUP($F13,Arrangörslista!P$143:$AG$180,16,FALSE),IF(ISBLANK(Deltagarlista!$C43),"",IF(ISBLANK(Arrangörslista!P$143),"",IFERROR(VLOOKUP($F13,Arrangörslista!Q$143:$AG$180,16,FALSE),"DNS")))))),IF(Deltagarlista!$K$3=2,
IF(ISBLANK(Deltagarlista!$C43),"",IF(ISBLANK(Arrangörslista!Q$53),"",IF($GV13=AM$64," DNS ",IFERROR(VLOOKUP($F13,Arrangörslista!Q$53:$AG$90,16,FALSE),"DNS")))),IF(ISBLANK(Deltagarlista!$C43),"",IF(ISBLANK(Arrangörslista!Q$53),"",IFERROR(VLOOKUP($F13,Arrangörslista!Q$53:$AG$90,16,FALSE),"DNS")))))</f>
        <v/>
      </c>
      <c r="AN13" s="5" t="str">
        <f>IF(Deltagarlista!$K$3=2,
IF(ISBLANK(Deltagarlista!$C43),"",IF(ISBLANK(Arrangörslista!C$98),"",IF($GV13=AN$64," DNS ",IFERROR(VLOOKUP($F13,Arrangörslista!C$98:$AG$135,16,FALSE), "DNS")))), IF(Deltagarlista!$K$3=1,IF(ISBLANK(Deltagarlista!$C43),"",IF(ISBLANK(Arrangörslista!C$98),"",IFERROR(VLOOKUP($F13,Arrangörslista!C$98:$AG$135,16,FALSE), "DNS"))),""))</f>
        <v/>
      </c>
      <c r="AO13" s="5" t="str">
        <f>IF(Deltagarlista!$K$3=2,
IF(ISBLANK(Deltagarlista!$C43),"",IF(ISBLANK(Arrangörslista!D$98),"",IF($GV13=AO$64," DNS ",IFERROR(VLOOKUP($F13,Arrangörslista!D$98:$AG$135,16,FALSE), "DNS")))), IF(Deltagarlista!$K$3=1,IF(ISBLANK(Deltagarlista!$C43),"",IF(ISBLANK(Arrangörslista!D$98),"",IFERROR(VLOOKUP($F13,Arrangörslista!D$98:$AG$135,16,FALSE), "DNS"))),""))</f>
        <v/>
      </c>
      <c r="AP13" s="5" t="str">
        <f>IF(Deltagarlista!$K$3=2,
IF(ISBLANK(Deltagarlista!$C43),"",IF(ISBLANK(Arrangörslista!E$98),"",IF($GV13=AP$64," DNS ",IFERROR(VLOOKUP($F13,Arrangörslista!E$98:$AG$135,16,FALSE), "DNS")))), IF(Deltagarlista!$K$3=1,IF(ISBLANK(Deltagarlista!$C43),"",IF(ISBLANK(Arrangörslista!E$98),"",IFERROR(VLOOKUP($F13,Arrangörslista!E$98:$AG$135,16,FALSE), "DNS"))),""))</f>
        <v/>
      </c>
      <c r="AQ13" s="5" t="str">
        <f>IF(Deltagarlista!$K$3=2,
IF(ISBLANK(Deltagarlista!$C43),"",IF(ISBLANK(Arrangörslista!F$98),"",IF($GV13=AQ$64," DNS ",IFERROR(VLOOKUP($F13,Arrangörslista!F$98:$AG$135,16,FALSE), "DNS")))), IF(Deltagarlista!$K$3=1,IF(ISBLANK(Deltagarlista!$C43),"",IF(ISBLANK(Arrangörslista!F$98),"",IFERROR(VLOOKUP($F13,Arrangörslista!F$98:$AG$135,16,FALSE), "DNS"))),""))</f>
        <v/>
      </c>
      <c r="AR13" s="5" t="str">
        <f>IF(Deltagarlista!$K$3=2,
IF(ISBLANK(Deltagarlista!$C43),"",IF(ISBLANK(Arrangörslista!G$98),"",IF($GV13=AR$64," DNS ",IFERROR(VLOOKUP($F13,Arrangörslista!G$98:$AG$135,16,FALSE), "DNS")))), IF(Deltagarlista!$K$3=1,IF(ISBLANK(Deltagarlista!$C43),"",IF(ISBLANK(Arrangörslista!G$98),"",IFERROR(VLOOKUP($F13,Arrangörslista!G$98:$AG$135,16,FALSE), "DNS"))),""))</f>
        <v/>
      </c>
      <c r="AS13" s="5" t="str">
        <f>IF(Deltagarlista!$K$3=2,
IF(ISBLANK(Deltagarlista!$C43),"",IF(ISBLANK(Arrangörslista!H$98),"",IF($GV13=AS$64," DNS ",IFERROR(VLOOKUP($F13,Arrangörslista!H$98:$AG$135,16,FALSE), "DNS")))), IF(Deltagarlista!$K$3=1,IF(ISBLANK(Deltagarlista!$C43),"",IF(ISBLANK(Arrangörslista!H$98),"",IFERROR(VLOOKUP($F13,Arrangörslista!H$98:$AG$135,16,FALSE), "DNS"))),""))</f>
        <v/>
      </c>
      <c r="AT13" s="5" t="str">
        <f>IF(Deltagarlista!$K$3=2,
IF(ISBLANK(Deltagarlista!$C43),"",IF(ISBLANK(Arrangörslista!I$98),"",IF($GV13=AT$64," DNS ",IFERROR(VLOOKUP($F13,Arrangörslista!I$98:$AG$135,16,FALSE), "DNS")))), IF(Deltagarlista!$K$3=1,IF(ISBLANK(Deltagarlista!$C43),"",IF(ISBLANK(Arrangörslista!I$98),"",IFERROR(VLOOKUP($F13,Arrangörslista!I$98:$AG$135,16,FALSE), "DNS"))),""))</f>
        <v/>
      </c>
      <c r="AU13" s="5" t="str">
        <f>IF(Deltagarlista!$K$3=2,
IF(ISBLANK(Deltagarlista!$C43),"",IF(ISBLANK(Arrangörslista!J$98),"",IF($GV13=AU$64," DNS ",IFERROR(VLOOKUP($F13,Arrangörslista!J$98:$AG$135,16,FALSE), "DNS")))), IF(Deltagarlista!$K$3=1,IF(ISBLANK(Deltagarlista!$C43),"",IF(ISBLANK(Arrangörslista!J$98),"",IFERROR(VLOOKUP($F13,Arrangörslista!J$98:$AG$135,16,FALSE), "DNS"))),""))</f>
        <v/>
      </c>
      <c r="AV13" s="5" t="str">
        <f>IF(Deltagarlista!$K$3=2,
IF(ISBLANK(Deltagarlista!$C43),"",IF(ISBLANK(Arrangörslista!K$98),"",IF($GV13=AV$64," DNS ",IFERROR(VLOOKUP($F13,Arrangörslista!K$98:$AG$135,16,FALSE), "DNS")))), IF(Deltagarlista!$K$3=1,IF(ISBLANK(Deltagarlista!$C43),"",IF(ISBLANK(Arrangörslista!K$98),"",IFERROR(VLOOKUP($F13,Arrangörslista!K$98:$AG$135,16,FALSE), "DNS"))),""))</f>
        <v/>
      </c>
      <c r="AW13" s="5" t="str">
        <f>IF(Deltagarlista!$K$3=2,
IF(ISBLANK(Deltagarlista!$C43),"",IF(ISBLANK(Arrangörslista!L$98),"",IF($GV13=AW$64," DNS ",IFERROR(VLOOKUP($F13,Arrangörslista!L$98:$AG$135,16,FALSE), "DNS")))), IF(Deltagarlista!$K$3=1,IF(ISBLANK(Deltagarlista!$C43),"",IF(ISBLANK(Arrangörslista!L$98),"",IFERROR(VLOOKUP($F13,Arrangörslista!L$98:$AG$135,16,FALSE), "DNS"))),""))</f>
        <v/>
      </c>
      <c r="AX13" s="5" t="str">
        <f>IF(Deltagarlista!$K$3=2,
IF(ISBLANK(Deltagarlista!$C43),"",IF(ISBLANK(Arrangörslista!M$98),"",IF($GV13=AX$64," DNS ",IFERROR(VLOOKUP($F13,Arrangörslista!M$98:$AG$135,16,FALSE), "DNS")))), IF(Deltagarlista!$K$3=1,IF(ISBLANK(Deltagarlista!$C43),"",IF(ISBLANK(Arrangörslista!M$98),"",IFERROR(VLOOKUP($F13,Arrangörslista!M$98:$AG$135,16,FALSE), "DNS"))),""))</f>
        <v/>
      </c>
      <c r="AY13" s="5" t="str">
        <f>IF(Deltagarlista!$K$3=2,
IF(ISBLANK(Deltagarlista!$C43),"",IF(ISBLANK(Arrangörslista!N$98),"",IF($GV13=AY$64," DNS ",IFERROR(VLOOKUP($F13,Arrangörslista!N$98:$AG$135,16,FALSE), "DNS")))), IF(Deltagarlista!$K$3=1,IF(ISBLANK(Deltagarlista!$C43),"",IF(ISBLANK(Arrangörslista!N$98),"",IFERROR(VLOOKUP($F13,Arrangörslista!N$98:$AG$135,16,FALSE), "DNS"))),""))</f>
        <v/>
      </c>
      <c r="AZ13" s="5" t="str">
        <f>IF(Deltagarlista!$K$3=2,
IF(ISBLANK(Deltagarlista!$C43),"",IF(ISBLANK(Arrangörslista!O$98),"",IF($GV13=AZ$64," DNS ",IFERROR(VLOOKUP($F13,Arrangörslista!O$98:$AG$135,16,FALSE), "DNS")))), IF(Deltagarlista!$K$3=1,IF(ISBLANK(Deltagarlista!$C43),"",IF(ISBLANK(Arrangörslista!O$98),"",IFERROR(VLOOKUP($F13,Arrangörslista!O$98:$AG$135,16,FALSE), "DNS"))),""))</f>
        <v/>
      </c>
      <c r="BA13" s="5" t="str">
        <f>IF(Deltagarlista!$K$3=2,
IF(ISBLANK(Deltagarlista!$C43),"",IF(ISBLANK(Arrangörslista!P$98),"",IF($GV13=BA$64," DNS ",IFERROR(VLOOKUP($F13,Arrangörslista!P$98:$AG$135,16,FALSE), "DNS")))), IF(Deltagarlista!$K$3=1,IF(ISBLANK(Deltagarlista!$C43),"",IF(ISBLANK(Arrangörslista!P$98),"",IFERROR(VLOOKUP($F13,Arrangörslista!P$98:$AG$135,16,FALSE), "DNS"))),""))</f>
        <v/>
      </c>
      <c r="BB13" s="5" t="str">
        <f>IF(Deltagarlista!$K$3=2,
IF(ISBLANK(Deltagarlista!$C43),"",IF(ISBLANK(Arrangörslista!Q$98),"",IF($GV13=BB$64," DNS ",IFERROR(VLOOKUP($F13,Arrangörslista!Q$98:$AG$135,16,FALSE), "DNS")))), IF(Deltagarlista!$K$3=1,IF(ISBLANK(Deltagarlista!$C43),"",IF(ISBLANK(Arrangörslista!Q$98),"",IFERROR(VLOOKUP($F13,Arrangörslista!Q$98:$AG$135,16,FALSE), "DNS"))),""))</f>
        <v/>
      </c>
      <c r="BC13" s="5" t="str">
        <f>IF(Deltagarlista!$K$3=2,
IF(ISBLANK(Deltagarlista!$C43),"",IF(ISBLANK(Arrangörslista!C$143),"",IF($GV13=BC$64," DNS ",IFERROR(VLOOKUP($F13,Arrangörslista!C$143:$AG$180,16,FALSE), "DNS")))), IF(Deltagarlista!$K$3=1,IF(ISBLANK(Deltagarlista!$C43),"",IF(ISBLANK(Arrangörslista!C$143),"",IFERROR(VLOOKUP($F13,Arrangörslista!C$143:$AG$180,16,FALSE), "DNS"))),""))</f>
        <v/>
      </c>
      <c r="BD13" s="5" t="str">
        <f>IF(Deltagarlista!$K$3=2,
IF(ISBLANK(Deltagarlista!$C43),"",IF(ISBLANK(Arrangörslista!D$143),"",IF($GV13=BD$64," DNS ",IFERROR(VLOOKUP($F13,Arrangörslista!D$143:$AG$180,16,FALSE), "DNS")))), IF(Deltagarlista!$K$3=1,IF(ISBLANK(Deltagarlista!$C43),"",IF(ISBLANK(Arrangörslista!D$143),"",IFERROR(VLOOKUP($F13,Arrangörslista!D$143:$AG$180,16,FALSE), "DNS"))),""))</f>
        <v/>
      </c>
      <c r="BE13" s="5" t="str">
        <f>IF(Deltagarlista!$K$3=2,
IF(ISBLANK(Deltagarlista!$C43),"",IF(ISBLANK(Arrangörslista!E$143),"",IF($GV13=BE$64," DNS ",IFERROR(VLOOKUP($F13,Arrangörslista!E$143:$AG$180,16,FALSE), "DNS")))), IF(Deltagarlista!$K$3=1,IF(ISBLANK(Deltagarlista!$C43),"",IF(ISBLANK(Arrangörslista!E$143),"",IFERROR(VLOOKUP($F13,Arrangörslista!E$143:$AG$180,16,FALSE), "DNS"))),""))</f>
        <v/>
      </c>
      <c r="BF13" s="5" t="str">
        <f>IF(Deltagarlista!$K$3=2,
IF(ISBLANK(Deltagarlista!$C43),"",IF(ISBLANK(Arrangörslista!F$143),"",IF($GV13=BF$64," DNS ",IFERROR(VLOOKUP($F13,Arrangörslista!F$143:$AG$180,16,FALSE), "DNS")))), IF(Deltagarlista!$K$3=1,IF(ISBLANK(Deltagarlista!$C43),"",IF(ISBLANK(Arrangörslista!F$143),"",IFERROR(VLOOKUP($F13,Arrangörslista!F$143:$AG$180,16,FALSE), "DNS"))),""))</f>
        <v/>
      </c>
      <c r="BG13" s="5" t="str">
        <f>IF(Deltagarlista!$K$3=2,
IF(ISBLANK(Deltagarlista!$C43),"",IF(ISBLANK(Arrangörslista!G$143),"",IF($GV13=BG$64," DNS ",IFERROR(VLOOKUP($F13,Arrangörslista!G$143:$AG$180,16,FALSE), "DNS")))), IF(Deltagarlista!$K$3=1,IF(ISBLANK(Deltagarlista!$C43),"",IF(ISBLANK(Arrangörslista!G$143),"",IFERROR(VLOOKUP($F13,Arrangörslista!G$143:$AG$180,16,FALSE), "DNS"))),""))</f>
        <v/>
      </c>
      <c r="BH13" s="5" t="str">
        <f>IF(Deltagarlista!$K$3=2,
IF(ISBLANK(Deltagarlista!$C43),"",IF(ISBLANK(Arrangörslista!H$143),"",IF($GV13=BH$64," DNS ",IFERROR(VLOOKUP($F13,Arrangörslista!H$143:$AG$180,16,FALSE), "DNS")))), IF(Deltagarlista!$K$3=1,IF(ISBLANK(Deltagarlista!$C43),"",IF(ISBLANK(Arrangörslista!H$143),"",IFERROR(VLOOKUP($F13,Arrangörslista!H$143:$AG$180,16,FALSE), "DNS"))),""))</f>
        <v/>
      </c>
      <c r="BI13" s="5" t="str">
        <f>IF(Deltagarlista!$K$3=2,
IF(ISBLANK(Deltagarlista!$C43),"",IF(ISBLANK(Arrangörslista!I$143),"",IF($GV13=BI$64," DNS ",IFERROR(VLOOKUP($F13,Arrangörslista!I$143:$AG$180,16,FALSE), "DNS")))), IF(Deltagarlista!$K$3=1,IF(ISBLANK(Deltagarlista!$C43),"",IF(ISBLANK(Arrangörslista!I$143),"",IFERROR(VLOOKUP($F13,Arrangörslista!I$143:$AG$180,16,FALSE), "DNS"))),""))</f>
        <v/>
      </c>
      <c r="BJ13" s="5" t="str">
        <f>IF(Deltagarlista!$K$3=2,
IF(ISBLANK(Deltagarlista!$C43),"",IF(ISBLANK(Arrangörslista!J$143),"",IF($GV13=BJ$64," DNS ",IFERROR(VLOOKUP($F13,Arrangörslista!J$143:$AG$180,16,FALSE), "DNS")))), IF(Deltagarlista!$K$3=1,IF(ISBLANK(Deltagarlista!$C43),"",IF(ISBLANK(Arrangörslista!J$143),"",IFERROR(VLOOKUP($F13,Arrangörslista!J$143:$AG$180,16,FALSE), "DNS"))),""))</f>
        <v/>
      </c>
      <c r="BK13" s="5" t="str">
        <f>IF(Deltagarlista!$K$3=2,
IF(ISBLANK(Deltagarlista!$C43),"",IF(ISBLANK(Arrangörslista!K$143),"",IF($GV13=BK$64," DNS ",IFERROR(VLOOKUP($F13,Arrangörslista!K$143:$AG$180,16,FALSE), "DNS")))), IF(Deltagarlista!$K$3=1,IF(ISBLANK(Deltagarlista!$C43),"",IF(ISBLANK(Arrangörslista!K$143),"",IFERROR(VLOOKUP($F13,Arrangörslista!K$143:$AG$180,16,FALSE), "DNS"))),""))</f>
        <v/>
      </c>
      <c r="BL13" s="5" t="str">
        <f>IF(Deltagarlista!$K$3=2,
IF(ISBLANK(Deltagarlista!$C43),"",IF(ISBLANK(Arrangörslista!L$143),"",IF($GV13=BL$64," DNS ",IFERROR(VLOOKUP($F13,Arrangörslista!L$143:$AG$180,16,FALSE), "DNS")))), IF(Deltagarlista!$K$3=1,IF(ISBLANK(Deltagarlista!$C43),"",IF(ISBLANK(Arrangörslista!L$143),"",IFERROR(VLOOKUP($F13,Arrangörslista!L$143:$AG$180,16,FALSE), "DNS"))),""))</f>
        <v/>
      </c>
      <c r="BM13" s="5" t="str">
        <f>IF(Deltagarlista!$K$3=2,
IF(ISBLANK(Deltagarlista!$C43),"",IF(ISBLANK(Arrangörslista!M$143),"",IF($GV13=BM$64," DNS ",IFERROR(VLOOKUP($F13,Arrangörslista!M$143:$AG$180,16,FALSE), "DNS")))), IF(Deltagarlista!$K$3=1,IF(ISBLANK(Deltagarlista!$C43),"",IF(ISBLANK(Arrangörslista!M$143),"",IFERROR(VLOOKUP($F13,Arrangörslista!M$143:$AG$180,16,FALSE), "DNS"))),""))</f>
        <v/>
      </c>
      <c r="BN13" s="5" t="str">
        <f>IF(Deltagarlista!$K$3=2,
IF(ISBLANK(Deltagarlista!$C43),"",IF(ISBLANK(Arrangörslista!N$143),"",IF($GV13=BN$64," DNS ",IFERROR(VLOOKUP($F13,Arrangörslista!N$143:$AG$180,16,FALSE), "DNS")))), IF(Deltagarlista!$K$3=1,IF(ISBLANK(Deltagarlista!$C43),"",IF(ISBLANK(Arrangörslista!N$143),"",IFERROR(VLOOKUP($F13,Arrangörslista!N$143:$AG$180,16,FALSE), "DNS"))),""))</f>
        <v/>
      </c>
      <c r="BO13" s="5" t="str">
        <f>IF(Deltagarlista!$K$3=2,
IF(ISBLANK(Deltagarlista!$C43),"",IF(ISBLANK(Arrangörslista!O$143),"",IF($GV13=BO$64," DNS ",IFERROR(VLOOKUP($F13,Arrangörslista!O$143:$AG$180,16,FALSE), "DNS")))), IF(Deltagarlista!$K$3=1,IF(ISBLANK(Deltagarlista!$C43),"",IF(ISBLANK(Arrangörslista!O$143),"",IFERROR(VLOOKUP($F13,Arrangörslista!O$143:$AG$180,16,FALSE), "DNS"))),""))</f>
        <v/>
      </c>
      <c r="BP13" s="5" t="str">
        <f>IF(Deltagarlista!$K$3=2,
IF(ISBLANK(Deltagarlista!$C43),"",IF(ISBLANK(Arrangörslista!P$143),"",IF($GV13=BP$64," DNS ",IFERROR(VLOOKUP($F13,Arrangörslista!P$143:$AG$180,16,FALSE), "DNS")))), IF(Deltagarlista!$K$3=1,IF(ISBLANK(Deltagarlista!$C43),"",IF(ISBLANK(Arrangörslista!P$143),"",IFERROR(VLOOKUP($F13,Arrangörslista!P$143:$AG$180,16,FALSE), "DNS"))),""))</f>
        <v/>
      </c>
      <c r="BQ13" s="80" t="str">
        <f>IF(Deltagarlista!$K$3=2,
IF(ISBLANK(Deltagarlista!$C43),"",IF(ISBLANK(Arrangörslista!Q$143),"",IF($GV13=BQ$64," DNS ",IFERROR(VLOOKUP($F13,Arrangörslista!Q$143:$AG$180,16,FALSE), "DNS")))), IF(Deltagarlista!$K$3=1,IF(ISBLANK(Deltagarlista!$C43),"",IF(ISBLANK(Arrangörslista!Q$143),"",IFERROR(VLOOKUP($F13,Arrangörslista!Q$143:$AG$180,16,FALSE), "DNS"))),""))</f>
        <v/>
      </c>
      <c r="BR13" s="51"/>
      <c r="BS13" s="50" t="str">
        <f t="shared" si="0"/>
        <v>2</v>
      </c>
      <c r="BT13" s="51"/>
      <c r="BU13" s="71">
        <f t="shared" si="1"/>
        <v>0</v>
      </c>
      <c r="BV13" s="61">
        <f t="shared" si="2"/>
        <v>0</v>
      </c>
      <c r="BW13" s="61">
        <f t="shared" si="3"/>
        <v>0</v>
      </c>
      <c r="BX13" s="61">
        <f t="shared" si="4"/>
        <v>0</v>
      </c>
      <c r="BY13" s="61">
        <f t="shared" si="5"/>
        <v>0</v>
      </c>
      <c r="BZ13" s="61">
        <f t="shared" si="6"/>
        <v>0</v>
      </c>
      <c r="CA13" s="61">
        <f t="shared" si="7"/>
        <v>0</v>
      </c>
      <c r="CB13" s="61">
        <f t="shared" si="8"/>
        <v>0</v>
      </c>
      <c r="CC13" s="61">
        <f t="shared" si="9"/>
        <v>0</v>
      </c>
      <c r="CD13" s="61">
        <f t="shared" si="10"/>
        <v>0</v>
      </c>
      <c r="CE13" s="61">
        <f t="shared" si="11"/>
        <v>0</v>
      </c>
      <c r="CF13" s="61">
        <f t="shared" si="12"/>
        <v>0</v>
      </c>
      <c r="CG13" s="61">
        <f t="shared" si="13"/>
        <v>0</v>
      </c>
      <c r="CH13" s="61">
        <f t="shared" si="14"/>
        <v>0</v>
      </c>
      <c r="CI13" s="61">
        <f t="shared" si="15"/>
        <v>0</v>
      </c>
      <c r="CJ13" s="61">
        <f t="shared" si="16"/>
        <v>0</v>
      </c>
      <c r="CK13" s="61">
        <f t="shared" si="17"/>
        <v>0</v>
      </c>
      <c r="CL13" s="61">
        <f t="shared" si="18"/>
        <v>0</v>
      </c>
      <c r="CM13" s="61">
        <f t="shared" si="19"/>
        <v>0</v>
      </c>
      <c r="CN13" s="61">
        <f t="shared" si="20"/>
        <v>0</v>
      </c>
      <c r="CO13" s="61">
        <f t="shared" si="21"/>
        <v>0</v>
      </c>
      <c r="CP13" s="61">
        <f t="shared" si="22"/>
        <v>0</v>
      </c>
      <c r="CQ13" s="61">
        <f t="shared" si="23"/>
        <v>0</v>
      </c>
      <c r="CR13" s="61">
        <f t="shared" si="24"/>
        <v>0</v>
      </c>
      <c r="CS13" s="61">
        <f t="shared" si="25"/>
        <v>0</v>
      </c>
      <c r="CT13" s="61">
        <f t="shared" si="26"/>
        <v>0</v>
      </c>
      <c r="CU13" s="61">
        <f t="shared" si="27"/>
        <v>0</v>
      </c>
      <c r="CV13" s="61">
        <f t="shared" si="28"/>
        <v>0</v>
      </c>
      <c r="CW13" s="61">
        <f t="shared" si="29"/>
        <v>0</v>
      </c>
      <c r="CX13" s="61">
        <f t="shared" si="30"/>
        <v>0</v>
      </c>
      <c r="CY13" s="61">
        <f t="shared" si="31"/>
        <v>0</v>
      </c>
      <c r="CZ13" s="61">
        <f t="shared" si="32"/>
        <v>0</v>
      </c>
      <c r="DA13" s="61">
        <f t="shared" si="33"/>
        <v>0</v>
      </c>
      <c r="DB13" s="61">
        <f t="shared" si="34"/>
        <v>0</v>
      </c>
      <c r="DC13" s="61">
        <f t="shared" si="35"/>
        <v>0</v>
      </c>
      <c r="DD13" s="61">
        <f t="shared" si="36"/>
        <v>0</v>
      </c>
      <c r="DE13" s="61">
        <f t="shared" si="37"/>
        <v>0</v>
      </c>
      <c r="DF13" s="61">
        <f t="shared" si="38"/>
        <v>0</v>
      </c>
      <c r="DG13" s="61">
        <f t="shared" si="39"/>
        <v>0</v>
      </c>
      <c r="DH13" s="61">
        <f t="shared" si="40"/>
        <v>0</v>
      </c>
      <c r="DI13" s="61">
        <f t="shared" si="41"/>
        <v>0</v>
      </c>
      <c r="DJ13" s="61">
        <f t="shared" si="42"/>
        <v>0</v>
      </c>
      <c r="DK13" s="61">
        <f t="shared" si="43"/>
        <v>0</v>
      </c>
      <c r="DL13" s="61">
        <f t="shared" si="44"/>
        <v>0</v>
      </c>
      <c r="DM13" s="61">
        <f t="shared" si="45"/>
        <v>0</v>
      </c>
      <c r="DN13" s="61">
        <f t="shared" si="46"/>
        <v>0</v>
      </c>
      <c r="DO13" s="61">
        <f t="shared" si="47"/>
        <v>0</v>
      </c>
      <c r="DP13" s="61">
        <f t="shared" si="48"/>
        <v>0</v>
      </c>
      <c r="DQ13" s="61">
        <f t="shared" si="49"/>
        <v>0</v>
      </c>
      <c r="DR13" s="61">
        <f t="shared" si="50"/>
        <v>0</v>
      </c>
      <c r="DS13" s="61">
        <f t="shared" si="51"/>
        <v>0</v>
      </c>
      <c r="DT13" s="61">
        <f t="shared" si="52"/>
        <v>0</v>
      </c>
      <c r="DU13" s="61">
        <f t="shared" si="53"/>
        <v>0</v>
      </c>
      <c r="DV13" s="61">
        <f t="shared" si="54"/>
        <v>0</v>
      </c>
      <c r="DW13" s="61">
        <f t="shared" si="55"/>
        <v>0</v>
      </c>
      <c r="DX13" s="61">
        <f t="shared" si="56"/>
        <v>0</v>
      </c>
      <c r="DY13" s="61">
        <f t="shared" si="57"/>
        <v>0</v>
      </c>
      <c r="DZ13" s="61">
        <f t="shared" si="58"/>
        <v>0</v>
      </c>
      <c r="EA13" s="61">
        <f t="shared" si="59"/>
        <v>0</v>
      </c>
      <c r="EB13" s="61">
        <f t="shared" si="60"/>
        <v>0</v>
      </c>
      <c r="EC13" s="61">
        <f t="shared" si="61"/>
        <v>0</v>
      </c>
      <c r="EE13" s="61">
        <f xml:space="preserve">
IF(OR(Deltagarlista!$K$3=3,Deltagarlista!$K$3=4),
IF(Arrangörslista!$U$5&lt;8,0,
IF(Arrangörslista!$U$5&lt;16,SUM(LARGE(BV13:CJ13,1)),
IF(Arrangörslista!$U$5&lt;24,SUM(LARGE(BV13:CR13,{1;2})),
IF(Arrangörslista!$U$5&lt;32,SUM(LARGE(BV13:CZ13,{1;2;3})),
IF(Arrangörslista!$U$5&lt;40,SUM(LARGE(BV13:DH13,{1;2;3;4})),
IF(Arrangörslista!$U$5&lt;48,SUM(LARGE(BV13:DP13,{1;2;3;4;5})),
IF(Arrangörslista!$U$5&lt;56,SUM(LARGE(BV13:DX13,{1;2;3;4;5;6})),
IF(Arrangörslista!$U$5&lt;64,SUM(LARGE(BV13:EC13,{1;2;3;4;5;6;7})),0)))))))),
IF(Deltagarlista!$K$3=2,
IF(Arrangörslista!$U$5&lt;4,LARGE(BV13:BX13,1),
IF(Arrangörslista!$U$5&lt;7,SUM(LARGE(BV13:CA13,{1;2;3})),
IF(Arrangörslista!$U$5&lt;10,SUM(LARGE(BV13:CD13,{1;2;3;4})),
IF(Arrangörslista!$U$5&lt;13,SUM(LARGE(BV13:CG13,{1;2;3;4;5;6})),
IF(Arrangörslista!$U$5&lt;16,SUM(LARGE(BV13:CJ13,{1;2;3;4;5;6;7})),
IF(Arrangörslista!$U$5&lt;19,SUM(LARGE(BV13:CM13,{1;2;3;4;5;6;7;8;9})),
IF(Arrangörslista!$U$5&lt;22,SUM(LARGE(BV13:CP13,{1;2;3;4;5;6;7;8;9;10})),
IF(Arrangörslista!$U$5&lt;25,SUM(LARGE(BV13:CS13,{1;2;3;4;5;6;7;8;9;10;11;12})),
IF(Arrangörslista!$U$5&lt;28,SUM(LARGE(BV13:CV13,{1;2;3;4;5;6;7;8;9;10;11;12;13})),
IF(Arrangörslista!$U$5&lt;31,SUM(LARGE(BV13:CY13,{1;2;3;4;5;6;7;8;9;10;11;12;13;14;15})),
IF(Arrangörslista!$U$5&lt;34,SUM(LARGE(BV13:DB13,{1;2;3;4;5;6;7;8;9;10;11;12;13;14;15;16})),
IF(Arrangörslista!$U$5&lt;37,SUM(LARGE(BV13:DE13,{1;2;3;4;5;6;7;8;9;10;11;12;13;14;15;16;17;18})),
IF(Arrangörslista!$U$5&lt;40,SUM(LARGE(BV13:DH13,{1;2;3;4;5;6;7;8;9;10;11;12;13;14;15;16;17;18;19})),
IF(Arrangörslista!$U$5&lt;43,SUM(LARGE(BV13:DK13,{1;2;3;4;5;6;7;8;9;10;11;12;13;14;15;16;17;18;19;20;21})),
IF(Arrangörslista!$U$5&lt;46,SUM(LARGE(BV13:DN13,{1;2;3;4;5;6;7;8;9;10;11;12;13;14;15;16;17;18;19;20;21;22})),
IF(Arrangörslista!$U$5&lt;49,SUM(LARGE(BV13:DQ13,{1;2;3;4;5;6;7;8;9;10;11;12;13;14;15;16;17;18;19;20;21;22;23;24})),
IF(Arrangörslista!$U$5&lt;52,SUM(LARGE(BV13:DT13,{1;2;3;4;5;6;7;8;9;10;11;12;13;14;15;16;17;18;19;20;21;22;23;24;25})),
IF(Arrangörslista!$U$5&lt;55,SUM(LARGE(BV13:DW13,{1;2;3;4;5;6;7;8;9;10;11;12;13;14;15;16;17;18;19;20;21;22;23;24;25;26;27})),
IF(Arrangörslista!$U$5&lt;58,SUM(LARGE(BV13:DZ13,{1;2;3;4;5;6;7;8;9;10;11;12;13;14;15;16;17;18;19;20;21;22;23;24;25;26;27;28})),
IF(Arrangörslista!$U$5&lt;61,SUM(LARGE(BV13:EC13,{1;2;3;4;5;6;7;8;9;10;11;12;13;14;15;16;17;18;19;20;21;22;23;24;25;26;27;28;29;30})),0)))))))))))))))))))),
IF(Arrangörslista!$U$5&lt;4,0,
IF(Arrangörslista!$U$5&lt;8,SUM(LARGE(BV13:CB13,1)),
IF(Arrangörslista!$U$5&lt;12,SUM(LARGE(BV13:CF13,{1;2})),
IF(Arrangörslista!$U$5&lt;16,SUM(LARGE(BV13:CJ13,{1;2;3})),
IF(Arrangörslista!$U$5&lt;20,SUM(LARGE(BV13:CN13,{1;2;3;4})),
IF(Arrangörslista!$U$5&lt;24,SUM(LARGE(BV13:CR13,{1;2;3;4;5})),
IF(Arrangörslista!$U$5&lt;28,SUM(LARGE(BV13:CV13,{1;2;3;4;5;6})),
IF(Arrangörslista!$U$5&lt;32,SUM(LARGE(BV13:CZ13,{1;2;3;4;5;6;7})),
IF(Arrangörslista!$U$5&lt;36,SUM(LARGE(BV13:DD13,{1;2;3;4;5;6;7;8})),
IF(Arrangörslista!$U$5&lt;40,SUM(LARGE(BV13:DH13,{1;2;3;4;5;6;7;8;9})),
IF(Arrangörslista!$U$5&lt;44,SUM(LARGE(BV13:DL13,{1;2;3;4;5;6;7;8;9;10})),
IF(Arrangörslista!$U$5&lt;48,SUM(LARGE(BV13:DP13,{1;2;3;4;5;6;7;8;9;10;11})),
IF(Arrangörslista!$U$5&lt;52,SUM(LARGE(BV13:DT13,{1;2;3;4;5;6;7;8;9;10;11;12})),
IF(Arrangörslista!$U$5&lt;56,SUM(LARGE(BV13:DX13,{1;2;3;4;5;6;7;8;9;10;11;12;13})),
IF(Arrangörslista!$U$5&lt;60,SUM(LARGE(BV13:EB13,{1;2;3;4;5;6;7;8;9;10;11;12;13;14})),
IF(Arrangörslista!$U$5=60,SUM(LARGE(BV13:EC13,{1;2;3;4;5;6;7;8;9;10;11;12;13;14;15})),0))))))))))))))))))</f>
        <v>0</v>
      </c>
      <c r="EG13" s="67">
        <f t="shared" si="62"/>
        <v>0</v>
      </c>
      <c r="EH13" s="61"/>
      <c r="EI13" s="61"/>
      <c r="EK13" s="62">
        <f t="shared" si="63"/>
        <v>61</v>
      </c>
      <c r="EL13" s="62">
        <f t="shared" si="64"/>
        <v>61</v>
      </c>
      <c r="EM13" s="62">
        <f t="shared" si="65"/>
        <v>61</v>
      </c>
      <c r="EN13" s="62">
        <f t="shared" si="66"/>
        <v>61</v>
      </c>
      <c r="EO13" s="62">
        <f t="shared" si="67"/>
        <v>61</v>
      </c>
      <c r="EP13" s="62">
        <f t="shared" si="68"/>
        <v>61</v>
      </c>
      <c r="EQ13" s="62">
        <f t="shared" si="69"/>
        <v>61</v>
      </c>
      <c r="ER13" s="62">
        <f t="shared" si="70"/>
        <v>61</v>
      </c>
      <c r="ES13" s="62">
        <f t="shared" si="71"/>
        <v>61</v>
      </c>
      <c r="ET13" s="62">
        <f t="shared" si="72"/>
        <v>61</v>
      </c>
      <c r="EU13" s="62">
        <f t="shared" si="73"/>
        <v>61</v>
      </c>
      <c r="EV13" s="62">
        <f t="shared" si="74"/>
        <v>61</v>
      </c>
      <c r="EW13" s="62">
        <f t="shared" si="75"/>
        <v>61</v>
      </c>
      <c r="EX13" s="62">
        <f t="shared" si="76"/>
        <v>61</v>
      </c>
      <c r="EY13" s="62">
        <f t="shared" si="77"/>
        <v>61</v>
      </c>
      <c r="EZ13" s="62">
        <f t="shared" si="78"/>
        <v>61</v>
      </c>
      <c r="FA13" s="62">
        <f t="shared" si="79"/>
        <v>61</v>
      </c>
      <c r="FB13" s="62">
        <f t="shared" si="80"/>
        <v>61</v>
      </c>
      <c r="FC13" s="62">
        <f t="shared" si="81"/>
        <v>61</v>
      </c>
      <c r="FD13" s="62">
        <f t="shared" si="82"/>
        <v>61</v>
      </c>
      <c r="FE13" s="62">
        <f t="shared" si="83"/>
        <v>61</v>
      </c>
      <c r="FF13" s="62">
        <f t="shared" si="84"/>
        <v>61</v>
      </c>
      <c r="FG13" s="62">
        <f t="shared" si="85"/>
        <v>61</v>
      </c>
      <c r="FH13" s="62">
        <f t="shared" si="86"/>
        <v>61</v>
      </c>
      <c r="FI13" s="62">
        <f t="shared" si="87"/>
        <v>61</v>
      </c>
      <c r="FJ13" s="62">
        <f t="shared" si="88"/>
        <v>61</v>
      </c>
      <c r="FK13" s="62">
        <f t="shared" si="89"/>
        <v>61</v>
      </c>
      <c r="FL13" s="62">
        <f t="shared" si="90"/>
        <v>61</v>
      </c>
      <c r="FM13" s="62">
        <f t="shared" si="91"/>
        <v>61</v>
      </c>
      <c r="FN13" s="62">
        <f t="shared" si="92"/>
        <v>61</v>
      </c>
      <c r="FO13" s="62">
        <f t="shared" si="93"/>
        <v>61</v>
      </c>
      <c r="FP13" s="62">
        <f t="shared" si="94"/>
        <v>61</v>
      </c>
      <c r="FQ13" s="62">
        <f t="shared" si="95"/>
        <v>61</v>
      </c>
      <c r="FR13" s="62">
        <f t="shared" si="96"/>
        <v>61</v>
      </c>
      <c r="FS13" s="62">
        <f t="shared" si="97"/>
        <v>61</v>
      </c>
      <c r="FT13" s="62">
        <f t="shared" si="98"/>
        <v>61</v>
      </c>
      <c r="FU13" s="62">
        <f t="shared" si="99"/>
        <v>61</v>
      </c>
      <c r="FV13" s="62">
        <f t="shared" si="100"/>
        <v>61</v>
      </c>
      <c r="FW13" s="62">
        <f t="shared" si="101"/>
        <v>61</v>
      </c>
      <c r="FX13" s="62">
        <f t="shared" si="102"/>
        <v>61</v>
      </c>
      <c r="FY13" s="62">
        <f t="shared" si="103"/>
        <v>61</v>
      </c>
      <c r="FZ13" s="62">
        <f t="shared" si="104"/>
        <v>61</v>
      </c>
      <c r="GA13" s="62">
        <f t="shared" si="105"/>
        <v>61</v>
      </c>
      <c r="GB13" s="62">
        <f t="shared" si="106"/>
        <v>61</v>
      </c>
      <c r="GC13" s="62">
        <f t="shared" si="107"/>
        <v>61</v>
      </c>
      <c r="GD13" s="62">
        <f t="shared" si="108"/>
        <v>61</v>
      </c>
      <c r="GE13" s="62">
        <f t="shared" si="109"/>
        <v>61</v>
      </c>
      <c r="GF13" s="62">
        <f t="shared" si="110"/>
        <v>61</v>
      </c>
      <c r="GG13" s="62">
        <f t="shared" si="111"/>
        <v>61</v>
      </c>
      <c r="GH13" s="62">
        <f t="shared" si="112"/>
        <v>61</v>
      </c>
      <c r="GI13" s="62">
        <f t="shared" si="113"/>
        <v>61</v>
      </c>
      <c r="GJ13" s="62">
        <f t="shared" si="114"/>
        <v>61</v>
      </c>
      <c r="GK13" s="62">
        <f t="shared" si="115"/>
        <v>61</v>
      </c>
      <c r="GL13" s="62">
        <f t="shared" si="116"/>
        <v>61</v>
      </c>
      <c r="GM13" s="62">
        <f t="shared" si="117"/>
        <v>61</v>
      </c>
      <c r="GN13" s="62">
        <f t="shared" si="118"/>
        <v>61</v>
      </c>
      <c r="GO13" s="62">
        <f t="shared" si="119"/>
        <v>61</v>
      </c>
      <c r="GP13" s="62">
        <f t="shared" si="120"/>
        <v>61</v>
      </c>
      <c r="GQ13" s="62">
        <f t="shared" si="121"/>
        <v>61</v>
      </c>
      <c r="GR13" s="62">
        <f t="shared" si="122"/>
        <v>61</v>
      </c>
      <c r="GT13" s="62">
        <f>IF(Deltagarlista!$K$3=2,
IF(GW13="1",
      IF(Arrangörslista!$U$5=1,J76,
IF(Arrangörslista!$U$5=2,K76,
IF(Arrangörslista!$U$5=3,L76,
IF(Arrangörslista!$U$5=4,M76,
IF(Arrangörslista!$U$5=5,N76,
IF(Arrangörslista!$U$5=6,O76,
IF(Arrangörslista!$U$5=7,P76,
IF(Arrangörslista!$U$5=8,Q76,
IF(Arrangörslista!$U$5=9,R76,
IF(Arrangörslista!$U$5=10,S76,
IF(Arrangörslista!$U$5=11,T76,
IF(Arrangörslista!$U$5=12,U76,
IF(Arrangörslista!$U$5=13,V76,
IF(Arrangörslista!$U$5=14,W76,
IF(Arrangörslista!$U$5=15,X76,
IF(Arrangörslista!$U$5=16,Y76,IF(Arrangörslista!$U$5=17,Z76,IF(Arrangörslista!$U$5=18,AA76,IF(Arrangörslista!$U$5=19,AB76,IF(Arrangörslista!$U$5=20,AC76,IF(Arrangörslista!$U$5=21,AD76,IF(Arrangörslista!$U$5=22,AE76,IF(Arrangörslista!$U$5=23,AF76, IF(Arrangörslista!$U$5=24,AG76, IF(Arrangörslista!$U$5=25,AH76, IF(Arrangörslista!$U$5=26,AI76, IF(Arrangörslista!$U$5=27,AJ76, IF(Arrangörslista!$U$5=28,AK76, IF(Arrangörslista!$U$5=29,AL76, IF(Arrangörslista!$U$5=30,AM76, IF(Arrangörslista!$U$5=31,AN76, IF(Arrangörslista!$U$5=32,AO76, IF(Arrangörslista!$U$5=33,AP76, IF(Arrangörslista!$U$5=34,AQ76, IF(Arrangörslista!$U$5=35,AR76, IF(Arrangörslista!$U$5=36,AS76, IF(Arrangörslista!$U$5=37,AT76, IF(Arrangörslista!$U$5=38,AU76, IF(Arrangörslista!$U$5=39,AV76, IF(Arrangörslista!$U$5=40,AW76, IF(Arrangörslista!$U$5=41,AX76, IF(Arrangörslista!$U$5=42,AY76, IF(Arrangörslista!$U$5=43,AZ76, IF(Arrangörslista!$U$5=44,BA76, IF(Arrangörslista!$U$5=45,BB76, IF(Arrangörslista!$U$5=46,BC76, IF(Arrangörslista!$U$5=47,BD76, IF(Arrangörslista!$U$5=48,BE76, IF(Arrangörslista!$U$5=49,BF76, IF(Arrangörslista!$U$5=50,BG76, IF(Arrangörslista!$U$5=51,BH76, IF(Arrangörslista!$U$5=52,BI76, IF(Arrangörslista!$U$5=53,BJ76, IF(Arrangörslista!$U$5=54,BK76, IF(Arrangörslista!$U$5=55,BL76, IF(Arrangörslista!$U$5=56,BM76, IF(Arrangörslista!$U$5=57,BN76, IF(Arrangörslista!$U$5=58,BO76, IF(Arrangörslista!$U$5=59,BP76, IF(Arrangörslista!$U$5=60,BQ76,0))))))))))))))))))))))))))))))))))))))))))))))))))))))))))))),IF(Deltagarlista!$K$3=4, IF(Arrangörslista!$U$5=1,J76,
IF(Arrangörslista!$U$5=2,J76,
IF(Arrangörslista!$U$5=3,K76,
IF(Arrangörslista!$U$5=4,K76,
IF(Arrangörslista!$U$5=5,L76,
IF(Arrangörslista!$U$5=6,L76,
IF(Arrangörslista!$U$5=7,M76,
IF(Arrangörslista!$U$5=8,M76,
IF(Arrangörslista!$U$5=9,N76,
IF(Arrangörslista!$U$5=10,N76,
IF(Arrangörslista!$U$5=11,O76,
IF(Arrangörslista!$U$5=12,O76,
IF(Arrangörslista!$U$5=13,P76,
IF(Arrangörslista!$U$5=14,P76,
IF(Arrangörslista!$U$5=15,Q76,
IF(Arrangörslista!$U$5=16,Q76,
IF(Arrangörslista!$U$5=17,R76,
IF(Arrangörslista!$U$5=18,R76,
IF(Arrangörslista!$U$5=19,S76,
IF(Arrangörslista!$U$5=20,S76,
IF(Arrangörslista!$U$5=21,T76,
IF(Arrangörslista!$U$5=22,T76,IF(Arrangörslista!$U$5=23,U76, IF(Arrangörslista!$U$5=24,U76, IF(Arrangörslista!$U$5=25,V76, IF(Arrangörslista!$U$5=26,V76, IF(Arrangörslista!$U$5=27,W76, IF(Arrangörslista!$U$5=28,W76, IF(Arrangörslista!$U$5=29,X76, IF(Arrangörslista!$U$5=30,X76, IF(Arrangörslista!$U$5=31,X76, IF(Arrangörslista!$U$5=32,Y76, IF(Arrangörslista!$U$5=33,AO76, IF(Arrangörslista!$U$5=34,Y76, IF(Arrangörslista!$U$5=35,Z76, IF(Arrangörslista!$U$5=36,AR76, IF(Arrangörslista!$U$5=37,Z76, IF(Arrangörslista!$U$5=38,AA76, IF(Arrangörslista!$U$5=39,AU76, IF(Arrangörslista!$U$5=40,AA76, IF(Arrangörslista!$U$5=41,AB76, IF(Arrangörslista!$U$5=42,AX76, IF(Arrangörslista!$U$5=43,AB76, IF(Arrangörslista!$U$5=44,AC76, IF(Arrangörslista!$U$5=45,BA76, IF(Arrangörslista!$U$5=46,AC76, IF(Arrangörslista!$U$5=47,AD76, IF(Arrangörslista!$U$5=48,BD76, IF(Arrangörslista!$U$5=49,AD76, IF(Arrangörslista!$U$5=50,AE76, IF(Arrangörslista!$U$5=51,BG76, IF(Arrangörslista!$U$5=52,AE76, IF(Arrangörslista!$U$5=53,AF76, IF(Arrangörslista!$U$5=54,BJ76, IF(Arrangörslista!$U$5=55,AF76, IF(Arrangörslista!$U$5=56,AG76, IF(Arrangörslista!$U$5=57,BM76, IF(Arrangörslista!$U$5=58,AG76, IF(Arrangörslista!$U$5=59,AH76, IF(Arrangörslista!$U$5=60,AH76,0)))))))))))))))))))))))))))))))))))))))))))))))))))))))))))),IF(Arrangörslista!$U$5=1,J76,
IF(Arrangörslista!$U$5=2,K76,
IF(Arrangörslista!$U$5=3,L76,
IF(Arrangörslista!$U$5=4,M76,
IF(Arrangörslista!$U$5=5,N76,
IF(Arrangörslista!$U$5=6,O76,
IF(Arrangörslista!$U$5=7,P76,
IF(Arrangörslista!$U$5=8,Q76,
IF(Arrangörslista!$U$5=9,R76,
IF(Arrangörslista!$U$5=10,S76,
IF(Arrangörslista!$U$5=11,T76,
IF(Arrangörslista!$U$5=12,U76,
IF(Arrangörslista!$U$5=13,V76,
IF(Arrangörslista!$U$5=14,W76,
IF(Arrangörslista!$U$5=15,X76,
IF(Arrangörslista!$U$5=16,Y76,IF(Arrangörslista!$U$5=17,Z76,IF(Arrangörslista!$U$5=18,AA76,IF(Arrangörslista!$U$5=19,AB76,IF(Arrangörslista!$U$5=20,AC76,IF(Arrangörslista!$U$5=21,AD76,IF(Arrangörslista!$U$5=22,AE76,IF(Arrangörslista!$U$5=23,AF76, IF(Arrangörslista!$U$5=24,AG76, IF(Arrangörslista!$U$5=25,AH76, IF(Arrangörslista!$U$5=26,AI76, IF(Arrangörslista!$U$5=27,AJ76, IF(Arrangörslista!$U$5=28,AK76, IF(Arrangörslista!$U$5=29,AL76, IF(Arrangörslista!$U$5=30,AM76, IF(Arrangörslista!$U$5=31,AN76, IF(Arrangörslista!$U$5=32,AO76, IF(Arrangörslista!$U$5=33,AP76, IF(Arrangörslista!$U$5=34,AQ76, IF(Arrangörslista!$U$5=35,AR76, IF(Arrangörslista!$U$5=36,AS76, IF(Arrangörslista!$U$5=37,AT76, IF(Arrangörslista!$U$5=38,AU76, IF(Arrangörslista!$U$5=39,AV76, IF(Arrangörslista!$U$5=40,AW76, IF(Arrangörslista!$U$5=41,AX76, IF(Arrangörslista!$U$5=42,AY76, IF(Arrangörslista!$U$5=43,AZ76, IF(Arrangörslista!$U$5=44,BA76, IF(Arrangörslista!$U$5=45,BB76, IF(Arrangörslista!$U$5=46,BC76, IF(Arrangörslista!$U$5=47,BD76, IF(Arrangörslista!$U$5=48,BE76, IF(Arrangörslista!$U$5=49,BF76, IF(Arrangörslista!$U$5=50,BG76, IF(Arrangörslista!$U$5=51,BH76, IF(Arrangörslista!$U$5=52,BI76, IF(Arrangörslista!$U$5=53,BJ76, IF(Arrangörslista!$U$5=54,BK76, IF(Arrangörslista!$U$5=55,BL76, IF(Arrangörslista!$U$5=56,BM76, IF(Arrangörslista!$U$5=57,BN76, IF(Arrangörslista!$U$5=58,BO76, IF(Arrangörslista!$U$5=59,BP76, IF(Arrangörslista!$U$5=60,BQ76,0))))))))))))))))))))))))))))))))))))))))))))))))))))))))))))
))</f>
        <v>0</v>
      </c>
      <c r="GV13" s="65" t="str">
        <f>IFERROR(IF(VLOOKUP(F13,Deltagarlista!$E$5:$I$64,5,FALSE)="Grön","Gr",IF(VLOOKUP(F13,Deltagarlista!$E$5:$I$64,5,FALSE)="Röd","R",IF(VLOOKUP(F13,Deltagarlista!$E$5:$I$64,5,FALSE)="Blå","B","Gu"))),"")</f>
        <v/>
      </c>
      <c r="GW13" s="62" t="str">
        <f t="shared" si="124"/>
        <v/>
      </c>
    </row>
    <row r="14" spans="1:206" x14ac:dyDescent="0.3">
      <c r="B14" s="23" t="str">
        <f>IF((COUNTIF(Deltagarlista!$H$5:$H$64,"GM"))&gt;10,11,"")</f>
        <v/>
      </c>
      <c r="C14" s="92" t="str">
        <f>IF(ISBLANK(Deltagarlista!C59),"",Deltagarlista!C59)</f>
        <v/>
      </c>
      <c r="D14" s="109" t="str">
        <f>CONCATENATE(IF(Deltagarlista!H59="GM","GM   ",""), IF(OR(Deltagarlista!$K$3=4,Deltagarlista!$K$3=2),Deltagarlista!I59,""))</f>
        <v/>
      </c>
      <c r="E14" s="8" t="str">
        <f>IF(ISBLANK(Deltagarlista!D59),"",Deltagarlista!D59)</f>
        <v/>
      </c>
      <c r="F14" s="8" t="str">
        <f>IF(ISBLANK(Deltagarlista!E59),"",Deltagarlista!E59)</f>
        <v/>
      </c>
      <c r="G14" s="95" t="str">
        <f>IF(ISBLANK(Deltagarlista!F59),"",Deltagarlista!F59)</f>
        <v/>
      </c>
      <c r="H14" s="72" t="str">
        <f>IF(ISBLANK(Deltagarlista!C59),"",BU14-EE14)</f>
        <v/>
      </c>
      <c r="I14" s="13" t="str">
        <f>IF(ISBLANK(Deltagarlista!C59),"",IF(AND(Deltagarlista!$K$3=2,Deltagarlista!$L$3&lt;37),SUM(SUM(BV14:EC14)-(ROUNDDOWN(Arrangörslista!$U$5/3,1))*($BW$3+1)),SUM(BV14:EC14)))</f>
        <v/>
      </c>
      <c r="J14" s="79" t="str">
        <f>IF(Deltagarlista!$K$3=4,IF(ISBLANK(Deltagarlista!$C59),"",IF(ISBLANK(Arrangörslista!C$8),"",IFERROR(VLOOKUP($F14,Arrangörslista!C$8:$AG$45,16,FALSE),IF(ISBLANK(Deltagarlista!$C59),"",IF(ISBLANK(Arrangörslista!C$8),"",IFERROR(VLOOKUP($F14,Arrangörslista!D$8:$AG$45,16,FALSE),"DNS")))))),IF(Deltagarlista!$K$3=2,
IF(ISBLANK(Deltagarlista!$C59),"",IF(ISBLANK(Arrangörslista!C$8),"",IF($GV14=J$64," DNS ",IFERROR(VLOOKUP($F14,Arrangörslista!C$8:$AG$45,16,FALSE),"DNS")))),IF(ISBLANK(Deltagarlista!$C59),"",IF(ISBLANK(Arrangörslista!C$8),"",IFERROR(VLOOKUP($F14,Arrangörslista!C$8:$AG$45,16,FALSE),"DNS")))))</f>
        <v/>
      </c>
      <c r="K14" s="5" t="str">
        <f>IF(Deltagarlista!$K$3=4,IF(ISBLANK(Deltagarlista!$C59),"",IF(ISBLANK(Arrangörslista!E$8),"",IFERROR(VLOOKUP($F14,Arrangörslista!E$8:$AG$45,16,FALSE),IF(ISBLANK(Deltagarlista!$C59),"",IF(ISBLANK(Arrangörslista!E$8),"",IFERROR(VLOOKUP($F14,Arrangörslista!F$8:$AG$45,16,FALSE),"DNS")))))),IF(Deltagarlista!$K$3=2,
IF(ISBLANK(Deltagarlista!$C59),"",IF(ISBLANK(Arrangörslista!D$8),"",IF($GV14=K$64," DNS ",IFERROR(VLOOKUP($F14,Arrangörslista!D$8:$AG$45,16,FALSE),"DNS")))),IF(ISBLANK(Deltagarlista!$C59),"",IF(ISBLANK(Arrangörslista!D$8),"",IFERROR(VLOOKUP($F14,Arrangörslista!D$8:$AG$45,16,FALSE),"DNS")))))</f>
        <v/>
      </c>
      <c r="L14" s="5" t="str">
        <f>IF(Deltagarlista!$K$3=4,IF(ISBLANK(Deltagarlista!$C59),"",IF(ISBLANK(Arrangörslista!G$8),"",IFERROR(VLOOKUP($F14,Arrangörslista!G$8:$AG$45,16,FALSE),IF(ISBLANK(Deltagarlista!$C59),"",IF(ISBLANK(Arrangörslista!G$8),"",IFERROR(VLOOKUP($F14,Arrangörslista!H$8:$AG$45,16,FALSE),"DNS")))))),IF(Deltagarlista!$K$3=2,
IF(ISBLANK(Deltagarlista!$C59),"",IF(ISBLANK(Arrangörslista!E$8),"",IF($GV14=L$64," DNS ",IFERROR(VLOOKUP($F14,Arrangörslista!E$8:$AG$45,16,FALSE),"DNS")))),IF(ISBLANK(Deltagarlista!$C59),"",IF(ISBLANK(Arrangörslista!E$8),"",IFERROR(VLOOKUP($F14,Arrangörslista!E$8:$AG$45,16,FALSE),"DNS")))))</f>
        <v/>
      </c>
      <c r="M14" s="5" t="str">
        <f>IF(Deltagarlista!$K$3=4,IF(ISBLANK(Deltagarlista!$C59),"",IF(ISBLANK(Arrangörslista!I$8),"",IFERROR(VLOOKUP($F14,Arrangörslista!I$8:$AG$45,16,FALSE),IF(ISBLANK(Deltagarlista!$C59),"",IF(ISBLANK(Arrangörslista!I$8),"",IFERROR(VLOOKUP($F14,Arrangörslista!J$8:$AG$45,16,FALSE),"DNS")))))),IF(Deltagarlista!$K$3=2,
IF(ISBLANK(Deltagarlista!$C59),"",IF(ISBLANK(Arrangörslista!F$8),"",IF($GV14=M$64," DNS ",IFERROR(VLOOKUP($F14,Arrangörslista!F$8:$AG$45,16,FALSE),"DNS")))),IF(ISBLANK(Deltagarlista!$C59),"",IF(ISBLANK(Arrangörslista!F$8),"",IFERROR(VLOOKUP($F14,Arrangörslista!F$8:$AG$45,16,FALSE),"DNS")))))</f>
        <v/>
      </c>
      <c r="N14" s="5" t="str">
        <f>IF(Deltagarlista!$K$3=4,IF(ISBLANK(Deltagarlista!$C59),"",IF(ISBLANK(Arrangörslista!K$8),"",IFERROR(VLOOKUP($F14,Arrangörslista!K$8:$AG$45,16,FALSE),IF(ISBLANK(Deltagarlista!$C59),"",IF(ISBLANK(Arrangörslista!K$8),"",IFERROR(VLOOKUP($F14,Arrangörslista!L$8:$AG$45,16,FALSE),"DNS")))))),IF(Deltagarlista!$K$3=2,
IF(ISBLANK(Deltagarlista!$C59),"",IF(ISBLANK(Arrangörslista!G$8),"",IF($GV14=N$64," DNS ",IFERROR(VLOOKUP($F14,Arrangörslista!G$8:$AG$45,16,FALSE),"DNS")))),IF(ISBLANK(Deltagarlista!$C59),"",IF(ISBLANK(Arrangörslista!G$8),"",IFERROR(VLOOKUP($F14,Arrangörslista!G$8:$AG$45,16,FALSE),"DNS")))))</f>
        <v/>
      </c>
      <c r="O14" s="5" t="str">
        <f>IF(Deltagarlista!$K$3=4,IF(ISBLANK(Deltagarlista!$C59),"",IF(ISBLANK(Arrangörslista!M$8),"",IFERROR(VLOOKUP($F14,Arrangörslista!M$8:$AG$45,16,FALSE),IF(ISBLANK(Deltagarlista!$C59),"",IF(ISBLANK(Arrangörslista!M$8),"",IFERROR(VLOOKUP($F14,Arrangörslista!N$8:$AG$45,16,FALSE),"DNS")))))),IF(Deltagarlista!$K$3=2,
IF(ISBLANK(Deltagarlista!$C59),"",IF(ISBLANK(Arrangörslista!H$8),"",IF($GV14=O$64," DNS ",IFERROR(VLOOKUP($F14,Arrangörslista!H$8:$AG$45,16,FALSE),"DNS")))),IF(ISBLANK(Deltagarlista!$C59),"",IF(ISBLANK(Arrangörslista!H$8),"",IFERROR(VLOOKUP($F14,Arrangörslista!H$8:$AG$45,16,FALSE),"DNS")))))</f>
        <v/>
      </c>
      <c r="P14" s="5" t="str">
        <f>IF(Deltagarlista!$K$3=4,IF(ISBLANK(Deltagarlista!$C59),"",IF(ISBLANK(Arrangörslista!O$8),"",IFERROR(VLOOKUP($F14,Arrangörslista!O$8:$AG$45,16,FALSE),IF(ISBLANK(Deltagarlista!$C59),"",IF(ISBLANK(Arrangörslista!O$8),"",IFERROR(VLOOKUP($F14,Arrangörslista!P$8:$AG$45,16,FALSE),"DNS")))))),IF(Deltagarlista!$K$3=2,
IF(ISBLANK(Deltagarlista!$C59),"",IF(ISBLANK(Arrangörslista!I$8),"",IF($GV14=P$64," DNS ",IFERROR(VLOOKUP($F14,Arrangörslista!I$8:$AG$45,16,FALSE),"DNS")))),IF(ISBLANK(Deltagarlista!$C59),"",IF(ISBLANK(Arrangörslista!I$8),"",IFERROR(VLOOKUP($F14,Arrangörslista!I$8:$AG$45,16,FALSE),"DNS")))))</f>
        <v/>
      </c>
      <c r="Q14" s="5" t="str">
        <f>IF(Deltagarlista!$K$3=4,IF(ISBLANK(Deltagarlista!$C59),"",IF(ISBLANK(Arrangörslista!Q$8),"",IFERROR(VLOOKUP($F14,Arrangörslista!Q$8:$AG$45,16,FALSE),IF(ISBLANK(Deltagarlista!$C59),"",IF(ISBLANK(Arrangörslista!Q$8),"",IFERROR(VLOOKUP($F14,Arrangörslista!C$53:$AG$90,16,FALSE),"DNS")))))),IF(Deltagarlista!$K$3=2,
IF(ISBLANK(Deltagarlista!$C59),"",IF(ISBLANK(Arrangörslista!J$8),"",IF($GV14=Q$64," DNS ",IFERROR(VLOOKUP($F14,Arrangörslista!J$8:$AG$45,16,FALSE),"DNS")))),IF(ISBLANK(Deltagarlista!$C59),"",IF(ISBLANK(Arrangörslista!J$8),"",IFERROR(VLOOKUP($F14,Arrangörslista!J$8:$AG$45,16,FALSE),"DNS")))))</f>
        <v/>
      </c>
      <c r="R14" s="5" t="str">
        <f>IF(Deltagarlista!$K$3=4,IF(ISBLANK(Deltagarlista!$C59),"",IF(ISBLANK(Arrangörslista!D$53),"",IFERROR(VLOOKUP($F14,Arrangörslista!D$53:$AG$90,16,FALSE),IF(ISBLANK(Deltagarlista!$C59),"",IF(ISBLANK(Arrangörslista!D$53),"",IFERROR(VLOOKUP($F14,Arrangörslista!E$53:$AG$90,16,FALSE),"DNS")))))),IF(Deltagarlista!$K$3=2,
IF(ISBLANK(Deltagarlista!$C59),"",IF(ISBLANK(Arrangörslista!K$8),"",IF($GV14=R$64," DNS ",IFERROR(VLOOKUP($F14,Arrangörslista!K$8:$AG$45,16,FALSE),"DNS")))),IF(ISBLANK(Deltagarlista!$C59),"",IF(ISBLANK(Arrangörslista!K$8),"",IFERROR(VLOOKUP($F14,Arrangörslista!K$8:$AG$45,16,FALSE),"DNS")))))</f>
        <v/>
      </c>
      <c r="S14" s="5" t="str">
        <f>IF(Deltagarlista!$K$3=4,IF(ISBLANK(Deltagarlista!$C59),"",IF(ISBLANK(Arrangörslista!F$53),"",IFERROR(VLOOKUP($F14,Arrangörslista!F$53:$AG$90,16,FALSE),IF(ISBLANK(Deltagarlista!$C59),"",IF(ISBLANK(Arrangörslista!F$53),"",IFERROR(VLOOKUP($F14,Arrangörslista!G$53:$AG$90,16,FALSE),"DNS")))))),IF(Deltagarlista!$K$3=2,
IF(ISBLANK(Deltagarlista!$C59),"",IF(ISBLANK(Arrangörslista!L$8),"",IF($GV14=S$64," DNS ",IFERROR(VLOOKUP($F14,Arrangörslista!L$8:$AG$45,16,FALSE),"DNS")))),IF(ISBLANK(Deltagarlista!$C59),"",IF(ISBLANK(Arrangörslista!L$8),"",IFERROR(VLOOKUP($F14,Arrangörslista!L$8:$AG$45,16,FALSE),"DNS")))))</f>
        <v/>
      </c>
      <c r="T14" s="5" t="str">
        <f>IF(Deltagarlista!$K$3=4,IF(ISBLANK(Deltagarlista!$C59),"",IF(ISBLANK(Arrangörslista!H$53),"",IFERROR(VLOOKUP($F14,Arrangörslista!H$53:$AG$90,16,FALSE),IF(ISBLANK(Deltagarlista!$C59),"",IF(ISBLANK(Arrangörslista!H$53),"",IFERROR(VLOOKUP($F14,Arrangörslista!I$53:$AG$90,16,FALSE),"DNS")))))),IF(Deltagarlista!$K$3=2,
IF(ISBLANK(Deltagarlista!$C59),"",IF(ISBLANK(Arrangörslista!M$8),"",IF($GV14=T$64," DNS ",IFERROR(VLOOKUP($F14,Arrangörslista!M$8:$AG$45,16,FALSE),"DNS")))),IF(ISBLANK(Deltagarlista!$C59),"",IF(ISBLANK(Arrangörslista!M$8),"",IFERROR(VLOOKUP($F14,Arrangörslista!M$8:$AG$45,16,FALSE),"DNS")))))</f>
        <v/>
      </c>
      <c r="U14" s="5" t="str">
        <f>IF(Deltagarlista!$K$3=4,IF(ISBLANK(Deltagarlista!$C59),"",IF(ISBLANK(Arrangörslista!J$53),"",IFERROR(VLOOKUP($F14,Arrangörslista!J$53:$AG$90,16,FALSE),IF(ISBLANK(Deltagarlista!$C59),"",IF(ISBLANK(Arrangörslista!J$53),"",IFERROR(VLOOKUP($F14,Arrangörslista!K$53:$AG$90,16,FALSE),"DNS")))))),IF(Deltagarlista!$K$3=2,
IF(ISBLANK(Deltagarlista!$C59),"",IF(ISBLANK(Arrangörslista!N$8),"",IF($GV14=U$64," DNS ",IFERROR(VLOOKUP($F14,Arrangörslista!N$8:$AG$45,16,FALSE),"DNS")))),IF(ISBLANK(Deltagarlista!$C59),"",IF(ISBLANK(Arrangörslista!N$8),"",IFERROR(VLOOKUP($F14,Arrangörslista!N$8:$AG$45,16,FALSE),"DNS")))))</f>
        <v/>
      </c>
      <c r="V14" s="5" t="str">
        <f>IF(Deltagarlista!$K$3=4,IF(ISBLANK(Deltagarlista!$C59),"",IF(ISBLANK(Arrangörslista!L$53),"",IFERROR(VLOOKUP($F14,Arrangörslista!L$53:$AG$90,16,FALSE),IF(ISBLANK(Deltagarlista!$C59),"",IF(ISBLANK(Arrangörslista!L$53),"",IFERROR(VLOOKUP($F14,Arrangörslista!M$53:$AG$90,16,FALSE),"DNS")))))),IF(Deltagarlista!$K$3=2,
IF(ISBLANK(Deltagarlista!$C59),"",IF(ISBLANK(Arrangörslista!O$8),"",IF($GV14=V$64," DNS ",IFERROR(VLOOKUP($F14,Arrangörslista!O$8:$AG$45,16,FALSE),"DNS")))),IF(ISBLANK(Deltagarlista!$C59),"",IF(ISBLANK(Arrangörslista!O$8),"",IFERROR(VLOOKUP($F14,Arrangörslista!O$8:$AG$45,16,FALSE),"DNS")))))</f>
        <v/>
      </c>
      <c r="W14" s="5" t="str">
        <f>IF(Deltagarlista!$K$3=4,IF(ISBLANK(Deltagarlista!$C59),"",IF(ISBLANK(Arrangörslista!N$53),"",IFERROR(VLOOKUP($F14,Arrangörslista!N$53:$AG$90,16,FALSE),IF(ISBLANK(Deltagarlista!$C59),"",IF(ISBLANK(Arrangörslista!N$53),"",IFERROR(VLOOKUP($F14,Arrangörslista!O$53:$AG$90,16,FALSE),"DNS")))))),IF(Deltagarlista!$K$3=2,
IF(ISBLANK(Deltagarlista!$C59),"",IF(ISBLANK(Arrangörslista!P$8),"",IF($GV14=W$64," DNS ",IFERROR(VLOOKUP($F14,Arrangörslista!P$8:$AG$45,16,FALSE),"DNS")))),IF(ISBLANK(Deltagarlista!$C59),"",IF(ISBLANK(Arrangörslista!P$8),"",IFERROR(VLOOKUP($F14,Arrangörslista!P$8:$AG$45,16,FALSE),"DNS")))))</f>
        <v/>
      </c>
      <c r="X14" s="5" t="str">
        <f>IF(Deltagarlista!$K$3=4,IF(ISBLANK(Deltagarlista!$C59),"",IF(ISBLANK(Arrangörslista!P$53),"",IFERROR(VLOOKUP($F14,Arrangörslista!P$53:$AG$90,16,FALSE),IF(ISBLANK(Deltagarlista!$C59),"",IF(ISBLANK(Arrangörslista!P$53),"",IFERROR(VLOOKUP($F14,Arrangörslista!Q$53:$AG$90,16,FALSE),"DNS")))))),IF(Deltagarlista!$K$3=2,
IF(ISBLANK(Deltagarlista!$C59),"",IF(ISBLANK(Arrangörslista!Q$8),"",IF($GV14=X$64," DNS ",IFERROR(VLOOKUP($F14,Arrangörslista!Q$8:$AG$45,16,FALSE),"DNS")))),IF(ISBLANK(Deltagarlista!$C59),"",IF(ISBLANK(Arrangörslista!Q$8),"",IFERROR(VLOOKUP($F14,Arrangörslista!Q$8:$AG$45,16,FALSE),"DNS")))))</f>
        <v/>
      </c>
      <c r="Y14" s="5" t="str">
        <f>IF(Deltagarlista!$K$3=4,IF(ISBLANK(Deltagarlista!$C59),"",IF(ISBLANK(Arrangörslista!C$98),"",IFERROR(VLOOKUP($F14,Arrangörslista!C$98:$AG$135,16,FALSE),IF(ISBLANK(Deltagarlista!$C59),"",IF(ISBLANK(Arrangörslista!C$98),"",IFERROR(VLOOKUP($F14,Arrangörslista!D$98:$AG$135,16,FALSE),"DNS")))))),IF(Deltagarlista!$K$3=2,
IF(ISBLANK(Deltagarlista!$C59),"",IF(ISBLANK(Arrangörslista!C$53),"",IF($GV14=Y$64," DNS ",IFERROR(VLOOKUP($F14,Arrangörslista!C$53:$AG$90,16,FALSE),"DNS")))),IF(ISBLANK(Deltagarlista!$C59),"",IF(ISBLANK(Arrangörslista!C$53),"",IFERROR(VLOOKUP($F14,Arrangörslista!C$53:$AG$90,16,FALSE),"DNS")))))</f>
        <v/>
      </c>
      <c r="Z14" s="5" t="str">
        <f>IF(Deltagarlista!$K$3=4,IF(ISBLANK(Deltagarlista!$C59),"",IF(ISBLANK(Arrangörslista!E$98),"",IFERROR(VLOOKUP($F14,Arrangörslista!E$98:$AG$135,16,FALSE),IF(ISBLANK(Deltagarlista!$C59),"",IF(ISBLANK(Arrangörslista!E$98),"",IFERROR(VLOOKUP($F14,Arrangörslista!F$98:$AG$135,16,FALSE),"DNS")))))),IF(Deltagarlista!$K$3=2,
IF(ISBLANK(Deltagarlista!$C59),"",IF(ISBLANK(Arrangörslista!D$53),"",IF($GV14=Z$64," DNS ",IFERROR(VLOOKUP($F14,Arrangörslista!D$53:$AG$90,16,FALSE),"DNS")))),IF(ISBLANK(Deltagarlista!$C59),"",IF(ISBLANK(Arrangörslista!D$53),"",IFERROR(VLOOKUP($F14,Arrangörslista!D$53:$AG$90,16,FALSE),"DNS")))))</f>
        <v/>
      </c>
      <c r="AA14" s="5" t="str">
        <f>IF(Deltagarlista!$K$3=4,IF(ISBLANK(Deltagarlista!$C59),"",IF(ISBLANK(Arrangörslista!G$98),"",IFERROR(VLOOKUP($F14,Arrangörslista!G$98:$AG$135,16,FALSE),IF(ISBLANK(Deltagarlista!$C59),"",IF(ISBLANK(Arrangörslista!G$98),"",IFERROR(VLOOKUP($F14,Arrangörslista!H$98:$AG$135,16,FALSE),"DNS")))))),IF(Deltagarlista!$K$3=2,
IF(ISBLANK(Deltagarlista!$C59),"",IF(ISBLANK(Arrangörslista!E$53),"",IF($GV14=AA$64," DNS ",IFERROR(VLOOKUP($F14,Arrangörslista!E$53:$AG$90,16,FALSE),"DNS")))),IF(ISBLANK(Deltagarlista!$C59),"",IF(ISBLANK(Arrangörslista!E$53),"",IFERROR(VLOOKUP($F14,Arrangörslista!E$53:$AG$90,16,FALSE),"DNS")))))</f>
        <v/>
      </c>
      <c r="AB14" s="5" t="str">
        <f>IF(Deltagarlista!$K$3=4,IF(ISBLANK(Deltagarlista!$C59),"",IF(ISBLANK(Arrangörslista!I$98),"",IFERROR(VLOOKUP($F14,Arrangörslista!I$98:$AG$135,16,FALSE),IF(ISBLANK(Deltagarlista!$C59),"",IF(ISBLANK(Arrangörslista!I$98),"",IFERROR(VLOOKUP($F14,Arrangörslista!J$98:$AG$135,16,FALSE),"DNS")))))),IF(Deltagarlista!$K$3=2,
IF(ISBLANK(Deltagarlista!$C59),"",IF(ISBLANK(Arrangörslista!F$53),"",IF($GV14=AB$64," DNS ",IFERROR(VLOOKUP($F14,Arrangörslista!F$53:$AG$90,16,FALSE),"DNS")))),IF(ISBLANK(Deltagarlista!$C59),"",IF(ISBLANK(Arrangörslista!F$53),"",IFERROR(VLOOKUP($F14,Arrangörslista!F$53:$AG$90,16,FALSE),"DNS")))))</f>
        <v/>
      </c>
      <c r="AC14" s="5" t="str">
        <f>IF(Deltagarlista!$K$3=4,IF(ISBLANK(Deltagarlista!$C59),"",IF(ISBLANK(Arrangörslista!K$98),"",IFERROR(VLOOKUP($F14,Arrangörslista!K$98:$AG$135,16,FALSE),IF(ISBLANK(Deltagarlista!$C59),"",IF(ISBLANK(Arrangörslista!K$98),"",IFERROR(VLOOKUP($F14,Arrangörslista!L$98:$AG$135,16,FALSE),"DNS")))))),IF(Deltagarlista!$K$3=2,
IF(ISBLANK(Deltagarlista!$C59),"",IF(ISBLANK(Arrangörslista!G$53),"",IF($GV14=AC$64," DNS ",IFERROR(VLOOKUP($F14,Arrangörslista!G$53:$AG$90,16,FALSE),"DNS")))),IF(ISBLANK(Deltagarlista!$C59),"",IF(ISBLANK(Arrangörslista!G$53),"",IFERROR(VLOOKUP($F14,Arrangörslista!G$53:$AG$90,16,FALSE),"DNS")))))</f>
        <v/>
      </c>
      <c r="AD14" s="5" t="str">
        <f>IF(Deltagarlista!$K$3=4,IF(ISBLANK(Deltagarlista!$C59),"",IF(ISBLANK(Arrangörslista!M$98),"",IFERROR(VLOOKUP($F14,Arrangörslista!M$98:$AG$135,16,FALSE),IF(ISBLANK(Deltagarlista!$C59),"",IF(ISBLANK(Arrangörslista!M$98),"",IFERROR(VLOOKUP($F14,Arrangörslista!N$98:$AG$135,16,FALSE),"DNS")))))),IF(Deltagarlista!$K$3=2,
IF(ISBLANK(Deltagarlista!$C59),"",IF(ISBLANK(Arrangörslista!H$53),"",IF($GV14=AD$64," DNS ",IFERROR(VLOOKUP($F14,Arrangörslista!H$53:$AG$90,16,FALSE),"DNS")))),IF(ISBLANK(Deltagarlista!$C59),"",IF(ISBLANK(Arrangörslista!H$53),"",IFERROR(VLOOKUP($F14,Arrangörslista!H$53:$AG$90,16,FALSE),"DNS")))))</f>
        <v/>
      </c>
      <c r="AE14" s="5" t="str">
        <f>IF(Deltagarlista!$K$3=4,IF(ISBLANK(Deltagarlista!$C59),"",IF(ISBLANK(Arrangörslista!O$98),"",IFERROR(VLOOKUP($F14,Arrangörslista!O$98:$AG$135,16,FALSE),IF(ISBLANK(Deltagarlista!$C59),"",IF(ISBLANK(Arrangörslista!O$98),"",IFERROR(VLOOKUP($F14,Arrangörslista!P$98:$AG$135,16,FALSE),"DNS")))))),IF(Deltagarlista!$K$3=2,
IF(ISBLANK(Deltagarlista!$C59),"",IF(ISBLANK(Arrangörslista!I$53),"",IF($GV14=AE$64," DNS ",IFERROR(VLOOKUP($F14,Arrangörslista!I$53:$AG$90,16,FALSE),"DNS")))),IF(ISBLANK(Deltagarlista!$C59),"",IF(ISBLANK(Arrangörslista!I$53),"",IFERROR(VLOOKUP($F14,Arrangörslista!I$53:$AG$90,16,FALSE),"DNS")))))</f>
        <v/>
      </c>
      <c r="AF14" s="5" t="str">
        <f>IF(Deltagarlista!$K$3=4,IF(ISBLANK(Deltagarlista!$C59),"",IF(ISBLANK(Arrangörslista!Q$98),"",IFERROR(VLOOKUP($F14,Arrangörslista!Q$98:$AG$135,16,FALSE),IF(ISBLANK(Deltagarlista!$C59),"",IF(ISBLANK(Arrangörslista!Q$98),"",IFERROR(VLOOKUP($F14,Arrangörslista!C$143:$AG$180,16,FALSE),"DNS")))))),IF(Deltagarlista!$K$3=2,
IF(ISBLANK(Deltagarlista!$C59),"",IF(ISBLANK(Arrangörslista!J$53),"",IF($GV14=AF$64," DNS ",IFERROR(VLOOKUP($F14,Arrangörslista!J$53:$AG$90,16,FALSE),"DNS")))),IF(ISBLANK(Deltagarlista!$C59),"",IF(ISBLANK(Arrangörslista!J$53),"",IFERROR(VLOOKUP($F14,Arrangörslista!J$53:$AG$90,16,FALSE),"DNS")))))</f>
        <v/>
      </c>
      <c r="AG14" s="5" t="str">
        <f>IF(Deltagarlista!$K$3=4,IF(ISBLANK(Deltagarlista!$C59),"",IF(ISBLANK(Arrangörslista!D$143),"",IFERROR(VLOOKUP($F14,Arrangörslista!D$143:$AG$180,16,FALSE),IF(ISBLANK(Deltagarlista!$C59),"",IF(ISBLANK(Arrangörslista!D$143),"",IFERROR(VLOOKUP($F14,Arrangörslista!E$143:$AG$180,16,FALSE),"DNS")))))),IF(Deltagarlista!$K$3=2,
IF(ISBLANK(Deltagarlista!$C59),"",IF(ISBLANK(Arrangörslista!K$53),"",IF($GV14=AG$64," DNS ",IFERROR(VLOOKUP($F14,Arrangörslista!K$53:$AG$90,16,FALSE),"DNS")))),IF(ISBLANK(Deltagarlista!$C59),"",IF(ISBLANK(Arrangörslista!K$53),"",IFERROR(VLOOKUP($F14,Arrangörslista!K$53:$AG$90,16,FALSE),"DNS")))))</f>
        <v/>
      </c>
      <c r="AH14" s="5" t="str">
        <f>IF(Deltagarlista!$K$3=4,IF(ISBLANK(Deltagarlista!$C59),"",IF(ISBLANK(Arrangörslista!F$143),"",IFERROR(VLOOKUP($F14,Arrangörslista!F$143:$AG$180,16,FALSE),IF(ISBLANK(Deltagarlista!$C59),"",IF(ISBLANK(Arrangörslista!F$143),"",IFERROR(VLOOKUP($F14,Arrangörslista!G$143:$AG$180,16,FALSE),"DNS")))))),IF(Deltagarlista!$K$3=2,
IF(ISBLANK(Deltagarlista!$C59),"",IF(ISBLANK(Arrangörslista!L$53),"",IF($GV14=AH$64," DNS ",IFERROR(VLOOKUP($F14,Arrangörslista!L$53:$AG$90,16,FALSE),"DNS")))),IF(ISBLANK(Deltagarlista!$C59),"",IF(ISBLANK(Arrangörslista!L$53),"",IFERROR(VLOOKUP($F14,Arrangörslista!L$53:$AG$90,16,FALSE),"DNS")))))</f>
        <v/>
      </c>
      <c r="AI14" s="5" t="str">
        <f>IF(Deltagarlista!$K$3=4,IF(ISBLANK(Deltagarlista!$C59),"",IF(ISBLANK(Arrangörslista!H$143),"",IFERROR(VLOOKUP($F14,Arrangörslista!H$143:$AG$180,16,FALSE),IF(ISBLANK(Deltagarlista!$C59),"",IF(ISBLANK(Arrangörslista!H$143),"",IFERROR(VLOOKUP($F14,Arrangörslista!I$143:$AG$180,16,FALSE),"DNS")))))),IF(Deltagarlista!$K$3=2,
IF(ISBLANK(Deltagarlista!$C59),"",IF(ISBLANK(Arrangörslista!M$53),"",IF($GV14=AI$64," DNS ",IFERROR(VLOOKUP($F14,Arrangörslista!M$53:$AG$90,16,FALSE),"DNS")))),IF(ISBLANK(Deltagarlista!$C59),"",IF(ISBLANK(Arrangörslista!M$53),"",IFERROR(VLOOKUP($F14,Arrangörslista!M$53:$AG$90,16,FALSE),"DNS")))))</f>
        <v/>
      </c>
      <c r="AJ14" s="5" t="str">
        <f>IF(Deltagarlista!$K$3=4,IF(ISBLANK(Deltagarlista!$C59),"",IF(ISBLANK(Arrangörslista!J$143),"",IFERROR(VLOOKUP($F14,Arrangörslista!J$143:$AG$180,16,FALSE),IF(ISBLANK(Deltagarlista!$C59),"",IF(ISBLANK(Arrangörslista!J$143),"",IFERROR(VLOOKUP($F14,Arrangörslista!K$143:$AG$180,16,FALSE),"DNS")))))),IF(Deltagarlista!$K$3=2,
IF(ISBLANK(Deltagarlista!$C59),"",IF(ISBLANK(Arrangörslista!N$53),"",IF($GV14=AJ$64," DNS ",IFERROR(VLOOKUP($F14,Arrangörslista!N$53:$AG$90,16,FALSE),"DNS")))),IF(ISBLANK(Deltagarlista!$C59),"",IF(ISBLANK(Arrangörslista!N$53),"",IFERROR(VLOOKUP($F14,Arrangörslista!N$53:$AG$90,16,FALSE),"DNS")))))</f>
        <v/>
      </c>
      <c r="AK14" s="5" t="str">
        <f>IF(Deltagarlista!$K$3=4,IF(ISBLANK(Deltagarlista!$C59),"",IF(ISBLANK(Arrangörslista!L$143),"",IFERROR(VLOOKUP($F14,Arrangörslista!L$143:$AG$180,16,FALSE),IF(ISBLANK(Deltagarlista!$C59),"",IF(ISBLANK(Arrangörslista!L$143),"",IFERROR(VLOOKUP($F14,Arrangörslista!M$143:$AG$180,16,FALSE),"DNS")))))),IF(Deltagarlista!$K$3=2,
IF(ISBLANK(Deltagarlista!$C59),"",IF(ISBLANK(Arrangörslista!O$53),"",IF($GV14=AK$64," DNS ",IFERROR(VLOOKUP($F14,Arrangörslista!O$53:$AG$90,16,FALSE),"DNS")))),IF(ISBLANK(Deltagarlista!$C59),"",IF(ISBLANK(Arrangörslista!O$53),"",IFERROR(VLOOKUP($F14,Arrangörslista!O$53:$AG$90,16,FALSE),"DNS")))))</f>
        <v/>
      </c>
      <c r="AL14" s="5" t="str">
        <f>IF(Deltagarlista!$K$3=4,IF(ISBLANK(Deltagarlista!$C59),"",IF(ISBLANK(Arrangörslista!N$143),"",IFERROR(VLOOKUP($F14,Arrangörslista!N$143:$AG$180,16,FALSE),IF(ISBLANK(Deltagarlista!$C59),"",IF(ISBLANK(Arrangörslista!N$143),"",IFERROR(VLOOKUP($F14,Arrangörslista!O$143:$AG$180,16,FALSE),"DNS")))))),IF(Deltagarlista!$K$3=2,
IF(ISBLANK(Deltagarlista!$C59),"",IF(ISBLANK(Arrangörslista!P$53),"",IF($GV14=AL$64," DNS ",IFERROR(VLOOKUP($F14,Arrangörslista!P$53:$AG$90,16,FALSE),"DNS")))),IF(ISBLANK(Deltagarlista!$C59),"",IF(ISBLANK(Arrangörslista!P$53),"",IFERROR(VLOOKUP($F14,Arrangörslista!P$53:$AG$90,16,FALSE),"DNS")))))</f>
        <v/>
      </c>
      <c r="AM14" s="5" t="str">
        <f>IF(Deltagarlista!$K$3=4,IF(ISBLANK(Deltagarlista!$C59),"",IF(ISBLANK(Arrangörslista!P$143),"",IFERROR(VLOOKUP($F14,Arrangörslista!P$143:$AG$180,16,FALSE),IF(ISBLANK(Deltagarlista!$C59),"",IF(ISBLANK(Arrangörslista!P$143),"",IFERROR(VLOOKUP($F14,Arrangörslista!Q$143:$AG$180,16,FALSE),"DNS")))))),IF(Deltagarlista!$K$3=2,
IF(ISBLANK(Deltagarlista!$C59),"",IF(ISBLANK(Arrangörslista!Q$53),"",IF($GV14=AM$64," DNS ",IFERROR(VLOOKUP($F14,Arrangörslista!Q$53:$AG$90,16,FALSE),"DNS")))),IF(ISBLANK(Deltagarlista!$C59),"",IF(ISBLANK(Arrangörslista!Q$53),"",IFERROR(VLOOKUP($F14,Arrangörslista!Q$53:$AG$90,16,FALSE),"DNS")))))</f>
        <v/>
      </c>
      <c r="AN14" s="5" t="str">
        <f>IF(Deltagarlista!$K$3=2,
IF(ISBLANK(Deltagarlista!$C59),"",IF(ISBLANK(Arrangörslista!C$98),"",IF($GV14=AN$64," DNS ",IFERROR(VLOOKUP($F14,Arrangörslista!C$98:$AG$135,16,FALSE), "DNS")))), IF(Deltagarlista!$K$3=1,IF(ISBLANK(Deltagarlista!$C59),"",IF(ISBLANK(Arrangörslista!C$98),"",IFERROR(VLOOKUP($F14,Arrangörslista!C$98:$AG$135,16,FALSE), "DNS"))),""))</f>
        <v/>
      </c>
      <c r="AO14" s="5" t="str">
        <f>IF(Deltagarlista!$K$3=2,
IF(ISBLANK(Deltagarlista!$C59),"",IF(ISBLANK(Arrangörslista!D$98),"",IF($GV14=AO$64," DNS ",IFERROR(VLOOKUP($F14,Arrangörslista!D$98:$AG$135,16,FALSE), "DNS")))), IF(Deltagarlista!$K$3=1,IF(ISBLANK(Deltagarlista!$C59),"",IF(ISBLANK(Arrangörslista!D$98),"",IFERROR(VLOOKUP($F14,Arrangörslista!D$98:$AG$135,16,FALSE), "DNS"))),""))</f>
        <v/>
      </c>
      <c r="AP14" s="5" t="str">
        <f>IF(Deltagarlista!$K$3=2,
IF(ISBLANK(Deltagarlista!$C59),"",IF(ISBLANK(Arrangörslista!E$98),"",IF($GV14=AP$64," DNS ",IFERROR(VLOOKUP($F14,Arrangörslista!E$98:$AG$135,16,FALSE), "DNS")))), IF(Deltagarlista!$K$3=1,IF(ISBLANK(Deltagarlista!$C59),"",IF(ISBLANK(Arrangörslista!E$98),"",IFERROR(VLOOKUP($F14,Arrangörslista!E$98:$AG$135,16,FALSE), "DNS"))),""))</f>
        <v/>
      </c>
      <c r="AQ14" s="5" t="str">
        <f>IF(Deltagarlista!$K$3=2,
IF(ISBLANK(Deltagarlista!$C59),"",IF(ISBLANK(Arrangörslista!F$98),"",IF($GV14=AQ$64," DNS ",IFERROR(VLOOKUP($F14,Arrangörslista!F$98:$AG$135,16,FALSE), "DNS")))), IF(Deltagarlista!$K$3=1,IF(ISBLANK(Deltagarlista!$C59),"",IF(ISBLANK(Arrangörslista!F$98),"",IFERROR(VLOOKUP($F14,Arrangörslista!F$98:$AG$135,16,FALSE), "DNS"))),""))</f>
        <v/>
      </c>
      <c r="AR14" s="5" t="str">
        <f>IF(Deltagarlista!$K$3=2,
IF(ISBLANK(Deltagarlista!$C59),"",IF(ISBLANK(Arrangörslista!G$98),"",IF($GV14=AR$64," DNS ",IFERROR(VLOOKUP($F14,Arrangörslista!G$98:$AG$135,16,FALSE), "DNS")))), IF(Deltagarlista!$K$3=1,IF(ISBLANK(Deltagarlista!$C59),"",IF(ISBLANK(Arrangörslista!G$98),"",IFERROR(VLOOKUP($F14,Arrangörslista!G$98:$AG$135,16,FALSE), "DNS"))),""))</f>
        <v/>
      </c>
      <c r="AS14" s="5" t="str">
        <f>IF(Deltagarlista!$K$3=2,
IF(ISBLANK(Deltagarlista!$C59),"",IF(ISBLANK(Arrangörslista!H$98),"",IF($GV14=AS$64," DNS ",IFERROR(VLOOKUP($F14,Arrangörslista!H$98:$AG$135,16,FALSE), "DNS")))), IF(Deltagarlista!$K$3=1,IF(ISBLANK(Deltagarlista!$C59),"",IF(ISBLANK(Arrangörslista!H$98),"",IFERROR(VLOOKUP($F14,Arrangörslista!H$98:$AG$135,16,FALSE), "DNS"))),""))</f>
        <v/>
      </c>
      <c r="AT14" s="5" t="str">
        <f>IF(Deltagarlista!$K$3=2,
IF(ISBLANK(Deltagarlista!$C59),"",IF(ISBLANK(Arrangörslista!I$98),"",IF($GV14=AT$64," DNS ",IFERROR(VLOOKUP($F14,Arrangörslista!I$98:$AG$135,16,FALSE), "DNS")))), IF(Deltagarlista!$K$3=1,IF(ISBLANK(Deltagarlista!$C59),"",IF(ISBLANK(Arrangörslista!I$98),"",IFERROR(VLOOKUP($F14,Arrangörslista!I$98:$AG$135,16,FALSE), "DNS"))),""))</f>
        <v/>
      </c>
      <c r="AU14" s="5" t="str">
        <f>IF(Deltagarlista!$K$3=2,
IF(ISBLANK(Deltagarlista!$C59),"",IF(ISBLANK(Arrangörslista!J$98),"",IF($GV14=AU$64," DNS ",IFERROR(VLOOKUP($F14,Arrangörslista!J$98:$AG$135,16,FALSE), "DNS")))), IF(Deltagarlista!$K$3=1,IF(ISBLANK(Deltagarlista!$C59),"",IF(ISBLANK(Arrangörslista!J$98),"",IFERROR(VLOOKUP($F14,Arrangörslista!J$98:$AG$135,16,FALSE), "DNS"))),""))</f>
        <v/>
      </c>
      <c r="AV14" s="5" t="str">
        <f>IF(Deltagarlista!$K$3=2,
IF(ISBLANK(Deltagarlista!$C59),"",IF(ISBLANK(Arrangörslista!K$98),"",IF($GV14=AV$64," DNS ",IFERROR(VLOOKUP($F14,Arrangörslista!K$98:$AG$135,16,FALSE), "DNS")))), IF(Deltagarlista!$K$3=1,IF(ISBLANK(Deltagarlista!$C59),"",IF(ISBLANK(Arrangörslista!K$98),"",IFERROR(VLOOKUP($F14,Arrangörslista!K$98:$AG$135,16,FALSE), "DNS"))),""))</f>
        <v/>
      </c>
      <c r="AW14" s="5" t="str">
        <f>IF(Deltagarlista!$K$3=2,
IF(ISBLANK(Deltagarlista!$C59),"",IF(ISBLANK(Arrangörslista!L$98),"",IF($GV14=AW$64," DNS ",IFERROR(VLOOKUP($F14,Arrangörslista!L$98:$AG$135,16,FALSE), "DNS")))), IF(Deltagarlista!$K$3=1,IF(ISBLANK(Deltagarlista!$C59),"",IF(ISBLANK(Arrangörslista!L$98),"",IFERROR(VLOOKUP($F14,Arrangörslista!L$98:$AG$135,16,FALSE), "DNS"))),""))</f>
        <v/>
      </c>
      <c r="AX14" s="5" t="str">
        <f>IF(Deltagarlista!$K$3=2,
IF(ISBLANK(Deltagarlista!$C59),"",IF(ISBLANK(Arrangörslista!M$98),"",IF($GV14=AX$64," DNS ",IFERROR(VLOOKUP($F14,Arrangörslista!M$98:$AG$135,16,FALSE), "DNS")))), IF(Deltagarlista!$K$3=1,IF(ISBLANK(Deltagarlista!$C59),"",IF(ISBLANK(Arrangörslista!M$98),"",IFERROR(VLOOKUP($F14,Arrangörslista!M$98:$AG$135,16,FALSE), "DNS"))),""))</f>
        <v/>
      </c>
      <c r="AY14" s="5" t="str">
        <f>IF(Deltagarlista!$K$3=2,
IF(ISBLANK(Deltagarlista!$C59),"",IF(ISBLANK(Arrangörslista!N$98),"",IF($GV14=AY$64," DNS ",IFERROR(VLOOKUP($F14,Arrangörslista!N$98:$AG$135,16,FALSE), "DNS")))), IF(Deltagarlista!$K$3=1,IF(ISBLANK(Deltagarlista!$C59),"",IF(ISBLANK(Arrangörslista!N$98),"",IFERROR(VLOOKUP($F14,Arrangörslista!N$98:$AG$135,16,FALSE), "DNS"))),""))</f>
        <v/>
      </c>
      <c r="AZ14" s="5" t="str">
        <f>IF(Deltagarlista!$K$3=2,
IF(ISBLANK(Deltagarlista!$C59),"",IF(ISBLANK(Arrangörslista!O$98),"",IF($GV14=AZ$64," DNS ",IFERROR(VLOOKUP($F14,Arrangörslista!O$98:$AG$135,16,FALSE), "DNS")))), IF(Deltagarlista!$K$3=1,IF(ISBLANK(Deltagarlista!$C59),"",IF(ISBLANK(Arrangörslista!O$98),"",IFERROR(VLOOKUP($F14,Arrangörslista!O$98:$AG$135,16,FALSE), "DNS"))),""))</f>
        <v/>
      </c>
      <c r="BA14" s="5" t="str">
        <f>IF(Deltagarlista!$K$3=2,
IF(ISBLANK(Deltagarlista!$C59),"",IF(ISBLANK(Arrangörslista!P$98),"",IF($GV14=BA$64," DNS ",IFERROR(VLOOKUP($F14,Arrangörslista!P$98:$AG$135,16,FALSE), "DNS")))), IF(Deltagarlista!$K$3=1,IF(ISBLANK(Deltagarlista!$C59),"",IF(ISBLANK(Arrangörslista!P$98),"",IFERROR(VLOOKUP($F14,Arrangörslista!P$98:$AG$135,16,FALSE), "DNS"))),""))</f>
        <v/>
      </c>
      <c r="BB14" s="5" t="str">
        <f>IF(Deltagarlista!$K$3=2,
IF(ISBLANK(Deltagarlista!$C59),"",IF(ISBLANK(Arrangörslista!Q$98),"",IF($GV14=BB$64," DNS ",IFERROR(VLOOKUP($F14,Arrangörslista!Q$98:$AG$135,16,FALSE), "DNS")))), IF(Deltagarlista!$K$3=1,IF(ISBLANK(Deltagarlista!$C59),"",IF(ISBLANK(Arrangörslista!Q$98),"",IFERROR(VLOOKUP($F14,Arrangörslista!Q$98:$AG$135,16,FALSE), "DNS"))),""))</f>
        <v/>
      </c>
      <c r="BC14" s="5" t="str">
        <f>IF(Deltagarlista!$K$3=2,
IF(ISBLANK(Deltagarlista!$C59),"",IF(ISBLANK(Arrangörslista!C$143),"",IF($GV14=BC$64," DNS ",IFERROR(VLOOKUP($F14,Arrangörslista!C$143:$AG$180,16,FALSE), "DNS")))), IF(Deltagarlista!$K$3=1,IF(ISBLANK(Deltagarlista!$C59),"",IF(ISBLANK(Arrangörslista!C$143),"",IFERROR(VLOOKUP($F14,Arrangörslista!C$143:$AG$180,16,FALSE), "DNS"))),""))</f>
        <v/>
      </c>
      <c r="BD14" s="5" t="str">
        <f>IF(Deltagarlista!$K$3=2,
IF(ISBLANK(Deltagarlista!$C59),"",IF(ISBLANK(Arrangörslista!D$143),"",IF($GV14=BD$64," DNS ",IFERROR(VLOOKUP($F14,Arrangörslista!D$143:$AG$180,16,FALSE), "DNS")))), IF(Deltagarlista!$K$3=1,IF(ISBLANK(Deltagarlista!$C59),"",IF(ISBLANK(Arrangörslista!D$143),"",IFERROR(VLOOKUP($F14,Arrangörslista!D$143:$AG$180,16,FALSE), "DNS"))),""))</f>
        <v/>
      </c>
      <c r="BE14" s="5" t="str">
        <f>IF(Deltagarlista!$K$3=2,
IF(ISBLANK(Deltagarlista!$C59),"",IF(ISBLANK(Arrangörslista!E$143),"",IF($GV14=BE$64," DNS ",IFERROR(VLOOKUP($F14,Arrangörslista!E$143:$AG$180,16,FALSE), "DNS")))), IF(Deltagarlista!$K$3=1,IF(ISBLANK(Deltagarlista!$C59),"",IF(ISBLANK(Arrangörslista!E$143),"",IFERROR(VLOOKUP($F14,Arrangörslista!E$143:$AG$180,16,FALSE), "DNS"))),""))</f>
        <v/>
      </c>
      <c r="BF14" s="5" t="str">
        <f>IF(Deltagarlista!$K$3=2,
IF(ISBLANK(Deltagarlista!$C59),"",IF(ISBLANK(Arrangörslista!F$143),"",IF($GV14=BF$64," DNS ",IFERROR(VLOOKUP($F14,Arrangörslista!F$143:$AG$180,16,FALSE), "DNS")))), IF(Deltagarlista!$K$3=1,IF(ISBLANK(Deltagarlista!$C59),"",IF(ISBLANK(Arrangörslista!F$143),"",IFERROR(VLOOKUP($F14,Arrangörslista!F$143:$AG$180,16,FALSE), "DNS"))),""))</f>
        <v/>
      </c>
      <c r="BG14" s="5" t="str">
        <f>IF(Deltagarlista!$K$3=2,
IF(ISBLANK(Deltagarlista!$C59),"",IF(ISBLANK(Arrangörslista!G$143),"",IF($GV14=BG$64," DNS ",IFERROR(VLOOKUP($F14,Arrangörslista!G$143:$AG$180,16,FALSE), "DNS")))), IF(Deltagarlista!$K$3=1,IF(ISBLANK(Deltagarlista!$C59),"",IF(ISBLANK(Arrangörslista!G$143),"",IFERROR(VLOOKUP($F14,Arrangörslista!G$143:$AG$180,16,FALSE), "DNS"))),""))</f>
        <v/>
      </c>
      <c r="BH14" s="5" t="str">
        <f>IF(Deltagarlista!$K$3=2,
IF(ISBLANK(Deltagarlista!$C59),"",IF(ISBLANK(Arrangörslista!H$143),"",IF($GV14=BH$64," DNS ",IFERROR(VLOOKUP($F14,Arrangörslista!H$143:$AG$180,16,FALSE), "DNS")))), IF(Deltagarlista!$K$3=1,IF(ISBLANK(Deltagarlista!$C59),"",IF(ISBLANK(Arrangörslista!H$143),"",IFERROR(VLOOKUP($F14,Arrangörslista!H$143:$AG$180,16,FALSE), "DNS"))),""))</f>
        <v/>
      </c>
      <c r="BI14" s="5" t="str">
        <f>IF(Deltagarlista!$K$3=2,
IF(ISBLANK(Deltagarlista!$C59),"",IF(ISBLANK(Arrangörslista!I$143),"",IF($GV14=BI$64," DNS ",IFERROR(VLOOKUP($F14,Arrangörslista!I$143:$AG$180,16,FALSE), "DNS")))), IF(Deltagarlista!$K$3=1,IF(ISBLANK(Deltagarlista!$C59),"",IF(ISBLANK(Arrangörslista!I$143),"",IFERROR(VLOOKUP($F14,Arrangörslista!I$143:$AG$180,16,FALSE), "DNS"))),""))</f>
        <v/>
      </c>
      <c r="BJ14" s="5" t="str">
        <f>IF(Deltagarlista!$K$3=2,
IF(ISBLANK(Deltagarlista!$C59),"",IF(ISBLANK(Arrangörslista!J$143),"",IF($GV14=BJ$64," DNS ",IFERROR(VLOOKUP($F14,Arrangörslista!J$143:$AG$180,16,FALSE), "DNS")))), IF(Deltagarlista!$K$3=1,IF(ISBLANK(Deltagarlista!$C59),"",IF(ISBLANK(Arrangörslista!J$143),"",IFERROR(VLOOKUP($F14,Arrangörslista!J$143:$AG$180,16,FALSE), "DNS"))),""))</f>
        <v/>
      </c>
      <c r="BK14" s="5" t="str">
        <f>IF(Deltagarlista!$K$3=2,
IF(ISBLANK(Deltagarlista!$C59),"",IF(ISBLANK(Arrangörslista!K$143),"",IF($GV14=BK$64," DNS ",IFERROR(VLOOKUP($F14,Arrangörslista!K$143:$AG$180,16,FALSE), "DNS")))), IF(Deltagarlista!$K$3=1,IF(ISBLANK(Deltagarlista!$C59),"",IF(ISBLANK(Arrangörslista!K$143),"",IFERROR(VLOOKUP($F14,Arrangörslista!K$143:$AG$180,16,FALSE), "DNS"))),""))</f>
        <v/>
      </c>
      <c r="BL14" s="5" t="str">
        <f>IF(Deltagarlista!$K$3=2,
IF(ISBLANK(Deltagarlista!$C59),"",IF(ISBLANK(Arrangörslista!L$143),"",IF($GV14=BL$64," DNS ",IFERROR(VLOOKUP($F14,Arrangörslista!L$143:$AG$180,16,FALSE), "DNS")))), IF(Deltagarlista!$K$3=1,IF(ISBLANK(Deltagarlista!$C59),"",IF(ISBLANK(Arrangörslista!L$143),"",IFERROR(VLOOKUP($F14,Arrangörslista!L$143:$AG$180,16,FALSE), "DNS"))),""))</f>
        <v/>
      </c>
      <c r="BM14" s="5" t="str">
        <f>IF(Deltagarlista!$K$3=2,
IF(ISBLANK(Deltagarlista!$C59),"",IF(ISBLANK(Arrangörslista!M$143),"",IF($GV14=BM$64," DNS ",IFERROR(VLOOKUP($F14,Arrangörslista!M$143:$AG$180,16,FALSE), "DNS")))), IF(Deltagarlista!$K$3=1,IF(ISBLANK(Deltagarlista!$C59),"",IF(ISBLANK(Arrangörslista!M$143),"",IFERROR(VLOOKUP($F14,Arrangörslista!M$143:$AG$180,16,FALSE), "DNS"))),""))</f>
        <v/>
      </c>
      <c r="BN14" s="5" t="str">
        <f>IF(Deltagarlista!$K$3=2,
IF(ISBLANK(Deltagarlista!$C59),"",IF(ISBLANK(Arrangörslista!N$143),"",IF($GV14=BN$64," DNS ",IFERROR(VLOOKUP($F14,Arrangörslista!N$143:$AG$180,16,FALSE), "DNS")))), IF(Deltagarlista!$K$3=1,IF(ISBLANK(Deltagarlista!$C59),"",IF(ISBLANK(Arrangörslista!N$143),"",IFERROR(VLOOKUP($F14,Arrangörslista!N$143:$AG$180,16,FALSE), "DNS"))),""))</f>
        <v/>
      </c>
      <c r="BO14" s="5" t="str">
        <f>IF(Deltagarlista!$K$3=2,
IF(ISBLANK(Deltagarlista!$C59),"",IF(ISBLANK(Arrangörslista!O$143),"",IF($GV14=BO$64," DNS ",IFERROR(VLOOKUP($F14,Arrangörslista!O$143:$AG$180,16,FALSE), "DNS")))), IF(Deltagarlista!$K$3=1,IF(ISBLANK(Deltagarlista!$C59),"",IF(ISBLANK(Arrangörslista!O$143),"",IFERROR(VLOOKUP($F14,Arrangörslista!O$143:$AG$180,16,FALSE), "DNS"))),""))</f>
        <v/>
      </c>
      <c r="BP14" s="5" t="str">
        <f>IF(Deltagarlista!$K$3=2,
IF(ISBLANK(Deltagarlista!$C59),"",IF(ISBLANK(Arrangörslista!P$143),"",IF($GV14=BP$64," DNS ",IFERROR(VLOOKUP($F14,Arrangörslista!P$143:$AG$180,16,FALSE), "DNS")))), IF(Deltagarlista!$K$3=1,IF(ISBLANK(Deltagarlista!$C59),"",IF(ISBLANK(Arrangörslista!P$143),"",IFERROR(VLOOKUP($F14,Arrangörslista!P$143:$AG$180,16,FALSE), "DNS"))),""))</f>
        <v/>
      </c>
      <c r="BQ14" s="80" t="str">
        <f>IF(Deltagarlista!$K$3=2,
IF(ISBLANK(Deltagarlista!$C59),"",IF(ISBLANK(Arrangörslista!Q$143),"",IF($GV14=BQ$64," DNS ",IFERROR(VLOOKUP($F14,Arrangörslista!Q$143:$AG$180,16,FALSE), "DNS")))), IF(Deltagarlista!$K$3=1,IF(ISBLANK(Deltagarlista!$C59),"",IF(ISBLANK(Arrangörslista!Q$143),"",IFERROR(VLOOKUP($F14,Arrangörslista!Q$143:$AG$180,16,FALSE), "DNS"))),""))</f>
        <v/>
      </c>
      <c r="BR14" s="48"/>
      <c r="BS14" s="50" t="str">
        <f t="shared" si="0"/>
        <v>2</v>
      </c>
      <c r="BU14" s="71">
        <f t="shared" si="1"/>
        <v>0</v>
      </c>
      <c r="BV14" s="61">
        <f t="shared" si="2"/>
        <v>0</v>
      </c>
      <c r="BW14" s="61">
        <f t="shared" si="3"/>
        <v>0</v>
      </c>
      <c r="BX14" s="61">
        <f t="shared" si="4"/>
        <v>0</v>
      </c>
      <c r="BY14" s="61">
        <f t="shared" si="5"/>
        <v>0</v>
      </c>
      <c r="BZ14" s="61">
        <f t="shared" si="6"/>
        <v>0</v>
      </c>
      <c r="CA14" s="61">
        <f t="shared" si="7"/>
        <v>0</v>
      </c>
      <c r="CB14" s="61">
        <f t="shared" si="8"/>
        <v>0</v>
      </c>
      <c r="CC14" s="61">
        <f t="shared" si="9"/>
        <v>0</v>
      </c>
      <c r="CD14" s="61">
        <f t="shared" si="10"/>
        <v>0</v>
      </c>
      <c r="CE14" s="61">
        <f t="shared" si="11"/>
        <v>0</v>
      </c>
      <c r="CF14" s="61">
        <f t="shared" si="12"/>
        <v>0</v>
      </c>
      <c r="CG14" s="61">
        <f t="shared" si="13"/>
        <v>0</v>
      </c>
      <c r="CH14" s="61">
        <f t="shared" si="14"/>
        <v>0</v>
      </c>
      <c r="CI14" s="61">
        <f t="shared" si="15"/>
        <v>0</v>
      </c>
      <c r="CJ14" s="61">
        <f t="shared" si="16"/>
        <v>0</v>
      </c>
      <c r="CK14" s="61">
        <f t="shared" si="17"/>
        <v>0</v>
      </c>
      <c r="CL14" s="61">
        <f t="shared" si="18"/>
        <v>0</v>
      </c>
      <c r="CM14" s="61">
        <f t="shared" si="19"/>
        <v>0</v>
      </c>
      <c r="CN14" s="61">
        <f t="shared" si="20"/>
        <v>0</v>
      </c>
      <c r="CO14" s="61">
        <f t="shared" si="21"/>
        <v>0</v>
      </c>
      <c r="CP14" s="61">
        <f t="shared" si="22"/>
        <v>0</v>
      </c>
      <c r="CQ14" s="61">
        <f t="shared" si="23"/>
        <v>0</v>
      </c>
      <c r="CR14" s="61">
        <f t="shared" si="24"/>
        <v>0</v>
      </c>
      <c r="CS14" s="61">
        <f t="shared" si="25"/>
        <v>0</v>
      </c>
      <c r="CT14" s="61">
        <f t="shared" si="26"/>
        <v>0</v>
      </c>
      <c r="CU14" s="61">
        <f t="shared" si="27"/>
        <v>0</v>
      </c>
      <c r="CV14" s="61">
        <f t="shared" si="28"/>
        <v>0</v>
      </c>
      <c r="CW14" s="61">
        <f t="shared" si="29"/>
        <v>0</v>
      </c>
      <c r="CX14" s="61">
        <f t="shared" si="30"/>
        <v>0</v>
      </c>
      <c r="CY14" s="61">
        <f t="shared" si="31"/>
        <v>0</v>
      </c>
      <c r="CZ14" s="61">
        <f t="shared" si="32"/>
        <v>0</v>
      </c>
      <c r="DA14" s="61">
        <f t="shared" si="33"/>
        <v>0</v>
      </c>
      <c r="DB14" s="61">
        <f t="shared" si="34"/>
        <v>0</v>
      </c>
      <c r="DC14" s="61">
        <f t="shared" si="35"/>
        <v>0</v>
      </c>
      <c r="DD14" s="61">
        <f t="shared" si="36"/>
        <v>0</v>
      </c>
      <c r="DE14" s="61">
        <f t="shared" si="37"/>
        <v>0</v>
      </c>
      <c r="DF14" s="61">
        <f t="shared" si="38"/>
        <v>0</v>
      </c>
      <c r="DG14" s="61">
        <f t="shared" si="39"/>
        <v>0</v>
      </c>
      <c r="DH14" s="61">
        <f t="shared" si="40"/>
        <v>0</v>
      </c>
      <c r="DI14" s="61">
        <f t="shared" si="41"/>
        <v>0</v>
      </c>
      <c r="DJ14" s="61">
        <f t="shared" si="42"/>
        <v>0</v>
      </c>
      <c r="DK14" s="61">
        <f t="shared" si="43"/>
        <v>0</v>
      </c>
      <c r="DL14" s="61">
        <f t="shared" si="44"/>
        <v>0</v>
      </c>
      <c r="DM14" s="61">
        <f t="shared" si="45"/>
        <v>0</v>
      </c>
      <c r="DN14" s="61">
        <f t="shared" si="46"/>
        <v>0</v>
      </c>
      <c r="DO14" s="61">
        <f t="shared" si="47"/>
        <v>0</v>
      </c>
      <c r="DP14" s="61">
        <f t="shared" si="48"/>
        <v>0</v>
      </c>
      <c r="DQ14" s="61">
        <f t="shared" si="49"/>
        <v>0</v>
      </c>
      <c r="DR14" s="61">
        <f t="shared" si="50"/>
        <v>0</v>
      </c>
      <c r="DS14" s="61">
        <f t="shared" si="51"/>
        <v>0</v>
      </c>
      <c r="DT14" s="61">
        <f t="shared" si="52"/>
        <v>0</v>
      </c>
      <c r="DU14" s="61">
        <f t="shared" si="53"/>
        <v>0</v>
      </c>
      <c r="DV14" s="61">
        <f t="shared" si="54"/>
        <v>0</v>
      </c>
      <c r="DW14" s="61">
        <f t="shared" si="55"/>
        <v>0</v>
      </c>
      <c r="DX14" s="61">
        <f t="shared" si="56"/>
        <v>0</v>
      </c>
      <c r="DY14" s="61">
        <f t="shared" si="57"/>
        <v>0</v>
      </c>
      <c r="DZ14" s="61">
        <f t="shared" si="58"/>
        <v>0</v>
      </c>
      <c r="EA14" s="61">
        <f t="shared" si="59"/>
        <v>0</v>
      </c>
      <c r="EB14" s="61">
        <f t="shared" si="60"/>
        <v>0</v>
      </c>
      <c r="EC14" s="61">
        <f t="shared" si="61"/>
        <v>0</v>
      </c>
      <c r="EE14" s="61">
        <f xml:space="preserve">
IF(OR(Deltagarlista!$K$3=3,Deltagarlista!$K$3=4),
IF(Arrangörslista!$U$5&lt;8,0,
IF(Arrangörslista!$U$5&lt;16,SUM(LARGE(BV14:CJ14,1)),
IF(Arrangörslista!$U$5&lt;24,SUM(LARGE(BV14:CR14,{1;2})),
IF(Arrangörslista!$U$5&lt;32,SUM(LARGE(BV14:CZ14,{1;2;3})),
IF(Arrangörslista!$U$5&lt;40,SUM(LARGE(BV14:DH14,{1;2;3;4})),
IF(Arrangörslista!$U$5&lt;48,SUM(LARGE(BV14:DP14,{1;2;3;4;5})),
IF(Arrangörslista!$U$5&lt;56,SUM(LARGE(BV14:DX14,{1;2;3;4;5;6})),
IF(Arrangörslista!$U$5&lt;64,SUM(LARGE(BV14:EC14,{1;2;3;4;5;6;7})),0)))))))),
IF(Deltagarlista!$K$3=2,
IF(Arrangörslista!$U$5&lt;4,LARGE(BV14:BX14,1),
IF(Arrangörslista!$U$5&lt;7,SUM(LARGE(BV14:CA14,{1;2;3})),
IF(Arrangörslista!$U$5&lt;10,SUM(LARGE(BV14:CD14,{1;2;3;4})),
IF(Arrangörslista!$U$5&lt;13,SUM(LARGE(BV14:CG14,{1;2;3;4;5;6})),
IF(Arrangörslista!$U$5&lt;16,SUM(LARGE(BV14:CJ14,{1;2;3;4;5;6;7})),
IF(Arrangörslista!$U$5&lt;19,SUM(LARGE(BV14:CM14,{1;2;3;4;5;6;7;8;9})),
IF(Arrangörslista!$U$5&lt;22,SUM(LARGE(BV14:CP14,{1;2;3;4;5;6;7;8;9;10})),
IF(Arrangörslista!$U$5&lt;25,SUM(LARGE(BV14:CS14,{1;2;3;4;5;6;7;8;9;10;11;12})),
IF(Arrangörslista!$U$5&lt;28,SUM(LARGE(BV14:CV14,{1;2;3;4;5;6;7;8;9;10;11;12;13})),
IF(Arrangörslista!$U$5&lt;31,SUM(LARGE(BV14:CY14,{1;2;3;4;5;6;7;8;9;10;11;12;13;14;15})),
IF(Arrangörslista!$U$5&lt;34,SUM(LARGE(BV14:DB14,{1;2;3;4;5;6;7;8;9;10;11;12;13;14;15;16})),
IF(Arrangörslista!$U$5&lt;37,SUM(LARGE(BV14:DE14,{1;2;3;4;5;6;7;8;9;10;11;12;13;14;15;16;17;18})),
IF(Arrangörslista!$U$5&lt;40,SUM(LARGE(BV14:DH14,{1;2;3;4;5;6;7;8;9;10;11;12;13;14;15;16;17;18;19})),
IF(Arrangörslista!$U$5&lt;43,SUM(LARGE(BV14:DK14,{1;2;3;4;5;6;7;8;9;10;11;12;13;14;15;16;17;18;19;20;21})),
IF(Arrangörslista!$U$5&lt;46,SUM(LARGE(BV14:DN14,{1;2;3;4;5;6;7;8;9;10;11;12;13;14;15;16;17;18;19;20;21;22})),
IF(Arrangörslista!$U$5&lt;49,SUM(LARGE(BV14:DQ14,{1;2;3;4;5;6;7;8;9;10;11;12;13;14;15;16;17;18;19;20;21;22;23;24})),
IF(Arrangörslista!$U$5&lt;52,SUM(LARGE(BV14:DT14,{1;2;3;4;5;6;7;8;9;10;11;12;13;14;15;16;17;18;19;20;21;22;23;24;25})),
IF(Arrangörslista!$U$5&lt;55,SUM(LARGE(BV14:DW14,{1;2;3;4;5;6;7;8;9;10;11;12;13;14;15;16;17;18;19;20;21;22;23;24;25;26;27})),
IF(Arrangörslista!$U$5&lt;58,SUM(LARGE(BV14:DZ14,{1;2;3;4;5;6;7;8;9;10;11;12;13;14;15;16;17;18;19;20;21;22;23;24;25;26;27;28})),
IF(Arrangörslista!$U$5&lt;61,SUM(LARGE(BV14:EC14,{1;2;3;4;5;6;7;8;9;10;11;12;13;14;15;16;17;18;19;20;21;22;23;24;25;26;27;28;29;30})),0)))))))))))))))))))),
IF(Arrangörslista!$U$5&lt;4,0,
IF(Arrangörslista!$U$5&lt;8,SUM(LARGE(BV14:CB14,1)),
IF(Arrangörslista!$U$5&lt;12,SUM(LARGE(BV14:CF14,{1;2})),
IF(Arrangörslista!$U$5&lt;16,SUM(LARGE(BV14:CJ14,{1;2;3})),
IF(Arrangörslista!$U$5&lt;20,SUM(LARGE(BV14:CN14,{1;2;3;4})),
IF(Arrangörslista!$U$5&lt;24,SUM(LARGE(BV14:CR14,{1;2;3;4;5})),
IF(Arrangörslista!$U$5&lt;28,SUM(LARGE(BV14:CV14,{1;2;3;4;5;6})),
IF(Arrangörslista!$U$5&lt;32,SUM(LARGE(BV14:CZ14,{1;2;3;4;5;6;7})),
IF(Arrangörslista!$U$5&lt;36,SUM(LARGE(BV14:DD14,{1;2;3;4;5;6;7;8})),
IF(Arrangörslista!$U$5&lt;40,SUM(LARGE(BV14:DH14,{1;2;3;4;5;6;7;8;9})),
IF(Arrangörslista!$U$5&lt;44,SUM(LARGE(BV14:DL14,{1;2;3;4;5;6;7;8;9;10})),
IF(Arrangörslista!$U$5&lt;48,SUM(LARGE(BV14:DP14,{1;2;3;4;5;6;7;8;9;10;11})),
IF(Arrangörslista!$U$5&lt;52,SUM(LARGE(BV14:DT14,{1;2;3;4;5;6;7;8;9;10;11;12})),
IF(Arrangörslista!$U$5&lt;56,SUM(LARGE(BV14:DX14,{1;2;3;4;5;6;7;8;9;10;11;12;13})),
IF(Arrangörslista!$U$5&lt;60,SUM(LARGE(BV14:EB14,{1;2;3;4;5;6;7;8;9;10;11;12;13;14})),
IF(Arrangörslista!$U$5=60,SUM(LARGE(BV14:EC14,{1;2;3;4;5;6;7;8;9;10;11;12;13;14;15})),0))))))))))))))))))</f>
        <v>0</v>
      </c>
      <c r="EG14" s="67">
        <f t="shared" si="62"/>
        <v>0</v>
      </c>
      <c r="EH14" s="61"/>
      <c r="EI14" s="61"/>
      <c r="EK14" s="62">
        <f t="shared" si="63"/>
        <v>61</v>
      </c>
      <c r="EL14" s="62">
        <f t="shared" si="64"/>
        <v>61</v>
      </c>
      <c r="EM14" s="62">
        <f t="shared" si="65"/>
        <v>61</v>
      </c>
      <c r="EN14" s="62">
        <f t="shared" si="66"/>
        <v>61</v>
      </c>
      <c r="EO14" s="62">
        <f t="shared" si="67"/>
        <v>61</v>
      </c>
      <c r="EP14" s="62">
        <f t="shared" si="68"/>
        <v>61</v>
      </c>
      <c r="EQ14" s="62">
        <f t="shared" si="69"/>
        <v>61</v>
      </c>
      <c r="ER14" s="62">
        <f t="shared" si="70"/>
        <v>61</v>
      </c>
      <c r="ES14" s="62">
        <f t="shared" si="71"/>
        <v>61</v>
      </c>
      <c r="ET14" s="62">
        <f t="shared" si="72"/>
        <v>61</v>
      </c>
      <c r="EU14" s="62">
        <f t="shared" si="73"/>
        <v>61</v>
      </c>
      <c r="EV14" s="62">
        <f t="shared" si="74"/>
        <v>61</v>
      </c>
      <c r="EW14" s="62">
        <f t="shared" si="75"/>
        <v>61</v>
      </c>
      <c r="EX14" s="62">
        <f t="shared" si="76"/>
        <v>61</v>
      </c>
      <c r="EY14" s="62">
        <f t="shared" si="77"/>
        <v>61</v>
      </c>
      <c r="EZ14" s="62">
        <f t="shared" si="78"/>
        <v>61</v>
      </c>
      <c r="FA14" s="62">
        <f t="shared" si="79"/>
        <v>61</v>
      </c>
      <c r="FB14" s="62">
        <f t="shared" si="80"/>
        <v>61</v>
      </c>
      <c r="FC14" s="62">
        <f t="shared" si="81"/>
        <v>61</v>
      </c>
      <c r="FD14" s="62">
        <f t="shared" si="82"/>
        <v>61</v>
      </c>
      <c r="FE14" s="62">
        <f t="shared" si="83"/>
        <v>61</v>
      </c>
      <c r="FF14" s="62">
        <f t="shared" si="84"/>
        <v>61</v>
      </c>
      <c r="FG14" s="62">
        <f t="shared" si="85"/>
        <v>61</v>
      </c>
      <c r="FH14" s="62">
        <f t="shared" si="86"/>
        <v>61</v>
      </c>
      <c r="FI14" s="62">
        <f t="shared" si="87"/>
        <v>61</v>
      </c>
      <c r="FJ14" s="62">
        <f t="shared" si="88"/>
        <v>61</v>
      </c>
      <c r="FK14" s="62">
        <f t="shared" si="89"/>
        <v>61</v>
      </c>
      <c r="FL14" s="62">
        <f t="shared" si="90"/>
        <v>61</v>
      </c>
      <c r="FM14" s="62">
        <f t="shared" si="91"/>
        <v>61</v>
      </c>
      <c r="FN14" s="62">
        <f t="shared" si="92"/>
        <v>61</v>
      </c>
      <c r="FO14" s="62">
        <f t="shared" si="93"/>
        <v>61</v>
      </c>
      <c r="FP14" s="62">
        <f t="shared" si="94"/>
        <v>61</v>
      </c>
      <c r="FQ14" s="62">
        <f t="shared" si="95"/>
        <v>61</v>
      </c>
      <c r="FR14" s="62">
        <f t="shared" si="96"/>
        <v>61</v>
      </c>
      <c r="FS14" s="62">
        <f t="shared" si="97"/>
        <v>61</v>
      </c>
      <c r="FT14" s="62">
        <f t="shared" si="98"/>
        <v>61</v>
      </c>
      <c r="FU14" s="62">
        <f t="shared" si="99"/>
        <v>61</v>
      </c>
      <c r="FV14" s="62">
        <f t="shared" si="100"/>
        <v>61</v>
      </c>
      <c r="FW14" s="62">
        <f t="shared" si="101"/>
        <v>61</v>
      </c>
      <c r="FX14" s="62">
        <f t="shared" si="102"/>
        <v>61</v>
      </c>
      <c r="FY14" s="62">
        <f t="shared" si="103"/>
        <v>61</v>
      </c>
      <c r="FZ14" s="62">
        <f t="shared" si="104"/>
        <v>61</v>
      </c>
      <c r="GA14" s="62">
        <f t="shared" si="105"/>
        <v>61</v>
      </c>
      <c r="GB14" s="62">
        <f t="shared" si="106"/>
        <v>61</v>
      </c>
      <c r="GC14" s="62">
        <f t="shared" si="107"/>
        <v>61</v>
      </c>
      <c r="GD14" s="62">
        <f t="shared" si="108"/>
        <v>61</v>
      </c>
      <c r="GE14" s="62">
        <f t="shared" si="109"/>
        <v>61</v>
      </c>
      <c r="GF14" s="62">
        <f t="shared" si="110"/>
        <v>61</v>
      </c>
      <c r="GG14" s="62">
        <f t="shared" si="111"/>
        <v>61</v>
      </c>
      <c r="GH14" s="62">
        <f t="shared" si="112"/>
        <v>61</v>
      </c>
      <c r="GI14" s="62">
        <f t="shared" si="113"/>
        <v>61</v>
      </c>
      <c r="GJ14" s="62">
        <f t="shared" si="114"/>
        <v>61</v>
      </c>
      <c r="GK14" s="62">
        <f t="shared" si="115"/>
        <v>61</v>
      </c>
      <c r="GL14" s="62">
        <f t="shared" si="116"/>
        <v>61</v>
      </c>
      <c r="GM14" s="62">
        <f t="shared" si="117"/>
        <v>61</v>
      </c>
      <c r="GN14" s="62">
        <f t="shared" si="118"/>
        <v>61</v>
      </c>
      <c r="GO14" s="62">
        <f t="shared" si="119"/>
        <v>61</v>
      </c>
      <c r="GP14" s="62">
        <f t="shared" si="120"/>
        <v>61</v>
      </c>
      <c r="GQ14" s="62">
        <f t="shared" si="121"/>
        <v>61</v>
      </c>
      <c r="GR14" s="62">
        <f t="shared" si="122"/>
        <v>61</v>
      </c>
      <c r="GT14" s="62">
        <f>IF(Deltagarlista!$K$3=2,
IF(GW14="1",
      IF(Arrangörslista!$U$5=1,J77,
IF(Arrangörslista!$U$5=2,K77,
IF(Arrangörslista!$U$5=3,L77,
IF(Arrangörslista!$U$5=4,M77,
IF(Arrangörslista!$U$5=5,N77,
IF(Arrangörslista!$U$5=6,O77,
IF(Arrangörslista!$U$5=7,P77,
IF(Arrangörslista!$U$5=8,Q77,
IF(Arrangörslista!$U$5=9,R77,
IF(Arrangörslista!$U$5=10,S77,
IF(Arrangörslista!$U$5=11,T77,
IF(Arrangörslista!$U$5=12,U77,
IF(Arrangörslista!$U$5=13,V77,
IF(Arrangörslista!$U$5=14,W77,
IF(Arrangörslista!$U$5=15,X77,
IF(Arrangörslista!$U$5=16,Y77,IF(Arrangörslista!$U$5=17,Z77,IF(Arrangörslista!$U$5=18,AA77,IF(Arrangörslista!$U$5=19,AB77,IF(Arrangörslista!$U$5=20,AC77,IF(Arrangörslista!$U$5=21,AD77,IF(Arrangörslista!$U$5=22,AE77,IF(Arrangörslista!$U$5=23,AF77, IF(Arrangörslista!$U$5=24,AG77, IF(Arrangörslista!$U$5=25,AH77, IF(Arrangörslista!$U$5=26,AI77, IF(Arrangörslista!$U$5=27,AJ77, IF(Arrangörslista!$U$5=28,AK77, IF(Arrangörslista!$U$5=29,AL77, IF(Arrangörslista!$U$5=30,AM77, IF(Arrangörslista!$U$5=31,AN77, IF(Arrangörslista!$U$5=32,AO77, IF(Arrangörslista!$U$5=33,AP77, IF(Arrangörslista!$U$5=34,AQ77, IF(Arrangörslista!$U$5=35,AR77, IF(Arrangörslista!$U$5=36,AS77, IF(Arrangörslista!$U$5=37,AT77, IF(Arrangörslista!$U$5=38,AU77, IF(Arrangörslista!$U$5=39,AV77, IF(Arrangörslista!$U$5=40,AW77, IF(Arrangörslista!$U$5=41,AX77, IF(Arrangörslista!$U$5=42,AY77, IF(Arrangörslista!$U$5=43,AZ77, IF(Arrangörslista!$U$5=44,BA77, IF(Arrangörslista!$U$5=45,BB77, IF(Arrangörslista!$U$5=46,BC77, IF(Arrangörslista!$U$5=47,BD77, IF(Arrangörslista!$U$5=48,BE77, IF(Arrangörslista!$U$5=49,BF77, IF(Arrangörslista!$U$5=50,BG77, IF(Arrangörslista!$U$5=51,BH77, IF(Arrangörslista!$U$5=52,BI77, IF(Arrangörslista!$U$5=53,BJ77, IF(Arrangörslista!$U$5=54,BK77, IF(Arrangörslista!$U$5=55,BL77, IF(Arrangörslista!$U$5=56,BM77, IF(Arrangörslista!$U$5=57,BN77, IF(Arrangörslista!$U$5=58,BO77, IF(Arrangörslista!$U$5=59,BP77, IF(Arrangörslista!$U$5=60,BQ77,0))))))))))))))))))))))))))))))))))))))))))))))))))))))))))))),IF(Deltagarlista!$K$3=4, IF(Arrangörslista!$U$5=1,J77,
IF(Arrangörslista!$U$5=2,J77,
IF(Arrangörslista!$U$5=3,K77,
IF(Arrangörslista!$U$5=4,K77,
IF(Arrangörslista!$U$5=5,L77,
IF(Arrangörslista!$U$5=6,L77,
IF(Arrangörslista!$U$5=7,M77,
IF(Arrangörslista!$U$5=8,M77,
IF(Arrangörslista!$U$5=9,N77,
IF(Arrangörslista!$U$5=10,N77,
IF(Arrangörslista!$U$5=11,O77,
IF(Arrangörslista!$U$5=12,O77,
IF(Arrangörslista!$U$5=13,P77,
IF(Arrangörslista!$U$5=14,P77,
IF(Arrangörslista!$U$5=15,Q77,
IF(Arrangörslista!$U$5=16,Q77,
IF(Arrangörslista!$U$5=17,R77,
IF(Arrangörslista!$U$5=18,R77,
IF(Arrangörslista!$U$5=19,S77,
IF(Arrangörslista!$U$5=20,S77,
IF(Arrangörslista!$U$5=21,T77,
IF(Arrangörslista!$U$5=22,T77,IF(Arrangörslista!$U$5=23,U77, IF(Arrangörslista!$U$5=24,U77, IF(Arrangörslista!$U$5=25,V77, IF(Arrangörslista!$U$5=26,V77, IF(Arrangörslista!$U$5=27,W77, IF(Arrangörslista!$U$5=28,W77, IF(Arrangörslista!$U$5=29,X77, IF(Arrangörslista!$U$5=30,X77, IF(Arrangörslista!$U$5=31,X77, IF(Arrangörslista!$U$5=32,Y77, IF(Arrangörslista!$U$5=33,AO77, IF(Arrangörslista!$U$5=34,Y77, IF(Arrangörslista!$U$5=35,Z77, IF(Arrangörslista!$U$5=36,AR77, IF(Arrangörslista!$U$5=37,Z77, IF(Arrangörslista!$U$5=38,AA77, IF(Arrangörslista!$U$5=39,AU77, IF(Arrangörslista!$U$5=40,AA77, IF(Arrangörslista!$U$5=41,AB77, IF(Arrangörslista!$U$5=42,AX77, IF(Arrangörslista!$U$5=43,AB77, IF(Arrangörslista!$U$5=44,AC77, IF(Arrangörslista!$U$5=45,BA77, IF(Arrangörslista!$U$5=46,AC77, IF(Arrangörslista!$U$5=47,AD77, IF(Arrangörslista!$U$5=48,BD77, IF(Arrangörslista!$U$5=49,AD77, IF(Arrangörslista!$U$5=50,AE77, IF(Arrangörslista!$U$5=51,BG77, IF(Arrangörslista!$U$5=52,AE77, IF(Arrangörslista!$U$5=53,AF77, IF(Arrangörslista!$U$5=54,BJ77, IF(Arrangörslista!$U$5=55,AF77, IF(Arrangörslista!$U$5=56,AG77, IF(Arrangörslista!$U$5=57,BM77, IF(Arrangörslista!$U$5=58,AG77, IF(Arrangörslista!$U$5=59,AH77, IF(Arrangörslista!$U$5=60,AH77,0)))))))))))))))))))))))))))))))))))))))))))))))))))))))))))),IF(Arrangörslista!$U$5=1,J77,
IF(Arrangörslista!$U$5=2,K77,
IF(Arrangörslista!$U$5=3,L77,
IF(Arrangörslista!$U$5=4,M77,
IF(Arrangörslista!$U$5=5,N77,
IF(Arrangörslista!$U$5=6,O77,
IF(Arrangörslista!$U$5=7,P77,
IF(Arrangörslista!$U$5=8,Q77,
IF(Arrangörslista!$U$5=9,R77,
IF(Arrangörslista!$U$5=10,S77,
IF(Arrangörslista!$U$5=11,T77,
IF(Arrangörslista!$U$5=12,U77,
IF(Arrangörslista!$U$5=13,V77,
IF(Arrangörslista!$U$5=14,W77,
IF(Arrangörslista!$U$5=15,X77,
IF(Arrangörslista!$U$5=16,Y77,IF(Arrangörslista!$U$5=17,Z77,IF(Arrangörslista!$U$5=18,AA77,IF(Arrangörslista!$U$5=19,AB77,IF(Arrangörslista!$U$5=20,AC77,IF(Arrangörslista!$U$5=21,AD77,IF(Arrangörslista!$U$5=22,AE77,IF(Arrangörslista!$U$5=23,AF77, IF(Arrangörslista!$U$5=24,AG77, IF(Arrangörslista!$U$5=25,AH77, IF(Arrangörslista!$U$5=26,AI77, IF(Arrangörslista!$U$5=27,AJ77, IF(Arrangörslista!$U$5=28,AK77, IF(Arrangörslista!$U$5=29,AL77, IF(Arrangörslista!$U$5=30,AM77, IF(Arrangörslista!$U$5=31,AN77, IF(Arrangörslista!$U$5=32,AO77, IF(Arrangörslista!$U$5=33,AP77, IF(Arrangörslista!$U$5=34,AQ77, IF(Arrangörslista!$U$5=35,AR77, IF(Arrangörslista!$U$5=36,AS77, IF(Arrangörslista!$U$5=37,AT77, IF(Arrangörslista!$U$5=38,AU77, IF(Arrangörslista!$U$5=39,AV77, IF(Arrangörslista!$U$5=40,AW77, IF(Arrangörslista!$U$5=41,AX77, IF(Arrangörslista!$U$5=42,AY77, IF(Arrangörslista!$U$5=43,AZ77, IF(Arrangörslista!$U$5=44,BA77, IF(Arrangörslista!$U$5=45,BB77, IF(Arrangörslista!$U$5=46,BC77, IF(Arrangörslista!$U$5=47,BD77, IF(Arrangörslista!$U$5=48,BE77, IF(Arrangörslista!$U$5=49,BF77, IF(Arrangörslista!$U$5=50,BG77, IF(Arrangörslista!$U$5=51,BH77, IF(Arrangörslista!$U$5=52,BI77, IF(Arrangörslista!$U$5=53,BJ77, IF(Arrangörslista!$U$5=54,BK77, IF(Arrangörslista!$U$5=55,BL77, IF(Arrangörslista!$U$5=56,BM77, IF(Arrangörslista!$U$5=57,BN77, IF(Arrangörslista!$U$5=58,BO77, IF(Arrangörslista!$U$5=59,BP77, IF(Arrangörslista!$U$5=60,BQ77,0))))))))))))))))))))))))))))))))))))))))))))))))))))))))))))
))</f>
        <v>0</v>
      </c>
      <c r="GV14" s="65" t="str">
        <f>IFERROR(IF(VLOOKUP(F14,Deltagarlista!$E$5:$I$64,5,FALSE)="Grön","Gr",IF(VLOOKUP(F14,Deltagarlista!$E$5:$I$64,5,FALSE)="Röd","R",IF(VLOOKUP(F14,Deltagarlista!$E$5:$I$64,5,FALSE)="Blå","B","Gu"))),"")</f>
        <v/>
      </c>
      <c r="GW14" s="62" t="str">
        <f t="shared" si="124"/>
        <v/>
      </c>
    </row>
    <row r="15" spans="1:206" x14ac:dyDescent="0.3">
      <c r="B15" s="23" t="str">
        <f>IF((COUNTIF(Deltagarlista!$H$5:$H$64,"GM"))&gt;11,12,"")</f>
        <v/>
      </c>
      <c r="C15" s="92" t="str">
        <f>IF(ISBLANK(Deltagarlista!C62),"",Deltagarlista!C62)</f>
        <v/>
      </c>
      <c r="D15" s="109" t="str">
        <f>CONCATENATE(IF(Deltagarlista!H62="GM","GM   ",""), IF(OR(Deltagarlista!$K$3=4,Deltagarlista!$K$3=2),Deltagarlista!I62,""))</f>
        <v/>
      </c>
      <c r="E15" s="8" t="str">
        <f>IF(ISBLANK(Deltagarlista!D62),"",Deltagarlista!D62)</f>
        <v/>
      </c>
      <c r="F15" s="8" t="str">
        <f>IF(ISBLANK(Deltagarlista!E62),"",Deltagarlista!E62)</f>
        <v/>
      </c>
      <c r="G15" s="95" t="str">
        <f>IF(ISBLANK(Deltagarlista!F62),"",Deltagarlista!F62)</f>
        <v/>
      </c>
      <c r="H15" s="72" t="str">
        <f>IF(ISBLANK(Deltagarlista!C62),"",BU15-EE15)</f>
        <v/>
      </c>
      <c r="I15" s="13" t="str">
        <f>IF(ISBLANK(Deltagarlista!C62),"",IF(AND(Deltagarlista!$K$3=2,Deltagarlista!$L$3&lt;37),SUM(SUM(BV15:EC15)-(ROUNDDOWN(Arrangörslista!$U$5/3,1))*($BW$3+1)),SUM(BV15:EC15)))</f>
        <v/>
      </c>
      <c r="J15" s="79" t="str">
        <f>IF(Deltagarlista!$K$3=4,IF(ISBLANK(Deltagarlista!$C62),"",IF(ISBLANK(Arrangörslista!C$8),"",IFERROR(VLOOKUP($F15,Arrangörslista!C$8:$AG$45,16,FALSE),IF(ISBLANK(Deltagarlista!$C62),"",IF(ISBLANK(Arrangörslista!C$8),"",IFERROR(VLOOKUP($F15,Arrangörslista!D$8:$AG$45,16,FALSE),"DNS")))))),IF(Deltagarlista!$K$3=2,
IF(ISBLANK(Deltagarlista!$C62),"",IF(ISBLANK(Arrangörslista!C$8),"",IF($GV15=J$64," DNS ",IFERROR(VLOOKUP($F15,Arrangörslista!C$8:$AG$45,16,FALSE),"DNS")))),IF(ISBLANK(Deltagarlista!$C62),"",IF(ISBLANK(Arrangörslista!C$8),"",IFERROR(VLOOKUP($F15,Arrangörslista!C$8:$AG$45,16,FALSE),"DNS")))))</f>
        <v/>
      </c>
      <c r="K15" s="5" t="str">
        <f>IF(Deltagarlista!$K$3=4,IF(ISBLANK(Deltagarlista!$C62),"",IF(ISBLANK(Arrangörslista!E$8),"",IFERROR(VLOOKUP($F15,Arrangörslista!E$8:$AG$45,16,FALSE),IF(ISBLANK(Deltagarlista!$C62),"",IF(ISBLANK(Arrangörslista!E$8),"",IFERROR(VLOOKUP($F15,Arrangörslista!F$8:$AG$45,16,FALSE),"DNS")))))),IF(Deltagarlista!$K$3=2,
IF(ISBLANK(Deltagarlista!$C62),"",IF(ISBLANK(Arrangörslista!D$8),"",IF($GV15=K$64," DNS ",IFERROR(VLOOKUP($F15,Arrangörslista!D$8:$AG$45,16,FALSE),"DNS")))),IF(ISBLANK(Deltagarlista!$C62),"",IF(ISBLANK(Arrangörslista!D$8),"",IFERROR(VLOOKUP($F15,Arrangörslista!D$8:$AG$45,16,FALSE),"DNS")))))</f>
        <v/>
      </c>
      <c r="L15" s="5" t="str">
        <f>IF(Deltagarlista!$K$3=4,IF(ISBLANK(Deltagarlista!$C62),"",IF(ISBLANK(Arrangörslista!G$8),"",IFERROR(VLOOKUP($F15,Arrangörslista!G$8:$AG$45,16,FALSE),IF(ISBLANK(Deltagarlista!$C62),"",IF(ISBLANK(Arrangörslista!G$8),"",IFERROR(VLOOKUP($F15,Arrangörslista!H$8:$AG$45,16,FALSE),"DNS")))))),IF(Deltagarlista!$K$3=2,
IF(ISBLANK(Deltagarlista!$C62),"",IF(ISBLANK(Arrangörslista!E$8),"",IF($GV15=L$64," DNS ",IFERROR(VLOOKUP($F15,Arrangörslista!E$8:$AG$45,16,FALSE),"DNS")))),IF(ISBLANK(Deltagarlista!$C62),"",IF(ISBLANK(Arrangörslista!E$8),"",IFERROR(VLOOKUP($F15,Arrangörslista!E$8:$AG$45,16,FALSE),"DNS")))))</f>
        <v/>
      </c>
      <c r="M15" s="5" t="str">
        <f>IF(Deltagarlista!$K$3=4,IF(ISBLANK(Deltagarlista!$C62),"",IF(ISBLANK(Arrangörslista!I$8),"",IFERROR(VLOOKUP($F15,Arrangörslista!I$8:$AG$45,16,FALSE),IF(ISBLANK(Deltagarlista!$C62),"",IF(ISBLANK(Arrangörslista!I$8),"",IFERROR(VLOOKUP($F15,Arrangörslista!J$8:$AG$45,16,FALSE),"DNS")))))),IF(Deltagarlista!$K$3=2,
IF(ISBLANK(Deltagarlista!$C62),"",IF(ISBLANK(Arrangörslista!F$8),"",IF($GV15=M$64," DNS ",IFERROR(VLOOKUP($F15,Arrangörslista!F$8:$AG$45,16,FALSE),"DNS")))),IF(ISBLANK(Deltagarlista!$C62),"",IF(ISBLANK(Arrangörslista!F$8),"",IFERROR(VLOOKUP($F15,Arrangörslista!F$8:$AG$45,16,FALSE),"DNS")))))</f>
        <v/>
      </c>
      <c r="N15" s="5" t="str">
        <f>IF(Deltagarlista!$K$3=4,IF(ISBLANK(Deltagarlista!$C62),"",IF(ISBLANK(Arrangörslista!K$8),"",IFERROR(VLOOKUP($F15,Arrangörslista!K$8:$AG$45,16,FALSE),IF(ISBLANK(Deltagarlista!$C62),"",IF(ISBLANK(Arrangörslista!K$8),"",IFERROR(VLOOKUP($F15,Arrangörslista!L$8:$AG$45,16,FALSE),"DNS")))))),IF(Deltagarlista!$K$3=2,
IF(ISBLANK(Deltagarlista!$C62),"",IF(ISBLANK(Arrangörslista!G$8),"",IF($GV15=N$64," DNS ",IFERROR(VLOOKUP($F15,Arrangörslista!G$8:$AG$45,16,FALSE),"DNS")))),IF(ISBLANK(Deltagarlista!$C62),"",IF(ISBLANK(Arrangörslista!G$8),"",IFERROR(VLOOKUP($F15,Arrangörslista!G$8:$AG$45,16,FALSE),"DNS")))))</f>
        <v/>
      </c>
      <c r="O15" s="5" t="str">
        <f>IF(Deltagarlista!$K$3=4,IF(ISBLANK(Deltagarlista!$C62),"",IF(ISBLANK(Arrangörslista!M$8),"",IFERROR(VLOOKUP($F15,Arrangörslista!M$8:$AG$45,16,FALSE),IF(ISBLANK(Deltagarlista!$C62),"",IF(ISBLANK(Arrangörslista!M$8),"",IFERROR(VLOOKUP($F15,Arrangörslista!N$8:$AG$45,16,FALSE),"DNS")))))),IF(Deltagarlista!$K$3=2,
IF(ISBLANK(Deltagarlista!$C62),"",IF(ISBLANK(Arrangörslista!H$8),"",IF($GV15=O$64," DNS ",IFERROR(VLOOKUP($F15,Arrangörslista!H$8:$AG$45,16,FALSE),"DNS")))),IF(ISBLANK(Deltagarlista!$C62),"",IF(ISBLANK(Arrangörslista!H$8),"",IFERROR(VLOOKUP($F15,Arrangörslista!H$8:$AG$45,16,FALSE),"DNS")))))</f>
        <v/>
      </c>
      <c r="P15" s="5" t="str">
        <f>IF(Deltagarlista!$K$3=4,IF(ISBLANK(Deltagarlista!$C62),"",IF(ISBLANK(Arrangörslista!O$8),"",IFERROR(VLOOKUP($F15,Arrangörslista!O$8:$AG$45,16,FALSE),IF(ISBLANK(Deltagarlista!$C62),"",IF(ISBLANK(Arrangörslista!O$8),"",IFERROR(VLOOKUP($F15,Arrangörslista!P$8:$AG$45,16,FALSE),"DNS")))))),IF(Deltagarlista!$K$3=2,
IF(ISBLANK(Deltagarlista!$C62),"",IF(ISBLANK(Arrangörslista!I$8),"",IF($GV15=P$64," DNS ",IFERROR(VLOOKUP($F15,Arrangörslista!I$8:$AG$45,16,FALSE),"DNS")))),IF(ISBLANK(Deltagarlista!$C62),"",IF(ISBLANK(Arrangörslista!I$8),"",IFERROR(VLOOKUP($F15,Arrangörslista!I$8:$AG$45,16,FALSE),"DNS")))))</f>
        <v/>
      </c>
      <c r="Q15" s="5" t="str">
        <f>IF(Deltagarlista!$K$3=4,IF(ISBLANK(Deltagarlista!$C62),"",IF(ISBLANK(Arrangörslista!Q$8),"",IFERROR(VLOOKUP($F15,Arrangörslista!Q$8:$AG$45,16,FALSE),IF(ISBLANK(Deltagarlista!$C62),"",IF(ISBLANK(Arrangörslista!Q$8),"",IFERROR(VLOOKUP($F15,Arrangörslista!C$53:$AG$90,16,FALSE),"DNS")))))),IF(Deltagarlista!$K$3=2,
IF(ISBLANK(Deltagarlista!$C62),"",IF(ISBLANK(Arrangörslista!J$8),"",IF($GV15=Q$64," DNS ",IFERROR(VLOOKUP($F15,Arrangörslista!J$8:$AG$45,16,FALSE),"DNS")))),IF(ISBLANK(Deltagarlista!$C62),"",IF(ISBLANK(Arrangörslista!J$8),"",IFERROR(VLOOKUP($F15,Arrangörslista!J$8:$AG$45,16,FALSE),"DNS")))))</f>
        <v/>
      </c>
      <c r="R15" s="5" t="str">
        <f>IF(Deltagarlista!$K$3=4,IF(ISBLANK(Deltagarlista!$C62),"",IF(ISBLANK(Arrangörslista!D$53),"",IFERROR(VLOOKUP($F15,Arrangörslista!D$53:$AG$90,16,FALSE),IF(ISBLANK(Deltagarlista!$C62),"",IF(ISBLANK(Arrangörslista!D$53),"",IFERROR(VLOOKUP($F15,Arrangörslista!E$53:$AG$90,16,FALSE),"DNS")))))),IF(Deltagarlista!$K$3=2,
IF(ISBLANK(Deltagarlista!$C62),"",IF(ISBLANK(Arrangörslista!K$8),"",IF($GV15=R$64," DNS ",IFERROR(VLOOKUP($F15,Arrangörslista!K$8:$AG$45,16,FALSE),"DNS")))),IF(ISBLANK(Deltagarlista!$C62),"",IF(ISBLANK(Arrangörslista!K$8),"",IFERROR(VLOOKUP($F15,Arrangörslista!K$8:$AG$45,16,FALSE),"DNS")))))</f>
        <v/>
      </c>
      <c r="S15" s="5" t="str">
        <f>IF(Deltagarlista!$K$3=4,IF(ISBLANK(Deltagarlista!$C62),"",IF(ISBLANK(Arrangörslista!F$53),"",IFERROR(VLOOKUP($F15,Arrangörslista!F$53:$AG$90,16,FALSE),IF(ISBLANK(Deltagarlista!$C62),"",IF(ISBLANK(Arrangörslista!F$53),"",IFERROR(VLOOKUP($F15,Arrangörslista!G$53:$AG$90,16,FALSE),"DNS")))))),IF(Deltagarlista!$K$3=2,
IF(ISBLANK(Deltagarlista!$C62),"",IF(ISBLANK(Arrangörslista!L$8),"",IF($GV15=S$64," DNS ",IFERROR(VLOOKUP($F15,Arrangörslista!L$8:$AG$45,16,FALSE),"DNS")))),IF(ISBLANK(Deltagarlista!$C62),"",IF(ISBLANK(Arrangörslista!L$8),"",IFERROR(VLOOKUP($F15,Arrangörslista!L$8:$AG$45,16,FALSE),"DNS")))))</f>
        <v/>
      </c>
      <c r="T15" s="5" t="str">
        <f>IF(Deltagarlista!$K$3=4,IF(ISBLANK(Deltagarlista!$C62),"",IF(ISBLANK(Arrangörslista!H$53),"",IFERROR(VLOOKUP($F15,Arrangörslista!H$53:$AG$90,16,FALSE),IF(ISBLANK(Deltagarlista!$C62),"",IF(ISBLANK(Arrangörslista!H$53),"",IFERROR(VLOOKUP($F15,Arrangörslista!I$53:$AG$90,16,FALSE),"DNS")))))),IF(Deltagarlista!$K$3=2,
IF(ISBLANK(Deltagarlista!$C62),"",IF(ISBLANK(Arrangörslista!M$8),"",IF($GV15=T$64," DNS ",IFERROR(VLOOKUP($F15,Arrangörslista!M$8:$AG$45,16,FALSE),"DNS")))),IF(ISBLANK(Deltagarlista!$C62),"",IF(ISBLANK(Arrangörslista!M$8),"",IFERROR(VLOOKUP($F15,Arrangörslista!M$8:$AG$45,16,FALSE),"DNS")))))</f>
        <v/>
      </c>
      <c r="U15" s="5" t="str">
        <f>IF(Deltagarlista!$K$3=4,IF(ISBLANK(Deltagarlista!$C62),"",IF(ISBLANK(Arrangörslista!J$53),"",IFERROR(VLOOKUP($F15,Arrangörslista!J$53:$AG$90,16,FALSE),IF(ISBLANK(Deltagarlista!$C62),"",IF(ISBLANK(Arrangörslista!J$53),"",IFERROR(VLOOKUP($F15,Arrangörslista!K$53:$AG$90,16,FALSE),"DNS")))))),IF(Deltagarlista!$K$3=2,
IF(ISBLANK(Deltagarlista!$C62),"",IF(ISBLANK(Arrangörslista!N$8),"",IF($GV15=U$64," DNS ",IFERROR(VLOOKUP($F15,Arrangörslista!N$8:$AG$45,16,FALSE),"DNS")))),IF(ISBLANK(Deltagarlista!$C62),"",IF(ISBLANK(Arrangörslista!N$8),"",IFERROR(VLOOKUP($F15,Arrangörslista!N$8:$AG$45,16,FALSE),"DNS")))))</f>
        <v/>
      </c>
      <c r="V15" s="5" t="str">
        <f>IF(Deltagarlista!$K$3=4,IF(ISBLANK(Deltagarlista!$C62),"",IF(ISBLANK(Arrangörslista!L$53),"",IFERROR(VLOOKUP($F15,Arrangörslista!L$53:$AG$90,16,FALSE),IF(ISBLANK(Deltagarlista!$C62),"",IF(ISBLANK(Arrangörslista!L$53),"",IFERROR(VLOOKUP($F15,Arrangörslista!M$53:$AG$90,16,FALSE),"DNS")))))),IF(Deltagarlista!$K$3=2,
IF(ISBLANK(Deltagarlista!$C62),"",IF(ISBLANK(Arrangörslista!O$8),"",IF($GV15=V$64," DNS ",IFERROR(VLOOKUP($F15,Arrangörslista!O$8:$AG$45,16,FALSE),"DNS")))),IF(ISBLANK(Deltagarlista!$C62),"",IF(ISBLANK(Arrangörslista!O$8),"",IFERROR(VLOOKUP($F15,Arrangörslista!O$8:$AG$45,16,FALSE),"DNS")))))</f>
        <v/>
      </c>
      <c r="W15" s="5" t="str">
        <f>IF(Deltagarlista!$K$3=4,IF(ISBLANK(Deltagarlista!$C62),"",IF(ISBLANK(Arrangörslista!N$53),"",IFERROR(VLOOKUP($F15,Arrangörslista!N$53:$AG$90,16,FALSE),IF(ISBLANK(Deltagarlista!$C62),"",IF(ISBLANK(Arrangörslista!N$53),"",IFERROR(VLOOKUP($F15,Arrangörslista!O$53:$AG$90,16,FALSE),"DNS")))))),IF(Deltagarlista!$K$3=2,
IF(ISBLANK(Deltagarlista!$C62),"",IF(ISBLANK(Arrangörslista!P$8),"",IF($GV15=W$64," DNS ",IFERROR(VLOOKUP($F15,Arrangörslista!P$8:$AG$45,16,FALSE),"DNS")))),IF(ISBLANK(Deltagarlista!$C62),"",IF(ISBLANK(Arrangörslista!P$8),"",IFERROR(VLOOKUP($F15,Arrangörslista!P$8:$AG$45,16,FALSE),"DNS")))))</f>
        <v/>
      </c>
      <c r="X15" s="5" t="str">
        <f>IF(Deltagarlista!$K$3=4,IF(ISBLANK(Deltagarlista!$C62),"",IF(ISBLANK(Arrangörslista!P$53),"",IFERROR(VLOOKUP($F15,Arrangörslista!P$53:$AG$90,16,FALSE),IF(ISBLANK(Deltagarlista!$C62),"",IF(ISBLANK(Arrangörslista!P$53),"",IFERROR(VLOOKUP($F15,Arrangörslista!Q$53:$AG$90,16,FALSE),"DNS")))))),IF(Deltagarlista!$K$3=2,
IF(ISBLANK(Deltagarlista!$C62),"",IF(ISBLANK(Arrangörslista!Q$8),"",IF($GV15=X$64," DNS ",IFERROR(VLOOKUP($F15,Arrangörslista!Q$8:$AG$45,16,FALSE),"DNS")))),IF(ISBLANK(Deltagarlista!$C62),"",IF(ISBLANK(Arrangörslista!Q$8),"",IFERROR(VLOOKUP($F15,Arrangörslista!Q$8:$AG$45,16,FALSE),"DNS")))))</f>
        <v/>
      </c>
      <c r="Y15" s="5" t="str">
        <f>IF(Deltagarlista!$K$3=4,IF(ISBLANK(Deltagarlista!$C62),"",IF(ISBLANK(Arrangörslista!C$98),"",IFERROR(VLOOKUP($F15,Arrangörslista!C$98:$AG$135,16,FALSE),IF(ISBLANK(Deltagarlista!$C62),"",IF(ISBLANK(Arrangörslista!C$98),"",IFERROR(VLOOKUP($F15,Arrangörslista!D$98:$AG$135,16,FALSE),"DNS")))))),IF(Deltagarlista!$K$3=2,
IF(ISBLANK(Deltagarlista!$C62),"",IF(ISBLANK(Arrangörslista!C$53),"",IF($GV15=Y$64," DNS ",IFERROR(VLOOKUP($F15,Arrangörslista!C$53:$AG$90,16,FALSE),"DNS")))),IF(ISBLANK(Deltagarlista!$C62),"",IF(ISBLANK(Arrangörslista!C$53),"",IFERROR(VLOOKUP($F15,Arrangörslista!C$53:$AG$90,16,FALSE),"DNS")))))</f>
        <v/>
      </c>
      <c r="Z15" s="5" t="str">
        <f>IF(Deltagarlista!$K$3=4,IF(ISBLANK(Deltagarlista!$C62),"",IF(ISBLANK(Arrangörslista!E$98),"",IFERROR(VLOOKUP($F15,Arrangörslista!E$98:$AG$135,16,FALSE),IF(ISBLANK(Deltagarlista!$C62),"",IF(ISBLANK(Arrangörslista!E$98),"",IFERROR(VLOOKUP($F15,Arrangörslista!F$98:$AG$135,16,FALSE),"DNS")))))),IF(Deltagarlista!$K$3=2,
IF(ISBLANK(Deltagarlista!$C62),"",IF(ISBLANK(Arrangörslista!D$53),"",IF($GV15=Z$64," DNS ",IFERROR(VLOOKUP($F15,Arrangörslista!D$53:$AG$90,16,FALSE),"DNS")))),IF(ISBLANK(Deltagarlista!$C62),"",IF(ISBLANK(Arrangörslista!D$53),"",IFERROR(VLOOKUP($F15,Arrangörslista!D$53:$AG$90,16,FALSE),"DNS")))))</f>
        <v/>
      </c>
      <c r="AA15" s="5" t="str">
        <f>IF(Deltagarlista!$K$3=4,IF(ISBLANK(Deltagarlista!$C62),"",IF(ISBLANK(Arrangörslista!G$98),"",IFERROR(VLOOKUP($F15,Arrangörslista!G$98:$AG$135,16,FALSE),IF(ISBLANK(Deltagarlista!$C62),"",IF(ISBLANK(Arrangörslista!G$98),"",IFERROR(VLOOKUP($F15,Arrangörslista!H$98:$AG$135,16,FALSE),"DNS")))))),IF(Deltagarlista!$K$3=2,
IF(ISBLANK(Deltagarlista!$C62),"",IF(ISBLANK(Arrangörslista!E$53),"",IF($GV15=AA$64," DNS ",IFERROR(VLOOKUP($F15,Arrangörslista!E$53:$AG$90,16,FALSE),"DNS")))),IF(ISBLANK(Deltagarlista!$C62),"",IF(ISBLANK(Arrangörslista!E$53),"",IFERROR(VLOOKUP($F15,Arrangörslista!E$53:$AG$90,16,FALSE),"DNS")))))</f>
        <v/>
      </c>
      <c r="AB15" s="5" t="str">
        <f>IF(Deltagarlista!$K$3=4,IF(ISBLANK(Deltagarlista!$C62),"",IF(ISBLANK(Arrangörslista!I$98),"",IFERROR(VLOOKUP($F15,Arrangörslista!I$98:$AG$135,16,FALSE),IF(ISBLANK(Deltagarlista!$C62),"",IF(ISBLANK(Arrangörslista!I$98),"",IFERROR(VLOOKUP($F15,Arrangörslista!J$98:$AG$135,16,FALSE),"DNS")))))),IF(Deltagarlista!$K$3=2,
IF(ISBLANK(Deltagarlista!$C62),"",IF(ISBLANK(Arrangörslista!F$53),"",IF($GV15=AB$64," DNS ",IFERROR(VLOOKUP($F15,Arrangörslista!F$53:$AG$90,16,FALSE),"DNS")))),IF(ISBLANK(Deltagarlista!$C62),"",IF(ISBLANK(Arrangörslista!F$53),"",IFERROR(VLOOKUP($F15,Arrangörslista!F$53:$AG$90,16,FALSE),"DNS")))))</f>
        <v/>
      </c>
      <c r="AC15" s="5" t="str">
        <f>IF(Deltagarlista!$K$3=4,IF(ISBLANK(Deltagarlista!$C62),"",IF(ISBLANK(Arrangörslista!K$98),"",IFERROR(VLOOKUP($F15,Arrangörslista!K$98:$AG$135,16,FALSE),IF(ISBLANK(Deltagarlista!$C62),"",IF(ISBLANK(Arrangörslista!K$98),"",IFERROR(VLOOKUP($F15,Arrangörslista!L$98:$AG$135,16,FALSE),"DNS")))))),IF(Deltagarlista!$K$3=2,
IF(ISBLANK(Deltagarlista!$C62),"",IF(ISBLANK(Arrangörslista!G$53),"",IF($GV15=AC$64," DNS ",IFERROR(VLOOKUP($F15,Arrangörslista!G$53:$AG$90,16,FALSE),"DNS")))),IF(ISBLANK(Deltagarlista!$C62),"",IF(ISBLANK(Arrangörslista!G$53),"",IFERROR(VLOOKUP($F15,Arrangörslista!G$53:$AG$90,16,FALSE),"DNS")))))</f>
        <v/>
      </c>
      <c r="AD15" s="5" t="str">
        <f>IF(Deltagarlista!$K$3=4,IF(ISBLANK(Deltagarlista!$C62),"",IF(ISBLANK(Arrangörslista!M$98),"",IFERROR(VLOOKUP($F15,Arrangörslista!M$98:$AG$135,16,FALSE),IF(ISBLANK(Deltagarlista!$C62),"",IF(ISBLANK(Arrangörslista!M$98),"",IFERROR(VLOOKUP($F15,Arrangörslista!N$98:$AG$135,16,FALSE),"DNS")))))),IF(Deltagarlista!$K$3=2,
IF(ISBLANK(Deltagarlista!$C62),"",IF(ISBLANK(Arrangörslista!H$53),"",IF($GV15=AD$64," DNS ",IFERROR(VLOOKUP($F15,Arrangörslista!H$53:$AG$90,16,FALSE),"DNS")))),IF(ISBLANK(Deltagarlista!$C62),"",IF(ISBLANK(Arrangörslista!H$53),"",IFERROR(VLOOKUP($F15,Arrangörslista!H$53:$AG$90,16,FALSE),"DNS")))))</f>
        <v/>
      </c>
      <c r="AE15" s="5" t="str">
        <f>IF(Deltagarlista!$K$3=4,IF(ISBLANK(Deltagarlista!$C62),"",IF(ISBLANK(Arrangörslista!O$98),"",IFERROR(VLOOKUP($F15,Arrangörslista!O$98:$AG$135,16,FALSE),IF(ISBLANK(Deltagarlista!$C62),"",IF(ISBLANK(Arrangörslista!O$98),"",IFERROR(VLOOKUP($F15,Arrangörslista!P$98:$AG$135,16,FALSE),"DNS")))))),IF(Deltagarlista!$K$3=2,
IF(ISBLANK(Deltagarlista!$C62),"",IF(ISBLANK(Arrangörslista!I$53),"",IF($GV15=AE$64," DNS ",IFERROR(VLOOKUP($F15,Arrangörslista!I$53:$AG$90,16,FALSE),"DNS")))),IF(ISBLANK(Deltagarlista!$C62),"",IF(ISBLANK(Arrangörslista!I$53),"",IFERROR(VLOOKUP($F15,Arrangörslista!I$53:$AG$90,16,FALSE),"DNS")))))</f>
        <v/>
      </c>
      <c r="AF15" s="5" t="str">
        <f>IF(Deltagarlista!$K$3=4,IF(ISBLANK(Deltagarlista!$C62),"",IF(ISBLANK(Arrangörslista!Q$98),"",IFERROR(VLOOKUP($F15,Arrangörslista!Q$98:$AG$135,16,FALSE),IF(ISBLANK(Deltagarlista!$C62),"",IF(ISBLANK(Arrangörslista!Q$98),"",IFERROR(VLOOKUP($F15,Arrangörslista!C$143:$AG$180,16,FALSE),"DNS")))))),IF(Deltagarlista!$K$3=2,
IF(ISBLANK(Deltagarlista!$C62),"",IF(ISBLANK(Arrangörslista!J$53),"",IF($GV15=AF$64," DNS ",IFERROR(VLOOKUP($F15,Arrangörslista!J$53:$AG$90,16,FALSE),"DNS")))),IF(ISBLANK(Deltagarlista!$C62),"",IF(ISBLANK(Arrangörslista!J$53),"",IFERROR(VLOOKUP($F15,Arrangörslista!J$53:$AG$90,16,FALSE),"DNS")))))</f>
        <v/>
      </c>
      <c r="AG15" s="5" t="str">
        <f>IF(Deltagarlista!$K$3=4,IF(ISBLANK(Deltagarlista!$C62),"",IF(ISBLANK(Arrangörslista!D$143),"",IFERROR(VLOOKUP($F15,Arrangörslista!D$143:$AG$180,16,FALSE),IF(ISBLANK(Deltagarlista!$C62),"",IF(ISBLANK(Arrangörslista!D$143),"",IFERROR(VLOOKUP($F15,Arrangörslista!E$143:$AG$180,16,FALSE),"DNS")))))),IF(Deltagarlista!$K$3=2,
IF(ISBLANK(Deltagarlista!$C62),"",IF(ISBLANK(Arrangörslista!K$53),"",IF($GV15=AG$64," DNS ",IFERROR(VLOOKUP($F15,Arrangörslista!K$53:$AG$90,16,FALSE),"DNS")))),IF(ISBLANK(Deltagarlista!$C62),"",IF(ISBLANK(Arrangörslista!K$53),"",IFERROR(VLOOKUP($F15,Arrangörslista!K$53:$AG$90,16,FALSE),"DNS")))))</f>
        <v/>
      </c>
      <c r="AH15" s="5" t="str">
        <f>IF(Deltagarlista!$K$3=4,IF(ISBLANK(Deltagarlista!$C62),"",IF(ISBLANK(Arrangörslista!F$143),"",IFERROR(VLOOKUP($F15,Arrangörslista!F$143:$AG$180,16,FALSE),IF(ISBLANK(Deltagarlista!$C62),"",IF(ISBLANK(Arrangörslista!F$143),"",IFERROR(VLOOKUP($F15,Arrangörslista!G$143:$AG$180,16,FALSE),"DNS")))))),IF(Deltagarlista!$K$3=2,
IF(ISBLANK(Deltagarlista!$C62),"",IF(ISBLANK(Arrangörslista!L$53),"",IF($GV15=AH$64," DNS ",IFERROR(VLOOKUP($F15,Arrangörslista!L$53:$AG$90,16,FALSE),"DNS")))),IF(ISBLANK(Deltagarlista!$C62),"",IF(ISBLANK(Arrangörslista!L$53),"",IFERROR(VLOOKUP($F15,Arrangörslista!L$53:$AG$90,16,FALSE),"DNS")))))</f>
        <v/>
      </c>
      <c r="AI15" s="5" t="str">
        <f>IF(Deltagarlista!$K$3=4,IF(ISBLANK(Deltagarlista!$C62),"",IF(ISBLANK(Arrangörslista!H$143),"",IFERROR(VLOOKUP($F15,Arrangörslista!H$143:$AG$180,16,FALSE),IF(ISBLANK(Deltagarlista!$C62),"",IF(ISBLANK(Arrangörslista!H$143),"",IFERROR(VLOOKUP($F15,Arrangörslista!I$143:$AG$180,16,FALSE),"DNS")))))),IF(Deltagarlista!$K$3=2,
IF(ISBLANK(Deltagarlista!$C62),"",IF(ISBLANK(Arrangörslista!M$53),"",IF($GV15=AI$64," DNS ",IFERROR(VLOOKUP($F15,Arrangörslista!M$53:$AG$90,16,FALSE),"DNS")))),IF(ISBLANK(Deltagarlista!$C62),"",IF(ISBLANK(Arrangörslista!M$53),"",IFERROR(VLOOKUP($F15,Arrangörslista!M$53:$AG$90,16,FALSE),"DNS")))))</f>
        <v/>
      </c>
      <c r="AJ15" s="5" t="str">
        <f>IF(Deltagarlista!$K$3=4,IF(ISBLANK(Deltagarlista!$C62),"",IF(ISBLANK(Arrangörslista!J$143),"",IFERROR(VLOOKUP($F15,Arrangörslista!J$143:$AG$180,16,FALSE),IF(ISBLANK(Deltagarlista!$C62),"",IF(ISBLANK(Arrangörslista!J$143),"",IFERROR(VLOOKUP($F15,Arrangörslista!K$143:$AG$180,16,FALSE),"DNS")))))),IF(Deltagarlista!$K$3=2,
IF(ISBLANK(Deltagarlista!$C62),"",IF(ISBLANK(Arrangörslista!N$53),"",IF($GV15=AJ$64," DNS ",IFERROR(VLOOKUP($F15,Arrangörslista!N$53:$AG$90,16,FALSE),"DNS")))),IF(ISBLANK(Deltagarlista!$C62),"",IF(ISBLANK(Arrangörslista!N$53),"",IFERROR(VLOOKUP($F15,Arrangörslista!N$53:$AG$90,16,FALSE),"DNS")))))</f>
        <v/>
      </c>
      <c r="AK15" s="5" t="str">
        <f>IF(Deltagarlista!$K$3=4,IF(ISBLANK(Deltagarlista!$C62),"",IF(ISBLANK(Arrangörslista!L$143),"",IFERROR(VLOOKUP($F15,Arrangörslista!L$143:$AG$180,16,FALSE),IF(ISBLANK(Deltagarlista!$C62),"",IF(ISBLANK(Arrangörslista!L$143),"",IFERROR(VLOOKUP($F15,Arrangörslista!M$143:$AG$180,16,FALSE),"DNS")))))),IF(Deltagarlista!$K$3=2,
IF(ISBLANK(Deltagarlista!$C62),"",IF(ISBLANK(Arrangörslista!O$53),"",IF($GV15=AK$64," DNS ",IFERROR(VLOOKUP($F15,Arrangörslista!O$53:$AG$90,16,FALSE),"DNS")))),IF(ISBLANK(Deltagarlista!$C62),"",IF(ISBLANK(Arrangörslista!O$53),"",IFERROR(VLOOKUP($F15,Arrangörslista!O$53:$AG$90,16,FALSE),"DNS")))))</f>
        <v/>
      </c>
      <c r="AL15" s="5" t="str">
        <f>IF(Deltagarlista!$K$3=4,IF(ISBLANK(Deltagarlista!$C62),"",IF(ISBLANK(Arrangörslista!N$143),"",IFERROR(VLOOKUP($F15,Arrangörslista!N$143:$AG$180,16,FALSE),IF(ISBLANK(Deltagarlista!$C62),"",IF(ISBLANK(Arrangörslista!N$143),"",IFERROR(VLOOKUP($F15,Arrangörslista!O$143:$AG$180,16,FALSE),"DNS")))))),IF(Deltagarlista!$K$3=2,
IF(ISBLANK(Deltagarlista!$C62),"",IF(ISBLANK(Arrangörslista!P$53),"",IF($GV15=AL$64," DNS ",IFERROR(VLOOKUP($F15,Arrangörslista!P$53:$AG$90,16,FALSE),"DNS")))),IF(ISBLANK(Deltagarlista!$C62),"",IF(ISBLANK(Arrangörslista!P$53),"",IFERROR(VLOOKUP($F15,Arrangörslista!P$53:$AG$90,16,FALSE),"DNS")))))</f>
        <v/>
      </c>
      <c r="AM15" s="5" t="str">
        <f>IF(Deltagarlista!$K$3=4,IF(ISBLANK(Deltagarlista!$C62),"",IF(ISBLANK(Arrangörslista!P$143),"",IFERROR(VLOOKUP($F15,Arrangörslista!P$143:$AG$180,16,FALSE),IF(ISBLANK(Deltagarlista!$C62),"",IF(ISBLANK(Arrangörslista!P$143),"",IFERROR(VLOOKUP($F15,Arrangörslista!Q$143:$AG$180,16,FALSE),"DNS")))))),IF(Deltagarlista!$K$3=2,
IF(ISBLANK(Deltagarlista!$C62),"",IF(ISBLANK(Arrangörslista!Q$53),"",IF($GV15=AM$64," DNS ",IFERROR(VLOOKUP($F15,Arrangörslista!Q$53:$AG$90,16,FALSE),"DNS")))),IF(ISBLANK(Deltagarlista!$C62),"",IF(ISBLANK(Arrangörslista!Q$53),"",IFERROR(VLOOKUP($F15,Arrangörslista!Q$53:$AG$90,16,FALSE),"DNS")))))</f>
        <v/>
      </c>
      <c r="AN15" s="5" t="str">
        <f>IF(Deltagarlista!$K$3=2,
IF(ISBLANK(Deltagarlista!$C62),"",IF(ISBLANK(Arrangörslista!C$98),"",IF($GV15=AN$64," DNS ",IFERROR(VLOOKUP($F15,Arrangörslista!C$98:$AG$135,16,FALSE), "DNS")))), IF(Deltagarlista!$K$3=1,IF(ISBLANK(Deltagarlista!$C62),"",IF(ISBLANK(Arrangörslista!C$98),"",IFERROR(VLOOKUP($F15,Arrangörslista!C$98:$AG$135,16,FALSE), "DNS"))),""))</f>
        <v/>
      </c>
      <c r="AO15" s="5" t="str">
        <f>IF(Deltagarlista!$K$3=2,
IF(ISBLANK(Deltagarlista!$C62),"",IF(ISBLANK(Arrangörslista!D$98),"",IF($GV15=AO$64," DNS ",IFERROR(VLOOKUP($F15,Arrangörslista!D$98:$AG$135,16,FALSE), "DNS")))), IF(Deltagarlista!$K$3=1,IF(ISBLANK(Deltagarlista!$C62),"",IF(ISBLANK(Arrangörslista!D$98),"",IFERROR(VLOOKUP($F15,Arrangörslista!D$98:$AG$135,16,FALSE), "DNS"))),""))</f>
        <v/>
      </c>
      <c r="AP15" s="5" t="str">
        <f>IF(Deltagarlista!$K$3=2,
IF(ISBLANK(Deltagarlista!$C62),"",IF(ISBLANK(Arrangörslista!E$98),"",IF($GV15=AP$64," DNS ",IFERROR(VLOOKUP($F15,Arrangörslista!E$98:$AG$135,16,FALSE), "DNS")))), IF(Deltagarlista!$K$3=1,IF(ISBLANK(Deltagarlista!$C62),"",IF(ISBLANK(Arrangörslista!E$98),"",IFERROR(VLOOKUP($F15,Arrangörslista!E$98:$AG$135,16,FALSE), "DNS"))),""))</f>
        <v/>
      </c>
      <c r="AQ15" s="5" t="str">
        <f>IF(Deltagarlista!$K$3=2,
IF(ISBLANK(Deltagarlista!$C62),"",IF(ISBLANK(Arrangörslista!F$98),"",IF($GV15=AQ$64," DNS ",IFERROR(VLOOKUP($F15,Arrangörslista!F$98:$AG$135,16,FALSE), "DNS")))), IF(Deltagarlista!$K$3=1,IF(ISBLANK(Deltagarlista!$C62),"",IF(ISBLANK(Arrangörslista!F$98),"",IFERROR(VLOOKUP($F15,Arrangörslista!F$98:$AG$135,16,FALSE), "DNS"))),""))</f>
        <v/>
      </c>
      <c r="AR15" s="5" t="str">
        <f>IF(Deltagarlista!$K$3=2,
IF(ISBLANK(Deltagarlista!$C62),"",IF(ISBLANK(Arrangörslista!G$98),"",IF($GV15=AR$64," DNS ",IFERROR(VLOOKUP($F15,Arrangörslista!G$98:$AG$135,16,FALSE), "DNS")))), IF(Deltagarlista!$K$3=1,IF(ISBLANK(Deltagarlista!$C62),"",IF(ISBLANK(Arrangörslista!G$98),"",IFERROR(VLOOKUP($F15,Arrangörslista!G$98:$AG$135,16,FALSE), "DNS"))),""))</f>
        <v/>
      </c>
      <c r="AS15" s="5" t="str">
        <f>IF(Deltagarlista!$K$3=2,
IF(ISBLANK(Deltagarlista!$C62),"",IF(ISBLANK(Arrangörslista!H$98),"",IF($GV15=AS$64," DNS ",IFERROR(VLOOKUP($F15,Arrangörslista!H$98:$AG$135,16,FALSE), "DNS")))), IF(Deltagarlista!$K$3=1,IF(ISBLANK(Deltagarlista!$C62),"",IF(ISBLANK(Arrangörslista!H$98),"",IFERROR(VLOOKUP($F15,Arrangörslista!H$98:$AG$135,16,FALSE), "DNS"))),""))</f>
        <v/>
      </c>
      <c r="AT15" s="5" t="str">
        <f>IF(Deltagarlista!$K$3=2,
IF(ISBLANK(Deltagarlista!$C62),"",IF(ISBLANK(Arrangörslista!I$98),"",IF($GV15=AT$64," DNS ",IFERROR(VLOOKUP($F15,Arrangörslista!I$98:$AG$135,16,FALSE), "DNS")))), IF(Deltagarlista!$K$3=1,IF(ISBLANK(Deltagarlista!$C62),"",IF(ISBLANK(Arrangörslista!I$98),"",IFERROR(VLOOKUP($F15,Arrangörslista!I$98:$AG$135,16,FALSE), "DNS"))),""))</f>
        <v/>
      </c>
      <c r="AU15" s="5" t="str">
        <f>IF(Deltagarlista!$K$3=2,
IF(ISBLANK(Deltagarlista!$C62),"",IF(ISBLANK(Arrangörslista!J$98),"",IF($GV15=AU$64," DNS ",IFERROR(VLOOKUP($F15,Arrangörslista!J$98:$AG$135,16,FALSE), "DNS")))), IF(Deltagarlista!$K$3=1,IF(ISBLANK(Deltagarlista!$C62),"",IF(ISBLANK(Arrangörslista!J$98),"",IFERROR(VLOOKUP($F15,Arrangörslista!J$98:$AG$135,16,FALSE), "DNS"))),""))</f>
        <v/>
      </c>
      <c r="AV15" s="5" t="str">
        <f>IF(Deltagarlista!$K$3=2,
IF(ISBLANK(Deltagarlista!$C62),"",IF(ISBLANK(Arrangörslista!K$98),"",IF($GV15=AV$64," DNS ",IFERROR(VLOOKUP($F15,Arrangörslista!K$98:$AG$135,16,FALSE), "DNS")))), IF(Deltagarlista!$K$3=1,IF(ISBLANK(Deltagarlista!$C62),"",IF(ISBLANK(Arrangörslista!K$98),"",IFERROR(VLOOKUP($F15,Arrangörslista!K$98:$AG$135,16,FALSE), "DNS"))),""))</f>
        <v/>
      </c>
      <c r="AW15" s="5" t="str">
        <f>IF(Deltagarlista!$K$3=2,
IF(ISBLANK(Deltagarlista!$C62),"",IF(ISBLANK(Arrangörslista!L$98),"",IF($GV15=AW$64," DNS ",IFERROR(VLOOKUP($F15,Arrangörslista!L$98:$AG$135,16,FALSE), "DNS")))), IF(Deltagarlista!$K$3=1,IF(ISBLANK(Deltagarlista!$C62),"",IF(ISBLANK(Arrangörslista!L$98),"",IFERROR(VLOOKUP($F15,Arrangörslista!L$98:$AG$135,16,FALSE), "DNS"))),""))</f>
        <v/>
      </c>
      <c r="AX15" s="5" t="str">
        <f>IF(Deltagarlista!$K$3=2,
IF(ISBLANK(Deltagarlista!$C62),"",IF(ISBLANK(Arrangörslista!M$98),"",IF($GV15=AX$64," DNS ",IFERROR(VLOOKUP($F15,Arrangörslista!M$98:$AG$135,16,FALSE), "DNS")))), IF(Deltagarlista!$K$3=1,IF(ISBLANK(Deltagarlista!$C62),"",IF(ISBLANK(Arrangörslista!M$98),"",IFERROR(VLOOKUP($F15,Arrangörslista!M$98:$AG$135,16,FALSE), "DNS"))),""))</f>
        <v/>
      </c>
      <c r="AY15" s="5" t="str">
        <f>IF(Deltagarlista!$K$3=2,
IF(ISBLANK(Deltagarlista!$C62),"",IF(ISBLANK(Arrangörslista!N$98),"",IF($GV15=AY$64," DNS ",IFERROR(VLOOKUP($F15,Arrangörslista!N$98:$AG$135,16,FALSE), "DNS")))), IF(Deltagarlista!$K$3=1,IF(ISBLANK(Deltagarlista!$C62),"",IF(ISBLANK(Arrangörslista!N$98),"",IFERROR(VLOOKUP($F15,Arrangörslista!N$98:$AG$135,16,FALSE), "DNS"))),""))</f>
        <v/>
      </c>
      <c r="AZ15" s="5" t="str">
        <f>IF(Deltagarlista!$K$3=2,
IF(ISBLANK(Deltagarlista!$C62),"",IF(ISBLANK(Arrangörslista!O$98),"",IF($GV15=AZ$64," DNS ",IFERROR(VLOOKUP($F15,Arrangörslista!O$98:$AG$135,16,FALSE), "DNS")))), IF(Deltagarlista!$K$3=1,IF(ISBLANK(Deltagarlista!$C62),"",IF(ISBLANK(Arrangörslista!O$98),"",IFERROR(VLOOKUP($F15,Arrangörslista!O$98:$AG$135,16,FALSE), "DNS"))),""))</f>
        <v/>
      </c>
      <c r="BA15" s="5" t="str">
        <f>IF(Deltagarlista!$K$3=2,
IF(ISBLANK(Deltagarlista!$C62),"",IF(ISBLANK(Arrangörslista!P$98),"",IF($GV15=BA$64," DNS ",IFERROR(VLOOKUP($F15,Arrangörslista!P$98:$AG$135,16,FALSE), "DNS")))), IF(Deltagarlista!$K$3=1,IF(ISBLANK(Deltagarlista!$C62),"",IF(ISBLANK(Arrangörslista!P$98),"",IFERROR(VLOOKUP($F15,Arrangörslista!P$98:$AG$135,16,FALSE), "DNS"))),""))</f>
        <v/>
      </c>
      <c r="BB15" s="5" t="str">
        <f>IF(Deltagarlista!$K$3=2,
IF(ISBLANK(Deltagarlista!$C62),"",IF(ISBLANK(Arrangörslista!Q$98),"",IF($GV15=BB$64," DNS ",IFERROR(VLOOKUP($F15,Arrangörslista!Q$98:$AG$135,16,FALSE), "DNS")))), IF(Deltagarlista!$K$3=1,IF(ISBLANK(Deltagarlista!$C62),"",IF(ISBLANK(Arrangörslista!Q$98),"",IFERROR(VLOOKUP($F15,Arrangörslista!Q$98:$AG$135,16,FALSE), "DNS"))),""))</f>
        <v/>
      </c>
      <c r="BC15" s="5" t="str">
        <f>IF(Deltagarlista!$K$3=2,
IF(ISBLANK(Deltagarlista!$C62),"",IF(ISBLANK(Arrangörslista!C$143),"",IF($GV15=BC$64," DNS ",IFERROR(VLOOKUP($F15,Arrangörslista!C$143:$AG$180,16,FALSE), "DNS")))), IF(Deltagarlista!$K$3=1,IF(ISBLANK(Deltagarlista!$C62),"",IF(ISBLANK(Arrangörslista!C$143),"",IFERROR(VLOOKUP($F15,Arrangörslista!C$143:$AG$180,16,FALSE), "DNS"))),""))</f>
        <v/>
      </c>
      <c r="BD15" s="5" t="str">
        <f>IF(Deltagarlista!$K$3=2,
IF(ISBLANK(Deltagarlista!$C62),"",IF(ISBLANK(Arrangörslista!D$143),"",IF($GV15=BD$64," DNS ",IFERROR(VLOOKUP($F15,Arrangörslista!D$143:$AG$180,16,FALSE), "DNS")))), IF(Deltagarlista!$K$3=1,IF(ISBLANK(Deltagarlista!$C62),"",IF(ISBLANK(Arrangörslista!D$143),"",IFERROR(VLOOKUP($F15,Arrangörslista!D$143:$AG$180,16,FALSE), "DNS"))),""))</f>
        <v/>
      </c>
      <c r="BE15" s="5" t="str">
        <f>IF(Deltagarlista!$K$3=2,
IF(ISBLANK(Deltagarlista!$C62),"",IF(ISBLANK(Arrangörslista!E$143),"",IF($GV15=BE$64," DNS ",IFERROR(VLOOKUP($F15,Arrangörslista!E$143:$AG$180,16,FALSE), "DNS")))), IF(Deltagarlista!$K$3=1,IF(ISBLANK(Deltagarlista!$C62),"",IF(ISBLANK(Arrangörslista!E$143),"",IFERROR(VLOOKUP($F15,Arrangörslista!E$143:$AG$180,16,FALSE), "DNS"))),""))</f>
        <v/>
      </c>
      <c r="BF15" s="5" t="str">
        <f>IF(Deltagarlista!$K$3=2,
IF(ISBLANK(Deltagarlista!$C62),"",IF(ISBLANK(Arrangörslista!F$143),"",IF($GV15=BF$64," DNS ",IFERROR(VLOOKUP($F15,Arrangörslista!F$143:$AG$180,16,FALSE), "DNS")))), IF(Deltagarlista!$K$3=1,IF(ISBLANK(Deltagarlista!$C62),"",IF(ISBLANK(Arrangörslista!F$143),"",IFERROR(VLOOKUP($F15,Arrangörslista!F$143:$AG$180,16,FALSE), "DNS"))),""))</f>
        <v/>
      </c>
      <c r="BG15" s="5" t="str">
        <f>IF(Deltagarlista!$K$3=2,
IF(ISBLANK(Deltagarlista!$C62),"",IF(ISBLANK(Arrangörslista!G$143),"",IF($GV15=BG$64," DNS ",IFERROR(VLOOKUP($F15,Arrangörslista!G$143:$AG$180,16,FALSE), "DNS")))), IF(Deltagarlista!$K$3=1,IF(ISBLANK(Deltagarlista!$C62),"",IF(ISBLANK(Arrangörslista!G$143),"",IFERROR(VLOOKUP($F15,Arrangörslista!G$143:$AG$180,16,FALSE), "DNS"))),""))</f>
        <v/>
      </c>
      <c r="BH15" s="5" t="str">
        <f>IF(Deltagarlista!$K$3=2,
IF(ISBLANK(Deltagarlista!$C62),"",IF(ISBLANK(Arrangörslista!H$143),"",IF($GV15=BH$64," DNS ",IFERROR(VLOOKUP($F15,Arrangörslista!H$143:$AG$180,16,FALSE), "DNS")))), IF(Deltagarlista!$K$3=1,IF(ISBLANK(Deltagarlista!$C62),"",IF(ISBLANK(Arrangörslista!H$143),"",IFERROR(VLOOKUP($F15,Arrangörslista!H$143:$AG$180,16,FALSE), "DNS"))),""))</f>
        <v/>
      </c>
      <c r="BI15" s="5" t="str">
        <f>IF(Deltagarlista!$K$3=2,
IF(ISBLANK(Deltagarlista!$C62),"",IF(ISBLANK(Arrangörslista!I$143),"",IF($GV15=BI$64," DNS ",IFERROR(VLOOKUP($F15,Arrangörslista!I$143:$AG$180,16,FALSE), "DNS")))), IF(Deltagarlista!$K$3=1,IF(ISBLANK(Deltagarlista!$C62),"",IF(ISBLANK(Arrangörslista!I$143),"",IFERROR(VLOOKUP($F15,Arrangörslista!I$143:$AG$180,16,FALSE), "DNS"))),""))</f>
        <v/>
      </c>
      <c r="BJ15" s="5" t="str">
        <f>IF(Deltagarlista!$K$3=2,
IF(ISBLANK(Deltagarlista!$C62),"",IF(ISBLANK(Arrangörslista!J$143),"",IF($GV15=BJ$64," DNS ",IFERROR(VLOOKUP($F15,Arrangörslista!J$143:$AG$180,16,FALSE), "DNS")))), IF(Deltagarlista!$K$3=1,IF(ISBLANK(Deltagarlista!$C62),"",IF(ISBLANK(Arrangörslista!J$143),"",IFERROR(VLOOKUP($F15,Arrangörslista!J$143:$AG$180,16,FALSE), "DNS"))),""))</f>
        <v/>
      </c>
      <c r="BK15" s="5" t="str">
        <f>IF(Deltagarlista!$K$3=2,
IF(ISBLANK(Deltagarlista!$C62),"",IF(ISBLANK(Arrangörslista!K$143),"",IF($GV15=BK$64," DNS ",IFERROR(VLOOKUP($F15,Arrangörslista!K$143:$AG$180,16,FALSE), "DNS")))), IF(Deltagarlista!$K$3=1,IF(ISBLANK(Deltagarlista!$C62),"",IF(ISBLANK(Arrangörslista!K$143),"",IFERROR(VLOOKUP($F15,Arrangörslista!K$143:$AG$180,16,FALSE), "DNS"))),""))</f>
        <v/>
      </c>
      <c r="BL15" s="5" t="str">
        <f>IF(Deltagarlista!$K$3=2,
IF(ISBLANK(Deltagarlista!$C62),"",IF(ISBLANK(Arrangörslista!L$143),"",IF($GV15=BL$64," DNS ",IFERROR(VLOOKUP($F15,Arrangörslista!L$143:$AG$180,16,FALSE), "DNS")))), IF(Deltagarlista!$K$3=1,IF(ISBLANK(Deltagarlista!$C62),"",IF(ISBLANK(Arrangörslista!L$143),"",IFERROR(VLOOKUP($F15,Arrangörslista!L$143:$AG$180,16,FALSE), "DNS"))),""))</f>
        <v/>
      </c>
      <c r="BM15" s="5" t="str">
        <f>IF(Deltagarlista!$K$3=2,
IF(ISBLANK(Deltagarlista!$C62),"",IF(ISBLANK(Arrangörslista!M$143),"",IF($GV15=BM$64," DNS ",IFERROR(VLOOKUP($F15,Arrangörslista!M$143:$AG$180,16,FALSE), "DNS")))), IF(Deltagarlista!$K$3=1,IF(ISBLANK(Deltagarlista!$C62),"",IF(ISBLANK(Arrangörslista!M$143),"",IFERROR(VLOOKUP($F15,Arrangörslista!M$143:$AG$180,16,FALSE), "DNS"))),""))</f>
        <v/>
      </c>
      <c r="BN15" s="5" t="str">
        <f>IF(Deltagarlista!$K$3=2,
IF(ISBLANK(Deltagarlista!$C62),"",IF(ISBLANK(Arrangörslista!N$143),"",IF($GV15=BN$64," DNS ",IFERROR(VLOOKUP($F15,Arrangörslista!N$143:$AG$180,16,FALSE), "DNS")))), IF(Deltagarlista!$K$3=1,IF(ISBLANK(Deltagarlista!$C62),"",IF(ISBLANK(Arrangörslista!N$143),"",IFERROR(VLOOKUP($F15,Arrangörslista!N$143:$AG$180,16,FALSE), "DNS"))),""))</f>
        <v/>
      </c>
      <c r="BO15" s="5" t="str">
        <f>IF(Deltagarlista!$K$3=2,
IF(ISBLANK(Deltagarlista!$C62),"",IF(ISBLANK(Arrangörslista!O$143),"",IF($GV15=BO$64," DNS ",IFERROR(VLOOKUP($F15,Arrangörslista!O$143:$AG$180,16,FALSE), "DNS")))), IF(Deltagarlista!$K$3=1,IF(ISBLANK(Deltagarlista!$C62),"",IF(ISBLANK(Arrangörslista!O$143),"",IFERROR(VLOOKUP($F15,Arrangörslista!O$143:$AG$180,16,FALSE), "DNS"))),""))</f>
        <v/>
      </c>
      <c r="BP15" s="5" t="str">
        <f>IF(Deltagarlista!$K$3=2,
IF(ISBLANK(Deltagarlista!$C62),"",IF(ISBLANK(Arrangörslista!P$143),"",IF($GV15=BP$64," DNS ",IFERROR(VLOOKUP($F15,Arrangörslista!P$143:$AG$180,16,FALSE), "DNS")))), IF(Deltagarlista!$K$3=1,IF(ISBLANK(Deltagarlista!$C62),"",IF(ISBLANK(Arrangörslista!P$143),"",IFERROR(VLOOKUP($F15,Arrangörslista!P$143:$AG$180,16,FALSE), "DNS"))),""))</f>
        <v/>
      </c>
      <c r="BQ15" s="80" t="str">
        <f>IF(Deltagarlista!$K$3=2,
IF(ISBLANK(Deltagarlista!$C62),"",IF(ISBLANK(Arrangörslista!Q$143),"",IF($GV15=BQ$64," DNS ",IFERROR(VLOOKUP($F15,Arrangörslista!Q$143:$AG$180,16,FALSE), "DNS")))), IF(Deltagarlista!$K$3=1,IF(ISBLANK(Deltagarlista!$C62),"",IF(ISBLANK(Arrangörslista!Q$143),"",IFERROR(VLOOKUP($F15,Arrangörslista!Q$143:$AG$180,16,FALSE), "DNS"))),""))</f>
        <v/>
      </c>
      <c r="BR15" s="48"/>
      <c r="BS15" s="50" t="str">
        <f t="shared" si="0"/>
        <v>2</v>
      </c>
      <c r="BU15" s="71">
        <f t="shared" si="1"/>
        <v>0</v>
      </c>
      <c r="BV15" s="61">
        <f t="shared" si="2"/>
        <v>0</v>
      </c>
      <c r="BW15" s="61">
        <f t="shared" si="3"/>
        <v>0</v>
      </c>
      <c r="BX15" s="61">
        <f t="shared" si="4"/>
        <v>0</v>
      </c>
      <c r="BY15" s="61">
        <f t="shared" si="5"/>
        <v>0</v>
      </c>
      <c r="BZ15" s="61">
        <f t="shared" si="6"/>
        <v>0</v>
      </c>
      <c r="CA15" s="61">
        <f t="shared" si="7"/>
        <v>0</v>
      </c>
      <c r="CB15" s="61">
        <f t="shared" si="8"/>
        <v>0</v>
      </c>
      <c r="CC15" s="61">
        <f t="shared" si="9"/>
        <v>0</v>
      </c>
      <c r="CD15" s="61">
        <f t="shared" si="10"/>
        <v>0</v>
      </c>
      <c r="CE15" s="61">
        <f t="shared" si="11"/>
        <v>0</v>
      </c>
      <c r="CF15" s="61">
        <f t="shared" si="12"/>
        <v>0</v>
      </c>
      <c r="CG15" s="61">
        <f t="shared" si="13"/>
        <v>0</v>
      </c>
      <c r="CH15" s="61">
        <f t="shared" si="14"/>
        <v>0</v>
      </c>
      <c r="CI15" s="61">
        <f t="shared" si="15"/>
        <v>0</v>
      </c>
      <c r="CJ15" s="61">
        <f t="shared" si="16"/>
        <v>0</v>
      </c>
      <c r="CK15" s="61">
        <f t="shared" si="17"/>
        <v>0</v>
      </c>
      <c r="CL15" s="61">
        <f t="shared" si="18"/>
        <v>0</v>
      </c>
      <c r="CM15" s="61">
        <f t="shared" si="19"/>
        <v>0</v>
      </c>
      <c r="CN15" s="61">
        <f t="shared" si="20"/>
        <v>0</v>
      </c>
      <c r="CO15" s="61">
        <f t="shared" si="21"/>
        <v>0</v>
      </c>
      <c r="CP15" s="61">
        <f t="shared" si="22"/>
        <v>0</v>
      </c>
      <c r="CQ15" s="61">
        <f t="shared" si="23"/>
        <v>0</v>
      </c>
      <c r="CR15" s="61">
        <f t="shared" si="24"/>
        <v>0</v>
      </c>
      <c r="CS15" s="61">
        <f t="shared" si="25"/>
        <v>0</v>
      </c>
      <c r="CT15" s="61">
        <f t="shared" si="26"/>
        <v>0</v>
      </c>
      <c r="CU15" s="61">
        <f t="shared" si="27"/>
        <v>0</v>
      </c>
      <c r="CV15" s="61">
        <f t="shared" si="28"/>
        <v>0</v>
      </c>
      <c r="CW15" s="61">
        <f t="shared" si="29"/>
        <v>0</v>
      </c>
      <c r="CX15" s="61">
        <f t="shared" si="30"/>
        <v>0</v>
      </c>
      <c r="CY15" s="61">
        <f t="shared" si="31"/>
        <v>0</v>
      </c>
      <c r="CZ15" s="61">
        <f t="shared" si="32"/>
        <v>0</v>
      </c>
      <c r="DA15" s="61">
        <f t="shared" si="33"/>
        <v>0</v>
      </c>
      <c r="DB15" s="61">
        <f t="shared" si="34"/>
        <v>0</v>
      </c>
      <c r="DC15" s="61">
        <f t="shared" si="35"/>
        <v>0</v>
      </c>
      <c r="DD15" s="61">
        <f t="shared" si="36"/>
        <v>0</v>
      </c>
      <c r="DE15" s="61">
        <f t="shared" si="37"/>
        <v>0</v>
      </c>
      <c r="DF15" s="61">
        <f t="shared" si="38"/>
        <v>0</v>
      </c>
      <c r="DG15" s="61">
        <f t="shared" si="39"/>
        <v>0</v>
      </c>
      <c r="DH15" s="61">
        <f t="shared" si="40"/>
        <v>0</v>
      </c>
      <c r="DI15" s="61">
        <f t="shared" si="41"/>
        <v>0</v>
      </c>
      <c r="DJ15" s="61">
        <f t="shared" si="42"/>
        <v>0</v>
      </c>
      <c r="DK15" s="61">
        <f t="shared" si="43"/>
        <v>0</v>
      </c>
      <c r="DL15" s="61">
        <f t="shared" si="44"/>
        <v>0</v>
      </c>
      <c r="DM15" s="61">
        <f t="shared" si="45"/>
        <v>0</v>
      </c>
      <c r="DN15" s="61">
        <f t="shared" si="46"/>
        <v>0</v>
      </c>
      <c r="DO15" s="61">
        <f t="shared" si="47"/>
        <v>0</v>
      </c>
      <c r="DP15" s="61">
        <f t="shared" si="48"/>
        <v>0</v>
      </c>
      <c r="DQ15" s="61">
        <f t="shared" si="49"/>
        <v>0</v>
      </c>
      <c r="DR15" s="61">
        <f t="shared" si="50"/>
        <v>0</v>
      </c>
      <c r="DS15" s="61">
        <f t="shared" si="51"/>
        <v>0</v>
      </c>
      <c r="DT15" s="61">
        <f t="shared" si="52"/>
        <v>0</v>
      </c>
      <c r="DU15" s="61">
        <f t="shared" si="53"/>
        <v>0</v>
      </c>
      <c r="DV15" s="61">
        <f t="shared" si="54"/>
        <v>0</v>
      </c>
      <c r="DW15" s="61">
        <f t="shared" si="55"/>
        <v>0</v>
      </c>
      <c r="DX15" s="61">
        <f t="shared" si="56"/>
        <v>0</v>
      </c>
      <c r="DY15" s="61">
        <f t="shared" si="57"/>
        <v>0</v>
      </c>
      <c r="DZ15" s="61">
        <f t="shared" si="58"/>
        <v>0</v>
      </c>
      <c r="EA15" s="61">
        <f t="shared" si="59"/>
        <v>0</v>
      </c>
      <c r="EB15" s="61">
        <f t="shared" si="60"/>
        <v>0</v>
      </c>
      <c r="EC15" s="61">
        <f t="shared" si="61"/>
        <v>0</v>
      </c>
      <c r="EE15" s="61">
        <f xml:space="preserve">
IF(OR(Deltagarlista!$K$3=3,Deltagarlista!$K$3=4),
IF(Arrangörslista!$U$5&lt;8,0,
IF(Arrangörslista!$U$5&lt;16,SUM(LARGE(BV15:CJ15,1)),
IF(Arrangörslista!$U$5&lt;24,SUM(LARGE(BV15:CR15,{1;2})),
IF(Arrangörslista!$U$5&lt;32,SUM(LARGE(BV15:CZ15,{1;2;3})),
IF(Arrangörslista!$U$5&lt;40,SUM(LARGE(BV15:DH15,{1;2;3;4})),
IF(Arrangörslista!$U$5&lt;48,SUM(LARGE(BV15:DP15,{1;2;3;4;5})),
IF(Arrangörslista!$U$5&lt;56,SUM(LARGE(BV15:DX15,{1;2;3;4;5;6})),
IF(Arrangörslista!$U$5&lt;64,SUM(LARGE(BV15:EC15,{1;2;3;4;5;6;7})),0)))))))),
IF(Deltagarlista!$K$3=2,
IF(Arrangörslista!$U$5&lt;4,LARGE(BV15:BX15,1),
IF(Arrangörslista!$U$5&lt;7,SUM(LARGE(BV15:CA15,{1;2;3})),
IF(Arrangörslista!$U$5&lt;10,SUM(LARGE(BV15:CD15,{1;2;3;4})),
IF(Arrangörslista!$U$5&lt;13,SUM(LARGE(BV15:CG15,{1;2;3;4;5;6})),
IF(Arrangörslista!$U$5&lt;16,SUM(LARGE(BV15:CJ15,{1;2;3;4;5;6;7})),
IF(Arrangörslista!$U$5&lt;19,SUM(LARGE(BV15:CM15,{1;2;3;4;5;6;7;8;9})),
IF(Arrangörslista!$U$5&lt;22,SUM(LARGE(BV15:CP15,{1;2;3;4;5;6;7;8;9;10})),
IF(Arrangörslista!$U$5&lt;25,SUM(LARGE(BV15:CS15,{1;2;3;4;5;6;7;8;9;10;11;12})),
IF(Arrangörslista!$U$5&lt;28,SUM(LARGE(BV15:CV15,{1;2;3;4;5;6;7;8;9;10;11;12;13})),
IF(Arrangörslista!$U$5&lt;31,SUM(LARGE(BV15:CY15,{1;2;3;4;5;6;7;8;9;10;11;12;13;14;15})),
IF(Arrangörslista!$U$5&lt;34,SUM(LARGE(BV15:DB15,{1;2;3;4;5;6;7;8;9;10;11;12;13;14;15;16})),
IF(Arrangörslista!$U$5&lt;37,SUM(LARGE(BV15:DE15,{1;2;3;4;5;6;7;8;9;10;11;12;13;14;15;16;17;18})),
IF(Arrangörslista!$U$5&lt;40,SUM(LARGE(BV15:DH15,{1;2;3;4;5;6;7;8;9;10;11;12;13;14;15;16;17;18;19})),
IF(Arrangörslista!$U$5&lt;43,SUM(LARGE(BV15:DK15,{1;2;3;4;5;6;7;8;9;10;11;12;13;14;15;16;17;18;19;20;21})),
IF(Arrangörslista!$U$5&lt;46,SUM(LARGE(BV15:DN15,{1;2;3;4;5;6;7;8;9;10;11;12;13;14;15;16;17;18;19;20;21;22})),
IF(Arrangörslista!$U$5&lt;49,SUM(LARGE(BV15:DQ15,{1;2;3;4;5;6;7;8;9;10;11;12;13;14;15;16;17;18;19;20;21;22;23;24})),
IF(Arrangörslista!$U$5&lt;52,SUM(LARGE(BV15:DT15,{1;2;3;4;5;6;7;8;9;10;11;12;13;14;15;16;17;18;19;20;21;22;23;24;25})),
IF(Arrangörslista!$U$5&lt;55,SUM(LARGE(BV15:DW15,{1;2;3;4;5;6;7;8;9;10;11;12;13;14;15;16;17;18;19;20;21;22;23;24;25;26;27})),
IF(Arrangörslista!$U$5&lt;58,SUM(LARGE(BV15:DZ15,{1;2;3;4;5;6;7;8;9;10;11;12;13;14;15;16;17;18;19;20;21;22;23;24;25;26;27;28})),
IF(Arrangörslista!$U$5&lt;61,SUM(LARGE(BV15:EC15,{1;2;3;4;5;6;7;8;9;10;11;12;13;14;15;16;17;18;19;20;21;22;23;24;25;26;27;28;29;30})),0)))))))))))))))))))),
IF(Arrangörslista!$U$5&lt;4,0,
IF(Arrangörslista!$U$5&lt;8,SUM(LARGE(BV15:CB15,1)),
IF(Arrangörslista!$U$5&lt;12,SUM(LARGE(BV15:CF15,{1;2})),
IF(Arrangörslista!$U$5&lt;16,SUM(LARGE(BV15:CJ15,{1;2;3})),
IF(Arrangörslista!$U$5&lt;20,SUM(LARGE(BV15:CN15,{1;2;3;4})),
IF(Arrangörslista!$U$5&lt;24,SUM(LARGE(BV15:CR15,{1;2;3;4;5})),
IF(Arrangörslista!$U$5&lt;28,SUM(LARGE(BV15:CV15,{1;2;3;4;5;6})),
IF(Arrangörslista!$U$5&lt;32,SUM(LARGE(BV15:CZ15,{1;2;3;4;5;6;7})),
IF(Arrangörslista!$U$5&lt;36,SUM(LARGE(BV15:DD15,{1;2;3;4;5;6;7;8})),
IF(Arrangörslista!$U$5&lt;40,SUM(LARGE(BV15:DH15,{1;2;3;4;5;6;7;8;9})),
IF(Arrangörslista!$U$5&lt;44,SUM(LARGE(BV15:DL15,{1;2;3;4;5;6;7;8;9;10})),
IF(Arrangörslista!$U$5&lt;48,SUM(LARGE(BV15:DP15,{1;2;3;4;5;6;7;8;9;10;11})),
IF(Arrangörslista!$U$5&lt;52,SUM(LARGE(BV15:DT15,{1;2;3;4;5;6;7;8;9;10;11;12})),
IF(Arrangörslista!$U$5&lt;56,SUM(LARGE(BV15:DX15,{1;2;3;4;5;6;7;8;9;10;11;12;13})),
IF(Arrangörslista!$U$5&lt;60,SUM(LARGE(BV15:EB15,{1;2;3;4;5;6;7;8;9;10;11;12;13;14})),
IF(Arrangörslista!$U$5=60,SUM(LARGE(BV15:EC15,{1;2;3;4;5;6;7;8;9;10;11;12;13;14;15})),0))))))))))))))))))</f>
        <v>0</v>
      </c>
      <c r="EG15" s="67">
        <f t="shared" si="62"/>
        <v>0</v>
      </c>
      <c r="EH15" s="61"/>
      <c r="EI15" s="61"/>
      <c r="EK15" s="62">
        <f t="shared" si="63"/>
        <v>61</v>
      </c>
      <c r="EL15" s="62">
        <f t="shared" si="64"/>
        <v>61</v>
      </c>
      <c r="EM15" s="62">
        <f t="shared" si="65"/>
        <v>61</v>
      </c>
      <c r="EN15" s="62">
        <f t="shared" si="66"/>
        <v>61</v>
      </c>
      <c r="EO15" s="62">
        <f t="shared" si="67"/>
        <v>61</v>
      </c>
      <c r="EP15" s="62">
        <f t="shared" si="68"/>
        <v>61</v>
      </c>
      <c r="EQ15" s="62">
        <f t="shared" si="69"/>
        <v>61</v>
      </c>
      <c r="ER15" s="62">
        <f t="shared" si="70"/>
        <v>61</v>
      </c>
      <c r="ES15" s="62">
        <f t="shared" si="71"/>
        <v>61</v>
      </c>
      <c r="ET15" s="62">
        <f t="shared" si="72"/>
        <v>61</v>
      </c>
      <c r="EU15" s="62">
        <f t="shared" si="73"/>
        <v>61</v>
      </c>
      <c r="EV15" s="62">
        <f t="shared" si="74"/>
        <v>61</v>
      </c>
      <c r="EW15" s="62">
        <f t="shared" si="75"/>
        <v>61</v>
      </c>
      <c r="EX15" s="62">
        <f t="shared" si="76"/>
        <v>61</v>
      </c>
      <c r="EY15" s="62">
        <f t="shared" si="77"/>
        <v>61</v>
      </c>
      <c r="EZ15" s="62">
        <f t="shared" si="78"/>
        <v>61</v>
      </c>
      <c r="FA15" s="62">
        <f t="shared" si="79"/>
        <v>61</v>
      </c>
      <c r="FB15" s="62">
        <f t="shared" si="80"/>
        <v>61</v>
      </c>
      <c r="FC15" s="62">
        <f t="shared" si="81"/>
        <v>61</v>
      </c>
      <c r="FD15" s="62">
        <f t="shared" si="82"/>
        <v>61</v>
      </c>
      <c r="FE15" s="62">
        <f t="shared" si="83"/>
        <v>61</v>
      </c>
      <c r="FF15" s="62">
        <f t="shared" si="84"/>
        <v>61</v>
      </c>
      <c r="FG15" s="62">
        <f t="shared" si="85"/>
        <v>61</v>
      </c>
      <c r="FH15" s="62">
        <f t="shared" si="86"/>
        <v>61</v>
      </c>
      <c r="FI15" s="62">
        <f t="shared" si="87"/>
        <v>61</v>
      </c>
      <c r="FJ15" s="62">
        <f t="shared" si="88"/>
        <v>61</v>
      </c>
      <c r="FK15" s="62">
        <f t="shared" si="89"/>
        <v>61</v>
      </c>
      <c r="FL15" s="62">
        <f t="shared" si="90"/>
        <v>61</v>
      </c>
      <c r="FM15" s="62">
        <f t="shared" si="91"/>
        <v>61</v>
      </c>
      <c r="FN15" s="62">
        <f t="shared" si="92"/>
        <v>61</v>
      </c>
      <c r="FO15" s="62">
        <f t="shared" si="93"/>
        <v>61</v>
      </c>
      <c r="FP15" s="62">
        <f t="shared" si="94"/>
        <v>61</v>
      </c>
      <c r="FQ15" s="62">
        <f t="shared" si="95"/>
        <v>61</v>
      </c>
      <c r="FR15" s="62">
        <f t="shared" si="96"/>
        <v>61</v>
      </c>
      <c r="FS15" s="62">
        <f t="shared" si="97"/>
        <v>61</v>
      </c>
      <c r="FT15" s="62">
        <f t="shared" si="98"/>
        <v>61</v>
      </c>
      <c r="FU15" s="62">
        <f t="shared" si="99"/>
        <v>61</v>
      </c>
      <c r="FV15" s="62">
        <f t="shared" si="100"/>
        <v>61</v>
      </c>
      <c r="FW15" s="62">
        <f t="shared" si="101"/>
        <v>61</v>
      </c>
      <c r="FX15" s="62">
        <f t="shared" si="102"/>
        <v>61</v>
      </c>
      <c r="FY15" s="62">
        <f t="shared" si="103"/>
        <v>61</v>
      </c>
      <c r="FZ15" s="62">
        <f t="shared" si="104"/>
        <v>61</v>
      </c>
      <c r="GA15" s="62">
        <f t="shared" si="105"/>
        <v>61</v>
      </c>
      <c r="GB15" s="62">
        <f t="shared" si="106"/>
        <v>61</v>
      </c>
      <c r="GC15" s="62">
        <f t="shared" si="107"/>
        <v>61</v>
      </c>
      <c r="GD15" s="62">
        <f t="shared" si="108"/>
        <v>61</v>
      </c>
      <c r="GE15" s="62">
        <f t="shared" si="109"/>
        <v>61</v>
      </c>
      <c r="GF15" s="62">
        <f t="shared" si="110"/>
        <v>61</v>
      </c>
      <c r="GG15" s="62">
        <f t="shared" si="111"/>
        <v>61</v>
      </c>
      <c r="GH15" s="62">
        <f t="shared" si="112"/>
        <v>61</v>
      </c>
      <c r="GI15" s="62">
        <f t="shared" si="113"/>
        <v>61</v>
      </c>
      <c r="GJ15" s="62">
        <f t="shared" si="114"/>
        <v>61</v>
      </c>
      <c r="GK15" s="62">
        <f t="shared" si="115"/>
        <v>61</v>
      </c>
      <c r="GL15" s="62">
        <f t="shared" si="116"/>
        <v>61</v>
      </c>
      <c r="GM15" s="62">
        <f t="shared" si="117"/>
        <v>61</v>
      </c>
      <c r="GN15" s="62">
        <f t="shared" si="118"/>
        <v>61</v>
      </c>
      <c r="GO15" s="62">
        <f t="shared" si="119"/>
        <v>61</v>
      </c>
      <c r="GP15" s="62">
        <f t="shared" si="120"/>
        <v>61</v>
      </c>
      <c r="GQ15" s="62">
        <f t="shared" si="121"/>
        <v>61</v>
      </c>
      <c r="GR15" s="62">
        <f t="shared" si="122"/>
        <v>61</v>
      </c>
      <c r="GT15" s="62">
        <f>IF(Deltagarlista!$K$3=2,
IF(GW15="1",
      IF(Arrangörslista!$U$5=1,J78,
IF(Arrangörslista!$U$5=2,K78,
IF(Arrangörslista!$U$5=3,L78,
IF(Arrangörslista!$U$5=4,M78,
IF(Arrangörslista!$U$5=5,N78,
IF(Arrangörslista!$U$5=6,O78,
IF(Arrangörslista!$U$5=7,P78,
IF(Arrangörslista!$U$5=8,Q78,
IF(Arrangörslista!$U$5=9,R78,
IF(Arrangörslista!$U$5=10,S78,
IF(Arrangörslista!$U$5=11,T78,
IF(Arrangörslista!$U$5=12,U78,
IF(Arrangörslista!$U$5=13,V78,
IF(Arrangörslista!$U$5=14,W78,
IF(Arrangörslista!$U$5=15,X78,
IF(Arrangörslista!$U$5=16,Y78,IF(Arrangörslista!$U$5=17,Z78,IF(Arrangörslista!$U$5=18,AA78,IF(Arrangörslista!$U$5=19,AB78,IF(Arrangörslista!$U$5=20,AC78,IF(Arrangörslista!$U$5=21,AD78,IF(Arrangörslista!$U$5=22,AE78,IF(Arrangörslista!$U$5=23,AF78, IF(Arrangörslista!$U$5=24,AG78, IF(Arrangörslista!$U$5=25,AH78, IF(Arrangörslista!$U$5=26,AI78, IF(Arrangörslista!$U$5=27,AJ78, IF(Arrangörslista!$U$5=28,AK78, IF(Arrangörslista!$U$5=29,AL78, IF(Arrangörslista!$U$5=30,AM78, IF(Arrangörslista!$U$5=31,AN78, IF(Arrangörslista!$U$5=32,AO78, IF(Arrangörslista!$U$5=33,AP78, IF(Arrangörslista!$U$5=34,AQ78, IF(Arrangörslista!$U$5=35,AR78, IF(Arrangörslista!$U$5=36,AS78, IF(Arrangörslista!$U$5=37,AT78, IF(Arrangörslista!$U$5=38,AU78, IF(Arrangörslista!$U$5=39,AV78, IF(Arrangörslista!$U$5=40,AW78, IF(Arrangörslista!$U$5=41,AX78, IF(Arrangörslista!$U$5=42,AY78, IF(Arrangörslista!$U$5=43,AZ78, IF(Arrangörslista!$U$5=44,BA78, IF(Arrangörslista!$U$5=45,BB78, IF(Arrangörslista!$U$5=46,BC78, IF(Arrangörslista!$U$5=47,BD78, IF(Arrangörslista!$U$5=48,BE78, IF(Arrangörslista!$U$5=49,BF78, IF(Arrangörslista!$U$5=50,BG78, IF(Arrangörslista!$U$5=51,BH78, IF(Arrangörslista!$U$5=52,BI78, IF(Arrangörslista!$U$5=53,BJ78, IF(Arrangörslista!$U$5=54,BK78, IF(Arrangörslista!$U$5=55,BL78, IF(Arrangörslista!$U$5=56,BM78, IF(Arrangörslista!$U$5=57,BN78, IF(Arrangörslista!$U$5=58,BO78, IF(Arrangörslista!$U$5=59,BP78, IF(Arrangörslista!$U$5=60,BQ78,0))))))))))))))))))))))))))))))))))))))))))))))))))))))))))))),IF(Deltagarlista!$K$3=4, IF(Arrangörslista!$U$5=1,J78,
IF(Arrangörslista!$U$5=2,J78,
IF(Arrangörslista!$U$5=3,K78,
IF(Arrangörslista!$U$5=4,K78,
IF(Arrangörslista!$U$5=5,L78,
IF(Arrangörslista!$U$5=6,L78,
IF(Arrangörslista!$U$5=7,M78,
IF(Arrangörslista!$U$5=8,M78,
IF(Arrangörslista!$U$5=9,N78,
IF(Arrangörslista!$U$5=10,N78,
IF(Arrangörslista!$U$5=11,O78,
IF(Arrangörslista!$U$5=12,O78,
IF(Arrangörslista!$U$5=13,P78,
IF(Arrangörslista!$U$5=14,P78,
IF(Arrangörslista!$U$5=15,Q78,
IF(Arrangörslista!$U$5=16,Q78,
IF(Arrangörslista!$U$5=17,R78,
IF(Arrangörslista!$U$5=18,R78,
IF(Arrangörslista!$U$5=19,S78,
IF(Arrangörslista!$U$5=20,S78,
IF(Arrangörslista!$U$5=21,T78,
IF(Arrangörslista!$U$5=22,T78,IF(Arrangörslista!$U$5=23,U78, IF(Arrangörslista!$U$5=24,U78, IF(Arrangörslista!$U$5=25,V78, IF(Arrangörslista!$U$5=26,V78, IF(Arrangörslista!$U$5=27,W78, IF(Arrangörslista!$U$5=28,W78, IF(Arrangörslista!$U$5=29,X78, IF(Arrangörslista!$U$5=30,X78, IF(Arrangörslista!$U$5=31,X78, IF(Arrangörslista!$U$5=32,Y78, IF(Arrangörslista!$U$5=33,AO78, IF(Arrangörslista!$U$5=34,Y78, IF(Arrangörslista!$U$5=35,Z78, IF(Arrangörslista!$U$5=36,AR78, IF(Arrangörslista!$U$5=37,Z78, IF(Arrangörslista!$U$5=38,AA78, IF(Arrangörslista!$U$5=39,AU78, IF(Arrangörslista!$U$5=40,AA78, IF(Arrangörslista!$U$5=41,AB78, IF(Arrangörslista!$U$5=42,AX78, IF(Arrangörslista!$U$5=43,AB78, IF(Arrangörslista!$U$5=44,AC78, IF(Arrangörslista!$U$5=45,BA78, IF(Arrangörslista!$U$5=46,AC78, IF(Arrangörslista!$U$5=47,AD78, IF(Arrangörslista!$U$5=48,BD78, IF(Arrangörslista!$U$5=49,AD78, IF(Arrangörslista!$U$5=50,AE78, IF(Arrangörslista!$U$5=51,BG78, IF(Arrangörslista!$U$5=52,AE78, IF(Arrangörslista!$U$5=53,AF78, IF(Arrangörslista!$U$5=54,BJ78, IF(Arrangörslista!$U$5=55,AF78, IF(Arrangörslista!$U$5=56,AG78, IF(Arrangörslista!$U$5=57,BM78, IF(Arrangörslista!$U$5=58,AG78, IF(Arrangörslista!$U$5=59,AH78, IF(Arrangörslista!$U$5=60,AH78,0)))))))))))))))))))))))))))))))))))))))))))))))))))))))))))),IF(Arrangörslista!$U$5=1,J78,
IF(Arrangörslista!$U$5=2,K78,
IF(Arrangörslista!$U$5=3,L78,
IF(Arrangörslista!$U$5=4,M78,
IF(Arrangörslista!$U$5=5,N78,
IF(Arrangörslista!$U$5=6,O78,
IF(Arrangörslista!$U$5=7,P78,
IF(Arrangörslista!$U$5=8,Q78,
IF(Arrangörslista!$U$5=9,R78,
IF(Arrangörslista!$U$5=10,S78,
IF(Arrangörslista!$U$5=11,T78,
IF(Arrangörslista!$U$5=12,U78,
IF(Arrangörslista!$U$5=13,V78,
IF(Arrangörslista!$U$5=14,W78,
IF(Arrangörslista!$U$5=15,X78,
IF(Arrangörslista!$U$5=16,Y78,IF(Arrangörslista!$U$5=17,Z78,IF(Arrangörslista!$U$5=18,AA78,IF(Arrangörslista!$U$5=19,AB78,IF(Arrangörslista!$U$5=20,AC78,IF(Arrangörslista!$U$5=21,AD78,IF(Arrangörslista!$U$5=22,AE78,IF(Arrangörslista!$U$5=23,AF78, IF(Arrangörslista!$U$5=24,AG78, IF(Arrangörslista!$U$5=25,AH78, IF(Arrangörslista!$U$5=26,AI78, IF(Arrangörslista!$U$5=27,AJ78, IF(Arrangörslista!$U$5=28,AK78, IF(Arrangörslista!$U$5=29,AL78, IF(Arrangörslista!$U$5=30,AM78, IF(Arrangörslista!$U$5=31,AN78, IF(Arrangörslista!$U$5=32,AO78, IF(Arrangörslista!$U$5=33,AP78, IF(Arrangörslista!$U$5=34,AQ78, IF(Arrangörslista!$U$5=35,AR78, IF(Arrangörslista!$U$5=36,AS78, IF(Arrangörslista!$U$5=37,AT78, IF(Arrangörslista!$U$5=38,AU78, IF(Arrangörslista!$U$5=39,AV78, IF(Arrangörslista!$U$5=40,AW78, IF(Arrangörslista!$U$5=41,AX78, IF(Arrangörslista!$U$5=42,AY78, IF(Arrangörslista!$U$5=43,AZ78, IF(Arrangörslista!$U$5=44,BA78, IF(Arrangörslista!$U$5=45,BB78, IF(Arrangörslista!$U$5=46,BC78, IF(Arrangörslista!$U$5=47,BD78, IF(Arrangörslista!$U$5=48,BE78, IF(Arrangörslista!$U$5=49,BF78, IF(Arrangörslista!$U$5=50,BG78, IF(Arrangörslista!$U$5=51,BH78, IF(Arrangörslista!$U$5=52,BI78, IF(Arrangörslista!$U$5=53,BJ78, IF(Arrangörslista!$U$5=54,BK78, IF(Arrangörslista!$U$5=55,BL78, IF(Arrangörslista!$U$5=56,BM78, IF(Arrangörslista!$U$5=57,BN78, IF(Arrangörslista!$U$5=58,BO78, IF(Arrangörslista!$U$5=59,BP78, IF(Arrangörslista!$U$5=60,BQ78,0))))))))))))))))))))))))))))))))))))))))))))))))))))))))))))
))</f>
        <v>0</v>
      </c>
      <c r="GV15" s="65" t="str">
        <f>IFERROR(IF(VLOOKUP(F15,Deltagarlista!$E$5:$I$64,5,FALSE)="Grön","Gr",IF(VLOOKUP(F15,Deltagarlista!$E$5:$I$64,5,FALSE)="Röd","R",IF(VLOOKUP(F15,Deltagarlista!$E$5:$I$64,5,FALSE)="Blå","B","Gu"))),"")</f>
        <v/>
      </c>
      <c r="GW15" s="62" t="str">
        <f t="shared" si="124"/>
        <v/>
      </c>
    </row>
    <row r="16" spans="1:206" x14ac:dyDescent="0.3">
      <c r="B16" s="23" t="str">
        <f>IF((COUNTIF(Deltagarlista!$H$5:$H$64,"GM"))&gt;12,13,"")</f>
        <v/>
      </c>
      <c r="C16" s="92" t="str">
        <f>IF(ISBLANK(Deltagarlista!C64),"",Deltagarlista!C64)</f>
        <v/>
      </c>
      <c r="D16" s="109" t="str">
        <f>CONCATENATE(IF(Deltagarlista!H64="GM","GM   ",""), IF(OR(Deltagarlista!$K$3=4,Deltagarlista!$K$3=2),Deltagarlista!I64,""))</f>
        <v/>
      </c>
      <c r="E16" s="8" t="str">
        <f>IF(ISBLANK(Deltagarlista!D64),"",Deltagarlista!D64)</f>
        <v/>
      </c>
      <c r="F16" s="8" t="str">
        <f>IF(ISBLANK(Deltagarlista!E64),"",Deltagarlista!E64)</f>
        <v/>
      </c>
      <c r="G16" s="95" t="str">
        <f>IF(ISBLANK(Deltagarlista!F64),"",Deltagarlista!F64)</f>
        <v/>
      </c>
      <c r="H16" s="72" t="str">
        <f>IF(ISBLANK(Deltagarlista!C64),"",BU16-EE16)</f>
        <v/>
      </c>
      <c r="I16" s="13" t="str">
        <f>IF(ISBLANK(Deltagarlista!C64),"",IF(AND(Deltagarlista!$K$3=2,Deltagarlista!$L$3&lt;37),SUM(SUM(BV16:EC16)-(ROUNDDOWN(Arrangörslista!$U$5/3,1))*($BW$3+1)),SUM(BV16:EC16)))</f>
        <v/>
      </c>
      <c r="J16" s="79" t="str">
        <f>IF(Deltagarlista!$K$3=4,IF(ISBLANK(Deltagarlista!$C64),"",IF(ISBLANK(Arrangörslista!C$8),"",IFERROR(VLOOKUP($F16,Arrangörslista!C$8:$AG$45,16,FALSE),IF(ISBLANK(Deltagarlista!$C64),"",IF(ISBLANK(Arrangörslista!C$8),"",IFERROR(VLOOKUP($F16,Arrangörslista!D$8:$AG$45,16,FALSE),"DNS")))))),IF(Deltagarlista!$K$3=2,
IF(ISBLANK(Deltagarlista!$C64),"",IF(ISBLANK(Arrangörslista!C$8),"",IF($GV16=J$64," DNS ",IFERROR(VLOOKUP($F16,Arrangörslista!C$8:$AG$45,16,FALSE),"DNS")))),IF(ISBLANK(Deltagarlista!$C64),"",IF(ISBLANK(Arrangörslista!C$8),"",IFERROR(VLOOKUP($F16,Arrangörslista!C$8:$AG$45,16,FALSE),"DNS")))))</f>
        <v/>
      </c>
      <c r="K16" s="5" t="str">
        <f>IF(Deltagarlista!$K$3=4,IF(ISBLANK(Deltagarlista!$C64),"",IF(ISBLANK(Arrangörslista!E$8),"",IFERROR(VLOOKUP($F16,Arrangörslista!E$8:$AG$45,16,FALSE),IF(ISBLANK(Deltagarlista!$C64),"",IF(ISBLANK(Arrangörslista!E$8),"",IFERROR(VLOOKUP($F16,Arrangörslista!F$8:$AG$45,16,FALSE),"DNS")))))),IF(Deltagarlista!$K$3=2,
IF(ISBLANK(Deltagarlista!$C64),"",IF(ISBLANK(Arrangörslista!D$8),"",IF($GV16=K$64," DNS ",IFERROR(VLOOKUP($F16,Arrangörslista!D$8:$AG$45,16,FALSE),"DNS")))),IF(ISBLANK(Deltagarlista!$C64),"",IF(ISBLANK(Arrangörslista!D$8),"",IFERROR(VLOOKUP($F16,Arrangörslista!D$8:$AG$45,16,FALSE),"DNS")))))</f>
        <v/>
      </c>
      <c r="L16" s="5" t="str">
        <f>IF(Deltagarlista!$K$3=4,IF(ISBLANK(Deltagarlista!$C64),"",IF(ISBLANK(Arrangörslista!G$8),"",IFERROR(VLOOKUP($F16,Arrangörslista!G$8:$AG$45,16,FALSE),IF(ISBLANK(Deltagarlista!$C64),"",IF(ISBLANK(Arrangörslista!G$8),"",IFERROR(VLOOKUP($F16,Arrangörslista!H$8:$AG$45,16,FALSE),"DNS")))))),IF(Deltagarlista!$K$3=2,
IF(ISBLANK(Deltagarlista!$C64),"",IF(ISBLANK(Arrangörslista!E$8),"",IF($GV16=L$64," DNS ",IFERROR(VLOOKUP($F16,Arrangörslista!E$8:$AG$45,16,FALSE),"DNS")))),IF(ISBLANK(Deltagarlista!$C64),"",IF(ISBLANK(Arrangörslista!E$8),"",IFERROR(VLOOKUP($F16,Arrangörslista!E$8:$AG$45,16,FALSE),"DNS")))))</f>
        <v/>
      </c>
      <c r="M16" s="5" t="str">
        <f>IF(Deltagarlista!$K$3=4,IF(ISBLANK(Deltagarlista!$C64),"",IF(ISBLANK(Arrangörslista!I$8),"",IFERROR(VLOOKUP($F16,Arrangörslista!I$8:$AG$45,16,FALSE),IF(ISBLANK(Deltagarlista!$C64),"",IF(ISBLANK(Arrangörslista!I$8),"",IFERROR(VLOOKUP($F16,Arrangörslista!J$8:$AG$45,16,FALSE),"DNS")))))),IF(Deltagarlista!$K$3=2,
IF(ISBLANK(Deltagarlista!$C64),"",IF(ISBLANK(Arrangörslista!F$8),"",IF($GV16=M$64," DNS ",IFERROR(VLOOKUP($F16,Arrangörslista!F$8:$AG$45,16,FALSE),"DNS")))),IF(ISBLANK(Deltagarlista!$C64),"",IF(ISBLANK(Arrangörslista!F$8),"",IFERROR(VLOOKUP($F16,Arrangörslista!F$8:$AG$45,16,FALSE),"DNS")))))</f>
        <v/>
      </c>
      <c r="N16" s="5" t="str">
        <f>IF(Deltagarlista!$K$3=4,IF(ISBLANK(Deltagarlista!$C64),"",IF(ISBLANK(Arrangörslista!K$8),"",IFERROR(VLOOKUP($F16,Arrangörslista!K$8:$AG$45,16,FALSE),IF(ISBLANK(Deltagarlista!$C64),"",IF(ISBLANK(Arrangörslista!K$8),"",IFERROR(VLOOKUP($F16,Arrangörslista!L$8:$AG$45,16,FALSE),"DNS")))))),IF(Deltagarlista!$K$3=2,
IF(ISBLANK(Deltagarlista!$C64),"",IF(ISBLANK(Arrangörslista!G$8),"",IF($GV16=N$64," DNS ",IFERROR(VLOOKUP($F16,Arrangörslista!G$8:$AG$45,16,FALSE),"DNS")))),IF(ISBLANK(Deltagarlista!$C64),"",IF(ISBLANK(Arrangörslista!G$8),"",IFERROR(VLOOKUP($F16,Arrangörslista!G$8:$AG$45,16,FALSE),"DNS")))))</f>
        <v/>
      </c>
      <c r="O16" s="5" t="str">
        <f>IF(Deltagarlista!$K$3=4,IF(ISBLANK(Deltagarlista!$C64),"",IF(ISBLANK(Arrangörslista!M$8),"",IFERROR(VLOOKUP($F16,Arrangörslista!M$8:$AG$45,16,FALSE),IF(ISBLANK(Deltagarlista!$C64),"",IF(ISBLANK(Arrangörslista!M$8),"",IFERROR(VLOOKUP($F16,Arrangörslista!N$8:$AG$45,16,FALSE),"DNS")))))),IF(Deltagarlista!$K$3=2,
IF(ISBLANK(Deltagarlista!$C64),"",IF(ISBLANK(Arrangörslista!H$8),"",IF($GV16=O$64," DNS ",IFERROR(VLOOKUP($F16,Arrangörslista!H$8:$AG$45,16,FALSE),"DNS")))),IF(ISBLANK(Deltagarlista!$C64),"",IF(ISBLANK(Arrangörslista!H$8),"",IFERROR(VLOOKUP($F16,Arrangörslista!H$8:$AG$45,16,FALSE),"DNS")))))</f>
        <v/>
      </c>
      <c r="P16" s="5" t="str">
        <f>IF(Deltagarlista!$K$3=4,IF(ISBLANK(Deltagarlista!$C64),"",IF(ISBLANK(Arrangörslista!O$8),"",IFERROR(VLOOKUP($F16,Arrangörslista!O$8:$AG$45,16,FALSE),IF(ISBLANK(Deltagarlista!$C64),"",IF(ISBLANK(Arrangörslista!O$8),"",IFERROR(VLOOKUP($F16,Arrangörslista!P$8:$AG$45,16,FALSE),"DNS")))))),IF(Deltagarlista!$K$3=2,
IF(ISBLANK(Deltagarlista!$C64),"",IF(ISBLANK(Arrangörslista!I$8),"",IF($GV16=P$64," DNS ",IFERROR(VLOOKUP($F16,Arrangörslista!I$8:$AG$45,16,FALSE),"DNS")))),IF(ISBLANK(Deltagarlista!$C64),"",IF(ISBLANK(Arrangörslista!I$8),"",IFERROR(VLOOKUP($F16,Arrangörslista!I$8:$AG$45,16,FALSE),"DNS")))))</f>
        <v/>
      </c>
      <c r="Q16" s="5" t="str">
        <f>IF(Deltagarlista!$K$3=4,IF(ISBLANK(Deltagarlista!$C64),"",IF(ISBLANK(Arrangörslista!Q$8),"",IFERROR(VLOOKUP($F16,Arrangörslista!Q$8:$AG$45,16,FALSE),IF(ISBLANK(Deltagarlista!$C64),"",IF(ISBLANK(Arrangörslista!Q$8),"",IFERROR(VLOOKUP($F16,Arrangörslista!C$53:$AG$90,16,FALSE),"DNS")))))),IF(Deltagarlista!$K$3=2,
IF(ISBLANK(Deltagarlista!$C64),"",IF(ISBLANK(Arrangörslista!J$8),"",IF($GV16=Q$64," DNS ",IFERROR(VLOOKUP($F16,Arrangörslista!J$8:$AG$45,16,FALSE),"DNS")))),IF(ISBLANK(Deltagarlista!$C64),"",IF(ISBLANK(Arrangörslista!J$8),"",IFERROR(VLOOKUP($F16,Arrangörslista!J$8:$AG$45,16,FALSE),"DNS")))))</f>
        <v/>
      </c>
      <c r="R16" s="5" t="str">
        <f>IF(Deltagarlista!$K$3=4,IF(ISBLANK(Deltagarlista!$C64),"",IF(ISBLANK(Arrangörslista!D$53),"",IFERROR(VLOOKUP($F16,Arrangörslista!D$53:$AG$90,16,FALSE),IF(ISBLANK(Deltagarlista!$C64),"",IF(ISBLANK(Arrangörslista!D$53),"",IFERROR(VLOOKUP($F16,Arrangörslista!E$53:$AG$90,16,FALSE),"DNS")))))),IF(Deltagarlista!$K$3=2,
IF(ISBLANK(Deltagarlista!$C64),"",IF(ISBLANK(Arrangörslista!K$8),"",IF($GV16=R$64," DNS ",IFERROR(VLOOKUP($F16,Arrangörslista!K$8:$AG$45,16,FALSE),"DNS")))),IF(ISBLANK(Deltagarlista!$C64),"",IF(ISBLANK(Arrangörslista!K$8),"",IFERROR(VLOOKUP($F16,Arrangörslista!K$8:$AG$45,16,FALSE),"DNS")))))</f>
        <v/>
      </c>
      <c r="S16" s="5" t="str">
        <f>IF(Deltagarlista!$K$3=4,IF(ISBLANK(Deltagarlista!$C64),"",IF(ISBLANK(Arrangörslista!F$53),"",IFERROR(VLOOKUP($F16,Arrangörslista!F$53:$AG$90,16,FALSE),IF(ISBLANK(Deltagarlista!$C64),"",IF(ISBLANK(Arrangörslista!F$53),"",IFERROR(VLOOKUP($F16,Arrangörslista!G$53:$AG$90,16,FALSE),"DNS")))))),IF(Deltagarlista!$K$3=2,
IF(ISBLANK(Deltagarlista!$C64),"",IF(ISBLANK(Arrangörslista!L$8),"",IF($GV16=S$64," DNS ",IFERROR(VLOOKUP($F16,Arrangörslista!L$8:$AG$45,16,FALSE),"DNS")))),IF(ISBLANK(Deltagarlista!$C64),"",IF(ISBLANK(Arrangörslista!L$8),"",IFERROR(VLOOKUP($F16,Arrangörslista!L$8:$AG$45,16,FALSE),"DNS")))))</f>
        <v/>
      </c>
      <c r="T16" s="5" t="str">
        <f>IF(Deltagarlista!$K$3=4,IF(ISBLANK(Deltagarlista!$C64),"",IF(ISBLANK(Arrangörslista!H$53),"",IFERROR(VLOOKUP($F16,Arrangörslista!H$53:$AG$90,16,FALSE),IF(ISBLANK(Deltagarlista!$C64),"",IF(ISBLANK(Arrangörslista!H$53),"",IFERROR(VLOOKUP($F16,Arrangörslista!I$53:$AG$90,16,FALSE),"DNS")))))),IF(Deltagarlista!$K$3=2,
IF(ISBLANK(Deltagarlista!$C64),"",IF(ISBLANK(Arrangörslista!M$8),"",IF($GV16=T$64," DNS ",IFERROR(VLOOKUP($F16,Arrangörslista!M$8:$AG$45,16,FALSE),"DNS")))),IF(ISBLANK(Deltagarlista!$C64),"",IF(ISBLANK(Arrangörslista!M$8),"",IFERROR(VLOOKUP($F16,Arrangörslista!M$8:$AG$45,16,FALSE),"DNS")))))</f>
        <v/>
      </c>
      <c r="U16" s="5" t="str">
        <f>IF(Deltagarlista!$K$3=4,IF(ISBLANK(Deltagarlista!$C64),"",IF(ISBLANK(Arrangörslista!J$53),"",IFERROR(VLOOKUP($F16,Arrangörslista!J$53:$AG$90,16,FALSE),IF(ISBLANK(Deltagarlista!$C64),"",IF(ISBLANK(Arrangörslista!J$53),"",IFERROR(VLOOKUP($F16,Arrangörslista!K$53:$AG$90,16,FALSE),"DNS")))))),IF(Deltagarlista!$K$3=2,
IF(ISBLANK(Deltagarlista!$C64),"",IF(ISBLANK(Arrangörslista!N$8),"",IF($GV16=U$64," DNS ",IFERROR(VLOOKUP($F16,Arrangörslista!N$8:$AG$45,16,FALSE),"DNS")))),IF(ISBLANK(Deltagarlista!$C64),"",IF(ISBLANK(Arrangörslista!N$8),"",IFERROR(VLOOKUP($F16,Arrangörslista!N$8:$AG$45,16,FALSE),"DNS")))))</f>
        <v/>
      </c>
      <c r="V16" s="5" t="str">
        <f>IF(Deltagarlista!$K$3=4,IF(ISBLANK(Deltagarlista!$C64),"",IF(ISBLANK(Arrangörslista!L$53),"",IFERROR(VLOOKUP($F16,Arrangörslista!L$53:$AG$90,16,FALSE),IF(ISBLANK(Deltagarlista!$C64),"",IF(ISBLANK(Arrangörslista!L$53),"",IFERROR(VLOOKUP($F16,Arrangörslista!M$53:$AG$90,16,FALSE),"DNS")))))),IF(Deltagarlista!$K$3=2,
IF(ISBLANK(Deltagarlista!$C64),"",IF(ISBLANK(Arrangörslista!O$8),"",IF($GV16=V$64," DNS ",IFERROR(VLOOKUP($F16,Arrangörslista!O$8:$AG$45,16,FALSE),"DNS")))),IF(ISBLANK(Deltagarlista!$C64),"",IF(ISBLANK(Arrangörslista!O$8),"",IFERROR(VLOOKUP($F16,Arrangörslista!O$8:$AG$45,16,FALSE),"DNS")))))</f>
        <v/>
      </c>
      <c r="W16" s="5" t="str">
        <f>IF(Deltagarlista!$K$3=4,IF(ISBLANK(Deltagarlista!$C64),"",IF(ISBLANK(Arrangörslista!N$53),"",IFERROR(VLOOKUP($F16,Arrangörslista!N$53:$AG$90,16,FALSE),IF(ISBLANK(Deltagarlista!$C64),"",IF(ISBLANK(Arrangörslista!N$53),"",IFERROR(VLOOKUP($F16,Arrangörslista!O$53:$AG$90,16,FALSE),"DNS")))))),IF(Deltagarlista!$K$3=2,
IF(ISBLANK(Deltagarlista!$C64),"",IF(ISBLANK(Arrangörslista!P$8),"",IF($GV16=W$64," DNS ",IFERROR(VLOOKUP($F16,Arrangörslista!P$8:$AG$45,16,FALSE),"DNS")))),IF(ISBLANK(Deltagarlista!$C64),"",IF(ISBLANK(Arrangörslista!P$8),"",IFERROR(VLOOKUP($F16,Arrangörslista!P$8:$AG$45,16,FALSE),"DNS")))))</f>
        <v/>
      </c>
      <c r="X16" s="5" t="str">
        <f>IF(Deltagarlista!$K$3=4,IF(ISBLANK(Deltagarlista!$C64),"",IF(ISBLANK(Arrangörslista!P$53),"",IFERROR(VLOOKUP($F16,Arrangörslista!P$53:$AG$90,16,FALSE),IF(ISBLANK(Deltagarlista!$C64),"",IF(ISBLANK(Arrangörslista!P$53),"",IFERROR(VLOOKUP($F16,Arrangörslista!Q$53:$AG$90,16,FALSE),"DNS")))))),IF(Deltagarlista!$K$3=2,
IF(ISBLANK(Deltagarlista!$C64),"",IF(ISBLANK(Arrangörslista!Q$8),"",IF($GV16=X$64," DNS ",IFERROR(VLOOKUP($F16,Arrangörslista!Q$8:$AG$45,16,FALSE),"DNS")))),IF(ISBLANK(Deltagarlista!$C64),"",IF(ISBLANK(Arrangörslista!Q$8),"",IFERROR(VLOOKUP($F16,Arrangörslista!Q$8:$AG$45,16,FALSE),"DNS")))))</f>
        <v/>
      </c>
      <c r="Y16" s="5" t="str">
        <f>IF(Deltagarlista!$K$3=4,IF(ISBLANK(Deltagarlista!$C64),"",IF(ISBLANK(Arrangörslista!C$98),"",IFERROR(VLOOKUP($F16,Arrangörslista!C$98:$AG$135,16,FALSE),IF(ISBLANK(Deltagarlista!$C64),"",IF(ISBLANK(Arrangörslista!C$98),"",IFERROR(VLOOKUP($F16,Arrangörslista!D$98:$AG$135,16,FALSE),"DNS")))))),IF(Deltagarlista!$K$3=2,
IF(ISBLANK(Deltagarlista!$C64),"",IF(ISBLANK(Arrangörslista!C$53),"",IF($GV16=Y$64," DNS ",IFERROR(VLOOKUP($F16,Arrangörslista!C$53:$AG$90,16,FALSE),"DNS")))),IF(ISBLANK(Deltagarlista!$C64),"",IF(ISBLANK(Arrangörslista!C$53),"",IFERROR(VLOOKUP($F16,Arrangörslista!C$53:$AG$90,16,FALSE),"DNS")))))</f>
        <v/>
      </c>
      <c r="Z16" s="5" t="str">
        <f>IF(Deltagarlista!$K$3=4,IF(ISBLANK(Deltagarlista!$C64),"",IF(ISBLANK(Arrangörslista!E$98),"",IFERROR(VLOOKUP($F16,Arrangörslista!E$98:$AG$135,16,FALSE),IF(ISBLANK(Deltagarlista!$C64),"",IF(ISBLANK(Arrangörslista!E$98),"",IFERROR(VLOOKUP($F16,Arrangörslista!F$98:$AG$135,16,FALSE),"DNS")))))),IF(Deltagarlista!$K$3=2,
IF(ISBLANK(Deltagarlista!$C64),"",IF(ISBLANK(Arrangörslista!D$53),"",IF($GV16=Z$64," DNS ",IFERROR(VLOOKUP($F16,Arrangörslista!D$53:$AG$90,16,FALSE),"DNS")))),IF(ISBLANK(Deltagarlista!$C64),"",IF(ISBLANK(Arrangörslista!D$53),"",IFERROR(VLOOKUP($F16,Arrangörslista!D$53:$AG$90,16,FALSE),"DNS")))))</f>
        <v/>
      </c>
      <c r="AA16" s="5" t="str">
        <f>IF(Deltagarlista!$K$3=4,IF(ISBLANK(Deltagarlista!$C64),"",IF(ISBLANK(Arrangörslista!G$98),"",IFERROR(VLOOKUP($F16,Arrangörslista!G$98:$AG$135,16,FALSE),IF(ISBLANK(Deltagarlista!$C64),"",IF(ISBLANK(Arrangörslista!G$98),"",IFERROR(VLOOKUP($F16,Arrangörslista!H$98:$AG$135,16,FALSE),"DNS")))))),IF(Deltagarlista!$K$3=2,
IF(ISBLANK(Deltagarlista!$C64),"",IF(ISBLANK(Arrangörslista!E$53),"",IF($GV16=AA$64," DNS ",IFERROR(VLOOKUP($F16,Arrangörslista!E$53:$AG$90,16,FALSE),"DNS")))),IF(ISBLANK(Deltagarlista!$C64),"",IF(ISBLANK(Arrangörslista!E$53),"",IFERROR(VLOOKUP($F16,Arrangörslista!E$53:$AG$90,16,FALSE),"DNS")))))</f>
        <v/>
      </c>
      <c r="AB16" s="5" t="str">
        <f>IF(Deltagarlista!$K$3=4,IF(ISBLANK(Deltagarlista!$C64),"",IF(ISBLANK(Arrangörslista!I$98),"",IFERROR(VLOOKUP($F16,Arrangörslista!I$98:$AG$135,16,FALSE),IF(ISBLANK(Deltagarlista!$C64),"",IF(ISBLANK(Arrangörslista!I$98),"",IFERROR(VLOOKUP($F16,Arrangörslista!J$98:$AG$135,16,FALSE),"DNS")))))),IF(Deltagarlista!$K$3=2,
IF(ISBLANK(Deltagarlista!$C64),"",IF(ISBLANK(Arrangörslista!F$53),"",IF($GV16=AB$64," DNS ",IFERROR(VLOOKUP($F16,Arrangörslista!F$53:$AG$90,16,FALSE),"DNS")))),IF(ISBLANK(Deltagarlista!$C64),"",IF(ISBLANK(Arrangörslista!F$53),"",IFERROR(VLOOKUP($F16,Arrangörslista!F$53:$AG$90,16,FALSE),"DNS")))))</f>
        <v/>
      </c>
      <c r="AC16" s="5" t="str">
        <f>IF(Deltagarlista!$K$3=4,IF(ISBLANK(Deltagarlista!$C64),"",IF(ISBLANK(Arrangörslista!K$98),"",IFERROR(VLOOKUP($F16,Arrangörslista!K$98:$AG$135,16,FALSE),IF(ISBLANK(Deltagarlista!$C64),"",IF(ISBLANK(Arrangörslista!K$98),"",IFERROR(VLOOKUP($F16,Arrangörslista!L$98:$AG$135,16,FALSE),"DNS")))))),IF(Deltagarlista!$K$3=2,
IF(ISBLANK(Deltagarlista!$C64),"",IF(ISBLANK(Arrangörslista!G$53),"",IF($GV16=AC$64," DNS ",IFERROR(VLOOKUP($F16,Arrangörslista!G$53:$AG$90,16,FALSE),"DNS")))),IF(ISBLANK(Deltagarlista!$C64),"",IF(ISBLANK(Arrangörslista!G$53),"",IFERROR(VLOOKUP($F16,Arrangörslista!G$53:$AG$90,16,FALSE),"DNS")))))</f>
        <v/>
      </c>
      <c r="AD16" s="5" t="str">
        <f>IF(Deltagarlista!$K$3=4,IF(ISBLANK(Deltagarlista!$C64),"",IF(ISBLANK(Arrangörslista!M$98),"",IFERROR(VLOOKUP($F16,Arrangörslista!M$98:$AG$135,16,FALSE),IF(ISBLANK(Deltagarlista!$C64),"",IF(ISBLANK(Arrangörslista!M$98),"",IFERROR(VLOOKUP($F16,Arrangörslista!N$98:$AG$135,16,FALSE),"DNS")))))),IF(Deltagarlista!$K$3=2,
IF(ISBLANK(Deltagarlista!$C64),"",IF(ISBLANK(Arrangörslista!H$53),"",IF($GV16=AD$64," DNS ",IFERROR(VLOOKUP($F16,Arrangörslista!H$53:$AG$90,16,FALSE),"DNS")))),IF(ISBLANK(Deltagarlista!$C64),"",IF(ISBLANK(Arrangörslista!H$53),"",IFERROR(VLOOKUP($F16,Arrangörslista!H$53:$AG$90,16,FALSE),"DNS")))))</f>
        <v/>
      </c>
      <c r="AE16" s="5" t="str">
        <f>IF(Deltagarlista!$K$3=4,IF(ISBLANK(Deltagarlista!$C64),"",IF(ISBLANK(Arrangörslista!O$98),"",IFERROR(VLOOKUP($F16,Arrangörslista!O$98:$AG$135,16,FALSE),IF(ISBLANK(Deltagarlista!$C64),"",IF(ISBLANK(Arrangörslista!O$98),"",IFERROR(VLOOKUP($F16,Arrangörslista!P$98:$AG$135,16,FALSE),"DNS")))))),IF(Deltagarlista!$K$3=2,
IF(ISBLANK(Deltagarlista!$C64),"",IF(ISBLANK(Arrangörslista!I$53),"",IF($GV16=AE$64," DNS ",IFERROR(VLOOKUP($F16,Arrangörslista!I$53:$AG$90,16,FALSE),"DNS")))),IF(ISBLANK(Deltagarlista!$C64),"",IF(ISBLANK(Arrangörslista!I$53),"",IFERROR(VLOOKUP($F16,Arrangörslista!I$53:$AG$90,16,FALSE),"DNS")))))</f>
        <v/>
      </c>
      <c r="AF16" s="5" t="str">
        <f>IF(Deltagarlista!$K$3=4,IF(ISBLANK(Deltagarlista!$C64),"",IF(ISBLANK(Arrangörslista!Q$98),"",IFERROR(VLOOKUP($F16,Arrangörslista!Q$98:$AG$135,16,FALSE),IF(ISBLANK(Deltagarlista!$C64),"",IF(ISBLANK(Arrangörslista!Q$98),"",IFERROR(VLOOKUP($F16,Arrangörslista!C$143:$AG$180,16,FALSE),"DNS")))))),IF(Deltagarlista!$K$3=2,
IF(ISBLANK(Deltagarlista!$C64),"",IF(ISBLANK(Arrangörslista!J$53),"",IF($GV16=AF$64," DNS ",IFERROR(VLOOKUP($F16,Arrangörslista!J$53:$AG$90,16,FALSE),"DNS")))),IF(ISBLANK(Deltagarlista!$C64),"",IF(ISBLANK(Arrangörslista!J$53),"",IFERROR(VLOOKUP($F16,Arrangörslista!J$53:$AG$90,16,FALSE),"DNS")))))</f>
        <v/>
      </c>
      <c r="AG16" s="5" t="str">
        <f>IF(Deltagarlista!$K$3=4,IF(ISBLANK(Deltagarlista!$C64),"",IF(ISBLANK(Arrangörslista!D$143),"",IFERROR(VLOOKUP($F16,Arrangörslista!D$143:$AG$180,16,FALSE),IF(ISBLANK(Deltagarlista!$C64),"",IF(ISBLANK(Arrangörslista!D$143),"",IFERROR(VLOOKUP($F16,Arrangörslista!E$143:$AG$180,16,FALSE),"DNS")))))),IF(Deltagarlista!$K$3=2,
IF(ISBLANK(Deltagarlista!$C64),"",IF(ISBLANK(Arrangörslista!K$53),"",IF($GV16=AG$64," DNS ",IFERROR(VLOOKUP($F16,Arrangörslista!K$53:$AG$90,16,FALSE),"DNS")))),IF(ISBLANK(Deltagarlista!$C64),"",IF(ISBLANK(Arrangörslista!K$53),"",IFERROR(VLOOKUP($F16,Arrangörslista!K$53:$AG$90,16,FALSE),"DNS")))))</f>
        <v/>
      </c>
      <c r="AH16" s="5" t="str">
        <f>IF(Deltagarlista!$K$3=4,IF(ISBLANK(Deltagarlista!$C64),"",IF(ISBLANK(Arrangörslista!F$143),"",IFERROR(VLOOKUP($F16,Arrangörslista!F$143:$AG$180,16,FALSE),IF(ISBLANK(Deltagarlista!$C64),"",IF(ISBLANK(Arrangörslista!F$143),"",IFERROR(VLOOKUP($F16,Arrangörslista!G$143:$AG$180,16,FALSE),"DNS")))))),IF(Deltagarlista!$K$3=2,
IF(ISBLANK(Deltagarlista!$C64),"",IF(ISBLANK(Arrangörslista!L$53),"",IF($GV16=AH$64," DNS ",IFERROR(VLOOKUP($F16,Arrangörslista!L$53:$AG$90,16,FALSE),"DNS")))),IF(ISBLANK(Deltagarlista!$C64),"",IF(ISBLANK(Arrangörslista!L$53),"",IFERROR(VLOOKUP($F16,Arrangörslista!L$53:$AG$90,16,FALSE),"DNS")))))</f>
        <v/>
      </c>
      <c r="AI16" s="5" t="str">
        <f>IF(Deltagarlista!$K$3=4,IF(ISBLANK(Deltagarlista!$C64),"",IF(ISBLANK(Arrangörslista!H$143),"",IFERROR(VLOOKUP($F16,Arrangörslista!H$143:$AG$180,16,FALSE),IF(ISBLANK(Deltagarlista!$C64),"",IF(ISBLANK(Arrangörslista!H$143),"",IFERROR(VLOOKUP($F16,Arrangörslista!I$143:$AG$180,16,FALSE),"DNS")))))),IF(Deltagarlista!$K$3=2,
IF(ISBLANK(Deltagarlista!$C64),"",IF(ISBLANK(Arrangörslista!M$53),"",IF($GV16=AI$64," DNS ",IFERROR(VLOOKUP($F16,Arrangörslista!M$53:$AG$90,16,FALSE),"DNS")))),IF(ISBLANK(Deltagarlista!$C64),"",IF(ISBLANK(Arrangörslista!M$53),"",IFERROR(VLOOKUP($F16,Arrangörslista!M$53:$AG$90,16,FALSE),"DNS")))))</f>
        <v/>
      </c>
      <c r="AJ16" s="5" t="str">
        <f>IF(Deltagarlista!$K$3=4,IF(ISBLANK(Deltagarlista!$C64),"",IF(ISBLANK(Arrangörslista!J$143),"",IFERROR(VLOOKUP($F16,Arrangörslista!J$143:$AG$180,16,FALSE),IF(ISBLANK(Deltagarlista!$C64),"",IF(ISBLANK(Arrangörslista!J$143),"",IFERROR(VLOOKUP($F16,Arrangörslista!K$143:$AG$180,16,FALSE),"DNS")))))),IF(Deltagarlista!$K$3=2,
IF(ISBLANK(Deltagarlista!$C64),"",IF(ISBLANK(Arrangörslista!N$53),"",IF($GV16=AJ$64," DNS ",IFERROR(VLOOKUP($F16,Arrangörslista!N$53:$AG$90,16,FALSE),"DNS")))),IF(ISBLANK(Deltagarlista!$C64),"",IF(ISBLANK(Arrangörslista!N$53),"",IFERROR(VLOOKUP($F16,Arrangörslista!N$53:$AG$90,16,FALSE),"DNS")))))</f>
        <v/>
      </c>
      <c r="AK16" s="5" t="str">
        <f>IF(Deltagarlista!$K$3=4,IF(ISBLANK(Deltagarlista!$C64),"",IF(ISBLANK(Arrangörslista!L$143),"",IFERROR(VLOOKUP($F16,Arrangörslista!L$143:$AG$180,16,FALSE),IF(ISBLANK(Deltagarlista!$C64),"",IF(ISBLANK(Arrangörslista!L$143),"",IFERROR(VLOOKUP($F16,Arrangörslista!M$143:$AG$180,16,FALSE),"DNS")))))),IF(Deltagarlista!$K$3=2,
IF(ISBLANK(Deltagarlista!$C64),"",IF(ISBLANK(Arrangörslista!O$53),"",IF($GV16=AK$64," DNS ",IFERROR(VLOOKUP($F16,Arrangörslista!O$53:$AG$90,16,FALSE),"DNS")))),IF(ISBLANK(Deltagarlista!$C64),"",IF(ISBLANK(Arrangörslista!O$53),"",IFERROR(VLOOKUP($F16,Arrangörslista!O$53:$AG$90,16,FALSE),"DNS")))))</f>
        <v/>
      </c>
      <c r="AL16" s="5" t="str">
        <f>IF(Deltagarlista!$K$3=4,IF(ISBLANK(Deltagarlista!$C64),"",IF(ISBLANK(Arrangörslista!N$143),"",IFERROR(VLOOKUP($F16,Arrangörslista!N$143:$AG$180,16,FALSE),IF(ISBLANK(Deltagarlista!$C64),"",IF(ISBLANK(Arrangörslista!N$143),"",IFERROR(VLOOKUP($F16,Arrangörslista!O$143:$AG$180,16,FALSE),"DNS")))))),IF(Deltagarlista!$K$3=2,
IF(ISBLANK(Deltagarlista!$C64),"",IF(ISBLANK(Arrangörslista!P$53),"",IF($GV16=AL$64," DNS ",IFERROR(VLOOKUP($F16,Arrangörslista!P$53:$AG$90,16,FALSE),"DNS")))),IF(ISBLANK(Deltagarlista!$C64),"",IF(ISBLANK(Arrangörslista!P$53),"",IFERROR(VLOOKUP($F16,Arrangörslista!P$53:$AG$90,16,FALSE),"DNS")))))</f>
        <v/>
      </c>
      <c r="AM16" s="5" t="str">
        <f>IF(Deltagarlista!$K$3=4,IF(ISBLANK(Deltagarlista!$C64),"",IF(ISBLANK(Arrangörslista!P$143),"",IFERROR(VLOOKUP($F16,Arrangörslista!P$143:$AG$180,16,FALSE),IF(ISBLANK(Deltagarlista!$C64),"",IF(ISBLANK(Arrangörslista!P$143),"",IFERROR(VLOOKUP($F16,Arrangörslista!Q$143:$AG$180,16,FALSE),"DNS")))))),IF(Deltagarlista!$K$3=2,
IF(ISBLANK(Deltagarlista!$C64),"",IF(ISBLANK(Arrangörslista!Q$53),"",IF($GV16=AM$64," DNS ",IFERROR(VLOOKUP($F16,Arrangörslista!Q$53:$AG$90,16,FALSE),"DNS")))),IF(ISBLANK(Deltagarlista!$C64),"",IF(ISBLANK(Arrangörslista!Q$53),"",IFERROR(VLOOKUP($F16,Arrangörslista!Q$53:$AG$90,16,FALSE),"DNS")))))</f>
        <v/>
      </c>
      <c r="AN16" s="5" t="str">
        <f>IF(Deltagarlista!$K$3=2,
IF(ISBLANK(Deltagarlista!$C64),"",IF(ISBLANK(Arrangörslista!C$98),"",IF($GV16=AN$64," DNS ",IFERROR(VLOOKUP($F16,Arrangörslista!C$98:$AG$135,16,FALSE), "DNS")))), IF(Deltagarlista!$K$3=1,IF(ISBLANK(Deltagarlista!$C64),"",IF(ISBLANK(Arrangörslista!C$98),"",IFERROR(VLOOKUP($F16,Arrangörslista!C$98:$AG$135,16,FALSE), "DNS"))),""))</f>
        <v/>
      </c>
      <c r="AO16" s="5" t="str">
        <f>IF(Deltagarlista!$K$3=2,
IF(ISBLANK(Deltagarlista!$C64),"",IF(ISBLANK(Arrangörslista!D$98),"",IF($GV16=AO$64," DNS ",IFERROR(VLOOKUP($F16,Arrangörslista!D$98:$AG$135,16,FALSE), "DNS")))), IF(Deltagarlista!$K$3=1,IF(ISBLANK(Deltagarlista!$C64),"",IF(ISBLANK(Arrangörslista!D$98),"",IFERROR(VLOOKUP($F16,Arrangörslista!D$98:$AG$135,16,FALSE), "DNS"))),""))</f>
        <v/>
      </c>
      <c r="AP16" s="5" t="str">
        <f>IF(Deltagarlista!$K$3=2,
IF(ISBLANK(Deltagarlista!$C64),"",IF(ISBLANK(Arrangörslista!E$98),"",IF($GV16=AP$64," DNS ",IFERROR(VLOOKUP($F16,Arrangörslista!E$98:$AG$135,16,FALSE), "DNS")))), IF(Deltagarlista!$K$3=1,IF(ISBLANK(Deltagarlista!$C64),"",IF(ISBLANK(Arrangörslista!E$98),"",IFERROR(VLOOKUP($F16,Arrangörslista!E$98:$AG$135,16,FALSE), "DNS"))),""))</f>
        <v/>
      </c>
      <c r="AQ16" s="5" t="str">
        <f>IF(Deltagarlista!$K$3=2,
IF(ISBLANK(Deltagarlista!$C64),"",IF(ISBLANK(Arrangörslista!F$98),"",IF($GV16=AQ$64," DNS ",IFERROR(VLOOKUP($F16,Arrangörslista!F$98:$AG$135,16,FALSE), "DNS")))), IF(Deltagarlista!$K$3=1,IF(ISBLANK(Deltagarlista!$C64),"",IF(ISBLANK(Arrangörslista!F$98),"",IFERROR(VLOOKUP($F16,Arrangörslista!F$98:$AG$135,16,FALSE), "DNS"))),""))</f>
        <v/>
      </c>
      <c r="AR16" s="5" t="str">
        <f>IF(Deltagarlista!$K$3=2,
IF(ISBLANK(Deltagarlista!$C64),"",IF(ISBLANK(Arrangörslista!G$98),"",IF($GV16=AR$64," DNS ",IFERROR(VLOOKUP($F16,Arrangörslista!G$98:$AG$135,16,FALSE), "DNS")))), IF(Deltagarlista!$K$3=1,IF(ISBLANK(Deltagarlista!$C64),"",IF(ISBLANK(Arrangörslista!G$98),"",IFERROR(VLOOKUP($F16,Arrangörslista!G$98:$AG$135,16,FALSE), "DNS"))),""))</f>
        <v/>
      </c>
      <c r="AS16" s="5" t="str">
        <f>IF(Deltagarlista!$K$3=2,
IF(ISBLANK(Deltagarlista!$C64),"",IF(ISBLANK(Arrangörslista!H$98),"",IF($GV16=AS$64," DNS ",IFERROR(VLOOKUP($F16,Arrangörslista!H$98:$AG$135,16,FALSE), "DNS")))), IF(Deltagarlista!$K$3=1,IF(ISBLANK(Deltagarlista!$C64),"",IF(ISBLANK(Arrangörslista!H$98),"",IFERROR(VLOOKUP($F16,Arrangörslista!H$98:$AG$135,16,FALSE), "DNS"))),""))</f>
        <v/>
      </c>
      <c r="AT16" s="5" t="str">
        <f>IF(Deltagarlista!$K$3=2,
IF(ISBLANK(Deltagarlista!$C64),"",IF(ISBLANK(Arrangörslista!I$98),"",IF($GV16=AT$64," DNS ",IFERROR(VLOOKUP($F16,Arrangörslista!I$98:$AG$135,16,FALSE), "DNS")))), IF(Deltagarlista!$K$3=1,IF(ISBLANK(Deltagarlista!$C64),"",IF(ISBLANK(Arrangörslista!I$98),"",IFERROR(VLOOKUP($F16,Arrangörslista!I$98:$AG$135,16,FALSE), "DNS"))),""))</f>
        <v/>
      </c>
      <c r="AU16" s="5" t="str">
        <f>IF(Deltagarlista!$K$3=2,
IF(ISBLANK(Deltagarlista!$C64),"",IF(ISBLANK(Arrangörslista!J$98),"",IF($GV16=AU$64," DNS ",IFERROR(VLOOKUP($F16,Arrangörslista!J$98:$AG$135,16,FALSE), "DNS")))), IF(Deltagarlista!$K$3=1,IF(ISBLANK(Deltagarlista!$C64),"",IF(ISBLANK(Arrangörslista!J$98),"",IFERROR(VLOOKUP($F16,Arrangörslista!J$98:$AG$135,16,FALSE), "DNS"))),""))</f>
        <v/>
      </c>
      <c r="AV16" s="5" t="str">
        <f>IF(Deltagarlista!$K$3=2,
IF(ISBLANK(Deltagarlista!$C64),"",IF(ISBLANK(Arrangörslista!K$98),"",IF($GV16=AV$64," DNS ",IFERROR(VLOOKUP($F16,Arrangörslista!K$98:$AG$135,16,FALSE), "DNS")))), IF(Deltagarlista!$K$3=1,IF(ISBLANK(Deltagarlista!$C64),"",IF(ISBLANK(Arrangörslista!K$98),"",IFERROR(VLOOKUP($F16,Arrangörslista!K$98:$AG$135,16,FALSE), "DNS"))),""))</f>
        <v/>
      </c>
      <c r="AW16" s="5" t="str">
        <f>IF(Deltagarlista!$K$3=2,
IF(ISBLANK(Deltagarlista!$C64),"",IF(ISBLANK(Arrangörslista!L$98),"",IF($GV16=AW$64," DNS ",IFERROR(VLOOKUP($F16,Arrangörslista!L$98:$AG$135,16,FALSE), "DNS")))), IF(Deltagarlista!$K$3=1,IF(ISBLANK(Deltagarlista!$C64),"",IF(ISBLANK(Arrangörslista!L$98),"",IFERROR(VLOOKUP($F16,Arrangörslista!L$98:$AG$135,16,FALSE), "DNS"))),""))</f>
        <v/>
      </c>
      <c r="AX16" s="5" t="str">
        <f>IF(Deltagarlista!$K$3=2,
IF(ISBLANK(Deltagarlista!$C64),"",IF(ISBLANK(Arrangörslista!M$98),"",IF($GV16=AX$64," DNS ",IFERROR(VLOOKUP($F16,Arrangörslista!M$98:$AG$135,16,FALSE), "DNS")))), IF(Deltagarlista!$K$3=1,IF(ISBLANK(Deltagarlista!$C64),"",IF(ISBLANK(Arrangörslista!M$98),"",IFERROR(VLOOKUP($F16,Arrangörslista!M$98:$AG$135,16,FALSE), "DNS"))),""))</f>
        <v/>
      </c>
      <c r="AY16" s="5" t="str">
        <f>IF(Deltagarlista!$K$3=2,
IF(ISBLANK(Deltagarlista!$C64),"",IF(ISBLANK(Arrangörslista!N$98),"",IF($GV16=AY$64," DNS ",IFERROR(VLOOKUP($F16,Arrangörslista!N$98:$AG$135,16,FALSE), "DNS")))), IF(Deltagarlista!$K$3=1,IF(ISBLANK(Deltagarlista!$C64),"",IF(ISBLANK(Arrangörslista!N$98),"",IFERROR(VLOOKUP($F16,Arrangörslista!N$98:$AG$135,16,FALSE), "DNS"))),""))</f>
        <v/>
      </c>
      <c r="AZ16" s="5" t="str">
        <f>IF(Deltagarlista!$K$3=2,
IF(ISBLANK(Deltagarlista!$C64),"",IF(ISBLANK(Arrangörslista!O$98),"",IF($GV16=AZ$64," DNS ",IFERROR(VLOOKUP($F16,Arrangörslista!O$98:$AG$135,16,FALSE), "DNS")))), IF(Deltagarlista!$K$3=1,IF(ISBLANK(Deltagarlista!$C64),"",IF(ISBLANK(Arrangörslista!O$98),"",IFERROR(VLOOKUP($F16,Arrangörslista!O$98:$AG$135,16,FALSE), "DNS"))),""))</f>
        <v/>
      </c>
      <c r="BA16" s="5" t="str">
        <f>IF(Deltagarlista!$K$3=2,
IF(ISBLANK(Deltagarlista!$C64),"",IF(ISBLANK(Arrangörslista!P$98),"",IF($GV16=BA$64," DNS ",IFERROR(VLOOKUP($F16,Arrangörslista!P$98:$AG$135,16,FALSE), "DNS")))), IF(Deltagarlista!$K$3=1,IF(ISBLANK(Deltagarlista!$C64),"",IF(ISBLANK(Arrangörslista!P$98),"",IFERROR(VLOOKUP($F16,Arrangörslista!P$98:$AG$135,16,FALSE), "DNS"))),""))</f>
        <v/>
      </c>
      <c r="BB16" s="5" t="str">
        <f>IF(Deltagarlista!$K$3=2,
IF(ISBLANK(Deltagarlista!$C64),"",IF(ISBLANK(Arrangörslista!Q$98),"",IF($GV16=BB$64," DNS ",IFERROR(VLOOKUP($F16,Arrangörslista!Q$98:$AG$135,16,FALSE), "DNS")))), IF(Deltagarlista!$K$3=1,IF(ISBLANK(Deltagarlista!$C64),"",IF(ISBLANK(Arrangörslista!Q$98),"",IFERROR(VLOOKUP($F16,Arrangörslista!Q$98:$AG$135,16,FALSE), "DNS"))),""))</f>
        <v/>
      </c>
      <c r="BC16" s="5" t="str">
        <f>IF(Deltagarlista!$K$3=2,
IF(ISBLANK(Deltagarlista!$C64),"",IF(ISBLANK(Arrangörslista!C$143),"",IF($GV16=BC$64," DNS ",IFERROR(VLOOKUP($F16,Arrangörslista!C$143:$AG$180,16,FALSE), "DNS")))), IF(Deltagarlista!$K$3=1,IF(ISBLANK(Deltagarlista!$C64),"",IF(ISBLANK(Arrangörslista!C$143),"",IFERROR(VLOOKUP($F16,Arrangörslista!C$143:$AG$180,16,FALSE), "DNS"))),""))</f>
        <v/>
      </c>
      <c r="BD16" s="5" t="str">
        <f>IF(Deltagarlista!$K$3=2,
IF(ISBLANK(Deltagarlista!$C64),"",IF(ISBLANK(Arrangörslista!D$143),"",IF($GV16=BD$64," DNS ",IFERROR(VLOOKUP($F16,Arrangörslista!D$143:$AG$180,16,FALSE), "DNS")))), IF(Deltagarlista!$K$3=1,IF(ISBLANK(Deltagarlista!$C64),"",IF(ISBLANK(Arrangörslista!D$143),"",IFERROR(VLOOKUP($F16,Arrangörslista!D$143:$AG$180,16,FALSE), "DNS"))),""))</f>
        <v/>
      </c>
      <c r="BE16" s="5" t="str">
        <f>IF(Deltagarlista!$K$3=2,
IF(ISBLANK(Deltagarlista!$C64),"",IF(ISBLANK(Arrangörslista!E$143),"",IF($GV16=BE$64," DNS ",IFERROR(VLOOKUP($F16,Arrangörslista!E$143:$AG$180,16,FALSE), "DNS")))), IF(Deltagarlista!$K$3=1,IF(ISBLANK(Deltagarlista!$C64),"",IF(ISBLANK(Arrangörslista!E$143),"",IFERROR(VLOOKUP($F16,Arrangörslista!E$143:$AG$180,16,FALSE), "DNS"))),""))</f>
        <v/>
      </c>
      <c r="BF16" s="5" t="str">
        <f>IF(Deltagarlista!$K$3=2,
IF(ISBLANK(Deltagarlista!$C64),"",IF(ISBLANK(Arrangörslista!F$143),"",IF($GV16=BF$64," DNS ",IFERROR(VLOOKUP($F16,Arrangörslista!F$143:$AG$180,16,FALSE), "DNS")))), IF(Deltagarlista!$K$3=1,IF(ISBLANK(Deltagarlista!$C64),"",IF(ISBLANK(Arrangörslista!F$143),"",IFERROR(VLOOKUP($F16,Arrangörslista!F$143:$AG$180,16,FALSE), "DNS"))),""))</f>
        <v/>
      </c>
      <c r="BG16" s="5" t="str">
        <f>IF(Deltagarlista!$K$3=2,
IF(ISBLANK(Deltagarlista!$C64),"",IF(ISBLANK(Arrangörslista!G$143),"",IF($GV16=BG$64," DNS ",IFERROR(VLOOKUP($F16,Arrangörslista!G$143:$AG$180,16,FALSE), "DNS")))), IF(Deltagarlista!$K$3=1,IF(ISBLANK(Deltagarlista!$C64),"",IF(ISBLANK(Arrangörslista!G$143),"",IFERROR(VLOOKUP($F16,Arrangörslista!G$143:$AG$180,16,FALSE), "DNS"))),""))</f>
        <v/>
      </c>
      <c r="BH16" s="5" t="str">
        <f>IF(Deltagarlista!$K$3=2,
IF(ISBLANK(Deltagarlista!$C64),"",IF(ISBLANK(Arrangörslista!H$143),"",IF($GV16=BH$64," DNS ",IFERROR(VLOOKUP($F16,Arrangörslista!H$143:$AG$180,16,FALSE), "DNS")))), IF(Deltagarlista!$K$3=1,IF(ISBLANK(Deltagarlista!$C64),"",IF(ISBLANK(Arrangörslista!H$143),"",IFERROR(VLOOKUP($F16,Arrangörslista!H$143:$AG$180,16,FALSE), "DNS"))),""))</f>
        <v/>
      </c>
      <c r="BI16" s="5" t="str">
        <f>IF(Deltagarlista!$K$3=2,
IF(ISBLANK(Deltagarlista!$C64),"",IF(ISBLANK(Arrangörslista!I$143),"",IF($GV16=BI$64," DNS ",IFERROR(VLOOKUP($F16,Arrangörslista!I$143:$AG$180,16,FALSE), "DNS")))), IF(Deltagarlista!$K$3=1,IF(ISBLANK(Deltagarlista!$C64),"",IF(ISBLANK(Arrangörslista!I$143),"",IFERROR(VLOOKUP($F16,Arrangörslista!I$143:$AG$180,16,FALSE), "DNS"))),""))</f>
        <v/>
      </c>
      <c r="BJ16" s="5" t="str">
        <f>IF(Deltagarlista!$K$3=2,
IF(ISBLANK(Deltagarlista!$C64),"",IF(ISBLANK(Arrangörslista!J$143),"",IF($GV16=BJ$64," DNS ",IFERROR(VLOOKUP($F16,Arrangörslista!J$143:$AG$180,16,FALSE), "DNS")))), IF(Deltagarlista!$K$3=1,IF(ISBLANK(Deltagarlista!$C64),"",IF(ISBLANK(Arrangörslista!J$143),"",IFERROR(VLOOKUP($F16,Arrangörslista!J$143:$AG$180,16,FALSE), "DNS"))),""))</f>
        <v/>
      </c>
      <c r="BK16" s="5" t="str">
        <f>IF(Deltagarlista!$K$3=2,
IF(ISBLANK(Deltagarlista!$C64),"",IF(ISBLANK(Arrangörslista!K$143),"",IF($GV16=BK$64," DNS ",IFERROR(VLOOKUP($F16,Arrangörslista!K$143:$AG$180,16,FALSE), "DNS")))), IF(Deltagarlista!$K$3=1,IF(ISBLANK(Deltagarlista!$C64),"",IF(ISBLANK(Arrangörslista!K$143),"",IFERROR(VLOOKUP($F16,Arrangörslista!K$143:$AG$180,16,FALSE), "DNS"))),""))</f>
        <v/>
      </c>
      <c r="BL16" s="5" t="str">
        <f>IF(Deltagarlista!$K$3=2,
IF(ISBLANK(Deltagarlista!$C64),"",IF(ISBLANK(Arrangörslista!L$143),"",IF($GV16=BL$64," DNS ",IFERROR(VLOOKUP($F16,Arrangörslista!L$143:$AG$180,16,FALSE), "DNS")))), IF(Deltagarlista!$K$3=1,IF(ISBLANK(Deltagarlista!$C64),"",IF(ISBLANK(Arrangörslista!L$143),"",IFERROR(VLOOKUP($F16,Arrangörslista!L$143:$AG$180,16,FALSE), "DNS"))),""))</f>
        <v/>
      </c>
      <c r="BM16" s="5" t="str">
        <f>IF(Deltagarlista!$K$3=2,
IF(ISBLANK(Deltagarlista!$C64),"",IF(ISBLANK(Arrangörslista!M$143),"",IF($GV16=BM$64," DNS ",IFERROR(VLOOKUP($F16,Arrangörslista!M$143:$AG$180,16,FALSE), "DNS")))), IF(Deltagarlista!$K$3=1,IF(ISBLANK(Deltagarlista!$C64),"",IF(ISBLANK(Arrangörslista!M$143),"",IFERROR(VLOOKUP($F16,Arrangörslista!M$143:$AG$180,16,FALSE), "DNS"))),""))</f>
        <v/>
      </c>
      <c r="BN16" s="5" t="str">
        <f>IF(Deltagarlista!$K$3=2,
IF(ISBLANK(Deltagarlista!$C64),"",IF(ISBLANK(Arrangörslista!N$143),"",IF($GV16=BN$64," DNS ",IFERROR(VLOOKUP($F16,Arrangörslista!N$143:$AG$180,16,FALSE), "DNS")))), IF(Deltagarlista!$K$3=1,IF(ISBLANK(Deltagarlista!$C64),"",IF(ISBLANK(Arrangörslista!N$143),"",IFERROR(VLOOKUP($F16,Arrangörslista!N$143:$AG$180,16,FALSE), "DNS"))),""))</f>
        <v/>
      </c>
      <c r="BO16" s="5" t="str">
        <f>IF(Deltagarlista!$K$3=2,
IF(ISBLANK(Deltagarlista!$C64),"",IF(ISBLANK(Arrangörslista!O$143),"",IF($GV16=BO$64," DNS ",IFERROR(VLOOKUP($F16,Arrangörslista!O$143:$AG$180,16,FALSE), "DNS")))), IF(Deltagarlista!$K$3=1,IF(ISBLANK(Deltagarlista!$C64),"",IF(ISBLANK(Arrangörslista!O$143),"",IFERROR(VLOOKUP($F16,Arrangörslista!O$143:$AG$180,16,FALSE), "DNS"))),""))</f>
        <v/>
      </c>
      <c r="BP16" s="5" t="str">
        <f>IF(Deltagarlista!$K$3=2,
IF(ISBLANK(Deltagarlista!$C64),"",IF(ISBLANK(Arrangörslista!P$143),"",IF($GV16=BP$64," DNS ",IFERROR(VLOOKUP($F16,Arrangörslista!P$143:$AG$180,16,FALSE), "DNS")))), IF(Deltagarlista!$K$3=1,IF(ISBLANK(Deltagarlista!$C64),"",IF(ISBLANK(Arrangörslista!P$143),"",IFERROR(VLOOKUP($F16,Arrangörslista!P$143:$AG$180,16,FALSE), "DNS"))),""))</f>
        <v/>
      </c>
      <c r="BQ16" s="80" t="str">
        <f>IF(Deltagarlista!$K$3=2,
IF(ISBLANK(Deltagarlista!$C64),"",IF(ISBLANK(Arrangörslista!Q$143),"",IF($GV16=BQ$64," DNS ",IFERROR(VLOOKUP($F16,Arrangörslista!Q$143:$AG$180,16,FALSE), "DNS")))), IF(Deltagarlista!$K$3=1,IF(ISBLANK(Deltagarlista!$C64),"",IF(ISBLANK(Arrangörslista!Q$143),"",IFERROR(VLOOKUP($F16,Arrangörslista!Q$143:$AG$180,16,FALSE), "DNS"))),""))</f>
        <v/>
      </c>
      <c r="BR16" s="48"/>
      <c r="BS16" s="50" t="str">
        <f t="shared" si="0"/>
        <v>2</v>
      </c>
      <c r="BU16" s="71">
        <f t="shared" si="1"/>
        <v>0</v>
      </c>
      <c r="BV16" s="61">
        <f t="shared" si="2"/>
        <v>0</v>
      </c>
      <c r="BW16" s="61">
        <f t="shared" si="3"/>
        <v>0</v>
      </c>
      <c r="BX16" s="61">
        <f t="shared" si="4"/>
        <v>0</v>
      </c>
      <c r="BY16" s="61">
        <f t="shared" si="5"/>
        <v>0</v>
      </c>
      <c r="BZ16" s="61">
        <f t="shared" si="6"/>
        <v>0</v>
      </c>
      <c r="CA16" s="61">
        <f t="shared" si="7"/>
        <v>0</v>
      </c>
      <c r="CB16" s="61">
        <f t="shared" si="8"/>
        <v>0</v>
      </c>
      <c r="CC16" s="61">
        <f t="shared" si="9"/>
        <v>0</v>
      </c>
      <c r="CD16" s="61">
        <f t="shared" si="10"/>
        <v>0</v>
      </c>
      <c r="CE16" s="61">
        <f t="shared" si="11"/>
        <v>0</v>
      </c>
      <c r="CF16" s="61">
        <f t="shared" si="12"/>
        <v>0</v>
      </c>
      <c r="CG16" s="61">
        <f t="shared" si="13"/>
        <v>0</v>
      </c>
      <c r="CH16" s="61">
        <f t="shared" si="14"/>
        <v>0</v>
      </c>
      <c r="CI16" s="61">
        <f t="shared" si="15"/>
        <v>0</v>
      </c>
      <c r="CJ16" s="61">
        <f t="shared" si="16"/>
        <v>0</v>
      </c>
      <c r="CK16" s="61">
        <f t="shared" si="17"/>
        <v>0</v>
      </c>
      <c r="CL16" s="61">
        <f t="shared" si="18"/>
        <v>0</v>
      </c>
      <c r="CM16" s="61">
        <f t="shared" si="19"/>
        <v>0</v>
      </c>
      <c r="CN16" s="61">
        <f t="shared" si="20"/>
        <v>0</v>
      </c>
      <c r="CO16" s="61">
        <f t="shared" si="21"/>
        <v>0</v>
      </c>
      <c r="CP16" s="61">
        <f t="shared" si="22"/>
        <v>0</v>
      </c>
      <c r="CQ16" s="61">
        <f t="shared" si="23"/>
        <v>0</v>
      </c>
      <c r="CR16" s="61">
        <f t="shared" si="24"/>
        <v>0</v>
      </c>
      <c r="CS16" s="61">
        <f t="shared" si="25"/>
        <v>0</v>
      </c>
      <c r="CT16" s="61">
        <f t="shared" si="26"/>
        <v>0</v>
      </c>
      <c r="CU16" s="61">
        <f t="shared" si="27"/>
        <v>0</v>
      </c>
      <c r="CV16" s="61">
        <f t="shared" si="28"/>
        <v>0</v>
      </c>
      <c r="CW16" s="61">
        <f t="shared" si="29"/>
        <v>0</v>
      </c>
      <c r="CX16" s="61">
        <f t="shared" si="30"/>
        <v>0</v>
      </c>
      <c r="CY16" s="61">
        <f t="shared" si="31"/>
        <v>0</v>
      </c>
      <c r="CZ16" s="61">
        <f t="shared" si="32"/>
        <v>0</v>
      </c>
      <c r="DA16" s="61">
        <f t="shared" si="33"/>
        <v>0</v>
      </c>
      <c r="DB16" s="61">
        <f t="shared" si="34"/>
        <v>0</v>
      </c>
      <c r="DC16" s="61">
        <f t="shared" si="35"/>
        <v>0</v>
      </c>
      <c r="DD16" s="61">
        <f t="shared" si="36"/>
        <v>0</v>
      </c>
      <c r="DE16" s="61">
        <f t="shared" si="37"/>
        <v>0</v>
      </c>
      <c r="DF16" s="61">
        <f t="shared" si="38"/>
        <v>0</v>
      </c>
      <c r="DG16" s="61">
        <f t="shared" si="39"/>
        <v>0</v>
      </c>
      <c r="DH16" s="61">
        <f t="shared" si="40"/>
        <v>0</v>
      </c>
      <c r="DI16" s="61">
        <f t="shared" si="41"/>
        <v>0</v>
      </c>
      <c r="DJ16" s="61">
        <f t="shared" si="42"/>
        <v>0</v>
      </c>
      <c r="DK16" s="61">
        <f t="shared" si="43"/>
        <v>0</v>
      </c>
      <c r="DL16" s="61">
        <f t="shared" si="44"/>
        <v>0</v>
      </c>
      <c r="DM16" s="61">
        <f t="shared" si="45"/>
        <v>0</v>
      </c>
      <c r="DN16" s="61">
        <f t="shared" si="46"/>
        <v>0</v>
      </c>
      <c r="DO16" s="61">
        <f t="shared" si="47"/>
        <v>0</v>
      </c>
      <c r="DP16" s="61">
        <f t="shared" si="48"/>
        <v>0</v>
      </c>
      <c r="DQ16" s="61">
        <f t="shared" si="49"/>
        <v>0</v>
      </c>
      <c r="DR16" s="61">
        <f t="shared" si="50"/>
        <v>0</v>
      </c>
      <c r="DS16" s="61">
        <f t="shared" si="51"/>
        <v>0</v>
      </c>
      <c r="DT16" s="61">
        <f t="shared" si="52"/>
        <v>0</v>
      </c>
      <c r="DU16" s="61">
        <f t="shared" si="53"/>
        <v>0</v>
      </c>
      <c r="DV16" s="61">
        <f t="shared" si="54"/>
        <v>0</v>
      </c>
      <c r="DW16" s="61">
        <f t="shared" si="55"/>
        <v>0</v>
      </c>
      <c r="DX16" s="61">
        <f t="shared" si="56"/>
        <v>0</v>
      </c>
      <c r="DY16" s="61">
        <f t="shared" si="57"/>
        <v>0</v>
      </c>
      <c r="DZ16" s="61">
        <f t="shared" si="58"/>
        <v>0</v>
      </c>
      <c r="EA16" s="61">
        <f t="shared" si="59"/>
        <v>0</v>
      </c>
      <c r="EB16" s="61">
        <f t="shared" si="60"/>
        <v>0</v>
      </c>
      <c r="EC16" s="61">
        <f t="shared" si="61"/>
        <v>0</v>
      </c>
      <c r="EE16" s="61">
        <f xml:space="preserve">
IF(OR(Deltagarlista!$K$3=3,Deltagarlista!$K$3=4),
IF(Arrangörslista!$U$5&lt;8,0,
IF(Arrangörslista!$U$5&lt;16,SUM(LARGE(BV16:CJ16,1)),
IF(Arrangörslista!$U$5&lt;24,SUM(LARGE(BV16:CR16,{1;2})),
IF(Arrangörslista!$U$5&lt;32,SUM(LARGE(BV16:CZ16,{1;2;3})),
IF(Arrangörslista!$U$5&lt;40,SUM(LARGE(BV16:DH16,{1;2;3;4})),
IF(Arrangörslista!$U$5&lt;48,SUM(LARGE(BV16:DP16,{1;2;3;4;5})),
IF(Arrangörslista!$U$5&lt;56,SUM(LARGE(BV16:DX16,{1;2;3;4;5;6})),
IF(Arrangörslista!$U$5&lt;64,SUM(LARGE(BV16:EC16,{1;2;3;4;5;6;7})),0)))))))),
IF(Deltagarlista!$K$3=2,
IF(Arrangörslista!$U$5&lt;4,LARGE(BV16:BX16,1),
IF(Arrangörslista!$U$5&lt;7,SUM(LARGE(BV16:CA16,{1;2;3})),
IF(Arrangörslista!$U$5&lt;10,SUM(LARGE(BV16:CD16,{1;2;3;4})),
IF(Arrangörslista!$U$5&lt;13,SUM(LARGE(BV16:CG16,{1;2;3;4;5;6})),
IF(Arrangörslista!$U$5&lt;16,SUM(LARGE(BV16:CJ16,{1;2;3;4;5;6;7})),
IF(Arrangörslista!$U$5&lt;19,SUM(LARGE(BV16:CM16,{1;2;3;4;5;6;7;8;9})),
IF(Arrangörslista!$U$5&lt;22,SUM(LARGE(BV16:CP16,{1;2;3;4;5;6;7;8;9;10})),
IF(Arrangörslista!$U$5&lt;25,SUM(LARGE(BV16:CS16,{1;2;3;4;5;6;7;8;9;10;11;12})),
IF(Arrangörslista!$U$5&lt;28,SUM(LARGE(BV16:CV16,{1;2;3;4;5;6;7;8;9;10;11;12;13})),
IF(Arrangörslista!$U$5&lt;31,SUM(LARGE(BV16:CY16,{1;2;3;4;5;6;7;8;9;10;11;12;13;14;15})),
IF(Arrangörslista!$U$5&lt;34,SUM(LARGE(BV16:DB16,{1;2;3;4;5;6;7;8;9;10;11;12;13;14;15;16})),
IF(Arrangörslista!$U$5&lt;37,SUM(LARGE(BV16:DE16,{1;2;3;4;5;6;7;8;9;10;11;12;13;14;15;16;17;18})),
IF(Arrangörslista!$U$5&lt;40,SUM(LARGE(BV16:DH16,{1;2;3;4;5;6;7;8;9;10;11;12;13;14;15;16;17;18;19})),
IF(Arrangörslista!$U$5&lt;43,SUM(LARGE(BV16:DK16,{1;2;3;4;5;6;7;8;9;10;11;12;13;14;15;16;17;18;19;20;21})),
IF(Arrangörslista!$U$5&lt;46,SUM(LARGE(BV16:DN16,{1;2;3;4;5;6;7;8;9;10;11;12;13;14;15;16;17;18;19;20;21;22})),
IF(Arrangörslista!$U$5&lt;49,SUM(LARGE(BV16:DQ16,{1;2;3;4;5;6;7;8;9;10;11;12;13;14;15;16;17;18;19;20;21;22;23;24})),
IF(Arrangörslista!$U$5&lt;52,SUM(LARGE(BV16:DT16,{1;2;3;4;5;6;7;8;9;10;11;12;13;14;15;16;17;18;19;20;21;22;23;24;25})),
IF(Arrangörslista!$U$5&lt;55,SUM(LARGE(BV16:DW16,{1;2;3;4;5;6;7;8;9;10;11;12;13;14;15;16;17;18;19;20;21;22;23;24;25;26;27})),
IF(Arrangörslista!$U$5&lt;58,SUM(LARGE(BV16:DZ16,{1;2;3;4;5;6;7;8;9;10;11;12;13;14;15;16;17;18;19;20;21;22;23;24;25;26;27;28})),
IF(Arrangörslista!$U$5&lt;61,SUM(LARGE(BV16:EC16,{1;2;3;4;5;6;7;8;9;10;11;12;13;14;15;16;17;18;19;20;21;22;23;24;25;26;27;28;29;30})),0)))))))))))))))))))),
IF(Arrangörslista!$U$5&lt;4,0,
IF(Arrangörslista!$U$5&lt;8,SUM(LARGE(BV16:CB16,1)),
IF(Arrangörslista!$U$5&lt;12,SUM(LARGE(BV16:CF16,{1;2})),
IF(Arrangörslista!$U$5&lt;16,SUM(LARGE(BV16:CJ16,{1;2;3})),
IF(Arrangörslista!$U$5&lt;20,SUM(LARGE(BV16:CN16,{1;2;3;4})),
IF(Arrangörslista!$U$5&lt;24,SUM(LARGE(BV16:CR16,{1;2;3;4;5})),
IF(Arrangörslista!$U$5&lt;28,SUM(LARGE(BV16:CV16,{1;2;3;4;5;6})),
IF(Arrangörslista!$U$5&lt;32,SUM(LARGE(BV16:CZ16,{1;2;3;4;5;6;7})),
IF(Arrangörslista!$U$5&lt;36,SUM(LARGE(BV16:DD16,{1;2;3;4;5;6;7;8})),
IF(Arrangörslista!$U$5&lt;40,SUM(LARGE(BV16:DH16,{1;2;3;4;5;6;7;8;9})),
IF(Arrangörslista!$U$5&lt;44,SUM(LARGE(BV16:DL16,{1;2;3;4;5;6;7;8;9;10})),
IF(Arrangörslista!$U$5&lt;48,SUM(LARGE(BV16:DP16,{1;2;3;4;5;6;7;8;9;10;11})),
IF(Arrangörslista!$U$5&lt;52,SUM(LARGE(BV16:DT16,{1;2;3;4;5;6;7;8;9;10;11;12})),
IF(Arrangörslista!$U$5&lt;56,SUM(LARGE(BV16:DX16,{1;2;3;4;5;6;7;8;9;10;11;12;13})),
IF(Arrangörslista!$U$5&lt;60,SUM(LARGE(BV16:EB16,{1;2;3;4;5;6;7;8;9;10;11;12;13;14})),
IF(Arrangörslista!$U$5=60,SUM(LARGE(BV16:EC16,{1;2;3;4;5;6;7;8;9;10;11;12;13;14;15})),0))))))))))))))))))</f>
        <v>0</v>
      </c>
      <c r="EG16" s="67">
        <f t="shared" si="62"/>
        <v>0</v>
      </c>
      <c r="EH16" s="61"/>
      <c r="EI16" s="61"/>
      <c r="EK16" s="62">
        <f t="shared" si="63"/>
        <v>61</v>
      </c>
      <c r="EL16" s="62">
        <f t="shared" si="64"/>
        <v>61</v>
      </c>
      <c r="EM16" s="62">
        <f t="shared" si="65"/>
        <v>61</v>
      </c>
      <c r="EN16" s="62">
        <f t="shared" si="66"/>
        <v>61</v>
      </c>
      <c r="EO16" s="62">
        <f t="shared" si="67"/>
        <v>61</v>
      </c>
      <c r="EP16" s="62">
        <f t="shared" si="68"/>
        <v>61</v>
      </c>
      <c r="EQ16" s="62">
        <f t="shared" si="69"/>
        <v>61</v>
      </c>
      <c r="ER16" s="62">
        <f t="shared" si="70"/>
        <v>61</v>
      </c>
      <c r="ES16" s="62">
        <f t="shared" si="71"/>
        <v>61</v>
      </c>
      <c r="ET16" s="62">
        <f t="shared" si="72"/>
        <v>61</v>
      </c>
      <c r="EU16" s="62">
        <f t="shared" si="73"/>
        <v>61</v>
      </c>
      <c r="EV16" s="62">
        <f t="shared" si="74"/>
        <v>61</v>
      </c>
      <c r="EW16" s="62">
        <f t="shared" si="75"/>
        <v>61</v>
      </c>
      <c r="EX16" s="62">
        <f t="shared" si="76"/>
        <v>61</v>
      </c>
      <c r="EY16" s="62">
        <f t="shared" si="77"/>
        <v>61</v>
      </c>
      <c r="EZ16" s="62">
        <f t="shared" si="78"/>
        <v>61</v>
      </c>
      <c r="FA16" s="62">
        <f t="shared" si="79"/>
        <v>61</v>
      </c>
      <c r="FB16" s="62">
        <f t="shared" si="80"/>
        <v>61</v>
      </c>
      <c r="FC16" s="62">
        <f t="shared" si="81"/>
        <v>61</v>
      </c>
      <c r="FD16" s="62">
        <f t="shared" si="82"/>
        <v>61</v>
      </c>
      <c r="FE16" s="62">
        <f t="shared" si="83"/>
        <v>61</v>
      </c>
      <c r="FF16" s="62">
        <f t="shared" si="84"/>
        <v>61</v>
      </c>
      <c r="FG16" s="62">
        <f t="shared" si="85"/>
        <v>61</v>
      </c>
      <c r="FH16" s="62">
        <f t="shared" si="86"/>
        <v>61</v>
      </c>
      <c r="FI16" s="62">
        <f t="shared" si="87"/>
        <v>61</v>
      </c>
      <c r="FJ16" s="62">
        <f t="shared" si="88"/>
        <v>61</v>
      </c>
      <c r="FK16" s="62">
        <f t="shared" si="89"/>
        <v>61</v>
      </c>
      <c r="FL16" s="62">
        <f t="shared" si="90"/>
        <v>61</v>
      </c>
      <c r="FM16" s="62">
        <f t="shared" si="91"/>
        <v>61</v>
      </c>
      <c r="FN16" s="62">
        <f t="shared" si="92"/>
        <v>61</v>
      </c>
      <c r="FO16" s="62">
        <f t="shared" si="93"/>
        <v>61</v>
      </c>
      <c r="FP16" s="62">
        <f t="shared" si="94"/>
        <v>61</v>
      </c>
      <c r="FQ16" s="62">
        <f t="shared" si="95"/>
        <v>61</v>
      </c>
      <c r="FR16" s="62">
        <f t="shared" si="96"/>
        <v>61</v>
      </c>
      <c r="FS16" s="62">
        <f t="shared" si="97"/>
        <v>61</v>
      </c>
      <c r="FT16" s="62">
        <f t="shared" si="98"/>
        <v>61</v>
      </c>
      <c r="FU16" s="62">
        <f t="shared" si="99"/>
        <v>61</v>
      </c>
      <c r="FV16" s="62">
        <f t="shared" si="100"/>
        <v>61</v>
      </c>
      <c r="FW16" s="62">
        <f t="shared" si="101"/>
        <v>61</v>
      </c>
      <c r="FX16" s="62">
        <f t="shared" si="102"/>
        <v>61</v>
      </c>
      <c r="FY16" s="62">
        <f t="shared" si="103"/>
        <v>61</v>
      </c>
      <c r="FZ16" s="62">
        <f t="shared" si="104"/>
        <v>61</v>
      </c>
      <c r="GA16" s="62">
        <f t="shared" si="105"/>
        <v>61</v>
      </c>
      <c r="GB16" s="62">
        <f t="shared" si="106"/>
        <v>61</v>
      </c>
      <c r="GC16" s="62">
        <f t="shared" si="107"/>
        <v>61</v>
      </c>
      <c r="GD16" s="62">
        <f t="shared" si="108"/>
        <v>61</v>
      </c>
      <c r="GE16" s="62">
        <f t="shared" si="109"/>
        <v>61</v>
      </c>
      <c r="GF16" s="62">
        <f t="shared" si="110"/>
        <v>61</v>
      </c>
      <c r="GG16" s="62">
        <f t="shared" si="111"/>
        <v>61</v>
      </c>
      <c r="GH16" s="62">
        <f t="shared" si="112"/>
        <v>61</v>
      </c>
      <c r="GI16" s="62">
        <f t="shared" si="113"/>
        <v>61</v>
      </c>
      <c r="GJ16" s="62">
        <f t="shared" si="114"/>
        <v>61</v>
      </c>
      <c r="GK16" s="62">
        <f t="shared" si="115"/>
        <v>61</v>
      </c>
      <c r="GL16" s="62">
        <f t="shared" si="116"/>
        <v>61</v>
      </c>
      <c r="GM16" s="62">
        <f t="shared" si="117"/>
        <v>61</v>
      </c>
      <c r="GN16" s="62">
        <f t="shared" si="118"/>
        <v>61</v>
      </c>
      <c r="GO16" s="62">
        <f t="shared" si="119"/>
        <v>61</v>
      </c>
      <c r="GP16" s="62">
        <f t="shared" si="120"/>
        <v>61</v>
      </c>
      <c r="GQ16" s="62">
        <f t="shared" si="121"/>
        <v>61</v>
      </c>
      <c r="GR16" s="62">
        <f t="shared" si="122"/>
        <v>61</v>
      </c>
      <c r="GT16" s="62">
        <f>IF(Deltagarlista!$K$3=2,
IF(GW16="1",
      IF(Arrangörslista!$U$5=1,J79,
IF(Arrangörslista!$U$5=2,K79,
IF(Arrangörslista!$U$5=3,L79,
IF(Arrangörslista!$U$5=4,M79,
IF(Arrangörslista!$U$5=5,N79,
IF(Arrangörslista!$U$5=6,O79,
IF(Arrangörslista!$U$5=7,P79,
IF(Arrangörslista!$U$5=8,Q79,
IF(Arrangörslista!$U$5=9,R79,
IF(Arrangörslista!$U$5=10,S79,
IF(Arrangörslista!$U$5=11,T79,
IF(Arrangörslista!$U$5=12,U79,
IF(Arrangörslista!$U$5=13,V79,
IF(Arrangörslista!$U$5=14,W79,
IF(Arrangörslista!$U$5=15,X79,
IF(Arrangörslista!$U$5=16,Y79,IF(Arrangörslista!$U$5=17,Z79,IF(Arrangörslista!$U$5=18,AA79,IF(Arrangörslista!$U$5=19,AB79,IF(Arrangörslista!$U$5=20,AC79,IF(Arrangörslista!$U$5=21,AD79,IF(Arrangörslista!$U$5=22,AE79,IF(Arrangörslista!$U$5=23,AF79, IF(Arrangörslista!$U$5=24,AG79, IF(Arrangörslista!$U$5=25,AH79, IF(Arrangörslista!$U$5=26,AI79, IF(Arrangörslista!$U$5=27,AJ79, IF(Arrangörslista!$U$5=28,AK79, IF(Arrangörslista!$U$5=29,AL79, IF(Arrangörslista!$U$5=30,AM79, IF(Arrangörslista!$U$5=31,AN79, IF(Arrangörslista!$U$5=32,AO79, IF(Arrangörslista!$U$5=33,AP79, IF(Arrangörslista!$U$5=34,AQ79, IF(Arrangörslista!$U$5=35,AR79, IF(Arrangörslista!$U$5=36,AS79, IF(Arrangörslista!$U$5=37,AT79, IF(Arrangörslista!$U$5=38,AU79, IF(Arrangörslista!$U$5=39,AV79, IF(Arrangörslista!$U$5=40,AW79, IF(Arrangörslista!$U$5=41,AX79, IF(Arrangörslista!$U$5=42,AY79, IF(Arrangörslista!$U$5=43,AZ79, IF(Arrangörslista!$U$5=44,BA79, IF(Arrangörslista!$U$5=45,BB79, IF(Arrangörslista!$U$5=46,BC79, IF(Arrangörslista!$U$5=47,BD79, IF(Arrangörslista!$U$5=48,BE79, IF(Arrangörslista!$U$5=49,BF79, IF(Arrangörslista!$U$5=50,BG79, IF(Arrangörslista!$U$5=51,BH79, IF(Arrangörslista!$U$5=52,BI79, IF(Arrangörslista!$U$5=53,BJ79, IF(Arrangörslista!$U$5=54,BK79, IF(Arrangörslista!$U$5=55,BL79, IF(Arrangörslista!$U$5=56,BM79, IF(Arrangörslista!$U$5=57,BN79, IF(Arrangörslista!$U$5=58,BO79, IF(Arrangörslista!$U$5=59,BP79, IF(Arrangörslista!$U$5=60,BQ79,0))))))))))))))))))))))))))))))))))))))))))))))))))))))))))))),IF(Deltagarlista!$K$3=4, IF(Arrangörslista!$U$5=1,J79,
IF(Arrangörslista!$U$5=2,J79,
IF(Arrangörslista!$U$5=3,K79,
IF(Arrangörslista!$U$5=4,K79,
IF(Arrangörslista!$U$5=5,L79,
IF(Arrangörslista!$U$5=6,L79,
IF(Arrangörslista!$U$5=7,M79,
IF(Arrangörslista!$U$5=8,M79,
IF(Arrangörslista!$U$5=9,N79,
IF(Arrangörslista!$U$5=10,N79,
IF(Arrangörslista!$U$5=11,O79,
IF(Arrangörslista!$U$5=12,O79,
IF(Arrangörslista!$U$5=13,P79,
IF(Arrangörslista!$U$5=14,P79,
IF(Arrangörslista!$U$5=15,Q79,
IF(Arrangörslista!$U$5=16,Q79,
IF(Arrangörslista!$U$5=17,R79,
IF(Arrangörslista!$U$5=18,R79,
IF(Arrangörslista!$U$5=19,S79,
IF(Arrangörslista!$U$5=20,S79,
IF(Arrangörslista!$U$5=21,T79,
IF(Arrangörslista!$U$5=22,T79,IF(Arrangörslista!$U$5=23,U79, IF(Arrangörslista!$U$5=24,U79, IF(Arrangörslista!$U$5=25,V79, IF(Arrangörslista!$U$5=26,V79, IF(Arrangörslista!$U$5=27,W79, IF(Arrangörslista!$U$5=28,W79, IF(Arrangörslista!$U$5=29,X79, IF(Arrangörslista!$U$5=30,X79, IF(Arrangörslista!$U$5=31,X79, IF(Arrangörslista!$U$5=32,Y79, IF(Arrangörslista!$U$5=33,AO79, IF(Arrangörslista!$U$5=34,Y79, IF(Arrangörslista!$U$5=35,Z79, IF(Arrangörslista!$U$5=36,AR79, IF(Arrangörslista!$U$5=37,Z79, IF(Arrangörslista!$U$5=38,AA79, IF(Arrangörslista!$U$5=39,AU79, IF(Arrangörslista!$U$5=40,AA79, IF(Arrangörslista!$U$5=41,AB79, IF(Arrangörslista!$U$5=42,AX79, IF(Arrangörslista!$U$5=43,AB79, IF(Arrangörslista!$U$5=44,AC79, IF(Arrangörslista!$U$5=45,BA79, IF(Arrangörslista!$U$5=46,AC79, IF(Arrangörslista!$U$5=47,AD79, IF(Arrangörslista!$U$5=48,BD79, IF(Arrangörslista!$U$5=49,AD79, IF(Arrangörslista!$U$5=50,AE79, IF(Arrangörslista!$U$5=51,BG79, IF(Arrangörslista!$U$5=52,AE79, IF(Arrangörslista!$U$5=53,AF79, IF(Arrangörslista!$U$5=54,BJ79, IF(Arrangörslista!$U$5=55,AF79, IF(Arrangörslista!$U$5=56,AG79, IF(Arrangörslista!$U$5=57,BM79, IF(Arrangörslista!$U$5=58,AG79, IF(Arrangörslista!$U$5=59,AH79, IF(Arrangörslista!$U$5=60,AH79,0)))))))))))))))))))))))))))))))))))))))))))))))))))))))))))),IF(Arrangörslista!$U$5=1,J79,
IF(Arrangörslista!$U$5=2,K79,
IF(Arrangörslista!$U$5=3,L79,
IF(Arrangörslista!$U$5=4,M79,
IF(Arrangörslista!$U$5=5,N79,
IF(Arrangörslista!$U$5=6,O79,
IF(Arrangörslista!$U$5=7,P79,
IF(Arrangörslista!$U$5=8,Q79,
IF(Arrangörslista!$U$5=9,R79,
IF(Arrangörslista!$U$5=10,S79,
IF(Arrangörslista!$U$5=11,T79,
IF(Arrangörslista!$U$5=12,U79,
IF(Arrangörslista!$U$5=13,V79,
IF(Arrangörslista!$U$5=14,W79,
IF(Arrangörslista!$U$5=15,X79,
IF(Arrangörslista!$U$5=16,Y79,IF(Arrangörslista!$U$5=17,Z79,IF(Arrangörslista!$U$5=18,AA79,IF(Arrangörslista!$U$5=19,AB79,IF(Arrangörslista!$U$5=20,AC79,IF(Arrangörslista!$U$5=21,AD79,IF(Arrangörslista!$U$5=22,AE79,IF(Arrangörslista!$U$5=23,AF79, IF(Arrangörslista!$U$5=24,AG79, IF(Arrangörslista!$U$5=25,AH79, IF(Arrangörslista!$U$5=26,AI79, IF(Arrangörslista!$U$5=27,AJ79, IF(Arrangörslista!$U$5=28,AK79, IF(Arrangörslista!$U$5=29,AL79, IF(Arrangörslista!$U$5=30,AM79, IF(Arrangörslista!$U$5=31,AN79, IF(Arrangörslista!$U$5=32,AO79, IF(Arrangörslista!$U$5=33,AP79, IF(Arrangörslista!$U$5=34,AQ79, IF(Arrangörslista!$U$5=35,AR79, IF(Arrangörslista!$U$5=36,AS79, IF(Arrangörslista!$U$5=37,AT79, IF(Arrangörslista!$U$5=38,AU79, IF(Arrangörslista!$U$5=39,AV79, IF(Arrangörslista!$U$5=40,AW79, IF(Arrangörslista!$U$5=41,AX79, IF(Arrangörslista!$U$5=42,AY79, IF(Arrangörslista!$U$5=43,AZ79, IF(Arrangörslista!$U$5=44,BA79, IF(Arrangörslista!$U$5=45,BB79, IF(Arrangörslista!$U$5=46,BC79, IF(Arrangörslista!$U$5=47,BD79, IF(Arrangörslista!$U$5=48,BE79, IF(Arrangörslista!$U$5=49,BF79, IF(Arrangörslista!$U$5=50,BG79, IF(Arrangörslista!$U$5=51,BH79, IF(Arrangörslista!$U$5=52,BI79, IF(Arrangörslista!$U$5=53,BJ79, IF(Arrangörslista!$U$5=54,BK79, IF(Arrangörslista!$U$5=55,BL79, IF(Arrangörslista!$U$5=56,BM79, IF(Arrangörslista!$U$5=57,BN79, IF(Arrangörslista!$U$5=58,BO79, IF(Arrangörslista!$U$5=59,BP79, IF(Arrangörslista!$U$5=60,BQ79,0))))))))))))))))))))))))))))))))))))))))))))))))))))))))))))
))</f>
        <v>0</v>
      </c>
      <c r="GV16" s="65" t="str">
        <f>IFERROR(IF(VLOOKUP(F16,Deltagarlista!$E$5:$I$64,5,FALSE)="Grön","Gr",IF(VLOOKUP(F16,Deltagarlista!$E$5:$I$64,5,FALSE)="Röd","R",IF(VLOOKUP(F16,Deltagarlista!$E$5:$I$64,5,FALSE)="Blå","B","Gu"))),"")</f>
        <v/>
      </c>
      <c r="GW16" s="62" t="str">
        <f t="shared" si="124"/>
        <v/>
      </c>
    </row>
    <row r="17" spans="2:205" x14ac:dyDescent="0.3">
      <c r="B17" s="23" t="str">
        <f>IF((COUNTIF(Deltagarlista!$H$5:$H$64,"GM"))&gt;13,14,"")</f>
        <v/>
      </c>
      <c r="C17" s="92" t="str">
        <f>IF(ISBLANK(Deltagarlista!C55),"",Deltagarlista!C55)</f>
        <v/>
      </c>
      <c r="D17" s="109" t="str">
        <f>CONCATENATE(IF(Deltagarlista!H55="GM","GM   ",""), IF(OR(Deltagarlista!$K$3=4,Deltagarlista!$K$3=2),Deltagarlista!I55,""))</f>
        <v/>
      </c>
      <c r="E17" s="8" t="str">
        <f>IF(ISBLANK(Deltagarlista!D55),"",Deltagarlista!D55)</f>
        <v/>
      </c>
      <c r="F17" s="8" t="str">
        <f>IF(ISBLANK(Deltagarlista!E55),"",Deltagarlista!E55)</f>
        <v/>
      </c>
      <c r="G17" s="95" t="str">
        <f>IF(ISBLANK(Deltagarlista!F55),"",Deltagarlista!F55)</f>
        <v/>
      </c>
      <c r="H17" s="72" t="str">
        <f>IF(ISBLANK(Deltagarlista!C55),"",BU17-EE17)</f>
        <v/>
      </c>
      <c r="I17" s="13" t="str">
        <f>IF(ISBLANK(Deltagarlista!C55),"",IF(AND(Deltagarlista!$K$3=2,Deltagarlista!$L$3&lt;37),SUM(SUM(BV17:EC17)-(ROUNDDOWN(Arrangörslista!$U$5/3,1))*($BW$3+1)),SUM(BV17:EC17)))</f>
        <v/>
      </c>
      <c r="J17" s="79" t="str">
        <f>IF(Deltagarlista!$K$3=4,IF(ISBLANK(Deltagarlista!$C55),"",IF(ISBLANK(Arrangörslista!C$8),"",IFERROR(VLOOKUP($F17,Arrangörslista!C$8:$AG$45,16,FALSE),IF(ISBLANK(Deltagarlista!$C55),"",IF(ISBLANK(Arrangörslista!C$8),"",IFERROR(VLOOKUP($F17,Arrangörslista!D$8:$AG$45,16,FALSE),"DNS")))))),IF(Deltagarlista!$K$3=2,
IF(ISBLANK(Deltagarlista!$C55),"",IF(ISBLANK(Arrangörslista!C$8),"",IF($GV17=J$64," DNS ",IFERROR(VLOOKUP($F17,Arrangörslista!C$8:$AG$45,16,FALSE),"DNS")))),IF(ISBLANK(Deltagarlista!$C55),"",IF(ISBLANK(Arrangörslista!C$8),"",IFERROR(VLOOKUP($F17,Arrangörslista!C$8:$AG$45,16,FALSE),"DNS")))))</f>
        <v/>
      </c>
      <c r="K17" s="5" t="str">
        <f>IF(Deltagarlista!$K$3=4,IF(ISBLANK(Deltagarlista!$C55),"",IF(ISBLANK(Arrangörslista!E$8),"",IFERROR(VLOOKUP($F17,Arrangörslista!E$8:$AG$45,16,FALSE),IF(ISBLANK(Deltagarlista!$C55),"",IF(ISBLANK(Arrangörslista!E$8),"",IFERROR(VLOOKUP($F17,Arrangörslista!F$8:$AG$45,16,FALSE),"DNS")))))),IF(Deltagarlista!$K$3=2,
IF(ISBLANK(Deltagarlista!$C55),"",IF(ISBLANK(Arrangörslista!D$8),"",IF($GV17=K$64," DNS ",IFERROR(VLOOKUP($F17,Arrangörslista!D$8:$AG$45,16,FALSE),"DNS")))),IF(ISBLANK(Deltagarlista!$C55),"",IF(ISBLANK(Arrangörslista!D$8),"",IFERROR(VLOOKUP($F17,Arrangörslista!D$8:$AG$45,16,FALSE),"DNS")))))</f>
        <v/>
      </c>
      <c r="L17" s="5" t="str">
        <f>IF(Deltagarlista!$K$3=4,IF(ISBLANK(Deltagarlista!$C55),"",IF(ISBLANK(Arrangörslista!G$8),"",IFERROR(VLOOKUP($F17,Arrangörslista!G$8:$AG$45,16,FALSE),IF(ISBLANK(Deltagarlista!$C55),"",IF(ISBLANK(Arrangörslista!G$8),"",IFERROR(VLOOKUP($F17,Arrangörslista!H$8:$AG$45,16,FALSE),"DNS")))))),IF(Deltagarlista!$K$3=2,
IF(ISBLANK(Deltagarlista!$C55),"",IF(ISBLANK(Arrangörslista!E$8),"",IF($GV17=L$64," DNS ",IFERROR(VLOOKUP($F17,Arrangörslista!E$8:$AG$45,16,FALSE),"DNS")))),IF(ISBLANK(Deltagarlista!$C55),"",IF(ISBLANK(Arrangörslista!E$8),"",IFERROR(VLOOKUP($F17,Arrangörslista!E$8:$AG$45,16,FALSE),"DNS")))))</f>
        <v/>
      </c>
      <c r="M17" s="5" t="str">
        <f>IF(Deltagarlista!$K$3=4,IF(ISBLANK(Deltagarlista!$C55),"",IF(ISBLANK(Arrangörslista!I$8),"",IFERROR(VLOOKUP($F17,Arrangörslista!I$8:$AG$45,16,FALSE),IF(ISBLANK(Deltagarlista!$C55),"",IF(ISBLANK(Arrangörslista!I$8),"",IFERROR(VLOOKUP($F17,Arrangörslista!J$8:$AG$45,16,FALSE),"DNS")))))),IF(Deltagarlista!$K$3=2,
IF(ISBLANK(Deltagarlista!$C55),"",IF(ISBLANK(Arrangörslista!F$8),"",IF($GV17=M$64," DNS ",IFERROR(VLOOKUP($F17,Arrangörslista!F$8:$AG$45,16,FALSE),"DNS")))),IF(ISBLANK(Deltagarlista!$C55),"",IF(ISBLANK(Arrangörslista!F$8),"",IFERROR(VLOOKUP($F17,Arrangörslista!F$8:$AG$45,16,FALSE),"DNS")))))</f>
        <v/>
      </c>
      <c r="N17" s="5" t="str">
        <f>IF(Deltagarlista!$K$3=4,IF(ISBLANK(Deltagarlista!$C55),"",IF(ISBLANK(Arrangörslista!K$8),"",IFERROR(VLOOKUP($F17,Arrangörslista!K$8:$AG$45,16,FALSE),IF(ISBLANK(Deltagarlista!$C55),"",IF(ISBLANK(Arrangörslista!K$8),"",IFERROR(VLOOKUP($F17,Arrangörslista!L$8:$AG$45,16,FALSE),"DNS")))))),IF(Deltagarlista!$K$3=2,
IF(ISBLANK(Deltagarlista!$C55),"",IF(ISBLANK(Arrangörslista!G$8),"",IF($GV17=N$64," DNS ",IFERROR(VLOOKUP($F17,Arrangörslista!G$8:$AG$45,16,FALSE),"DNS")))),IF(ISBLANK(Deltagarlista!$C55),"",IF(ISBLANK(Arrangörslista!G$8),"",IFERROR(VLOOKUP($F17,Arrangörslista!G$8:$AG$45,16,FALSE),"DNS")))))</f>
        <v/>
      </c>
      <c r="O17" s="5" t="str">
        <f>IF(Deltagarlista!$K$3=4,IF(ISBLANK(Deltagarlista!$C55),"",IF(ISBLANK(Arrangörslista!M$8),"",IFERROR(VLOOKUP($F17,Arrangörslista!M$8:$AG$45,16,FALSE),IF(ISBLANK(Deltagarlista!$C55),"",IF(ISBLANK(Arrangörslista!M$8),"",IFERROR(VLOOKUP($F17,Arrangörslista!N$8:$AG$45,16,FALSE),"DNS")))))),IF(Deltagarlista!$K$3=2,
IF(ISBLANK(Deltagarlista!$C55),"",IF(ISBLANK(Arrangörslista!H$8),"",IF($GV17=O$64," DNS ",IFERROR(VLOOKUP($F17,Arrangörslista!H$8:$AG$45,16,FALSE),"DNS")))),IF(ISBLANK(Deltagarlista!$C55),"",IF(ISBLANK(Arrangörslista!H$8),"",IFERROR(VLOOKUP($F17,Arrangörslista!H$8:$AG$45,16,FALSE),"DNS")))))</f>
        <v/>
      </c>
      <c r="P17" s="5" t="str">
        <f>IF(Deltagarlista!$K$3=4,IF(ISBLANK(Deltagarlista!$C55),"",IF(ISBLANK(Arrangörslista!O$8),"",IFERROR(VLOOKUP($F17,Arrangörslista!O$8:$AG$45,16,FALSE),IF(ISBLANK(Deltagarlista!$C55),"",IF(ISBLANK(Arrangörslista!O$8),"",IFERROR(VLOOKUP($F17,Arrangörslista!P$8:$AG$45,16,FALSE),"DNS")))))),IF(Deltagarlista!$K$3=2,
IF(ISBLANK(Deltagarlista!$C55),"",IF(ISBLANK(Arrangörslista!I$8),"",IF($GV17=P$64," DNS ",IFERROR(VLOOKUP($F17,Arrangörslista!I$8:$AG$45,16,FALSE),"DNS")))),IF(ISBLANK(Deltagarlista!$C55),"",IF(ISBLANK(Arrangörslista!I$8),"",IFERROR(VLOOKUP($F17,Arrangörslista!I$8:$AG$45,16,FALSE),"DNS")))))</f>
        <v/>
      </c>
      <c r="Q17" s="5" t="str">
        <f>IF(Deltagarlista!$K$3=4,IF(ISBLANK(Deltagarlista!$C55),"",IF(ISBLANK(Arrangörslista!Q$8),"",IFERROR(VLOOKUP($F17,Arrangörslista!Q$8:$AG$45,16,FALSE),IF(ISBLANK(Deltagarlista!$C55),"",IF(ISBLANK(Arrangörslista!Q$8),"",IFERROR(VLOOKUP($F17,Arrangörslista!C$53:$AG$90,16,FALSE),"DNS")))))),IF(Deltagarlista!$K$3=2,
IF(ISBLANK(Deltagarlista!$C55),"",IF(ISBLANK(Arrangörslista!J$8),"",IF($GV17=Q$64," DNS ",IFERROR(VLOOKUP($F17,Arrangörslista!J$8:$AG$45,16,FALSE),"DNS")))),IF(ISBLANK(Deltagarlista!$C55),"",IF(ISBLANK(Arrangörslista!J$8),"",IFERROR(VLOOKUP($F17,Arrangörslista!J$8:$AG$45,16,FALSE),"DNS")))))</f>
        <v/>
      </c>
      <c r="R17" s="5" t="str">
        <f>IF(Deltagarlista!$K$3=4,IF(ISBLANK(Deltagarlista!$C55),"",IF(ISBLANK(Arrangörslista!D$53),"",IFERROR(VLOOKUP($F17,Arrangörslista!D$53:$AG$90,16,FALSE),IF(ISBLANK(Deltagarlista!$C55),"",IF(ISBLANK(Arrangörslista!D$53),"",IFERROR(VLOOKUP($F17,Arrangörslista!E$53:$AG$90,16,FALSE),"DNS")))))),IF(Deltagarlista!$K$3=2,
IF(ISBLANK(Deltagarlista!$C55),"",IF(ISBLANK(Arrangörslista!K$8),"",IF($GV17=R$64," DNS ",IFERROR(VLOOKUP($F17,Arrangörslista!K$8:$AG$45,16,FALSE),"DNS")))),IF(ISBLANK(Deltagarlista!$C55),"",IF(ISBLANK(Arrangörslista!K$8),"",IFERROR(VLOOKUP($F17,Arrangörslista!K$8:$AG$45,16,FALSE),"DNS")))))</f>
        <v/>
      </c>
      <c r="S17" s="5" t="str">
        <f>IF(Deltagarlista!$K$3=4,IF(ISBLANK(Deltagarlista!$C55),"",IF(ISBLANK(Arrangörslista!F$53),"",IFERROR(VLOOKUP($F17,Arrangörslista!F$53:$AG$90,16,FALSE),IF(ISBLANK(Deltagarlista!$C55),"",IF(ISBLANK(Arrangörslista!F$53),"",IFERROR(VLOOKUP($F17,Arrangörslista!G$53:$AG$90,16,FALSE),"DNS")))))),IF(Deltagarlista!$K$3=2,
IF(ISBLANK(Deltagarlista!$C55),"",IF(ISBLANK(Arrangörslista!L$8),"",IF($GV17=S$64," DNS ",IFERROR(VLOOKUP($F17,Arrangörslista!L$8:$AG$45,16,FALSE),"DNS")))),IF(ISBLANK(Deltagarlista!$C55),"",IF(ISBLANK(Arrangörslista!L$8),"",IFERROR(VLOOKUP($F17,Arrangörslista!L$8:$AG$45,16,FALSE),"DNS")))))</f>
        <v/>
      </c>
      <c r="T17" s="5" t="str">
        <f>IF(Deltagarlista!$K$3=4,IF(ISBLANK(Deltagarlista!$C55),"",IF(ISBLANK(Arrangörslista!H$53),"",IFERROR(VLOOKUP($F17,Arrangörslista!H$53:$AG$90,16,FALSE),IF(ISBLANK(Deltagarlista!$C55),"",IF(ISBLANK(Arrangörslista!H$53),"",IFERROR(VLOOKUP($F17,Arrangörslista!I$53:$AG$90,16,FALSE),"DNS")))))),IF(Deltagarlista!$K$3=2,
IF(ISBLANK(Deltagarlista!$C55),"",IF(ISBLANK(Arrangörslista!M$8),"",IF($GV17=T$64," DNS ",IFERROR(VLOOKUP($F17,Arrangörslista!M$8:$AG$45,16,FALSE),"DNS")))),IF(ISBLANK(Deltagarlista!$C55),"",IF(ISBLANK(Arrangörslista!M$8),"",IFERROR(VLOOKUP($F17,Arrangörslista!M$8:$AG$45,16,FALSE),"DNS")))))</f>
        <v/>
      </c>
      <c r="U17" s="5" t="str">
        <f>IF(Deltagarlista!$K$3=4,IF(ISBLANK(Deltagarlista!$C55),"",IF(ISBLANK(Arrangörslista!J$53),"",IFERROR(VLOOKUP($F17,Arrangörslista!J$53:$AG$90,16,FALSE),IF(ISBLANK(Deltagarlista!$C55),"",IF(ISBLANK(Arrangörslista!J$53),"",IFERROR(VLOOKUP($F17,Arrangörslista!K$53:$AG$90,16,FALSE),"DNS")))))),IF(Deltagarlista!$K$3=2,
IF(ISBLANK(Deltagarlista!$C55),"",IF(ISBLANK(Arrangörslista!N$8),"",IF($GV17=U$64," DNS ",IFERROR(VLOOKUP($F17,Arrangörslista!N$8:$AG$45,16,FALSE),"DNS")))),IF(ISBLANK(Deltagarlista!$C55),"",IF(ISBLANK(Arrangörslista!N$8),"",IFERROR(VLOOKUP($F17,Arrangörslista!N$8:$AG$45,16,FALSE),"DNS")))))</f>
        <v/>
      </c>
      <c r="V17" s="5" t="str">
        <f>IF(Deltagarlista!$K$3=4,IF(ISBLANK(Deltagarlista!$C55),"",IF(ISBLANK(Arrangörslista!L$53),"",IFERROR(VLOOKUP($F17,Arrangörslista!L$53:$AG$90,16,FALSE),IF(ISBLANK(Deltagarlista!$C55),"",IF(ISBLANK(Arrangörslista!L$53),"",IFERROR(VLOOKUP($F17,Arrangörslista!M$53:$AG$90,16,FALSE),"DNS")))))),IF(Deltagarlista!$K$3=2,
IF(ISBLANK(Deltagarlista!$C55),"",IF(ISBLANK(Arrangörslista!O$8),"",IF($GV17=V$64," DNS ",IFERROR(VLOOKUP($F17,Arrangörslista!O$8:$AG$45,16,FALSE),"DNS")))),IF(ISBLANK(Deltagarlista!$C55),"",IF(ISBLANK(Arrangörslista!O$8),"",IFERROR(VLOOKUP($F17,Arrangörslista!O$8:$AG$45,16,FALSE),"DNS")))))</f>
        <v/>
      </c>
      <c r="W17" s="5" t="str">
        <f>IF(Deltagarlista!$K$3=4,IF(ISBLANK(Deltagarlista!$C55),"",IF(ISBLANK(Arrangörslista!N$53),"",IFERROR(VLOOKUP($F17,Arrangörslista!N$53:$AG$90,16,FALSE),IF(ISBLANK(Deltagarlista!$C55),"",IF(ISBLANK(Arrangörslista!N$53),"",IFERROR(VLOOKUP($F17,Arrangörslista!O$53:$AG$90,16,FALSE),"DNS")))))),IF(Deltagarlista!$K$3=2,
IF(ISBLANK(Deltagarlista!$C55),"",IF(ISBLANK(Arrangörslista!P$8),"",IF($GV17=W$64," DNS ",IFERROR(VLOOKUP($F17,Arrangörslista!P$8:$AG$45,16,FALSE),"DNS")))),IF(ISBLANK(Deltagarlista!$C55),"",IF(ISBLANK(Arrangörslista!P$8),"",IFERROR(VLOOKUP($F17,Arrangörslista!P$8:$AG$45,16,FALSE),"DNS")))))</f>
        <v/>
      </c>
      <c r="X17" s="5" t="str">
        <f>IF(Deltagarlista!$K$3=4,IF(ISBLANK(Deltagarlista!$C55),"",IF(ISBLANK(Arrangörslista!P$53),"",IFERROR(VLOOKUP($F17,Arrangörslista!P$53:$AG$90,16,FALSE),IF(ISBLANK(Deltagarlista!$C55),"",IF(ISBLANK(Arrangörslista!P$53),"",IFERROR(VLOOKUP($F17,Arrangörslista!Q$53:$AG$90,16,FALSE),"DNS")))))),IF(Deltagarlista!$K$3=2,
IF(ISBLANK(Deltagarlista!$C55),"",IF(ISBLANK(Arrangörslista!Q$8),"",IF($GV17=X$64," DNS ",IFERROR(VLOOKUP($F17,Arrangörslista!Q$8:$AG$45,16,FALSE),"DNS")))),IF(ISBLANK(Deltagarlista!$C55),"",IF(ISBLANK(Arrangörslista!Q$8),"",IFERROR(VLOOKUP($F17,Arrangörslista!Q$8:$AG$45,16,FALSE),"DNS")))))</f>
        <v/>
      </c>
      <c r="Y17" s="5" t="str">
        <f>IF(Deltagarlista!$K$3=4,IF(ISBLANK(Deltagarlista!$C55),"",IF(ISBLANK(Arrangörslista!C$98),"",IFERROR(VLOOKUP($F17,Arrangörslista!C$98:$AG$135,16,FALSE),IF(ISBLANK(Deltagarlista!$C55),"",IF(ISBLANK(Arrangörslista!C$98),"",IFERROR(VLOOKUP($F17,Arrangörslista!D$98:$AG$135,16,FALSE),"DNS")))))),IF(Deltagarlista!$K$3=2,
IF(ISBLANK(Deltagarlista!$C55),"",IF(ISBLANK(Arrangörslista!C$53),"",IF($GV17=Y$64," DNS ",IFERROR(VLOOKUP($F17,Arrangörslista!C$53:$AG$90,16,FALSE),"DNS")))),IF(ISBLANK(Deltagarlista!$C55),"",IF(ISBLANK(Arrangörslista!C$53),"",IFERROR(VLOOKUP($F17,Arrangörslista!C$53:$AG$90,16,FALSE),"DNS")))))</f>
        <v/>
      </c>
      <c r="Z17" s="5" t="str">
        <f>IF(Deltagarlista!$K$3=4,IF(ISBLANK(Deltagarlista!$C55),"",IF(ISBLANK(Arrangörslista!E$98),"",IFERROR(VLOOKUP($F17,Arrangörslista!E$98:$AG$135,16,FALSE),IF(ISBLANK(Deltagarlista!$C55),"",IF(ISBLANK(Arrangörslista!E$98),"",IFERROR(VLOOKUP($F17,Arrangörslista!F$98:$AG$135,16,FALSE),"DNS")))))),IF(Deltagarlista!$K$3=2,
IF(ISBLANK(Deltagarlista!$C55),"",IF(ISBLANK(Arrangörslista!D$53),"",IF($GV17=Z$64," DNS ",IFERROR(VLOOKUP($F17,Arrangörslista!D$53:$AG$90,16,FALSE),"DNS")))),IF(ISBLANK(Deltagarlista!$C55),"",IF(ISBLANK(Arrangörslista!D$53),"",IFERROR(VLOOKUP($F17,Arrangörslista!D$53:$AG$90,16,FALSE),"DNS")))))</f>
        <v/>
      </c>
      <c r="AA17" s="5" t="str">
        <f>IF(Deltagarlista!$K$3=4,IF(ISBLANK(Deltagarlista!$C55),"",IF(ISBLANK(Arrangörslista!G$98),"",IFERROR(VLOOKUP($F17,Arrangörslista!G$98:$AG$135,16,FALSE),IF(ISBLANK(Deltagarlista!$C55),"",IF(ISBLANK(Arrangörslista!G$98),"",IFERROR(VLOOKUP($F17,Arrangörslista!H$98:$AG$135,16,FALSE),"DNS")))))),IF(Deltagarlista!$K$3=2,
IF(ISBLANK(Deltagarlista!$C55),"",IF(ISBLANK(Arrangörslista!E$53),"",IF($GV17=AA$64," DNS ",IFERROR(VLOOKUP($F17,Arrangörslista!E$53:$AG$90,16,FALSE),"DNS")))),IF(ISBLANK(Deltagarlista!$C55),"",IF(ISBLANK(Arrangörslista!E$53),"",IFERROR(VLOOKUP($F17,Arrangörslista!E$53:$AG$90,16,FALSE),"DNS")))))</f>
        <v/>
      </c>
      <c r="AB17" s="5" t="str">
        <f>IF(Deltagarlista!$K$3=4,IF(ISBLANK(Deltagarlista!$C55),"",IF(ISBLANK(Arrangörslista!I$98),"",IFERROR(VLOOKUP($F17,Arrangörslista!I$98:$AG$135,16,FALSE),IF(ISBLANK(Deltagarlista!$C55),"",IF(ISBLANK(Arrangörslista!I$98),"",IFERROR(VLOOKUP($F17,Arrangörslista!J$98:$AG$135,16,FALSE),"DNS")))))),IF(Deltagarlista!$K$3=2,
IF(ISBLANK(Deltagarlista!$C55),"",IF(ISBLANK(Arrangörslista!F$53),"",IF($GV17=AB$64," DNS ",IFERROR(VLOOKUP($F17,Arrangörslista!F$53:$AG$90,16,FALSE),"DNS")))),IF(ISBLANK(Deltagarlista!$C55),"",IF(ISBLANK(Arrangörslista!F$53),"",IFERROR(VLOOKUP($F17,Arrangörslista!F$53:$AG$90,16,FALSE),"DNS")))))</f>
        <v/>
      </c>
      <c r="AC17" s="5" t="str">
        <f>IF(Deltagarlista!$K$3=4,IF(ISBLANK(Deltagarlista!$C55),"",IF(ISBLANK(Arrangörslista!K$98),"",IFERROR(VLOOKUP($F17,Arrangörslista!K$98:$AG$135,16,FALSE),IF(ISBLANK(Deltagarlista!$C55),"",IF(ISBLANK(Arrangörslista!K$98),"",IFERROR(VLOOKUP($F17,Arrangörslista!L$98:$AG$135,16,FALSE),"DNS")))))),IF(Deltagarlista!$K$3=2,
IF(ISBLANK(Deltagarlista!$C55),"",IF(ISBLANK(Arrangörslista!G$53),"",IF($GV17=AC$64," DNS ",IFERROR(VLOOKUP($F17,Arrangörslista!G$53:$AG$90,16,FALSE),"DNS")))),IF(ISBLANK(Deltagarlista!$C55),"",IF(ISBLANK(Arrangörslista!G$53),"",IFERROR(VLOOKUP($F17,Arrangörslista!G$53:$AG$90,16,FALSE),"DNS")))))</f>
        <v/>
      </c>
      <c r="AD17" s="5" t="str">
        <f>IF(Deltagarlista!$K$3=4,IF(ISBLANK(Deltagarlista!$C55),"",IF(ISBLANK(Arrangörslista!M$98),"",IFERROR(VLOOKUP($F17,Arrangörslista!M$98:$AG$135,16,FALSE),IF(ISBLANK(Deltagarlista!$C55),"",IF(ISBLANK(Arrangörslista!M$98),"",IFERROR(VLOOKUP($F17,Arrangörslista!N$98:$AG$135,16,FALSE),"DNS")))))),IF(Deltagarlista!$K$3=2,
IF(ISBLANK(Deltagarlista!$C55),"",IF(ISBLANK(Arrangörslista!H$53),"",IF($GV17=AD$64," DNS ",IFERROR(VLOOKUP($F17,Arrangörslista!H$53:$AG$90,16,FALSE),"DNS")))),IF(ISBLANK(Deltagarlista!$C55),"",IF(ISBLANK(Arrangörslista!H$53),"",IFERROR(VLOOKUP($F17,Arrangörslista!H$53:$AG$90,16,FALSE),"DNS")))))</f>
        <v/>
      </c>
      <c r="AE17" s="5" t="str">
        <f>IF(Deltagarlista!$K$3=4,IF(ISBLANK(Deltagarlista!$C55),"",IF(ISBLANK(Arrangörslista!O$98),"",IFERROR(VLOOKUP($F17,Arrangörslista!O$98:$AG$135,16,FALSE),IF(ISBLANK(Deltagarlista!$C55),"",IF(ISBLANK(Arrangörslista!O$98),"",IFERROR(VLOOKUP($F17,Arrangörslista!P$98:$AG$135,16,FALSE),"DNS")))))),IF(Deltagarlista!$K$3=2,
IF(ISBLANK(Deltagarlista!$C55),"",IF(ISBLANK(Arrangörslista!I$53),"",IF($GV17=AE$64," DNS ",IFERROR(VLOOKUP($F17,Arrangörslista!I$53:$AG$90,16,FALSE),"DNS")))),IF(ISBLANK(Deltagarlista!$C55),"",IF(ISBLANK(Arrangörslista!I$53),"",IFERROR(VLOOKUP($F17,Arrangörslista!I$53:$AG$90,16,FALSE),"DNS")))))</f>
        <v/>
      </c>
      <c r="AF17" s="5" t="str">
        <f>IF(Deltagarlista!$K$3=4,IF(ISBLANK(Deltagarlista!$C55),"",IF(ISBLANK(Arrangörslista!Q$98),"",IFERROR(VLOOKUP($F17,Arrangörslista!Q$98:$AG$135,16,FALSE),IF(ISBLANK(Deltagarlista!$C55),"",IF(ISBLANK(Arrangörslista!Q$98),"",IFERROR(VLOOKUP($F17,Arrangörslista!C$143:$AG$180,16,FALSE),"DNS")))))),IF(Deltagarlista!$K$3=2,
IF(ISBLANK(Deltagarlista!$C55),"",IF(ISBLANK(Arrangörslista!J$53),"",IF($GV17=AF$64," DNS ",IFERROR(VLOOKUP($F17,Arrangörslista!J$53:$AG$90,16,FALSE),"DNS")))),IF(ISBLANK(Deltagarlista!$C55),"",IF(ISBLANK(Arrangörslista!J$53),"",IFERROR(VLOOKUP($F17,Arrangörslista!J$53:$AG$90,16,FALSE),"DNS")))))</f>
        <v/>
      </c>
      <c r="AG17" s="5" t="str">
        <f>IF(Deltagarlista!$K$3=4,IF(ISBLANK(Deltagarlista!$C55),"",IF(ISBLANK(Arrangörslista!D$143),"",IFERROR(VLOOKUP($F17,Arrangörslista!D$143:$AG$180,16,FALSE),IF(ISBLANK(Deltagarlista!$C55),"",IF(ISBLANK(Arrangörslista!D$143),"",IFERROR(VLOOKUP($F17,Arrangörslista!E$143:$AG$180,16,FALSE),"DNS")))))),IF(Deltagarlista!$K$3=2,
IF(ISBLANK(Deltagarlista!$C55),"",IF(ISBLANK(Arrangörslista!K$53),"",IF($GV17=AG$64," DNS ",IFERROR(VLOOKUP($F17,Arrangörslista!K$53:$AG$90,16,FALSE),"DNS")))),IF(ISBLANK(Deltagarlista!$C55),"",IF(ISBLANK(Arrangörslista!K$53),"",IFERROR(VLOOKUP($F17,Arrangörslista!K$53:$AG$90,16,FALSE),"DNS")))))</f>
        <v/>
      </c>
      <c r="AH17" s="5" t="str">
        <f>IF(Deltagarlista!$K$3=4,IF(ISBLANK(Deltagarlista!$C55),"",IF(ISBLANK(Arrangörslista!F$143),"",IFERROR(VLOOKUP($F17,Arrangörslista!F$143:$AG$180,16,FALSE),IF(ISBLANK(Deltagarlista!$C55),"",IF(ISBLANK(Arrangörslista!F$143),"",IFERROR(VLOOKUP($F17,Arrangörslista!G$143:$AG$180,16,FALSE),"DNS")))))),IF(Deltagarlista!$K$3=2,
IF(ISBLANK(Deltagarlista!$C55),"",IF(ISBLANK(Arrangörslista!L$53),"",IF($GV17=AH$64," DNS ",IFERROR(VLOOKUP($F17,Arrangörslista!L$53:$AG$90,16,FALSE),"DNS")))),IF(ISBLANK(Deltagarlista!$C55),"",IF(ISBLANK(Arrangörslista!L$53),"",IFERROR(VLOOKUP($F17,Arrangörslista!L$53:$AG$90,16,FALSE),"DNS")))))</f>
        <v/>
      </c>
      <c r="AI17" s="5" t="str">
        <f>IF(Deltagarlista!$K$3=4,IF(ISBLANK(Deltagarlista!$C55),"",IF(ISBLANK(Arrangörslista!H$143),"",IFERROR(VLOOKUP($F17,Arrangörslista!H$143:$AG$180,16,FALSE),IF(ISBLANK(Deltagarlista!$C55),"",IF(ISBLANK(Arrangörslista!H$143),"",IFERROR(VLOOKUP($F17,Arrangörslista!I$143:$AG$180,16,FALSE),"DNS")))))),IF(Deltagarlista!$K$3=2,
IF(ISBLANK(Deltagarlista!$C55),"",IF(ISBLANK(Arrangörslista!M$53),"",IF($GV17=AI$64," DNS ",IFERROR(VLOOKUP($F17,Arrangörslista!M$53:$AG$90,16,FALSE),"DNS")))),IF(ISBLANK(Deltagarlista!$C55),"",IF(ISBLANK(Arrangörslista!M$53),"",IFERROR(VLOOKUP($F17,Arrangörslista!M$53:$AG$90,16,FALSE),"DNS")))))</f>
        <v/>
      </c>
      <c r="AJ17" s="5" t="str">
        <f>IF(Deltagarlista!$K$3=4,IF(ISBLANK(Deltagarlista!$C55),"",IF(ISBLANK(Arrangörslista!J$143),"",IFERROR(VLOOKUP($F17,Arrangörslista!J$143:$AG$180,16,FALSE),IF(ISBLANK(Deltagarlista!$C55),"",IF(ISBLANK(Arrangörslista!J$143),"",IFERROR(VLOOKUP($F17,Arrangörslista!K$143:$AG$180,16,FALSE),"DNS")))))),IF(Deltagarlista!$K$3=2,
IF(ISBLANK(Deltagarlista!$C55),"",IF(ISBLANK(Arrangörslista!N$53),"",IF($GV17=AJ$64," DNS ",IFERROR(VLOOKUP($F17,Arrangörslista!N$53:$AG$90,16,FALSE),"DNS")))),IF(ISBLANK(Deltagarlista!$C55),"",IF(ISBLANK(Arrangörslista!N$53),"",IFERROR(VLOOKUP($F17,Arrangörslista!N$53:$AG$90,16,FALSE),"DNS")))))</f>
        <v/>
      </c>
      <c r="AK17" s="5" t="str">
        <f>IF(Deltagarlista!$K$3=4,IF(ISBLANK(Deltagarlista!$C55),"",IF(ISBLANK(Arrangörslista!L$143),"",IFERROR(VLOOKUP($F17,Arrangörslista!L$143:$AG$180,16,FALSE),IF(ISBLANK(Deltagarlista!$C55),"",IF(ISBLANK(Arrangörslista!L$143),"",IFERROR(VLOOKUP($F17,Arrangörslista!M$143:$AG$180,16,FALSE),"DNS")))))),IF(Deltagarlista!$K$3=2,
IF(ISBLANK(Deltagarlista!$C55),"",IF(ISBLANK(Arrangörslista!O$53),"",IF($GV17=AK$64," DNS ",IFERROR(VLOOKUP($F17,Arrangörslista!O$53:$AG$90,16,FALSE),"DNS")))),IF(ISBLANK(Deltagarlista!$C55),"",IF(ISBLANK(Arrangörslista!O$53),"",IFERROR(VLOOKUP($F17,Arrangörslista!O$53:$AG$90,16,FALSE),"DNS")))))</f>
        <v/>
      </c>
      <c r="AL17" s="5" t="str">
        <f>IF(Deltagarlista!$K$3=4,IF(ISBLANK(Deltagarlista!$C55),"",IF(ISBLANK(Arrangörslista!N$143),"",IFERROR(VLOOKUP($F17,Arrangörslista!N$143:$AG$180,16,FALSE),IF(ISBLANK(Deltagarlista!$C55),"",IF(ISBLANK(Arrangörslista!N$143),"",IFERROR(VLOOKUP($F17,Arrangörslista!O$143:$AG$180,16,FALSE),"DNS")))))),IF(Deltagarlista!$K$3=2,
IF(ISBLANK(Deltagarlista!$C55),"",IF(ISBLANK(Arrangörslista!P$53),"",IF($GV17=AL$64," DNS ",IFERROR(VLOOKUP($F17,Arrangörslista!P$53:$AG$90,16,FALSE),"DNS")))),IF(ISBLANK(Deltagarlista!$C55),"",IF(ISBLANK(Arrangörslista!P$53),"",IFERROR(VLOOKUP($F17,Arrangörslista!P$53:$AG$90,16,FALSE),"DNS")))))</f>
        <v/>
      </c>
      <c r="AM17" s="5" t="str">
        <f>IF(Deltagarlista!$K$3=4,IF(ISBLANK(Deltagarlista!$C55),"",IF(ISBLANK(Arrangörslista!P$143),"",IFERROR(VLOOKUP($F17,Arrangörslista!P$143:$AG$180,16,FALSE),IF(ISBLANK(Deltagarlista!$C55),"",IF(ISBLANK(Arrangörslista!P$143),"",IFERROR(VLOOKUP($F17,Arrangörslista!Q$143:$AG$180,16,FALSE),"DNS")))))),IF(Deltagarlista!$K$3=2,
IF(ISBLANK(Deltagarlista!$C55),"",IF(ISBLANK(Arrangörslista!Q$53),"",IF($GV17=AM$64," DNS ",IFERROR(VLOOKUP($F17,Arrangörslista!Q$53:$AG$90,16,FALSE),"DNS")))),IF(ISBLANK(Deltagarlista!$C55),"",IF(ISBLANK(Arrangörslista!Q$53),"",IFERROR(VLOOKUP($F17,Arrangörslista!Q$53:$AG$90,16,FALSE),"DNS")))))</f>
        <v/>
      </c>
      <c r="AN17" s="5" t="str">
        <f>IF(Deltagarlista!$K$3=2,
IF(ISBLANK(Deltagarlista!$C55),"",IF(ISBLANK(Arrangörslista!C$98),"",IF($GV17=AN$64," DNS ",IFERROR(VLOOKUP($F17,Arrangörslista!C$98:$AG$135,16,FALSE), "DNS")))), IF(Deltagarlista!$K$3=1,IF(ISBLANK(Deltagarlista!$C55),"",IF(ISBLANK(Arrangörslista!C$98),"",IFERROR(VLOOKUP($F17,Arrangörslista!C$98:$AG$135,16,FALSE), "DNS"))),""))</f>
        <v/>
      </c>
      <c r="AO17" s="5" t="str">
        <f>IF(Deltagarlista!$K$3=2,
IF(ISBLANK(Deltagarlista!$C55),"",IF(ISBLANK(Arrangörslista!D$98),"",IF($GV17=AO$64," DNS ",IFERROR(VLOOKUP($F17,Arrangörslista!D$98:$AG$135,16,FALSE), "DNS")))), IF(Deltagarlista!$K$3=1,IF(ISBLANK(Deltagarlista!$C55),"",IF(ISBLANK(Arrangörslista!D$98),"",IFERROR(VLOOKUP($F17,Arrangörslista!D$98:$AG$135,16,FALSE), "DNS"))),""))</f>
        <v/>
      </c>
      <c r="AP17" s="5" t="str">
        <f>IF(Deltagarlista!$K$3=2,
IF(ISBLANK(Deltagarlista!$C55),"",IF(ISBLANK(Arrangörslista!E$98),"",IF($GV17=AP$64," DNS ",IFERROR(VLOOKUP($F17,Arrangörslista!E$98:$AG$135,16,FALSE), "DNS")))), IF(Deltagarlista!$K$3=1,IF(ISBLANK(Deltagarlista!$C55),"",IF(ISBLANK(Arrangörslista!E$98),"",IFERROR(VLOOKUP($F17,Arrangörslista!E$98:$AG$135,16,FALSE), "DNS"))),""))</f>
        <v/>
      </c>
      <c r="AQ17" s="5" t="str">
        <f>IF(Deltagarlista!$K$3=2,
IF(ISBLANK(Deltagarlista!$C55),"",IF(ISBLANK(Arrangörslista!F$98),"",IF($GV17=AQ$64," DNS ",IFERROR(VLOOKUP($F17,Arrangörslista!F$98:$AG$135,16,FALSE), "DNS")))), IF(Deltagarlista!$K$3=1,IF(ISBLANK(Deltagarlista!$C55),"",IF(ISBLANK(Arrangörslista!F$98),"",IFERROR(VLOOKUP($F17,Arrangörslista!F$98:$AG$135,16,FALSE), "DNS"))),""))</f>
        <v/>
      </c>
      <c r="AR17" s="5" t="str">
        <f>IF(Deltagarlista!$K$3=2,
IF(ISBLANK(Deltagarlista!$C55),"",IF(ISBLANK(Arrangörslista!G$98),"",IF($GV17=AR$64," DNS ",IFERROR(VLOOKUP($F17,Arrangörslista!G$98:$AG$135,16,FALSE), "DNS")))), IF(Deltagarlista!$K$3=1,IF(ISBLANK(Deltagarlista!$C55),"",IF(ISBLANK(Arrangörslista!G$98),"",IFERROR(VLOOKUP($F17,Arrangörslista!G$98:$AG$135,16,FALSE), "DNS"))),""))</f>
        <v/>
      </c>
      <c r="AS17" s="5" t="str">
        <f>IF(Deltagarlista!$K$3=2,
IF(ISBLANK(Deltagarlista!$C55),"",IF(ISBLANK(Arrangörslista!H$98),"",IF($GV17=AS$64," DNS ",IFERROR(VLOOKUP($F17,Arrangörslista!H$98:$AG$135,16,FALSE), "DNS")))), IF(Deltagarlista!$K$3=1,IF(ISBLANK(Deltagarlista!$C55),"",IF(ISBLANK(Arrangörslista!H$98),"",IFERROR(VLOOKUP($F17,Arrangörslista!H$98:$AG$135,16,FALSE), "DNS"))),""))</f>
        <v/>
      </c>
      <c r="AT17" s="5" t="str">
        <f>IF(Deltagarlista!$K$3=2,
IF(ISBLANK(Deltagarlista!$C55),"",IF(ISBLANK(Arrangörslista!I$98),"",IF($GV17=AT$64," DNS ",IFERROR(VLOOKUP($F17,Arrangörslista!I$98:$AG$135,16,FALSE), "DNS")))), IF(Deltagarlista!$K$3=1,IF(ISBLANK(Deltagarlista!$C55),"",IF(ISBLANK(Arrangörslista!I$98),"",IFERROR(VLOOKUP($F17,Arrangörslista!I$98:$AG$135,16,FALSE), "DNS"))),""))</f>
        <v/>
      </c>
      <c r="AU17" s="5" t="str">
        <f>IF(Deltagarlista!$K$3=2,
IF(ISBLANK(Deltagarlista!$C55),"",IF(ISBLANK(Arrangörslista!J$98),"",IF($GV17=AU$64," DNS ",IFERROR(VLOOKUP($F17,Arrangörslista!J$98:$AG$135,16,FALSE), "DNS")))), IF(Deltagarlista!$K$3=1,IF(ISBLANK(Deltagarlista!$C55),"",IF(ISBLANK(Arrangörslista!J$98),"",IFERROR(VLOOKUP($F17,Arrangörslista!J$98:$AG$135,16,FALSE), "DNS"))),""))</f>
        <v/>
      </c>
      <c r="AV17" s="5" t="str">
        <f>IF(Deltagarlista!$K$3=2,
IF(ISBLANK(Deltagarlista!$C55),"",IF(ISBLANK(Arrangörslista!K$98),"",IF($GV17=AV$64," DNS ",IFERROR(VLOOKUP($F17,Arrangörslista!K$98:$AG$135,16,FALSE), "DNS")))), IF(Deltagarlista!$K$3=1,IF(ISBLANK(Deltagarlista!$C55),"",IF(ISBLANK(Arrangörslista!K$98),"",IFERROR(VLOOKUP($F17,Arrangörslista!K$98:$AG$135,16,FALSE), "DNS"))),""))</f>
        <v/>
      </c>
      <c r="AW17" s="5" t="str">
        <f>IF(Deltagarlista!$K$3=2,
IF(ISBLANK(Deltagarlista!$C55),"",IF(ISBLANK(Arrangörslista!L$98),"",IF($GV17=AW$64," DNS ",IFERROR(VLOOKUP($F17,Arrangörslista!L$98:$AG$135,16,FALSE), "DNS")))), IF(Deltagarlista!$K$3=1,IF(ISBLANK(Deltagarlista!$C55),"",IF(ISBLANK(Arrangörslista!L$98),"",IFERROR(VLOOKUP($F17,Arrangörslista!L$98:$AG$135,16,FALSE), "DNS"))),""))</f>
        <v/>
      </c>
      <c r="AX17" s="5" t="str">
        <f>IF(Deltagarlista!$K$3=2,
IF(ISBLANK(Deltagarlista!$C55),"",IF(ISBLANK(Arrangörslista!M$98),"",IF($GV17=AX$64," DNS ",IFERROR(VLOOKUP($F17,Arrangörslista!M$98:$AG$135,16,FALSE), "DNS")))), IF(Deltagarlista!$K$3=1,IF(ISBLANK(Deltagarlista!$C55),"",IF(ISBLANK(Arrangörslista!M$98),"",IFERROR(VLOOKUP($F17,Arrangörslista!M$98:$AG$135,16,FALSE), "DNS"))),""))</f>
        <v/>
      </c>
      <c r="AY17" s="5" t="str">
        <f>IF(Deltagarlista!$K$3=2,
IF(ISBLANK(Deltagarlista!$C55),"",IF(ISBLANK(Arrangörslista!N$98),"",IF($GV17=AY$64," DNS ",IFERROR(VLOOKUP($F17,Arrangörslista!N$98:$AG$135,16,FALSE), "DNS")))), IF(Deltagarlista!$K$3=1,IF(ISBLANK(Deltagarlista!$C55),"",IF(ISBLANK(Arrangörslista!N$98),"",IFERROR(VLOOKUP($F17,Arrangörslista!N$98:$AG$135,16,FALSE), "DNS"))),""))</f>
        <v/>
      </c>
      <c r="AZ17" s="5" t="str">
        <f>IF(Deltagarlista!$K$3=2,
IF(ISBLANK(Deltagarlista!$C55),"",IF(ISBLANK(Arrangörslista!O$98),"",IF($GV17=AZ$64," DNS ",IFERROR(VLOOKUP($F17,Arrangörslista!O$98:$AG$135,16,FALSE), "DNS")))), IF(Deltagarlista!$K$3=1,IF(ISBLANK(Deltagarlista!$C55),"",IF(ISBLANK(Arrangörslista!O$98),"",IFERROR(VLOOKUP($F17,Arrangörslista!O$98:$AG$135,16,FALSE), "DNS"))),""))</f>
        <v/>
      </c>
      <c r="BA17" s="5" t="str">
        <f>IF(Deltagarlista!$K$3=2,
IF(ISBLANK(Deltagarlista!$C55),"",IF(ISBLANK(Arrangörslista!P$98),"",IF($GV17=BA$64," DNS ",IFERROR(VLOOKUP($F17,Arrangörslista!P$98:$AG$135,16,FALSE), "DNS")))), IF(Deltagarlista!$K$3=1,IF(ISBLANK(Deltagarlista!$C55),"",IF(ISBLANK(Arrangörslista!P$98),"",IFERROR(VLOOKUP($F17,Arrangörslista!P$98:$AG$135,16,FALSE), "DNS"))),""))</f>
        <v/>
      </c>
      <c r="BB17" s="5" t="str">
        <f>IF(Deltagarlista!$K$3=2,
IF(ISBLANK(Deltagarlista!$C55),"",IF(ISBLANK(Arrangörslista!Q$98),"",IF($GV17=BB$64," DNS ",IFERROR(VLOOKUP($F17,Arrangörslista!Q$98:$AG$135,16,FALSE), "DNS")))), IF(Deltagarlista!$K$3=1,IF(ISBLANK(Deltagarlista!$C55),"",IF(ISBLANK(Arrangörslista!Q$98),"",IFERROR(VLOOKUP($F17,Arrangörslista!Q$98:$AG$135,16,FALSE), "DNS"))),""))</f>
        <v/>
      </c>
      <c r="BC17" s="5" t="str">
        <f>IF(Deltagarlista!$K$3=2,
IF(ISBLANK(Deltagarlista!$C55),"",IF(ISBLANK(Arrangörslista!C$143),"",IF($GV17=BC$64," DNS ",IFERROR(VLOOKUP($F17,Arrangörslista!C$143:$AG$180,16,FALSE), "DNS")))), IF(Deltagarlista!$K$3=1,IF(ISBLANK(Deltagarlista!$C55),"",IF(ISBLANK(Arrangörslista!C$143),"",IFERROR(VLOOKUP($F17,Arrangörslista!C$143:$AG$180,16,FALSE), "DNS"))),""))</f>
        <v/>
      </c>
      <c r="BD17" s="5" t="str">
        <f>IF(Deltagarlista!$K$3=2,
IF(ISBLANK(Deltagarlista!$C55),"",IF(ISBLANK(Arrangörslista!D$143),"",IF($GV17=BD$64," DNS ",IFERROR(VLOOKUP($F17,Arrangörslista!D$143:$AG$180,16,FALSE), "DNS")))), IF(Deltagarlista!$K$3=1,IF(ISBLANK(Deltagarlista!$C55),"",IF(ISBLANK(Arrangörslista!D$143),"",IFERROR(VLOOKUP($F17,Arrangörslista!D$143:$AG$180,16,FALSE), "DNS"))),""))</f>
        <v/>
      </c>
      <c r="BE17" s="5" t="str">
        <f>IF(Deltagarlista!$K$3=2,
IF(ISBLANK(Deltagarlista!$C55),"",IF(ISBLANK(Arrangörslista!E$143),"",IF($GV17=BE$64," DNS ",IFERROR(VLOOKUP($F17,Arrangörslista!E$143:$AG$180,16,FALSE), "DNS")))), IF(Deltagarlista!$K$3=1,IF(ISBLANK(Deltagarlista!$C55),"",IF(ISBLANK(Arrangörslista!E$143),"",IFERROR(VLOOKUP($F17,Arrangörslista!E$143:$AG$180,16,FALSE), "DNS"))),""))</f>
        <v/>
      </c>
      <c r="BF17" s="5" t="str">
        <f>IF(Deltagarlista!$K$3=2,
IF(ISBLANK(Deltagarlista!$C55),"",IF(ISBLANK(Arrangörslista!F$143),"",IF($GV17=BF$64," DNS ",IFERROR(VLOOKUP($F17,Arrangörslista!F$143:$AG$180,16,FALSE), "DNS")))), IF(Deltagarlista!$K$3=1,IF(ISBLANK(Deltagarlista!$C55),"",IF(ISBLANK(Arrangörslista!F$143),"",IFERROR(VLOOKUP($F17,Arrangörslista!F$143:$AG$180,16,FALSE), "DNS"))),""))</f>
        <v/>
      </c>
      <c r="BG17" s="5" t="str">
        <f>IF(Deltagarlista!$K$3=2,
IF(ISBLANK(Deltagarlista!$C55),"",IF(ISBLANK(Arrangörslista!G$143),"",IF($GV17=BG$64," DNS ",IFERROR(VLOOKUP($F17,Arrangörslista!G$143:$AG$180,16,FALSE), "DNS")))), IF(Deltagarlista!$K$3=1,IF(ISBLANK(Deltagarlista!$C55),"",IF(ISBLANK(Arrangörslista!G$143),"",IFERROR(VLOOKUP($F17,Arrangörslista!G$143:$AG$180,16,FALSE), "DNS"))),""))</f>
        <v/>
      </c>
      <c r="BH17" s="5" t="str">
        <f>IF(Deltagarlista!$K$3=2,
IF(ISBLANK(Deltagarlista!$C55),"",IF(ISBLANK(Arrangörslista!H$143),"",IF($GV17=BH$64," DNS ",IFERROR(VLOOKUP($F17,Arrangörslista!H$143:$AG$180,16,FALSE), "DNS")))), IF(Deltagarlista!$K$3=1,IF(ISBLANK(Deltagarlista!$C55),"",IF(ISBLANK(Arrangörslista!H$143),"",IFERROR(VLOOKUP($F17,Arrangörslista!H$143:$AG$180,16,FALSE), "DNS"))),""))</f>
        <v/>
      </c>
      <c r="BI17" s="5" t="str">
        <f>IF(Deltagarlista!$K$3=2,
IF(ISBLANK(Deltagarlista!$C55),"",IF(ISBLANK(Arrangörslista!I$143),"",IF($GV17=BI$64," DNS ",IFERROR(VLOOKUP($F17,Arrangörslista!I$143:$AG$180,16,FALSE), "DNS")))), IF(Deltagarlista!$K$3=1,IF(ISBLANK(Deltagarlista!$C55),"",IF(ISBLANK(Arrangörslista!I$143),"",IFERROR(VLOOKUP($F17,Arrangörslista!I$143:$AG$180,16,FALSE), "DNS"))),""))</f>
        <v/>
      </c>
      <c r="BJ17" s="5" t="str">
        <f>IF(Deltagarlista!$K$3=2,
IF(ISBLANK(Deltagarlista!$C55),"",IF(ISBLANK(Arrangörslista!J$143),"",IF($GV17=BJ$64," DNS ",IFERROR(VLOOKUP($F17,Arrangörslista!J$143:$AG$180,16,FALSE), "DNS")))), IF(Deltagarlista!$K$3=1,IF(ISBLANK(Deltagarlista!$C55),"",IF(ISBLANK(Arrangörslista!J$143),"",IFERROR(VLOOKUP($F17,Arrangörslista!J$143:$AG$180,16,FALSE), "DNS"))),""))</f>
        <v/>
      </c>
      <c r="BK17" s="5" t="str">
        <f>IF(Deltagarlista!$K$3=2,
IF(ISBLANK(Deltagarlista!$C55),"",IF(ISBLANK(Arrangörslista!K$143),"",IF($GV17=BK$64," DNS ",IFERROR(VLOOKUP($F17,Arrangörslista!K$143:$AG$180,16,FALSE), "DNS")))), IF(Deltagarlista!$K$3=1,IF(ISBLANK(Deltagarlista!$C55),"",IF(ISBLANK(Arrangörslista!K$143),"",IFERROR(VLOOKUP($F17,Arrangörslista!K$143:$AG$180,16,FALSE), "DNS"))),""))</f>
        <v/>
      </c>
      <c r="BL17" s="5" t="str">
        <f>IF(Deltagarlista!$K$3=2,
IF(ISBLANK(Deltagarlista!$C55),"",IF(ISBLANK(Arrangörslista!L$143),"",IF($GV17=BL$64," DNS ",IFERROR(VLOOKUP($F17,Arrangörslista!L$143:$AG$180,16,FALSE), "DNS")))), IF(Deltagarlista!$K$3=1,IF(ISBLANK(Deltagarlista!$C55),"",IF(ISBLANK(Arrangörslista!L$143),"",IFERROR(VLOOKUP($F17,Arrangörslista!L$143:$AG$180,16,FALSE), "DNS"))),""))</f>
        <v/>
      </c>
      <c r="BM17" s="5" t="str">
        <f>IF(Deltagarlista!$K$3=2,
IF(ISBLANK(Deltagarlista!$C55),"",IF(ISBLANK(Arrangörslista!M$143),"",IF($GV17=BM$64," DNS ",IFERROR(VLOOKUP($F17,Arrangörslista!M$143:$AG$180,16,FALSE), "DNS")))), IF(Deltagarlista!$K$3=1,IF(ISBLANK(Deltagarlista!$C55),"",IF(ISBLANK(Arrangörslista!M$143),"",IFERROR(VLOOKUP($F17,Arrangörslista!M$143:$AG$180,16,FALSE), "DNS"))),""))</f>
        <v/>
      </c>
      <c r="BN17" s="5" t="str">
        <f>IF(Deltagarlista!$K$3=2,
IF(ISBLANK(Deltagarlista!$C55),"",IF(ISBLANK(Arrangörslista!N$143),"",IF($GV17=BN$64," DNS ",IFERROR(VLOOKUP($F17,Arrangörslista!N$143:$AG$180,16,FALSE), "DNS")))), IF(Deltagarlista!$K$3=1,IF(ISBLANK(Deltagarlista!$C55),"",IF(ISBLANK(Arrangörslista!N$143),"",IFERROR(VLOOKUP($F17,Arrangörslista!N$143:$AG$180,16,FALSE), "DNS"))),""))</f>
        <v/>
      </c>
      <c r="BO17" s="5" t="str">
        <f>IF(Deltagarlista!$K$3=2,
IF(ISBLANK(Deltagarlista!$C55),"",IF(ISBLANK(Arrangörslista!O$143),"",IF($GV17=BO$64," DNS ",IFERROR(VLOOKUP($F17,Arrangörslista!O$143:$AG$180,16,FALSE), "DNS")))), IF(Deltagarlista!$K$3=1,IF(ISBLANK(Deltagarlista!$C55),"",IF(ISBLANK(Arrangörslista!O$143),"",IFERROR(VLOOKUP($F17,Arrangörslista!O$143:$AG$180,16,FALSE), "DNS"))),""))</f>
        <v/>
      </c>
      <c r="BP17" s="5" t="str">
        <f>IF(Deltagarlista!$K$3=2,
IF(ISBLANK(Deltagarlista!$C55),"",IF(ISBLANK(Arrangörslista!P$143),"",IF($GV17=BP$64," DNS ",IFERROR(VLOOKUP($F17,Arrangörslista!P$143:$AG$180,16,FALSE), "DNS")))), IF(Deltagarlista!$K$3=1,IF(ISBLANK(Deltagarlista!$C55),"",IF(ISBLANK(Arrangörslista!P$143),"",IFERROR(VLOOKUP($F17,Arrangörslista!P$143:$AG$180,16,FALSE), "DNS"))),""))</f>
        <v/>
      </c>
      <c r="BQ17" s="80" t="str">
        <f>IF(Deltagarlista!$K$3=2,
IF(ISBLANK(Deltagarlista!$C55),"",IF(ISBLANK(Arrangörslista!Q$143),"",IF($GV17=BQ$64," DNS ",IFERROR(VLOOKUP($F17,Arrangörslista!Q$143:$AG$180,16,FALSE), "DNS")))), IF(Deltagarlista!$K$3=1,IF(ISBLANK(Deltagarlista!$C55),"",IF(ISBLANK(Arrangörslista!Q$143),"",IFERROR(VLOOKUP($F17,Arrangörslista!Q$143:$AG$180,16,FALSE), "DNS"))),""))</f>
        <v/>
      </c>
      <c r="BR17" s="48"/>
      <c r="BS17" s="50" t="str">
        <f t="shared" si="0"/>
        <v>2</v>
      </c>
      <c r="BU17" s="71">
        <f t="shared" si="1"/>
        <v>0</v>
      </c>
      <c r="BV17" s="61">
        <f t="shared" si="2"/>
        <v>0</v>
      </c>
      <c r="BW17" s="61">
        <f t="shared" si="3"/>
        <v>0</v>
      </c>
      <c r="BX17" s="61">
        <f t="shared" si="4"/>
        <v>0</v>
      </c>
      <c r="BY17" s="61">
        <f t="shared" si="5"/>
        <v>0</v>
      </c>
      <c r="BZ17" s="61">
        <f t="shared" si="6"/>
        <v>0</v>
      </c>
      <c r="CA17" s="61">
        <f t="shared" si="7"/>
        <v>0</v>
      </c>
      <c r="CB17" s="61">
        <f t="shared" si="8"/>
        <v>0</v>
      </c>
      <c r="CC17" s="61">
        <f t="shared" si="9"/>
        <v>0</v>
      </c>
      <c r="CD17" s="61">
        <f t="shared" si="10"/>
        <v>0</v>
      </c>
      <c r="CE17" s="61">
        <f t="shared" si="11"/>
        <v>0</v>
      </c>
      <c r="CF17" s="61">
        <f t="shared" si="12"/>
        <v>0</v>
      </c>
      <c r="CG17" s="61">
        <f t="shared" si="13"/>
        <v>0</v>
      </c>
      <c r="CH17" s="61">
        <f t="shared" si="14"/>
        <v>0</v>
      </c>
      <c r="CI17" s="61">
        <f t="shared" si="15"/>
        <v>0</v>
      </c>
      <c r="CJ17" s="61">
        <f t="shared" si="16"/>
        <v>0</v>
      </c>
      <c r="CK17" s="61">
        <f t="shared" si="17"/>
        <v>0</v>
      </c>
      <c r="CL17" s="61">
        <f t="shared" si="18"/>
        <v>0</v>
      </c>
      <c r="CM17" s="61">
        <f t="shared" si="19"/>
        <v>0</v>
      </c>
      <c r="CN17" s="61">
        <f t="shared" si="20"/>
        <v>0</v>
      </c>
      <c r="CO17" s="61">
        <f t="shared" si="21"/>
        <v>0</v>
      </c>
      <c r="CP17" s="61">
        <f t="shared" si="22"/>
        <v>0</v>
      </c>
      <c r="CQ17" s="61">
        <f t="shared" si="23"/>
        <v>0</v>
      </c>
      <c r="CR17" s="61">
        <f t="shared" si="24"/>
        <v>0</v>
      </c>
      <c r="CS17" s="61">
        <f t="shared" si="25"/>
        <v>0</v>
      </c>
      <c r="CT17" s="61">
        <f t="shared" si="26"/>
        <v>0</v>
      </c>
      <c r="CU17" s="61">
        <f t="shared" si="27"/>
        <v>0</v>
      </c>
      <c r="CV17" s="61">
        <f t="shared" si="28"/>
        <v>0</v>
      </c>
      <c r="CW17" s="61">
        <f t="shared" si="29"/>
        <v>0</v>
      </c>
      <c r="CX17" s="61">
        <f t="shared" si="30"/>
        <v>0</v>
      </c>
      <c r="CY17" s="61">
        <f t="shared" si="31"/>
        <v>0</v>
      </c>
      <c r="CZ17" s="61">
        <f t="shared" si="32"/>
        <v>0</v>
      </c>
      <c r="DA17" s="61">
        <f t="shared" si="33"/>
        <v>0</v>
      </c>
      <c r="DB17" s="61">
        <f t="shared" si="34"/>
        <v>0</v>
      </c>
      <c r="DC17" s="61">
        <f t="shared" si="35"/>
        <v>0</v>
      </c>
      <c r="DD17" s="61">
        <f t="shared" si="36"/>
        <v>0</v>
      </c>
      <c r="DE17" s="61">
        <f t="shared" si="37"/>
        <v>0</v>
      </c>
      <c r="DF17" s="61">
        <f t="shared" si="38"/>
        <v>0</v>
      </c>
      <c r="DG17" s="61">
        <f t="shared" si="39"/>
        <v>0</v>
      </c>
      <c r="DH17" s="61">
        <f t="shared" si="40"/>
        <v>0</v>
      </c>
      <c r="DI17" s="61">
        <f t="shared" si="41"/>
        <v>0</v>
      </c>
      <c r="DJ17" s="61">
        <f t="shared" si="42"/>
        <v>0</v>
      </c>
      <c r="DK17" s="61">
        <f t="shared" si="43"/>
        <v>0</v>
      </c>
      <c r="DL17" s="61">
        <f t="shared" si="44"/>
        <v>0</v>
      </c>
      <c r="DM17" s="61">
        <f t="shared" si="45"/>
        <v>0</v>
      </c>
      <c r="DN17" s="61">
        <f t="shared" si="46"/>
        <v>0</v>
      </c>
      <c r="DO17" s="61">
        <f t="shared" si="47"/>
        <v>0</v>
      </c>
      <c r="DP17" s="61">
        <f t="shared" si="48"/>
        <v>0</v>
      </c>
      <c r="DQ17" s="61">
        <f t="shared" si="49"/>
        <v>0</v>
      </c>
      <c r="DR17" s="61">
        <f t="shared" si="50"/>
        <v>0</v>
      </c>
      <c r="DS17" s="61">
        <f t="shared" si="51"/>
        <v>0</v>
      </c>
      <c r="DT17" s="61">
        <f t="shared" si="52"/>
        <v>0</v>
      </c>
      <c r="DU17" s="61">
        <f t="shared" si="53"/>
        <v>0</v>
      </c>
      <c r="DV17" s="61">
        <f t="shared" si="54"/>
        <v>0</v>
      </c>
      <c r="DW17" s="61">
        <f t="shared" si="55"/>
        <v>0</v>
      </c>
      <c r="DX17" s="61">
        <f t="shared" si="56"/>
        <v>0</v>
      </c>
      <c r="DY17" s="61">
        <f t="shared" si="57"/>
        <v>0</v>
      </c>
      <c r="DZ17" s="61">
        <f t="shared" si="58"/>
        <v>0</v>
      </c>
      <c r="EA17" s="61">
        <f t="shared" si="59"/>
        <v>0</v>
      </c>
      <c r="EB17" s="61">
        <f t="shared" si="60"/>
        <v>0</v>
      </c>
      <c r="EC17" s="61">
        <f t="shared" si="61"/>
        <v>0</v>
      </c>
      <c r="EE17" s="61">
        <f xml:space="preserve">
IF(OR(Deltagarlista!$K$3=3,Deltagarlista!$K$3=4),
IF(Arrangörslista!$U$5&lt;8,0,
IF(Arrangörslista!$U$5&lt;16,SUM(LARGE(BV17:CJ17,1)),
IF(Arrangörslista!$U$5&lt;24,SUM(LARGE(BV17:CR17,{1;2})),
IF(Arrangörslista!$U$5&lt;32,SUM(LARGE(BV17:CZ17,{1;2;3})),
IF(Arrangörslista!$U$5&lt;40,SUM(LARGE(BV17:DH17,{1;2;3;4})),
IF(Arrangörslista!$U$5&lt;48,SUM(LARGE(BV17:DP17,{1;2;3;4;5})),
IF(Arrangörslista!$U$5&lt;56,SUM(LARGE(BV17:DX17,{1;2;3;4;5;6})),
IF(Arrangörslista!$U$5&lt;64,SUM(LARGE(BV17:EC17,{1;2;3;4;5;6;7})),0)))))))),
IF(Deltagarlista!$K$3=2,
IF(Arrangörslista!$U$5&lt;4,LARGE(BV17:BX17,1),
IF(Arrangörslista!$U$5&lt;7,SUM(LARGE(BV17:CA17,{1;2;3})),
IF(Arrangörslista!$U$5&lt;10,SUM(LARGE(BV17:CD17,{1;2;3;4})),
IF(Arrangörslista!$U$5&lt;13,SUM(LARGE(BV17:CG17,{1;2;3;4;5;6})),
IF(Arrangörslista!$U$5&lt;16,SUM(LARGE(BV17:CJ17,{1;2;3;4;5;6;7})),
IF(Arrangörslista!$U$5&lt;19,SUM(LARGE(BV17:CM17,{1;2;3;4;5;6;7;8;9})),
IF(Arrangörslista!$U$5&lt;22,SUM(LARGE(BV17:CP17,{1;2;3;4;5;6;7;8;9;10})),
IF(Arrangörslista!$U$5&lt;25,SUM(LARGE(BV17:CS17,{1;2;3;4;5;6;7;8;9;10;11;12})),
IF(Arrangörslista!$U$5&lt;28,SUM(LARGE(BV17:CV17,{1;2;3;4;5;6;7;8;9;10;11;12;13})),
IF(Arrangörslista!$U$5&lt;31,SUM(LARGE(BV17:CY17,{1;2;3;4;5;6;7;8;9;10;11;12;13;14;15})),
IF(Arrangörslista!$U$5&lt;34,SUM(LARGE(BV17:DB17,{1;2;3;4;5;6;7;8;9;10;11;12;13;14;15;16})),
IF(Arrangörslista!$U$5&lt;37,SUM(LARGE(BV17:DE17,{1;2;3;4;5;6;7;8;9;10;11;12;13;14;15;16;17;18})),
IF(Arrangörslista!$U$5&lt;40,SUM(LARGE(BV17:DH17,{1;2;3;4;5;6;7;8;9;10;11;12;13;14;15;16;17;18;19})),
IF(Arrangörslista!$U$5&lt;43,SUM(LARGE(BV17:DK17,{1;2;3;4;5;6;7;8;9;10;11;12;13;14;15;16;17;18;19;20;21})),
IF(Arrangörslista!$U$5&lt;46,SUM(LARGE(BV17:DN17,{1;2;3;4;5;6;7;8;9;10;11;12;13;14;15;16;17;18;19;20;21;22})),
IF(Arrangörslista!$U$5&lt;49,SUM(LARGE(BV17:DQ17,{1;2;3;4;5;6;7;8;9;10;11;12;13;14;15;16;17;18;19;20;21;22;23;24})),
IF(Arrangörslista!$U$5&lt;52,SUM(LARGE(BV17:DT17,{1;2;3;4;5;6;7;8;9;10;11;12;13;14;15;16;17;18;19;20;21;22;23;24;25})),
IF(Arrangörslista!$U$5&lt;55,SUM(LARGE(BV17:DW17,{1;2;3;4;5;6;7;8;9;10;11;12;13;14;15;16;17;18;19;20;21;22;23;24;25;26;27})),
IF(Arrangörslista!$U$5&lt;58,SUM(LARGE(BV17:DZ17,{1;2;3;4;5;6;7;8;9;10;11;12;13;14;15;16;17;18;19;20;21;22;23;24;25;26;27;28})),
IF(Arrangörslista!$U$5&lt;61,SUM(LARGE(BV17:EC17,{1;2;3;4;5;6;7;8;9;10;11;12;13;14;15;16;17;18;19;20;21;22;23;24;25;26;27;28;29;30})),0)))))))))))))))))))),
IF(Arrangörslista!$U$5&lt;4,0,
IF(Arrangörslista!$U$5&lt;8,SUM(LARGE(BV17:CB17,1)),
IF(Arrangörslista!$U$5&lt;12,SUM(LARGE(BV17:CF17,{1;2})),
IF(Arrangörslista!$U$5&lt;16,SUM(LARGE(BV17:CJ17,{1;2;3})),
IF(Arrangörslista!$U$5&lt;20,SUM(LARGE(BV17:CN17,{1;2;3;4})),
IF(Arrangörslista!$U$5&lt;24,SUM(LARGE(BV17:CR17,{1;2;3;4;5})),
IF(Arrangörslista!$U$5&lt;28,SUM(LARGE(BV17:CV17,{1;2;3;4;5;6})),
IF(Arrangörslista!$U$5&lt;32,SUM(LARGE(BV17:CZ17,{1;2;3;4;5;6;7})),
IF(Arrangörslista!$U$5&lt;36,SUM(LARGE(BV17:DD17,{1;2;3;4;5;6;7;8})),
IF(Arrangörslista!$U$5&lt;40,SUM(LARGE(BV17:DH17,{1;2;3;4;5;6;7;8;9})),
IF(Arrangörslista!$U$5&lt;44,SUM(LARGE(BV17:DL17,{1;2;3;4;5;6;7;8;9;10})),
IF(Arrangörslista!$U$5&lt;48,SUM(LARGE(BV17:DP17,{1;2;3;4;5;6;7;8;9;10;11})),
IF(Arrangörslista!$U$5&lt;52,SUM(LARGE(BV17:DT17,{1;2;3;4;5;6;7;8;9;10;11;12})),
IF(Arrangörslista!$U$5&lt;56,SUM(LARGE(BV17:DX17,{1;2;3;4;5;6;7;8;9;10;11;12;13})),
IF(Arrangörslista!$U$5&lt;60,SUM(LARGE(BV17:EB17,{1;2;3;4;5;6;7;8;9;10;11;12;13;14})),
IF(Arrangörslista!$U$5=60,SUM(LARGE(BV17:EC17,{1;2;3;4;5;6;7;8;9;10;11;12;13;14;15})),0))))))))))))))))))</f>
        <v>0</v>
      </c>
      <c r="EG17" s="67">
        <f t="shared" si="62"/>
        <v>0</v>
      </c>
      <c r="EH17" s="61"/>
      <c r="EI17" s="61"/>
      <c r="EK17" s="62">
        <f t="shared" si="63"/>
        <v>61</v>
      </c>
      <c r="EL17" s="62">
        <f t="shared" si="64"/>
        <v>61</v>
      </c>
      <c r="EM17" s="62">
        <f t="shared" si="65"/>
        <v>61</v>
      </c>
      <c r="EN17" s="62">
        <f t="shared" si="66"/>
        <v>61</v>
      </c>
      <c r="EO17" s="62">
        <f t="shared" si="67"/>
        <v>61</v>
      </c>
      <c r="EP17" s="62">
        <f t="shared" si="68"/>
        <v>61</v>
      </c>
      <c r="EQ17" s="62">
        <f t="shared" si="69"/>
        <v>61</v>
      </c>
      <c r="ER17" s="62">
        <f t="shared" si="70"/>
        <v>61</v>
      </c>
      <c r="ES17" s="62">
        <f t="shared" si="71"/>
        <v>61</v>
      </c>
      <c r="ET17" s="62">
        <f t="shared" si="72"/>
        <v>61</v>
      </c>
      <c r="EU17" s="62">
        <f t="shared" si="73"/>
        <v>61</v>
      </c>
      <c r="EV17" s="62">
        <f t="shared" si="74"/>
        <v>61</v>
      </c>
      <c r="EW17" s="62">
        <f t="shared" si="75"/>
        <v>61</v>
      </c>
      <c r="EX17" s="62">
        <f t="shared" si="76"/>
        <v>61</v>
      </c>
      <c r="EY17" s="62">
        <f t="shared" si="77"/>
        <v>61</v>
      </c>
      <c r="EZ17" s="62">
        <f t="shared" si="78"/>
        <v>61</v>
      </c>
      <c r="FA17" s="62">
        <f t="shared" si="79"/>
        <v>61</v>
      </c>
      <c r="FB17" s="62">
        <f t="shared" si="80"/>
        <v>61</v>
      </c>
      <c r="FC17" s="62">
        <f t="shared" si="81"/>
        <v>61</v>
      </c>
      <c r="FD17" s="62">
        <f t="shared" si="82"/>
        <v>61</v>
      </c>
      <c r="FE17" s="62">
        <f t="shared" si="83"/>
        <v>61</v>
      </c>
      <c r="FF17" s="62">
        <f t="shared" si="84"/>
        <v>61</v>
      </c>
      <c r="FG17" s="62">
        <f t="shared" si="85"/>
        <v>61</v>
      </c>
      <c r="FH17" s="62">
        <f t="shared" si="86"/>
        <v>61</v>
      </c>
      <c r="FI17" s="62">
        <f t="shared" si="87"/>
        <v>61</v>
      </c>
      <c r="FJ17" s="62">
        <f t="shared" si="88"/>
        <v>61</v>
      </c>
      <c r="FK17" s="62">
        <f t="shared" si="89"/>
        <v>61</v>
      </c>
      <c r="FL17" s="62">
        <f t="shared" si="90"/>
        <v>61</v>
      </c>
      <c r="FM17" s="62">
        <f t="shared" si="91"/>
        <v>61</v>
      </c>
      <c r="FN17" s="62">
        <f t="shared" si="92"/>
        <v>61</v>
      </c>
      <c r="FO17" s="62">
        <f t="shared" si="93"/>
        <v>61</v>
      </c>
      <c r="FP17" s="62">
        <f t="shared" si="94"/>
        <v>61</v>
      </c>
      <c r="FQ17" s="62">
        <f t="shared" si="95"/>
        <v>61</v>
      </c>
      <c r="FR17" s="62">
        <f t="shared" si="96"/>
        <v>61</v>
      </c>
      <c r="FS17" s="62">
        <f t="shared" si="97"/>
        <v>61</v>
      </c>
      <c r="FT17" s="62">
        <f t="shared" si="98"/>
        <v>61</v>
      </c>
      <c r="FU17" s="62">
        <f t="shared" si="99"/>
        <v>61</v>
      </c>
      <c r="FV17" s="62">
        <f t="shared" si="100"/>
        <v>61</v>
      </c>
      <c r="FW17" s="62">
        <f t="shared" si="101"/>
        <v>61</v>
      </c>
      <c r="FX17" s="62">
        <f t="shared" si="102"/>
        <v>61</v>
      </c>
      <c r="FY17" s="62">
        <f t="shared" si="103"/>
        <v>61</v>
      </c>
      <c r="FZ17" s="62">
        <f t="shared" si="104"/>
        <v>61</v>
      </c>
      <c r="GA17" s="62">
        <f t="shared" si="105"/>
        <v>61</v>
      </c>
      <c r="GB17" s="62">
        <f t="shared" si="106"/>
        <v>61</v>
      </c>
      <c r="GC17" s="62">
        <f t="shared" si="107"/>
        <v>61</v>
      </c>
      <c r="GD17" s="62">
        <f t="shared" si="108"/>
        <v>61</v>
      </c>
      <c r="GE17" s="62">
        <f t="shared" si="109"/>
        <v>61</v>
      </c>
      <c r="GF17" s="62">
        <f t="shared" si="110"/>
        <v>61</v>
      </c>
      <c r="GG17" s="62">
        <f t="shared" si="111"/>
        <v>61</v>
      </c>
      <c r="GH17" s="62">
        <f t="shared" si="112"/>
        <v>61</v>
      </c>
      <c r="GI17" s="62">
        <f t="shared" si="113"/>
        <v>61</v>
      </c>
      <c r="GJ17" s="62">
        <f t="shared" si="114"/>
        <v>61</v>
      </c>
      <c r="GK17" s="62">
        <f t="shared" si="115"/>
        <v>61</v>
      </c>
      <c r="GL17" s="62">
        <f t="shared" si="116"/>
        <v>61</v>
      </c>
      <c r="GM17" s="62">
        <f t="shared" si="117"/>
        <v>61</v>
      </c>
      <c r="GN17" s="62">
        <f t="shared" si="118"/>
        <v>61</v>
      </c>
      <c r="GO17" s="62">
        <f t="shared" si="119"/>
        <v>61</v>
      </c>
      <c r="GP17" s="62">
        <f t="shared" si="120"/>
        <v>61</v>
      </c>
      <c r="GQ17" s="62">
        <f t="shared" si="121"/>
        <v>61</v>
      </c>
      <c r="GR17" s="62">
        <f t="shared" si="122"/>
        <v>61</v>
      </c>
      <c r="GT17" s="62">
        <f>IF(Deltagarlista!$K$3=2,
IF(GW17="1",
      IF(Arrangörslista!$U$5=1,J80,
IF(Arrangörslista!$U$5=2,K80,
IF(Arrangörslista!$U$5=3,L80,
IF(Arrangörslista!$U$5=4,M80,
IF(Arrangörslista!$U$5=5,N80,
IF(Arrangörslista!$U$5=6,O80,
IF(Arrangörslista!$U$5=7,P80,
IF(Arrangörslista!$U$5=8,Q80,
IF(Arrangörslista!$U$5=9,R80,
IF(Arrangörslista!$U$5=10,S80,
IF(Arrangörslista!$U$5=11,T80,
IF(Arrangörslista!$U$5=12,U80,
IF(Arrangörslista!$U$5=13,V80,
IF(Arrangörslista!$U$5=14,W80,
IF(Arrangörslista!$U$5=15,X80,
IF(Arrangörslista!$U$5=16,Y80,IF(Arrangörslista!$U$5=17,Z80,IF(Arrangörslista!$U$5=18,AA80,IF(Arrangörslista!$U$5=19,AB80,IF(Arrangörslista!$U$5=20,AC80,IF(Arrangörslista!$U$5=21,AD80,IF(Arrangörslista!$U$5=22,AE80,IF(Arrangörslista!$U$5=23,AF80, IF(Arrangörslista!$U$5=24,AG80, IF(Arrangörslista!$U$5=25,AH80, IF(Arrangörslista!$U$5=26,AI80, IF(Arrangörslista!$U$5=27,AJ80, IF(Arrangörslista!$U$5=28,AK80, IF(Arrangörslista!$U$5=29,AL80, IF(Arrangörslista!$U$5=30,AM80, IF(Arrangörslista!$U$5=31,AN80, IF(Arrangörslista!$U$5=32,AO80, IF(Arrangörslista!$U$5=33,AP80, IF(Arrangörslista!$U$5=34,AQ80, IF(Arrangörslista!$U$5=35,AR80, IF(Arrangörslista!$U$5=36,AS80, IF(Arrangörslista!$U$5=37,AT80, IF(Arrangörslista!$U$5=38,AU80, IF(Arrangörslista!$U$5=39,AV80, IF(Arrangörslista!$U$5=40,AW80, IF(Arrangörslista!$U$5=41,AX80, IF(Arrangörslista!$U$5=42,AY80, IF(Arrangörslista!$U$5=43,AZ80, IF(Arrangörslista!$U$5=44,BA80, IF(Arrangörslista!$U$5=45,BB80, IF(Arrangörslista!$U$5=46,BC80, IF(Arrangörslista!$U$5=47,BD80, IF(Arrangörslista!$U$5=48,BE80, IF(Arrangörslista!$U$5=49,BF80, IF(Arrangörslista!$U$5=50,BG80, IF(Arrangörslista!$U$5=51,BH80, IF(Arrangörslista!$U$5=52,BI80, IF(Arrangörslista!$U$5=53,BJ80, IF(Arrangörslista!$U$5=54,BK80, IF(Arrangörslista!$U$5=55,BL80, IF(Arrangörslista!$U$5=56,BM80, IF(Arrangörslista!$U$5=57,BN80, IF(Arrangörslista!$U$5=58,BO80, IF(Arrangörslista!$U$5=59,BP80, IF(Arrangörslista!$U$5=60,BQ80,0))))))))))))))))))))))))))))))))))))))))))))))))))))))))))))),IF(Deltagarlista!$K$3=4, IF(Arrangörslista!$U$5=1,J80,
IF(Arrangörslista!$U$5=2,J80,
IF(Arrangörslista!$U$5=3,K80,
IF(Arrangörslista!$U$5=4,K80,
IF(Arrangörslista!$U$5=5,L80,
IF(Arrangörslista!$U$5=6,L80,
IF(Arrangörslista!$U$5=7,M80,
IF(Arrangörslista!$U$5=8,M80,
IF(Arrangörslista!$U$5=9,N80,
IF(Arrangörslista!$U$5=10,N80,
IF(Arrangörslista!$U$5=11,O80,
IF(Arrangörslista!$U$5=12,O80,
IF(Arrangörslista!$U$5=13,P80,
IF(Arrangörslista!$U$5=14,P80,
IF(Arrangörslista!$U$5=15,Q80,
IF(Arrangörslista!$U$5=16,Q80,
IF(Arrangörslista!$U$5=17,R80,
IF(Arrangörslista!$U$5=18,R80,
IF(Arrangörslista!$U$5=19,S80,
IF(Arrangörslista!$U$5=20,S80,
IF(Arrangörslista!$U$5=21,T80,
IF(Arrangörslista!$U$5=22,T80,IF(Arrangörslista!$U$5=23,U80, IF(Arrangörslista!$U$5=24,U80, IF(Arrangörslista!$U$5=25,V80, IF(Arrangörslista!$U$5=26,V80, IF(Arrangörslista!$U$5=27,W80, IF(Arrangörslista!$U$5=28,W80, IF(Arrangörslista!$U$5=29,X80, IF(Arrangörslista!$U$5=30,X80, IF(Arrangörslista!$U$5=31,X80, IF(Arrangörslista!$U$5=32,Y80, IF(Arrangörslista!$U$5=33,AO80, IF(Arrangörslista!$U$5=34,Y80, IF(Arrangörslista!$U$5=35,Z80, IF(Arrangörslista!$U$5=36,AR80, IF(Arrangörslista!$U$5=37,Z80, IF(Arrangörslista!$U$5=38,AA80, IF(Arrangörslista!$U$5=39,AU80, IF(Arrangörslista!$U$5=40,AA80, IF(Arrangörslista!$U$5=41,AB80, IF(Arrangörslista!$U$5=42,AX80, IF(Arrangörslista!$U$5=43,AB80, IF(Arrangörslista!$U$5=44,AC80, IF(Arrangörslista!$U$5=45,BA80, IF(Arrangörslista!$U$5=46,AC80, IF(Arrangörslista!$U$5=47,AD80, IF(Arrangörslista!$U$5=48,BD80, IF(Arrangörslista!$U$5=49,AD80, IF(Arrangörslista!$U$5=50,AE80, IF(Arrangörslista!$U$5=51,BG80, IF(Arrangörslista!$U$5=52,AE80, IF(Arrangörslista!$U$5=53,AF80, IF(Arrangörslista!$U$5=54,BJ80, IF(Arrangörslista!$U$5=55,AF80, IF(Arrangörslista!$U$5=56,AG80, IF(Arrangörslista!$U$5=57,BM80, IF(Arrangörslista!$U$5=58,AG80, IF(Arrangörslista!$U$5=59,AH80, IF(Arrangörslista!$U$5=60,AH80,0)))))))))))))))))))))))))))))))))))))))))))))))))))))))))))),IF(Arrangörslista!$U$5=1,J80,
IF(Arrangörslista!$U$5=2,K80,
IF(Arrangörslista!$U$5=3,L80,
IF(Arrangörslista!$U$5=4,M80,
IF(Arrangörslista!$U$5=5,N80,
IF(Arrangörslista!$U$5=6,O80,
IF(Arrangörslista!$U$5=7,P80,
IF(Arrangörslista!$U$5=8,Q80,
IF(Arrangörslista!$U$5=9,R80,
IF(Arrangörslista!$U$5=10,S80,
IF(Arrangörslista!$U$5=11,T80,
IF(Arrangörslista!$U$5=12,U80,
IF(Arrangörslista!$U$5=13,V80,
IF(Arrangörslista!$U$5=14,W80,
IF(Arrangörslista!$U$5=15,X80,
IF(Arrangörslista!$U$5=16,Y80,IF(Arrangörslista!$U$5=17,Z80,IF(Arrangörslista!$U$5=18,AA80,IF(Arrangörslista!$U$5=19,AB80,IF(Arrangörslista!$U$5=20,AC80,IF(Arrangörslista!$U$5=21,AD80,IF(Arrangörslista!$U$5=22,AE80,IF(Arrangörslista!$U$5=23,AF80, IF(Arrangörslista!$U$5=24,AG80, IF(Arrangörslista!$U$5=25,AH80, IF(Arrangörslista!$U$5=26,AI80, IF(Arrangörslista!$U$5=27,AJ80, IF(Arrangörslista!$U$5=28,AK80, IF(Arrangörslista!$U$5=29,AL80, IF(Arrangörslista!$U$5=30,AM80, IF(Arrangörslista!$U$5=31,AN80, IF(Arrangörslista!$U$5=32,AO80, IF(Arrangörslista!$U$5=33,AP80, IF(Arrangörslista!$U$5=34,AQ80, IF(Arrangörslista!$U$5=35,AR80, IF(Arrangörslista!$U$5=36,AS80, IF(Arrangörslista!$U$5=37,AT80, IF(Arrangörslista!$U$5=38,AU80, IF(Arrangörslista!$U$5=39,AV80, IF(Arrangörslista!$U$5=40,AW80, IF(Arrangörslista!$U$5=41,AX80, IF(Arrangörslista!$U$5=42,AY80, IF(Arrangörslista!$U$5=43,AZ80, IF(Arrangörslista!$U$5=44,BA80, IF(Arrangörslista!$U$5=45,BB80, IF(Arrangörslista!$U$5=46,BC80, IF(Arrangörslista!$U$5=47,BD80, IF(Arrangörslista!$U$5=48,BE80, IF(Arrangörslista!$U$5=49,BF80, IF(Arrangörslista!$U$5=50,BG80, IF(Arrangörslista!$U$5=51,BH80, IF(Arrangörslista!$U$5=52,BI80, IF(Arrangörslista!$U$5=53,BJ80, IF(Arrangörslista!$U$5=54,BK80, IF(Arrangörslista!$U$5=55,BL80, IF(Arrangörslista!$U$5=56,BM80, IF(Arrangörslista!$U$5=57,BN80, IF(Arrangörslista!$U$5=58,BO80, IF(Arrangörslista!$U$5=59,BP80, IF(Arrangörslista!$U$5=60,BQ80,0))))))))))))))))))))))))))))))))))))))))))))))))))))))))))))
))</f>
        <v>0</v>
      </c>
      <c r="GV17" s="65" t="str">
        <f>IFERROR(IF(VLOOKUP(F17,Deltagarlista!$E$5:$I$64,5,FALSE)="Grön","Gr",IF(VLOOKUP(F17,Deltagarlista!$E$5:$I$64,5,FALSE)="Röd","R",IF(VLOOKUP(F17,Deltagarlista!$E$5:$I$64,5,FALSE)="Blå","B","Gu"))),"")</f>
        <v/>
      </c>
      <c r="GW17" s="62" t="str">
        <f t="shared" si="124"/>
        <v/>
      </c>
    </row>
    <row r="18" spans="2:205" x14ac:dyDescent="0.3">
      <c r="B18" s="23" t="str">
        <f>IF((COUNTIF(Deltagarlista!$H$5:$H$64,"GM"))&gt;14,15,"")</f>
        <v/>
      </c>
      <c r="C18" s="92" t="str">
        <f>IF(ISBLANK(Deltagarlista!C48),"",Deltagarlista!C48)</f>
        <v/>
      </c>
      <c r="D18" s="109" t="str">
        <f>CONCATENATE(IF(Deltagarlista!H48="GM","GM   ",""), IF(OR(Deltagarlista!$K$3=4,Deltagarlista!$K$3=2),Deltagarlista!I48,""))</f>
        <v/>
      </c>
      <c r="E18" s="8" t="str">
        <f>IF(ISBLANK(Deltagarlista!D48),"",Deltagarlista!D48)</f>
        <v/>
      </c>
      <c r="F18" s="8" t="str">
        <f>IF(ISBLANK(Deltagarlista!E48),"",Deltagarlista!E48)</f>
        <v/>
      </c>
      <c r="G18" s="95" t="str">
        <f>IF(ISBLANK(Deltagarlista!F48),"",Deltagarlista!F48)</f>
        <v/>
      </c>
      <c r="H18" s="72" t="str">
        <f>IF(ISBLANK(Deltagarlista!C48),"",BU18-EE18)</f>
        <v/>
      </c>
      <c r="I18" s="13" t="str">
        <f>IF(ISBLANK(Deltagarlista!C48),"",IF(AND(Deltagarlista!$K$3=2,Deltagarlista!$L$3&lt;37),SUM(SUM(BV18:EC18)-(ROUNDDOWN(Arrangörslista!$U$5/3,1))*($BW$3+1)),SUM(BV18:EC18)))</f>
        <v/>
      </c>
      <c r="J18" s="79" t="str">
        <f>IF(Deltagarlista!$K$3=4,IF(ISBLANK(Deltagarlista!$C48),"",IF(ISBLANK(Arrangörslista!C$8),"",IFERROR(VLOOKUP($F18,Arrangörslista!C$8:$AG$45,16,FALSE),IF(ISBLANK(Deltagarlista!$C48),"",IF(ISBLANK(Arrangörslista!C$8),"",IFERROR(VLOOKUP($F18,Arrangörslista!D$8:$AG$45,16,FALSE),"DNS")))))),IF(Deltagarlista!$K$3=2,
IF(ISBLANK(Deltagarlista!$C48),"",IF(ISBLANK(Arrangörslista!C$8),"",IF($GV18=J$64," DNS ",IFERROR(VLOOKUP($F18,Arrangörslista!C$8:$AG$45,16,FALSE),"DNS")))),IF(ISBLANK(Deltagarlista!$C48),"",IF(ISBLANK(Arrangörslista!C$8),"",IFERROR(VLOOKUP($F18,Arrangörslista!C$8:$AG$45,16,FALSE),"DNS")))))</f>
        <v/>
      </c>
      <c r="K18" s="5" t="str">
        <f>IF(Deltagarlista!$K$3=4,IF(ISBLANK(Deltagarlista!$C48),"",IF(ISBLANK(Arrangörslista!E$8),"",IFERROR(VLOOKUP($F18,Arrangörslista!E$8:$AG$45,16,FALSE),IF(ISBLANK(Deltagarlista!$C48),"",IF(ISBLANK(Arrangörslista!E$8),"",IFERROR(VLOOKUP($F18,Arrangörslista!F$8:$AG$45,16,FALSE),"DNS")))))),IF(Deltagarlista!$K$3=2,
IF(ISBLANK(Deltagarlista!$C48),"",IF(ISBLANK(Arrangörslista!D$8),"",IF($GV18=K$64," DNS ",IFERROR(VLOOKUP($F18,Arrangörslista!D$8:$AG$45,16,FALSE),"DNS")))),IF(ISBLANK(Deltagarlista!$C48),"",IF(ISBLANK(Arrangörslista!D$8),"",IFERROR(VLOOKUP($F18,Arrangörslista!D$8:$AG$45,16,FALSE),"DNS")))))</f>
        <v/>
      </c>
      <c r="L18" s="5" t="str">
        <f>IF(Deltagarlista!$K$3=4,IF(ISBLANK(Deltagarlista!$C48),"",IF(ISBLANK(Arrangörslista!G$8),"",IFERROR(VLOOKUP($F18,Arrangörslista!G$8:$AG$45,16,FALSE),IF(ISBLANK(Deltagarlista!$C48),"",IF(ISBLANK(Arrangörslista!G$8),"",IFERROR(VLOOKUP($F18,Arrangörslista!H$8:$AG$45,16,FALSE),"DNS")))))),IF(Deltagarlista!$K$3=2,
IF(ISBLANK(Deltagarlista!$C48),"",IF(ISBLANK(Arrangörslista!E$8),"",IF($GV18=L$64," DNS ",IFERROR(VLOOKUP($F18,Arrangörslista!E$8:$AG$45,16,FALSE),"DNS")))),IF(ISBLANK(Deltagarlista!$C48),"",IF(ISBLANK(Arrangörslista!E$8),"",IFERROR(VLOOKUP($F18,Arrangörslista!E$8:$AG$45,16,FALSE),"DNS")))))</f>
        <v/>
      </c>
      <c r="M18" s="5" t="str">
        <f>IF(Deltagarlista!$K$3=4,IF(ISBLANK(Deltagarlista!$C48),"",IF(ISBLANK(Arrangörslista!I$8),"",IFERROR(VLOOKUP($F18,Arrangörslista!I$8:$AG$45,16,FALSE),IF(ISBLANK(Deltagarlista!$C48),"",IF(ISBLANK(Arrangörslista!I$8),"",IFERROR(VLOOKUP($F18,Arrangörslista!J$8:$AG$45,16,FALSE),"DNS")))))),IF(Deltagarlista!$K$3=2,
IF(ISBLANK(Deltagarlista!$C48),"",IF(ISBLANK(Arrangörslista!F$8),"",IF($GV18=M$64," DNS ",IFERROR(VLOOKUP($F18,Arrangörslista!F$8:$AG$45,16,FALSE),"DNS")))),IF(ISBLANK(Deltagarlista!$C48),"",IF(ISBLANK(Arrangörslista!F$8),"",IFERROR(VLOOKUP($F18,Arrangörslista!F$8:$AG$45,16,FALSE),"DNS")))))</f>
        <v/>
      </c>
      <c r="N18" s="5" t="str">
        <f>IF(Deltagarlista!$K$3=4,IF(ISBLANK(Deltagarlista!$C48),"",IF(ISBLANK(Arrangörslista!K$8),"",IFERROR(VLOOKUP($F18,Arrangörslista!K$8:$AG$45,16,FALSE),IF(ISBLANK(Deltagarlista!$C48),"",IF(ISBLANK(Arrangörslista!K$8),"",IFERROR(VLOOKUP($F18,Arrangörslista!L$8:$AG$45,16,FALSE),"DNS")))))),IF(Deltagarlista!$K$3=2,
IF(ISBLANK(Deltagarlista!$C48),"",IF(ISBLANK(Arrangörslista!G$8),"",IF($GV18=N$64," DNS ",IFERROR(VLOOKUP($F18,Arrangörslista!G$8:$AG$45,16,FALSE),"DNS")))),IF(ISBLANK(Deltagarlista!$C48),"",IF(ISBLANK(Arrangörslista!G$8),"",IFERROR(VLOOKUP($F18,Arrangörslista!G$8:$AG$45,16,FALSE),"DNS")))))</f>
        <v/>
      </c>
      <c r="O18" s="5" t="str">
        <f>IF(Deltagarlista!$K$3=4,IF(ISBLANK(Deltagarlista!$C48),"",IF(ISBLANK(Arrangörslista!M$8),"",IFERROR(VLOOKUP($F18,Arrangörslista!M$8:$AG$45,16,FALSE),IF(ISBLANK(Deltagarlista!$C48),"",IF(ISBLANK(Arrangörslista!M$8),"",IFERROR(VLOOKUP($F18,Arrangörslista!N$8:$AG$45,16,FALSE),"DNS")))))),IF(Deltagarlista!$K$3=2,
IF(ISBLANK(Deltagarlista!$C48),"",IF(ISBLANK(Arrangörslista!H$8),"",IF($GV18=O$64," DNS ",IFERROR(VLOOKUP($F18,Arrangörslista!H$8:$AG$45,16,FALSE),"DNS")))),IF(ISBLANK(Deltagarlista!$C48),"",IF(ISBLANK(Arrangörslista!H$8),"",IFERROR(VLOOKUP($F18,Arrangörslista!H$8:$AG$45,16,FALSE),"DNS")))))</f>
        <v/>
      </c>
      <c r="P18" s="5" t="str">
        <f>IF(Deltagarlista!$K$3=4,IF(ISBLANK(Deltagarlista!$C48),"",IF(ISBLANK(Arrangörslista!O$8),"",IFERROR(VLOOKUP($F18,Arrangörslista!O$8:$AG$45,16,FALSE),IF(ISBLANK(Deltagarlista!$C48),"",IF(ISBLANK(Arrangörslista!O$8),"",IFERROR(VLOOKUP($F18,Arrangörslista!P$8:$AG$45,16,FALSE),"DNS")))))),IF(Deltagarlista!$K$3=2,
IF(ISBLANK(Deltagarlista!$C48),"",IF(ISBLANK(Arrangörslista!I$8),"",IF($GV18=P$64," DNS ",IFERROR(VLOOKUP($F18,Arrangörslista!I$8:$AG$45,16,FALSE),"DNS")))),IF(ISBLANK(Deltagarlista!$C48),"",IF(ISBLANK(Arrangörslista!I$8),"",IFERROR(VLOOKUP($F18,Arrangörslista!I$8:$AG$45,16,FALSE),"DNS")))))</f>
        <v/>
      </c>
      <c r="Q18" s="5" t="str">
        <f>IF(Deltagarlista!$K$3=4,IF(ISBLANK(Deltagarlista!$C48),"",IF(ISBLANK(Arrangörslista!Q$8),"",IFERROR(VLOOKUP($F18,Arrangörslista!Q$8:$AG$45,16,FALSE),IF(ISBLANK(Deltagarlista!$C48),"",IF(ISBLANK(Arrangörslista!Q$8),"",IFERROR(VLOOKUP($F18,Arrangörslista!C$53:$AG$90,16,FALSE),"DNS")))))),IF(Deltagarlista!$K$3=2,
IF(ISBLANK(Deltagarlista!$C48),"",IF(ISBLANK(Arrangörslista!J$8),"",IF($GV18=Q$64," DNS ",IFERROR(VLOOKUP($F18,Arrangörslista!J$8:$AG$45,16,FALSE),"DNS")))),IF(ISBLANK(Deltagarlista!$C48),"",IF(ISBLANK(Arrangörslista!J$8),"",IFERROR(VLOOKUP($F18,Arrangörslista!J$8:$AG$45,16,FALSE),"DNS")))))</f>
        <v/>
      </c>
      <c r="R18" s="5" t="str">
        <f>IF(Deltagarlista!$K$3=4,IF(ISBLANK(Deltagarlista!$C48),"",IF(ISBLANK(Arrangörslista!D$53),"",IFERROR(VLOOKUP($F18,Arrangörslista!D$53:$AG$90,16,FALSE),IF(ISBLANK(Deltagarlista!$C48),"",IF(ISBLANK(Arrangörslista!D$53),"",IFERROR(VLOOKUP($F18,Arrangörslista!E$53:$AG$90,16,FALSE),"DNS")))))),IF(Deltagarlista!$K$3=2,
IF(ISBLANK(Deltagarlista!$C48),"",IF(ISBLANK(Arrangörslista!K$8),"",IF($GV18=R$64," DNS ",IFERROR(VLOOKUP($F18,Arrangörslista!K$8:$AG$45,16,FALSE),"DNS")))),IF(ISBLANK(Deltagarlista!$C48),"",IF(ISBLANK(Arrangörslista!K$8),"",IFERROR(VLOOKUP($F18,Arrangörslista!K$8:$AG$45,16,FALSE),"DNS")))))</f>
        <v/>
      </c>
      <c r="S18" s="5" t="str">
        <f>IF(Deltagarlista!$K$3=4,IF(ISBLANK(Deltagarlista!$C48),"",IF(ISBLANK(Arrangörslista!F$53),"",IFERROR(VLOOKUP($F18,Arrangörslista!F$53:$AG$90,16,FALSE),IF(ISBLANK(Deltagarlista!$C48),"",IF(ISBLANK(Arrangörslista!F$53),"",IFERROR(VLOOKUP($F18,Arrangörslista!G$53:$AG$90,16,FALSE),"DNS")))))),IF(Deltagarlista!$K$3=2,
IF(ISBLANK(Deltagarlista!$C48),"",IF(ISBLANK(Arrangörslista!L$8),"",IF($GV18=S$64," DNS ",IFERROR(VLOOKUP($F18,Arrangörslista!L$8:$AG$45,16,FALSE),"DNS")))),IF(ISBLANK(Deltagarlista!$C48),"",IF(ISBLANK(Arrangörslista!L$8),"",IFERROR(VLOOKUP($F18,Arrangörslista!L$8:$AG$45,16,FALSE),"DNS")))))</f>
        <v/>
      </c>
      <c r="T18" s="5" t="str">
        <f>IF(Deltagarlista!$K$3=4,IF(ISBLANK(Deltagarlista!$C48),"",IF(ISBLANK(Arrangörslista!H$53),"",IFERROR(VLOOKUP($F18,Arrangörslista!H$53:$AG$90,16,FALSE),IF(ISBLANK(Deltagarlista!$C48),"",IF(ISBLANK(Arrangörslista!H$53),"",IFERROR(VLOOKUP($F18,Arrangörslista!I$53:$AG$90,16,FALSE),"DNS")))))),IF(Deltagarlista!$K$3=2,
IF(ISBLANK(Deltagarlista!$C48),"",IF(ISBLANK(Arrangörslista!M$8),"",IF($GV18=T$64," DNS ",IFERROR(VLOOKUP($F18,Arrangörslista!M$8:$AG$45,16,FALSE),"DNS")))),IF(ISBLANK(Deltagarlista!$C48),"",IF(ISBLANK(Arrangörslista!M$8),"",IFERROR(VLOOKUP($F18,Arrangörslista!M$8:$AG$45,16,FALSE),"DNS")))))</f>
        <v/>
      </c>
      <c r="U18" s="5" t="str">
        <f>IF(Deltagarlista!$K$3=4,IF(ISBLANK(Deltagarlista!$C48),"",IF(ISBLANK(Arrangörslista!J$53),"",IFERROR(VLOOKUP($F18,Arrangörslista!J$53:$AG$90,16,FALSE),IF(ISBLANK(Deltagarlista!$C48),"",IF(ISBLANK(Arrangörslista!J$53),"",IFERROR(VLOOKUP($F18,Arrangörslista!K$53:$AG$90,16,FALSE),"DNS")))))),IF(Deltagarlista!$K$3=2,
IF(ISBLANK(Deltagarlista!$C48),"",IF(ISBLANK(Arrangörslista!N$8),"",IF($GV18=U$64," DNS ",IFERROR(VLOOKUP($F18,Arrangörslista!N$8:$AG$45,16,FALSE),"DNS")))),IF(ISBLANK(Deltagarlista!$C48),"",IF(ISBLANK(Arrangörslista!N$8),"",IFERROR(VLOOKUP($F18,Arrangörslista!N$8:$AG$45,16,FALSE),"DNS")))))</f>
        <v/>
      </c>
      <c r="V18" s="5" t="str">
        <f>IF(Deltagarlista!$K$3=4,IF(ISBLANK(Deltagarlista!$C48),"",IF(ISBLANK(Arrangörslista!L$53),"",IFERROR(VLOOKUP($F18,Arrangörslista!L$53:$AG$90,16,FALSE),IF(ISBLANK(Deltagarlista!$C48),"",IF(ISBLANK(Arrangörslista!L$53),"",IFERROR(VLOOKUP($F18,Arrangörslista!M$53:$AG$90,16,FALSE),"DNS")))))),IF(Deltagarlista!$K$3=2,
IF(ISBLANK(Deltagarlista!$C48),"",IF(ISBLANK(Arrangörslista!O$8),"",IF($GV18=V$64," DNS ",IFERROR(VLOOKUP($F18,Arrangörslista!O$8:$AG$45,16,FALSE),"DNS")))),IF(ISBLANK(Deltagarlista!$C48),"",IF(ISBLANK(Arrangörslista!O$8),"",IFERROR(VLOOKUP($F18,Arrangörslista!O$8:$AG$45,16,FALSE),"DNS")))))</f>
        <v/>
      </c>
      <c r="W18" s="5" t="str">
        <f>IF(Deltagarlista!$K$3=4,IF(ISBLANK(Deltagarlista!$C48),"",IF(ISBLANK(Arrangörslista!N$53),"",IFERROR(VLOOKUP($F18,Arrangörslista!N$53:$AG$90,16,FALSE),IF(ISBLANK(Deltagarlista!$C48),"",IF(ISBLANK(Arrangörslista!N$53),"",IFERROR(VLOOKUP($F18,Arrangörslista!O$53:$AG$90,16,FALSE),"DNS")))))),IF(Deltagarlista!$K$3=2,
IF(ISBLANK(Deltagarlista!$C48),"",IF(ISBLANK(Arrangörslista!P$8),"",IF($GV18=W$64," DNS ",IFERROR(VLOOKUP($F18,Arrangörslista!P$8:$AG$45,16,FALSE),"DNS")))),IF(ISBLANK(Deltagarlista!$C48),"",IF(ISBLANK(Arrangörslista!P$8),"",IFERROR(VLOOKUP($F18,Arrangörslista!P$8:$AG$45,16,FALSE),"DNS")))))</f>
        <v/>
      </c>
      <c r="X18" s="5" t="str">
        <f>IF(Deltagarlista!$K$3=4,IF(ISBLANK(Deltagarlista!$C48),"",IF(ISBLANK(Arrangörslista!P$53),"",IFERROR(VLOOKUP($F18,Arrangörslista!P$53:$AG$90,16,FALSE),IF(ISBLANK(Deltagarlista!$C48),"",IF(ISBLANK(Arrangörslista!P$53),"",IFERROR(VLOOKUP($F18,Arrangörslista!Q$53:$AG$90,16,FALSE),"DNS")))))),IF(Deltagarlista!$K$3=2,
IF(ISBLANK(Deltagarlista!$C48),"",IF(ISBLANK(Arrangörslista!Q$8),"",IF($GV18=X$64," DNS ",IFERROR(VLOOKUP($F18,Arrangörslista!Q$8:$AG$45,16,FALSE),"DNS")))),IF(ISBLANK(Deltagarlista!$C48),"",IF(ISBLANK(Arrangörslista!Q$8),"",IFERROR(VLOOKUP($F18,Arrangörslista!Q$8:$AG$45,16,FALSE),"DNS")))))</f>
        <v/>
      </c>
      <c r="Y18" s="5" t="str">
        <f>IF(Deltagarlista!$K$3=4,IF(ISBLANK(Deltagarlista!$C48),"",IF(ISBLANK(Arrangörslista!C$98),"",IFERROR(VLOOKUP($F18,Arrangörslista!C$98:$AG$135,16,FALSE),IF(ISBLANK(Deltagarlista!$C48),"",IF(ISBLANK(Arrangörslista!C$98),"",IFERROR(VLOOKUP($F18,Arrangörslista!D$98:$AG$135,16,FALSE),"DNS")))))),IF(Deltagarlista!$K$3=2,
IF(ISBLANK(Deltagarlista!$C48),"",IF(ISBLANK(Arrangörslista!C$53),"",IF($GV18=Y$64," DNS ",IFERROR(VLOOKUP($F18,Arrangörslista!C$53:$AG$90,16,FALSE),"DNS")))),IF(ISBLANK(Deltagarlista!$C48),"",IF(ISBLANK(Arrangörslista!C$53),"",IFERROR(VLOOKUP($F18,Arrangörslista!C$53:$AG$90,16,FALSE),"DNS")))))</f>
        <v/>
      </c>
      <c r="Z18" s="5" t="str">
        <f>IF(Deltagarlista!$K$3=4,IF(ISBLANK(Deltagarlista!$C48),"",IF(ISBLANK(Arrangörslista!E$98),"",IFERROR(VLOOKUP($F18,Arrangörslista!E$98:$AG$135,16,FALSE),IF(ISBLANK(Deltagarlista!$C48),"",IF(ISBLANK(Arrangörslista!E$98),"",IFERROR(VLOOKUP($F18,Arrangörslista!F$98:$AG$135,16,FALSE),"DNS")))))),IF(Deltagarlista!$K$3=2,
IF(ISBLANK(Deltagarlista!$C48),"",IF(ISBLANK(Arrangörslista!D$53),"",IF($GV18=Z$64," DNS ",IFERROR(VLOOKUP($F18,Arrangörslista!D$53:$AG$90,16,FALSE),"DNS")))),IF(ISBLANK(Deltagarlista!$C48),"",IF(ISBLANK(Arrangörslista!D$53),"",IFERROR(VLOOKUP($F18,Arrangörslista!D$53:$AG$90,16,FALSE),"DNS")))))</f>
        <v/>
      </c>
      <c r="AA18" s="5" t="str">
        <f>IF(Deltagarlista!$K$3=4,IF(ISBLANK(Deltagarlista!$C48),"",IF(ISBLANK(Arrangörslista!G$98),"",IFERROR(VLOOKUP($F18,Arrangörslista!G$98:$AG$135,16,FALSE),IF(ISBLANK(Deltagarlista!$C48),"",IF(ISBLANK(Arrangörslista!G$98),"",IFERROR(VLOOKUP($F18,Arrangörslista!H$98:$AG$135,16,FALSE),"DNS")))))),IF(Deltagarlista!$K$3=2,
IF(ISBLANK(Deltagarlista!$C48),"",IF(ISBLANK(Arrangörslista!E$53),"",IF($GV18=AA$64," DNS ",IFERROR(VLOOKUP($F18,Arrangörslista!E$53:$AG$90,16,FALSE),"DNS")))),IF(ISBLANK(Deltagarlista!$C48),"",IF(ISBLANK(Arrangörslista!E$53),"",IFERROR(VLOOKUP($F18,Arrangörslista!E$53:$AG$90,16,FALSE),"DNS")))))</f>
        <v/>
      </c>
      <c r="AB18" s="5" t="str">
        <f>IF(Deltagarlista!$K$3=4,IF(ISBLANK(Deltagarlista!$C48),"",IF(ISBLANK(Arrangörslista!I$98),"",IFERROR(VLOOKUP($F18,Arrangörslista!I$98:$AG$135,16,FALSE),IF(ISBLANK(Deltagarlista!$C48),"",IF(ISBLANK(Arrangörslista!I$98),"",IFERROR(VLOOKUP($F18,Arrangörslista!J$98:$AG$135,16,FALSE),"DNS")))))),IF(Deltagarlista!$K$3=2,
IF(ISBLANK(Deltagarlista!$C48),"",IF(ISBLANK(Arrangörslista!F$53),"",IF($GV18=AB$64," DNS ",IFERROR(VLOOKUP($F18,Arrangörslista!F$53:$AG$90,16,FALSE),"DNS")))),IF(ISBLANK(Deltagarlista!$C48),"",IF(ISBLANK(Arrangörslista!F$53),"",IFERROR(VLOOKUP($F18,Arrangörslista!F$53:$AG$90,16,FALSE),"DNS")))))</f>
        <v/>
      </c>
      <c r="AC18" s="5" t="str">
        <f>IF(Deltagarlista!$K$3=4,IF(ISBLANK(Deltagarlista!$C48),"",IF(ISBLANK(Arrangörslista!K$98),"",IFERROR(VLOOKUP($F18,Arrangörslista!K$98:$AG$135,16,FALSE),IF(ISBLANK(Deltagarlista!$C48),"",IF(ISBLANK(Arrangörslista!K$98),"",IFERROR(VLOOKUP($F18,Arrangörslista!L$98:$AG$135,16,FALSE),"DNS")))))),IF(Deltagarlista!$K$3=2,
IF(ISBLANK(Deltagarlista!$C48),"",IF(ISBLANK(Arrangörslista!G$53),"",IF($GV18=AC$64," DNS ",IFERROR(VLOOKUP($F18,Arrangörslista!G$53:$AG$90,16,FALSE),"DNS")))),IF(ISBLANK(Deltagarlista!$C48),"",IF(ISBLANK(Arrangörslista!G$53),"",IFERROR(VLOOKUP($F18,Arrangörslista!G$53:$AG$90,16,FALSE),"DNS")))))</f>
        <v/>
      </c>
      <c r="AD18" s="5" t="str">
        <f>IF(Deltagarlista!$K$3=4,IF(ISBLANK(Deltagarlista!$C48),"",IF(ISBLANK(Arrangörslista!M$98),"",IFERROR(VLOOKUP($F18,Arrangörslista!M$98:$AG$135,16,FALSE),IF(ISBLANK(Deltagarlista!$C48),"",IF(ISBLANK(Arrangörslista!M$98),"",IFERROR(VLOOKUP($F18,Arrangörslista!N$98:$AG$135,16,FALSE),"DNS")))))),IF(Deltagarlista!$K$3=2,
IF(ISBLANK(Deltagarlista!$C48),"",IF(ISBLANK(Arrangörslista!H$53),"",IF($GV18=AD$64," DNS ",IFERROR(VLOOKUP($F18,Arrangörslista!H$53:$AG$90,16,FALSE),"DNS")))),IF(ISBLANK(Deltagarlista!$C48),"",IF(ISBLANK(Arrangörslista!H$53),"",IFERROR(VLOOKUP($F18,Arrangörslista!H$53:$AG$90,16,FALSE),"DNS")))))</f>
        <v/>
      </c>
      <c r="AE18" s="5" t="str">
        <f>IF(Deltagarlista!$K$3=4,IF(ISBLANK(Deltagarlista!$C48),"",IF(ISBLANK(Arrangörslista!O$98),"",IFERROR(VLOOKUP($F18,Arrangörslista!O$98:$AG$135,16,FALSE),IF(ISBLANK(Deltagarlista!$C48),"",IF(ISBLANK(Arrangörslista!O$98),"",IFERROR(VLOOKUP($F18,Arrangörslista!P$98:$AG$135,16,FALSE),"DNS")))))),IF(Deltagarlista!$K$3=2,
IF(ISBLANK(Deltagarlista!$C48),"",IF(ISBLANK(Arrangörslista!I$53),"",IF($GV18=AE$64," DNS ",IFERROR(VLOOKUP($F18,Arrangörslista!I$53:$AG$90,16,FALSE),"DNS")))),IF(ISBLANK(Deltagarlista!$C48),"",IF(ISBLANK(Arrangörslista!I$53),"",IFERROR(VLOOKUP($F18,Arrangörslista!I$53:$AG$90,16,FALSE),"DNS")))))</f>
        <v/>
      </c>
      <c r="AF18" s="5" t="str">
        <f>IF(Deltagarlista!$K$3=4,IF(ISBLANK(Deltagarlista!$C48),"",IF(ISBLANK(Arrangörslista!Q$98),"",IFERROR(VLOOKUP($F18,Arrangörslista!Q$98:$AG$135,16,FALSE),IF(ISBLANK(Deltagarlista!$C48),"",IF(ISBLANK(Arrangörslista!Q$98),"",IFERROR(VLOOKUP($F18,Arrangörslista!C$143:$AG$180,16,FALSE),"DNS")))))),IF(Deltagarlista!$K$3=2,
IF(ISBLANK(Deltagarlista!$C48),"",IF(ISBLANK(Arrangörslista!J$53),"",IF($GV18=AF$64," DNS ",IFERROR(VLOOKUP($F18,Arrangörslista!J$53:$AG$90,16,FALSE),"DNS")))),IF(ISBLANK(Deltagarlista!$C48),"",IF(ISBLANK(Arrangörslista!J$53),"",IFERROR(VLOOKUP($F18,Arrangörslista!J$53:$AG$90,16,FALSE),"DNS")))))</f>
        <v/>
      </c>
      <c r="AG18" s="5" t="str">
        <f>IF(Deltagarlista!$K$3=4,IF(ISBLANK(Deltagarlista!$C48),"",IF(ISBLANK(Arrangörslista!D$143),"",IFERROR(VLOOKUP($F18,Arrangörslista!D$143:$AG$180,16,FALSE),IF(ISBLANK(Deltagarlista!$C48),"",IF(ISBLANK(Arrangörslista!D$143),"",IFERROR(VLOOKUP($F18,Arrangörslista!E$143:$AG$180,16,FALSE),"DNS")))))),IF(Deltagarlista!$K$3=2,
IF(ISBLANK(Deltagarlista!$C48),"",IF(ISBLANK(Arrangörslista!K$53),"",IF($GV18=AG$64," DNS ",IFERROR(VLOOKUP($F18,Arrangörslista!K$53:$AG$90,16,FALSE),"DNS")))),IF(ISBLANK(Deltagarlista!$C48),"",IF(ISBLANK(Arrangörslista!K$53),"",IFERROR(VLOOKUP($F18,Arrangörslista!K$53:$AG$90,16,FALSE),"DNS")))))</f>
        <v/>
      </c>
      <c r="AH18" s="5" t="str">
        <f>IF(Deltagarlista!$K$3=4,IF(ISBLANK(Deltagarlista!$C48),"",IF(ISBLANK(Arrangörslista!F$143),"",IFERROR(VLOOKUP($F18,Arrangörslista!F$143:$AG$180,16,FALSE),IF(ISBLANK(Deltagarlista!$C48),"",IF(ISBLANK(Arrangörslista!F$143),"",IFERROR(VLOOKUP($F18,Arrangörslista!G$143:$AG$180,16,FALSE),"DNS")))))),IF(Deltagarlista!$K$3=2,
IF(ISBLANK(Deltagarlista!$C48),"",IF(ISBLANK(Arrangörslista!L$53),"",IF($GV18=AH$64," DNS ",IFERROR(VLOOKUP($F18,Arrangörslista!L$53:$AG$90,16,FALSE),"DNS")))),IF(ISBLANK(Deltagarlista!$C48),"",IF(ISBLANK(Arrangörslista!L$53),"",IFERROR(VLOOKUP($F18,Arrangörslista!L$53:$AG$90,16,FALSE),"DNS")))))</f>
        <v/>
      </c>
      <c r="AI18" s="5" t="str">
        <f>IF(Deltagarlista!$K$3=4,IF(ISBLANK(Deltagarlista!$C48),"",IF(ISBLANK(Arrangörslista!H$143),"",IFERROR(VLOOKUP($F18,Arrangörslista!H$143:$AG$180,16,FALSE),IF(ISBLANK(Deltagarlista!$C48),"",IF(ISBLANK(Arrangörslista!H$143),"",IFERROR(VLOOKUP($F18,Arrangörslista!I$143:$AG$180,16,FALSE),"DNS")))))),IF(Deltagarlista!$K$3=2,
IF(ISBLANK(Deltagarlista!$C48),"",IF(ISBLANK(Arrangörslista!M$53),"",IF($GV18=AI$64," DNS ",IFERROR(VLOOKUP($F18,Arrangörslista!M$53:$AG$90,16,FALSE),"DNS")))),IF(ISBLANK(Deltagarlista!$C48),"",IF(ISBLANK(Arrangörslista!M$53),"",IFERROR(VLOOKUP($F18,Arrangörslista!M$53:$AG$90,16,FALSE),"DNS")))))</f>
        <v/>
      </c>
      <c r="AJ18" s="5" t="str">
        <f>IF(Deltagarlista!$K$3=4,IF(ISBLANK(Deltagarlista!$C48),"",IF(ISBLANK(Arrangörslista!J$143),"",IFERROR(VLOOKUP($F18,Arrangörslista!J$143:$AG$180,16,FALSE),IF(ISBLANK(Deltagarlista!$C48),"",IF(ISBLANK(Arrangörslista!J$143),"",IFERROR(VLOOKUP($F18,Arrangörslista!K$143:$AG$180,16,FALSE),"DNS")))))),IF(Deltagarlista!$K$3=2,
IF(ISBLANK(Deltagarlista!$C48),"",IF(ISBLANK(Arrangörslista!N$53),"",IF($GV18=AJ$64," DNS ",IFERROR(VLOOKUP($F18,Arrangörslista!N$53:$AG$90,16,FALSE),"DNS")))),IF(ISBLANK(Deltagarlista!$C48),"",IF(ISBLANK(Arrangörslista!N$53),"",IFERROR(VLOOKUP($F18,Arrangörslista!N$53:$AG$90,16,FALSE),"DNS")))))</f>
        <v/>
      </c>
      <c r="AK18" s="5" t="str">
        <f>IF(Deltagarlista!$K$3=4,IF(ISBLANK(Deltagarlista!$C48),"",IF(ISBLANK(Arrangörslista!L$143),"",IFERROR(VLOOKUP($F18,Arrangörslista!L$143:$AG$180,16,FALSE),IF(ISBLANK(Deltagarlista!$C48),"",IF(ISBLANK(Arrangörslista!L$143),"",IFERROR(VLOOKUP($F18,Arrangörslista!M$143:$AG$180,16,FALSE),"DNS")))))),IF(Deltagarlista!$K$3=2,
IF(ISBLANK(Deltagarlista!$C48),"",IF(ISBLANK(Arrangörslista!O$53),"",IF($GV18=AK$64," DNS ",IFERROR(VLOOKUP($F18,Arrangörslista!O$53:$AG$90,16,FALSE),"DNS")))),IF(ISBLANK(Deltagarlista!$C48),"",IF(ISBLANK(Arrangörslista!O$53),"",IFERROR(VLOOKUP($F18,Arrangörslista!O$53:$AG$90,16,FALSE),"DNS")))))</f>
        <v/>
      </c>
      <c r="AL18" s="5" t="str">
        <f>IF(Deltagarlista!$K$3=4,IF(ISBLANK(Deltagarlista!$C48),"",IF(ISBLANK(Arrangörslista!N$143),"",IFERROR(VLOOKUP($F18,Arrangörslista!N$143:$AG$180,16,FALSE),IF(ISBLANK(Deltagarlista!$C48),"",IF(ISBLANK(Arrangörslista!N$143),"",IFERROR(VLOOKUP($F18,Arrangörslista!O$143:$AG$180,16,FALSE),"DNS")))))),IF(Deltagarlista!$K$3=2,
IF(ISBLANK(Deltagarlista!$C48),"",IF(ISBLANK(Arrangörslista!P$53),"",IF($GV18=AL$64," DNS ",IFERROR(VLOOKUP($F18,Arrangörslista!P$53:$AG$90,16,FALSE),"DNS")))),IF(ISBLANK(Deltagarlista!$C48),"",IF(ISBLANK(Arrangörslista!P$53),"",IFERROR(VLOOKUP($F18,Arrangörslista!P$53:$AG$90,16,FALSE),"DNS")))))</f>
        <v/>
      </c>
      <c r="AM18" s="5" t="str">
        <f>IF(Deltagarlista!$K$3=4,IF(ISBLANK(Deltagarlista!$C48),"",IF(ISBLANK(Arrangörslista!P$143),"",IFERROR(VLOOKUP($F18,Arrangörslista!P$143:$AG$180,16,FALSE),IF(ISBLANK(Deltagarlista!$C48),"",IF(ISBLANK(Arrangörslista!P$143),"",IFERROR(VLOOKUP($F18,Arrangörslista!Q$143:$AG$180,16,FALSE),"DNS")))))),IF(Deltagarlista!$K$3=2,
IF(ISBLANK(Deltagarlista!$C48),"",IF(ISBLANK(Arrangörslista!Q$53),"",IF($GV18=AM$64," DNS ",IFERROR(VLOOKUP($F18,Arrangörslista!Q$53:$AG$90,16,FALSE),"DNS")))),IF(ISBLANK(Deltagarlista!$C48),"",IF(ISBLANK(Arrangörslista!Q$53),"",IFERROR(VLOOKUP($F18,Arrangörslista!Q$53:$AG$90,16,FALSE),"DNS")))))</f>
        <v/>
      </c>
      <c r="AN18" s="5" t="str">
        <f>IF(Deltagarlista!$K$3=2,
IF(ISBLANK(Deltagarlista!$C48),"",IF(ISBLANK(Arrangörslista!C$98),"",IF($GV18=AN$64," DNS ",IFERROR(VLOOKUP($F18,Arrangörslista!C$98:$AG$135,16,FALSE), "DNS")))), IF(Deltagarlista!$K$3=1,IF(ISBLANK(Deltagarlista!$C48),"",IF(ISBLANK(Arrangörslista!C$98),"",IFERROR(VLOOKUP($F18,Arrangörslista!C$98:$AG$135,16,FALSE), "DNS"))),""))</f>
        <v/>
      </c>
      <c r="AO18" s="5" t="str">
        <f>IF(Deltagarlista!$K$3=2,
IF(ISBLANK(Deltagarlista!$C48),"",IF(ISBLANK(Arrangörslista!D$98),"",IF($GV18=AO$64," DNS ",IFERROR(VLOOKUP($F18,Arrangörslista!D$98:$AG$135,16,FALSE), "DNS")))), IF(Deltagarlista!$K$3=1,IF(ISBLANK(Deltagarlista!$C48),"",IF(ISBLANK(Arrangörslista!D$98),"",IFERROR(VLOOKUP($F18,Arrangörslista!D$98:$AG$135,16,FALSE), "DNS"))),""))</f>
        <v/>
      </c>
      <c r="AP18" s="5" t="str">
        <f>IF(Deltagarlista!$K$3=2,
IF(ISBLANK(Deltagarlista!$C48),"",IF(ISBLANK(Arrangörslista!E$98),"",IF($GV18=AP$64," DNS ",IFERROR(VLOOKUP($F18,Arrangörslista!E$98:$AG$135,16,FALSE), "DNS")))), IF(Deltagarlista!$K$3=1,IF(ISBLANK(Deltagarlista!$C48),"",IF(ISBLANK(Arrangörslista!E$98),"",IFERROR(VLOOKUP($F18,Arrangörslista!E$98:$AG$135,16,FALSE), "DNS"))),""))</f>
        <v/>
      </c>
      <c r="AQ18" s="5" t="str">
        <f>IF(Deltagarlista!$K$3=2,
IF(ISBLANK(Deltagarlista!$C48),"",IF(ISBLANK(Arrangörslista!F$98),"",IF($GV18=AQ$64," DNS ",IFERROR(VLOOKUP($F18,Arrangörslista!F$98:$AG$135,16,FALSE), "DNS")))), IF(Deltagarlista!$K$3=1,IF(ISBLANK(Deltagarlista!$C48),"",IF(ISBLANK(Arrangörslista!F$98),"",IFERROR(VLOOKUP($F18,Arrangörslista!F$98:$AG$135,16,FALSE), "DNS"))),""))</f>
        <v/>
      </c>
      <c r="AR18" s="5" t="str">
        <f>IF(Deltagarlista!$K$3=2,
IF(ISBLANK(Deltagarlista!$C48),"",IF(ISBLANK(Arrangörslista!G$98),"",IF($GV18=AR$64," DNS ",IFERROR(VLOOKUP($F18,Arrangörslista!G$98:$AG$135,16,FALSE), "DNS")))), IF(Deltagarlista!$K$3=1,IF(ISBLANK(Deltagarlista!$C48),"",IF(ISBLANK(Arrangörslista!G$98),"",IFERROR(VLOOKUP($F18,Arrangörslista!G$98:$AG$135,16,FALSE), "DNS"))),""))</f>
        <v/>
      </c>
      <c r="AS18" s="5" t="str">
        <f>IF(Deltagarlista!$K$3=2,
IF(ISBLANK(Deltagarlista!$C48),"",IF(ISBLANK(Arrangörslista!H$98),"",IF($GV18=AS$64," DNS ",IFERROR(VLOOKUP($F18,Arrangörslista!H$98:$AG$135,16,FALSE), "DNS")))), IF(Deltagarlista!$K$3=1,IF(ISBLANK(Deltagarlista!$C48),"",IF(ISBLANK(Arrangörslista!H$98),"",IFERROR(VLOOKUP($F18,Arrangörslista!H$98:$AG$135,16,FALSE), "DNS"))),""))</f>
        <v/>
      </c>
      <c r="AT18" s="5" t="str">
        <f>IF(Deltagarlista!$K$3=2,
IF(ISBLANK(Deltagarlista!$C48),"",IF(ISBLANK(Arrangörslista!I$98),"",IF($GV18=AT$64," DNS ",IFERROR(VLOOKUP($F18,Arrangörslista!I$98:$AG$135,16,FALSE), "DNS")))), IF(Deltagarlista!$K$3=1,IF(ISBLANK(Deltagarlista!$C48),"",IF(ISBLANK(Arrangörslista!I$98),"",IFERROR(VLOOKUP($F18,Arrangörslista!I$98:$AG$135,16,FALSE), "DNS"))),""))</f>
        <v/>
      </c>
      <c r="AU18" s="5" t="str">
        <f>IF(Deltagarlista!$K$3=2,
IF(ISBLANK(Deltagarlista!$C48),"",IF(ISBLANK(Arrangörslista!J$98),"",IF($GV18=AU$64," DNS ",IFERROR(VLOOKUP($F18,Arrangörslista!J$98:$AG$135,16,FALSE), "DNS")))), IF(Deltagarlista!$K$3=1,IF(ISBLANK(Deltagarlista!$C48),"",IF(ISBLANK(Arrangörslista!J$98),"",IFERROR(VLOOKUP($F18,Arrangörslista!J$98:$AG$135,16,FALSE), "DNS"))),""))</f>
        <v/>
      </c>
      <c r="AV18" s="5" t="str">
        <f>IF(Deltagarlista!$K$3=2,
IF(ISBLANK(Deltagarlista!$C48),"",IF(ISBLANK(Arrangörslista!K$98),"",IF($GV18=AV$64," DNS ",IFERROR(VLOOKUP($F18,Arrangörslista!K$98:$AG$135,16,FALSE), "DNS")))), IF(Deltagarlista!$K$3=1,IF(ISBLANK(Deltagarlista!$C48),"",IF(ISBLANK(Arrangörslista!K$98),"",IFERROR(VLOOKUP($F18,Arrangörslista!K$98:$AG$135,16,FALSE), "DNS"))),""))</f>
        <v/>
      </c>
      <c r="AW18" s="5" t="str">
        <f>IF(Deltagarlista!$K$3=2,
IF(ISBLANK(Deltagarlista!$C48),"",IF(ISBLANK(Arrangörslista!L$98),"",IF($GV18=AW$64," DNS ",IFERROR(VLOOKUP($F18,Arrangörslista!L$98:$AG$135,16,FALSE), "DNS")))), IF(Deltagarlista!$K$3=1,IF(ISBLANK(Deltagarlista!$C48),"",IF(ISBLANK(Arrangörslista!L$98),"",IFERROR(VLOOKUP($F18,Arrangörslista!L$98:$AG$135,16,FALSE), "DNS"))),""))</f>
        <v/>
      </c>
      <c r="AX18" s="5" t="str">
        <f>IF(Deltagarlista!$K$3=2,
IF(ISBLANK(Deltagarlista!$C48),"",IF(ISBLANK(Arrangörslista!M$98),"",IF($GV18=AX$64," DNS ",IFERROR(VLOOKUP($F18,Arrangörslista!M$98:$AG$135,16,FALSE), "DNS")))), IF(Deltagarlista!$K$3=1,IF(ISBLANK(Deltagarlista!$C48),"",IF(ISBLANK(Arrangörslista!M$98),"",IFERROR(VLOOKUP($F18,Arrangörslista!M$98:$AG$135,16,FALSE), "DNS"))),""))</f>
        <v/>
      </c>
      <c r="AY18" s="5" t="str">
        <f>IF(Deltagarlista!$K$3=2,
IF(ISBLANK(Deltagarlista!$C48),"",IF(ISBLANK(Arrangörslista!N$98),"",IF($GV18=AY$64," DNS ",IFERROR(VLOOKUP($F18,Arrangörslista!N$98:$AG$135,16,FALSE), "DNS")))), IF(Deltagarlista!$K$3=1,IF(ISBLANK(Deltagarlista!$C48),"",IF(ISBLANK(Arrangörslista!N$98),"",IFERROR(VLOOKUP($F18,Arrangörslista!N$98:$AG$135,16,FALSE), "DNS"))),""))</f>
        <v/>
      </c>
      <c r="AZ18" s="5" t="str">
        <f>IF(Deltagarlista!$K$3=2,
IF(ISBLANK(Deltagarlista!$C48),"",IF(ISBLANK(Arrangörslista!O$98),"",IF($GV18=AZ$64," DNS ",IFERROR(VLOOKUP($F18,Arrangörslista!O$98:$AG$135,16,FALSE), "DNS")))), IF(Deltagarlista!$K$3=1,IF(ISBLANK(Deltagarlista!$C48),"",IF(ISBLANK(Arrangörslista!O$98),"",IFERROR(VLOOKUP($F18,Arrangörslista!O$98:$AG$135,16,FALSE), "DNS"))),""))</f>
        <v/>
      </c>
      <c r="BA18" s="5" t="str">
        <f>IF(Deltagarlista!$K$3=2,
IF(ISBLANK(Deltagarlista!$C48),"",IF(ISBLANK(Arrangörslista!P$98),"",IF($GV18=BA$64," DNS ",IFERROR(VLOOKUP($F18,Arrangörslista!P$98:$AG$135,16,FALSE), "DNS")))), IF(Deltagarlista!$K$3=1,IF(ISBLANK(Deltagarlista!$C48),"",IF(ISBLANK(Arrangörslista!P$98),"",IFERROR(VLOOKUP($F18,Arrangörslista!P$98:$AG$135,16,FALSE), "DNS"))),""))</f>
        <v/>
      </c>
      <c r="BB18" s="5" t="str">
        <f>IF(Deltagarlista!$K$3=2,
IF(ISBLANK(Deltagarlista!$C48),"",IF(ISBLANK(Arrangörslista!Q$98),"",IF($GV18=BB$64," DNS ",IFERROR(VLOOKUP($F18,Arrangörslista!Q$98:$AG$135,16,FALSE), "DNS")))), IF(Deltagarlista!$K$3=1,IF(ISBLANK(Deltagarlista!$C48),"",IF(ISBLANK(Arrangörslista!Q$98),"",IFERROR(VLOOKUP($F18,Arrangörslista!Q$98:$AG$135,16,FALSE), "DNS"))),""))</f>
        <v/>
      </c>
      <c r="BC18" s="5" t="str">
        <f>IF(Deltagarlista!$K$3=2,
IF(ISBLANK(Deltagarlista!$C48),"",IF(ISBLANK(Arrangörslista!C$143),"",IF($GV18=BC$64," DNS ",IFERROR(VLOOKUP($F18,Arrangörslista!C$143:$AG$180,16,FALSE), "DNS")))), IF(Deltagarlista!$K$3=1,IF(ISBLANK(Deltagarlista!$C48),"",IF(ISBLANK(Arrangörslista!C$143),"",IFERROR(VLOOKUP($F18,Arrangörslista!C$143:$AG$180,16,FALSE), "DNS"))),""))</f>
        <v/>
      </c>
      <c r="BD18" s="5" t="str">
        <f>IF(Deltagarlista!$K$3=2,
IF(ISBLANK(Deltagarlista!$C48),"",IF(ISBLANK(Arrangörslista!D$143),"",IF($GV18=BD$64," DNS ",IFERROR(VLOOKUP($F18,Arrangörslista!D$143:$AG$180,16,FALSE), "DNS")))), IF(Deltagarlista!$K$3=1,IF(ISBLANK(Deltagarlista!$C48),"",IF(ISBLANK(Arrangörslista!D$143),"",IFERROR(VLOOKUP($F18,Arrangörslista!D$143:$AG$180,16,FALSE), "DNS"))),""))</f>
        <v/>
      </c>
      <c r="BE18" s="5" t="str">
        <f>IF(Deltagarlista!$K$3=2,
IF(ISBLANK(Deltagarlista!$C48),"",IF(ISBLANK(Arrangörslista!E$143),"",IF($GV18=BE$64," DNS ",IFERROR(VLOOKUP($F18,Arrangörslista!E$143:$AG$180,16,FALSE), "DNS")))), IF(Deltagarlista!$K$3=1,IF(ISBLANK(Deltagarlista!$C48),"",IF(ISBLANK(Arrangörslista!E$143),"",IFERROR(VLOOKUP($F18,Arrangörslista!E$143:$AG$180,16,FALSE), "DNS"))),""))</f>
        <v/>
      </c>
      <c r="BF18" s="5" t="str">
        <f>IF(Deltagarlista!$K$3=2,
IF(ISBLANK(Deltagarlista!$C48),"",IF(ISBLANK(Arrangörslista!F$143),"",IF($GV18=BF$64," DNS ",IFERROR(VLOOKUP($F18,Arrangörslista!F$143:$AG$180,16,FALSE), "DNS")))), IF(Deltagarlista!$K$3=1,IF(ISBLANK(Deltagarlista!$C48),"",IF(ISBLANK(Arrangörslista!F$143),"",IFERROR(VLOOKUP($F18,Arrangörslista!F$143:$AG$180,16,FALSE), "DNS"))),""))</f>
        <v/>
      </c>
      <c r="BG18" s="5" t="str">
        <f>IF(Deltagarlista!$K$3=2,
IF(ISBLANK(Deltagarlista!$C48),"",IF(ISBLANK(Arrangörslista!G$143),"",IF($GV18=BG$64," DNS ",IFERROR(VLOOKUP($F18,Arrangörslista!G$143:$AG$180,16,FALSE), "DNS")))), IF(Deltagarlista!$K$3=1,IF(ISBLANK(Deltagarlista!$C48),"",IF(ISBLANK(Arrangörslista!G$143),"",IFERROR(VLOOKUP($F18,Arrangörslista!G$143:$AG$180,16,FALSE), "DNS"))),""))</f>
        <v/>
      </c>
      <c r="BH18" s="5" t="str">
        <f>IF(Deltagarlista!$K$3=2,
IF(ISBLANK(Deltagarlista!$C48),"",IF(ISBLANK(Arrangörslista!H$143),"",IF($GV18=BH$64," DNS ",IFERROR(VLOOKUP($F18,Arrangörslista!H$143:$AG$180,16,FALSE), "DNS")))), IF(Deltagarlista!$K$3=1,IF(ISBLANK(Deltagarlista!$C48),"",IF(ISBLANK(Arrangörslista!H$143),"",IFERROR(VLOOKUP($F18,Arrangörslista!H$143:$AG$180,16,FALSE), "DNS"))),""))</f>
        <v/>
      </c>
      <c r="BI18" s="5" t="str">
        <f>IF(Deltagarlista!$K$3=2,
IF(ISBLANK(Deltagarlista!$C48),"",IF(ISBLANK(Arrangörslista!I$143),"",IF($GV18=BI$64," DNS ",IFERROR(VLOOKUP($F18,Arrangörslista!I$143:$AG$180,16,FALSE), "DNS")))), IF(Deltagarlista!$K$3=1,IF(ISBLANK(Deltagarlista!$C48),"",IF(ISBLANK(Arrangörslista!I$143),"",IFERROR(VLOOKUP($F18,Arrangörslista!I$143:$AG$180,16,FALSE), "DNS"))),""))</f>
        <v/>
      </c>
      <c r="BJ18" s="5" t="str">
        <f>IF(Deltagarlista!$K$3=2,
IF(ISBLANK(Deltagarlista!$C48),"",IF(ISBLANK(Arrangörslista!J$143),"",IF($GV18=BJ$64," DNS ",IFERROR(VLOOKUP($F18,Arrangörslista!J$143:$AG$180,16,FALSE), "DNS")))), IF(Deltagarlista!$K$3=1,IF(ISBLANK(Deltagarlista!$C48),"",IF(ISBLANK(Arrangörslista!J$143),"",IFERROR(VLOOKUP($F18,Arrangörslista!J$143:$AG$180,16,FALSE), "DNS"))),""))</f>
        <v/>
      </c>
      <c r="BK18" s="5" t="str">
        <f>IF(Deltagarlista!$K$3=2,
IF(ISBLANK(Deltagarlista!$C48),"",IF(ISBLANK(Arrangörslista!K$143),"",IF($GV18=BK$64," DNS ",IFERROR(VLOOKUP($F18,Arrangörslista!K$143:$AG$180,16,FALSE), "DNS")))), IF(Deltagarlista!$K$3=1,IF(ISBLANK(Deltagarlista!$C48),"",IF(ISBLANK(Arrangörslista!K$143),"",IFERROR(VLOOKUP($F18,Arrangörslista!K$143:$AG$180,16,FALSE), "DNS"))),""))</f>
        <v/>
      </c>
      <c r="BL18" s="5" t="str">
        <f>IF(Deltagarlista!$K$3=2,
IF(ISBLANK(Deltagarlista!$C48),"",IF(ISBLANK(Arrangörslista!L$143),"",IF($GV18=BL$64," DNS ",IFERROR(VLOOKUP($F18,Arrangörslista!L$143:$AG$180,16,FALSE), "DNS")))), IF(Deltagarlista!$K$3=1,IF(ISBLANK(Deltagarlista!$C48),"",IF(ISBLANK(Arrangörslista!L$143),"",IFERROR(VLOOKUP($F18,Arrangörslista!L$143:$AG$180,16,FALSE), "DNS"))),""))</f>
        <v/>
      </c>
      <c r="BM18" s="5" t="str">
        <f>IF(Deltagarlista!$K$3=2,
IF(ISBLANK(Deltagarlista!$C48),"",IF(ISBLANK(Arrangörslista!M$143),"",IF($GV18=BM$64," DNS ",IFERROR(VLOOKUP($F18,Arrangörslista!M$143:$AG$180,16,FALSE), "DNS")))), IF(Deltagarlista!$K$3=1,IF(ISBLANK(Deltagarlista!$C48),"",IF(ISBLANK(Arrangörslista!M$143),"",IFERROR(VLOOKUP($F18,Arrangörslista!M$143:$AG$180,16,FALSE), "DNS"))),""))</f>
        <v/>
      </c>
      <c r="BN18" s="5" t="str">
        <f>IF(Deltagarlista!$K$3=2,
IF(ISBLANK(Deltagarlista!$C48),"",IF(ISBLANK(Arrangörslista!N$143),"",IF($GV18=BN$64," DNS ",IFERROR(VLOOKUP($F18,Arrangörslista!N$143:$AG$180,16,FALSE), "DNS")))), IF(Deltagarlista!$K$3=1,IF(ISBLANK(Deltagarlista!$C48),"",IF(ISBLANK(Arrangörslista!N$143),"",IFERROR(VLOOKUP($F18,Arrangörslista!N$143:$AG$180,16,FALSE), "DNS"))),""))</f>
        <v/>
      </c>
      <c r="BO18" s="5" t="str">
        <f>IF(Deltagarlista!$K$3=2,
IF(ISBLANK(Deltagarlista!$C48),"",IF(ISBLANK(Arrangörslista!O$143),"",IF($GV18=BO$64," DNS ",IFERROR(VLOOKUP($F18,Arrangörslista!O$143:$AG$180,16,FALSE), "DNS")))), IF(Deltagarlista!$K$3=1,IF(ISBLANK(Deltagarlista!$C48),"",IF(ISBLANK(Arrangörslista!O$143),"",IFERROR(VLOOKUP($F18,Arrangörslista!O$143:$AG$180,16,FALSE), "DNS"))),""))</f>
        <v/>
      </c>
      <c r="BP18" s="5" t="str">
        <f>IF(Deltagarlista!$K$3=2,
IF(ISBLANK(Deltagarlista!$C48),"",IF(ISBLANK(Arrangörslista!P$143),"",IF($GV18=BP$64," DNS ",IFERROR(VLOOKUP($F18,Arrangörslista!P$143:$AG$180,16,FALSE), "DNS")))), IF(Deltagarlista!$K$3=1,IF(ISBLANK(Deltagarlista!$C48),"",IF(ISBLANK(Arrangörslista!P$143),"",IFERROR(VLOOKUP($F18,Arrangörslista!P$143:$AG$180,16,FALSE), "DNS"))),""))</f>
        <v/>
      </c>
      <c r="BQ18" s="80" t="str">
        <f>IF(Deltagarlista!$K$3=2,
IF(ISBLANK(Deltagarlista!$C48),"",IF(ISBLANK(Arrangörslista!Q$143),"",IF($GV18=BQ$64," DNS ",IFERROR(VLOOKUP($F18,Arrangörslista!Q$143:$AG$180,16,FALSE), "DNS")))), IF(Deltagarlista!$K$3=1,IF(ISBLANK(Deltagarlista!$C48),"",IF(ISBLANK(Arrangörslista!Q$143),"",IFERROR(VLOOKUP($F18,Arrangörslista!Q$143:$AG$180,16,FALSE), "DNS"))),""))</f>
        <v/>
      </c>
      <c r="BR18" s="48"/>
      <c r="BS18" s="50" t="str">
        <f t="shared" si="0"/>
        <v>2</v>
      </c>
      <c r="BU18" s="71">
        <f t="shared" si="1"/>
        <v>0</v>
      </c>
      <c r="BV18" s="61">
        <f t="shared" si="2"/>
        <v>0</v>
      </c>
      <c r="BW18" s="61">
        <f t="shared" si="3"/>
        <v>0</v>
      </c>
      <c r="BX18" s="61">
        <f t="shared" si="4"/>
        <v>0</v>
      </c>
      <c r="BY18" s="61">
        <f t="shared" si="5"/>
        <v>0</v>
      </c>
      <c r="BZ18" s="61">
        <f t="shared" si="6"/>
        <v>0</v>
      </c>
      <c r="CA18" s="61">
        <f t="shared" si="7"/>
        <v>0</v>
      </c>
      <c r="CB18" s="61">
        <f t="shared" si="8"/>
        <v>0</v>
      </c>
      <c r="CC18" s="61">
        <f t="shared" si="9"/>
        <v>0</v>
      </c>
      <c r="CD18" s="61">
        <f t="shared" si="10"/>
        <v>0</v>
      </c>
      <c r="CE18" s="61">
        <f t="shared" si="11"/>
        <v>0</v>
      </c>
      <c r="CF18" s="61">
        <f t="shared" si="12"/>
        <v>0</v>
      </c>
      <c r="CG18" s="61">
        <f t="shared" si="13"/>
        <v>0</v>
      </c>
      <c r="CH18" s="61">
        <f t="shared" si="14"/>
        <v>0</v>
      </c>
      <c r="CI18" s="61">
        <f t="shared" si="15"/>
        <v>0</v>
      </c>
      <c r="CJ18" s="61">
        <f t="shared" si="16"/>
        <v>0</v>
      </c>
      <c r="CK18" s="61">
        <f t="shared" si="17"/>
        <v>0</v>
      </c>
      <c r="CL18" s="61">
        <f t="shared" si="18"/>
        <v>0</v>
      </c>
      <c r="CM18" s="61">
        <f t="shared" si="19"/>
        <v>0</v>
      </c>
      <c r="CN18" s="61">
        <f t="shared" si="20"/>
        <v>0</v>
      </c>
      <c r="CO18" s="61">
        <f t="shared" si="21"/>
        <v>0</v>
      </c>
      <c r="CP18" s="61">
        <f t="shared" si="22"/>
        <v>0</v>
      </c>
      <c r="CQ18" s="61">
        <f t="shared" si="23"/>
        <v>0</v>
      </c>
      <c r="CR18" s="61">
        <f t="shared" si="24"/>
        <v>0</v>
      </c>
      <c r="CS18" s="61">
        <f t="shared" si="25"/>
        <v>0</v>
      </c>
      <c r="CT18" s="61">
        <f t="shared" si="26"/>
        <v>0</v>
      </c>
      <c r="CU18" s="61">
        <f t="shared" si="27"/>
        <v>0</v>
      </c>
      <c r="CV18" s="61">
        <f t="shared" si="28"/>
        <v>0</v>
      </c>
      <c r="CW18" s="61">
        <f t="shared" si="29"/>
        <v>0</v>
      </c>
      <c r="CX18" s="61">
        <f t="shared" si="30"/>
        <v>0</v>
      </c>
      <c r="CY18" s="61">
        <f t="shared" si="31"/>
        <v>0</v>
      </c>
      <c r="CZ18" s="61">
        <f t="shared" si="32"/>
        <v>0</v>
      </c>
      <c r="DA18" s="61">
        <f t="shared" si="33"/>
        <v>0</v>
      </c>
      <c r="DB18" s="61">
        <f t="shared" si="34"/>
        <v>0</v>
      </c>
      <c r="DC18" s="61">
        <f t="shared" si="35"/>
        <v>0</v>
      </c>
      <c r="DD18" s="61">
        <f t="shared" si="36"/>
        <v>0</v>
      </c>
      <c r="DE18" s="61">
        <f t="shared" si="37"/>
        <v>0</v>
      </c>
      <c r="DF18" s="61">
        <f t="shared" si="38"/>
        <v>0</v>
      </c>
      <c r="DG18" s="61">
        <f t="shared" si="39"/>
        <v>0</v>
      </c>
      <c r="DH18" s="61">
        <f t="shared" si="40"/>
        <v>0</v>
      </c>
      <c r="DI18" s="61">
        <f t="shared" si="41"/>
        <v>0</v>
      </c>
      <c r="DJ18" s="61">
        <f t="shared" si="42"/>
        <v>0</v>
      </c>
      <c r="DK18" s="61">
        <f t="shared" si="43"/>
        <v>0</v>
      </c>
      <c r="DL18" s="61">
        <f t="shared" si="44"/>
        <v>0</v>
      </c>
      <c r="DM18" s="61">
        <f t="shared" si="45"/>
        <v>0</v>
      </c>
      <c r="DN18" s="61">
        <f t="shared" si="46"/>
        <v>0</v>
      </c>
      <c r="DO18" s="61">
        <f t="shared" si="47"/>
        <v>0</v>
      </c>
      <c r="DP18" s="61">
        <f t="shared" si="48"/>
        <v>0</v>
      </c>
      <c r="DQ18" s="61">
        <f t="shared" si="49"/>
        <v>0</v>
      </c>
      <c r="DR18" s="61">
        <f t="shared" si="50"/>
        <v>0</v>
      </c>
      <c r="DS18" s="61">
        <f t="shared" si="51"/>
        <v>0</v>
      </c>
      <c r="DT18" s="61">
        <f t="shared" si="52"/>
        <v>0</v>
      </c>
      <c r="DU18" s="61">
        <f t="shared" si="53"/>
        <v>0</v>
      </c>
      <c r="DV18" s="61">
        <f t="shared" si="54"/>
        <v>0</v>
      </c>
      <c r="DW18" s="61">
        <f t="shared" si="55"/>
        <v>0</v>
      </c>
      <c r="DX18" s="61">
        <f t="shared" si="56"/>
        <v>0</v>
      </c>
      <c r="DY18" s="61">
        <f t="shared" si="57"/>
        <v>0</v>
      </c>
      <c r="DZ18" s="61">
        <f t="shared" si="58"/>
        <v>0</v>
      </c>
      <c r="EA18" s="61">
        <f t="shared" si="59"/>
        <v>0</v>
      </c>
      <c r="EB18" s="61">
        <f t="shared" si="60"/>
        <v>0</v>
      </c>
      <c r="EC18" s="61">
        <f t="shared" si="61"/>
        <v>0</v>
      </c>
      <c r="EE18" s="61">
        <f xml:space="preserve">
IF(OR(Deltagarlista!$K$3=3,Deltagarlista!$K$3=4),
IF(Arrangörslista!$U$5&lt;8,0,
IF(Arrangörslista!$U$5&lt;16,SUM(LARGE(BV18:CJ18,1)),
IF(Arrangörslista!$U$5&lt;24,SUM(LARGE(BV18:CR18,{1;2})),
IF(Arrangörslista!$U$5&lt;32,SUM(LARGE(BV18:CZ18,{1;2;3})),
IF(Arrangörslista!$U$5&lt;40,SUM(LARGE(BV18:DH18,{1;2;3;4})),
IF(Arrangörslista!$U$5&lt;48,SUM(LARGE(BV18:DP18,{1;2;3;4;5})),
IF(Arrangörslista!$U$5&lt;56,SUM(LARGE(BV18:DX18,{1;2;3;4;5;6})),
IF(Arrangörslista!$U$5&lt;64,SUM(LARGE(BV18:EC18,{1;2;3;4;5;6;7})),0)))))))),
IF(Deltagarlista!$K$3=2,
IF(Arrangörslista!$U$5&lt;4,LARGE(BV18:BX18,1),
IF(Arrangörslista!$U$5&lt;7,SUM(LARGE(BV18:CA18,{1;2;3})),
IF(Arrangörslista!$U$5&lt;10,SUM(LARGE(BV18:CD18,{1;2;3;4})),
IF(Arrangörslista!$U$5&lt;13,SUM(LARGE(BV18:CG18,{1;2;3;4;5;6})),
IF(Arrangörslista!$U$5&lt;16,SUM(LARGE(BV18:CJ18,{1;2;3;4;5;6;7})),
IF(Arrangörslista!$U$5&lt;19,SUM(LARGE(BV18:CM18,{1;2;3;4;5;6;7;8;9})),
IF(Arrangörslista!$U$5&lt;22,SUM(LARGE(BV18:CP18,{1;2;3;4;5;6;7;8;9;10})),
IF(Arrangörslista!$U$5&lt;25,SUM(LARGE(BV18:CS18,{1;2;3;4;5;6;7;8;9;10;11;12})),
IF(Arrangörslista!$U$5&lt;28,SUM(LARGE(BV18:CV18,{1;2;3;4;5;6;7;8;9;10;11;12;13})),
IF(Arrangörslista!$U$5&lt;31,SUM(LARGE(BV18:CY18,{1;2;3;4;5;6;7;8;9;10;11;12;13;14;15})),
IF(Arrangörslista!$U$5&lt;34,SUM(LARGE(BV18:DB18,{1;2;3;4;5;6;7;8;9;10;11;12;13;14;15;16})),
IF(Arrangörslista!$U$5&lt;37,SUM(LARGE(BV18:DE18,{1;2;3;4;5;6;7;8;9;10;11;12;13;14;15;16;17;18})),
IF(Arrangörslista!$U$5&lt;40,SUM(LARGE(BV18:DH18,{1;2;3;4;5;6;7;8;9;10;11;12;13;14;15;16;17;18;19})),
IF(Arrangörslista!$U$5&lt;43,SUM(LARGE(BV18:DK18,{1;2;3;4;5;6;7;8;9;10;11;12;13;14;15;16;17;18;19;20;21})),
IF(Arrangörslista!$U$5&lt;46,SUM(LARGE(BV18:DN18,{1;2;3;4;5;6;7;8;9;10;11;12;13;14;15;16;17;18;19;20;21;22})),
IF(Arrangörslista!$U$5&lt;49,SUM(LARGE(BV18:DQ18,{1;2;3;4;5;6;7;8;9;10;11;12;13;14;15;16;17;18;19;20;21;22;23;24})),
IF(Arrangörslista!$U$5&lt;52,SUM(LARGE(BV18:DT18,{1;2;3;4;5;6;7;8;9;10;11;12;13;14;15;16;17;18;19;20;21;22;23;24;25})),
IF(Arrangörslista!$U$5&lt;55,SUM(LARGE(BV18:DW18,{1;2;3;4;5;6;7;8;9;10;11;12;13;14;15;16;17;18;19;20;21;22;23;24;25;26;27})),
IF(Arrangörslista!$U$5&lt;58,SUM(LARGE(BV18:DZ18,{1;2;3;4;5;6;7;8;9;10;11;12;13;14;15;16;17;18;19;20;21;22;23;24;25;26;27;28})),
IF(Arrangörslista!$U$5&lt;61,SUM(LARGE(BV18:EC18,{1;2;3;4;5;6;7;8;9;10;11;12;13;14;15;16;17;18;19;20;21;22;23;24;25;26;27;28;29;30})),0)))))))))))))))))))),
IF(Arrangörslista!$U$5&lt;4,0,
IF(Arrangörslista!$U$5&lt;8,SUM(LARGE(BV18:CB18,1)),
IF(Arrangörslista!$U$5&lt;12,SUM(LARGE(BV18:CF18,{1;2})),
IF(Arrangörslista!$U$5&lt;16,SUM(LARGE(BV18:CJ18,{1;2;3})),
IF(Arrangörslista!$U$5&lt;20,SUM(LARGE(BV18:CN18,{1;2;3;4})),
IF(Arrangörslista!$U$5&lt;24,SUM(LARGE(BV18:CR18,{1;2;3;4;5})),
IF(Arrangörslista!$U$5&lt;28,SUM(LARGE(BV18:CV18,{1;2;3;4;5;6})),
IF(Arrangörslista!$U$5&lt;32,SUM(LARGE(BV18:CZ18,{1;2;3;4;5;6;7})),
IF(Arrangörslista!$U$5&lt;36,SUM(LARGE(BV18:DD18,{1;2;3;4;5;6;7;8})),
IF(Arrangörslista!$U$5&lt;40,SUM(LARGE(BV18:DH18,{1;2;3;4;5;6;7;8;9})),
IF(Arrangörslista!$U$5&lt;44,SUM(LARGE(BV18:DL18,{1;2;3;4;5;6;7;8;9;10})),
IF(Arrangörslista!$U$5&lt;48,SUM(LARGE(BV18:DP18,{1;2;3;4;5;6;7;8;9;10;11})),
IF(Arrangörslista!$U$5&lt;52,SUM(LARGE(BV18:DT18,{1;2;3;4;5;6;7;8;9;10;11;12})),
IF(Arrangörslista!$U$5&lt;56,SUM(LARGE(BV18:DX18,{1;2;3;4;5;6;7;8;9;10;11;12;13})),
IF(Arrangörslista!$U$5&lt;60,SUM(LARGE(BV18:EB18,{1;2;3;4;5;6;7;8;9;10;11;12;13;14})),
IF(Arrangörslista!$U$5=60,SUM(LARGE(BV18:EC18,{1;2;3;4;5;6;7;8;9;10;11;12;13;14;15})),0))))))))))))))))))</f>
        <v>0</v>
      </c>
      <c r="EG18" s="67">
        <f t="shared" si="62"/>
        <v>0</v>
      </c>
      <c r="EH18" s="61"/>
      <c r="EI18" s="61"/>
      <c r="EK18" s="62">
        <f t="shared" si="63"/>
        <v>61</v>
      </c>
      <c r="EL18" s="62">
        <f t="shared" si="64"/>
        <v>61</v>
      </c>
      <c r="EM18" s="62">
        <f t="shared" si="65"/>
        <v>61</v>
      </c>
      <c r="EN18" s="62">
        <f t="shared" si="66"/>
        <v>61</v>
      </c>
      <c r="EO18" s="62">
        <f t="shared" si="67"/>
        <v>61</v>
      </c>
      <c r="EP18" s="62">
        <f t="shared" si="68"/>
        <v>61</v>
      </c>
      <c r="EQ18" s="62">
        <f t="shared" si="69"/>
        <v>61</v>
      </c>
      <c r="ER18" s="62">
        <f t="shared" si="70"/>
        <v>61</v>
      </c>
      <c r="ES18" s="62">
        <f t="shared" si="71"/>
        <v>61</v>
      </c>
      <c r="ET18" s="62">
        <f t="shared" si="72"/>
        <v>61</v>
      </c>
      <c r="EU18" s="62">
        <f t="shared" si="73"/>
        <v>61</v>
      </c>
      <c r="EV18" s="62">
        <f t="shared" si="74"/>
        <v>61</v>
      </c>
      <c r="EW18" s="62">
        <f t="shared" si="75"/>
        <v>61</v>
      </c>
      <c r="EX18" s="62">
        <f t="shared" si="76"/>
        <v>61</v>
      </c>
      <c r="EY18" s="62">
        <f t="shared" si="77"/>
        <v>61</v>
      </c>
      <c r="EZ18" s="62">
        <f t="shared" si="78"/>
        <v>61</v>
      </c>
      <c r="FA18" s="62">
        <f t="shared" si="79"/>
        <v>61</v>
      </c>
      <c r="FB18" s="62">
        <f t="shared" si="80"/>
        <v>61</v>
      </c>
      <c r="FC18" s="62">
        <f t="shared" si="81"/>
        <v>61</v>
      </c>
      <c r="FD18" s="62">
        <f t="shared" si="82"/>
        <v>61</v>
      </c>
      <c r="FE18" s="62">
        <f t="shared" si="83"/>
        <v>61</v>
      </c>
      <c r="FF18" s="62">
        <f t="shared" si="84"/>
        <v>61</v>
      </c>
      <c r="FG18" s="62">
        <f t="shared" si="85"/>
        <v>61</v>
      </c>
      <c r="FH18" s="62">
        <f t="shared" si="86"/>
        <v>61</v>
      </c>
      <c r="FI18" s="62">
        <f t="shared" si="87"/>
        <v>61</v>
      </c>
      <c r="FJ18" s="62">
        <f t="shared" si="88"/>
        <v>61</v>
      </c>
      <c r="FK18" s="62">
        <f t="shared" si="89"/>
        <v>61</v>
      </c>
      <c r="FL18" s="62">
        <f t="shared" si="90"/>
        <v>61</v>
      </c>
      <c r="FM18" s="62">
        <f t="shared" si="91"/>
        <v>61</v>
      </c>
      <c r="FN18" s="62">
        <f t="shared" si="92"/>
        <v>61</v>
      </c>
      <c r="FO18" s="62">
        <f t="shared" si="93"/>
        <v>61</v>
      </c>
      <c r="FP18" s="62">
        <f t="shared" si="94"/>
        <v>61</v>
      </c>
      <c r="FQ18" s="62">
        <f t="shared" si="95"/>
        <v>61</v>
      </c>
      <c r="FR18" s="62">
        <f t="shared" si="96"/>
        <v>61</v>
      </c>
      <c r="FS18" s="62">
        <f t="shared" si="97"/>
        <v>61</v>
      </c>
      <c r="FT18" s="62">
        <f t="shared" si="98"/>
        <v>61</v>
      </c>
      <c r="FU18" s="62">
        <f t="shared" si="99"/>
        <v>61</v>
      </c>
      <c r="FV18" s="62">
        <f t="shared" si="100"/>
        <v>61</v>
      </c>
      <c r="FW18" s="62">
        <f t="shared" si="101"/>
        <v>61</v>
      </c>
      <c r="FX18" s="62">
        <f t="shared" si="102"/>
        <v>61</v>
      </c>
      <c r="FY18" s="62">
        <f t="shared" si="103"/>
        <v>61</v>
      </c>
      <c r="FZ18" s="62">
        <f t="shared" si="104"/>
        <v>61</v>
      </c>
      <c r="GA18" s="62">
        <f t="shared" si="105"/>
        <v>61</v>
      </c>
      <c r="GB18" s="62">
        <f t="shared" si="106"/>
        <v>61</v>
      </c>
      <c r="GC18" s="62">
        <f t="shared" si="107"/>
        <v>61</v>
      </c>
      <c r="GD18" s="62">
        <f t="shared" si="108"/>
        <v>61</v>
      </c>
      <c r="GE18" s="62">
        <f t="shared" si="109"/>
        <v>61</v>
      </c>
      <c r="GF18" s="62">
        <f t="shared" si="110"/>
        <v>61</v>
      </c>
      <c r="GG18" s="62">
        <f t="shared" si="111"/>
        <v>61</v>
      </c>
      <c r="GH18" s="62">
        <f t="shared" si="112"/>
        <v>61</v>
      </c>
      <c r="GI18" s="62">
        <f t="shared" si="113"/>
        <v>61</v>
      </c>
      <c r="GJ18" s="62">
        <f t="shared" si="114"/>
        <v>61</v>
      </c>
      <c r="GK18" s="62">
        <f t="shared" si="115"/>
        <v>61</v>
      </c>
      <c r="GL18" s="62">
        <f t="shared" si="116"/>
        <v>61</v>
      </c>
      <c r="GM18" s="62">
        <f t="shared" si="117"/>
        <v>61</v>
      </c>
      <c r="GN18" s="62">
        <f t="shared" si="118"/>
        <v>61</v>
      </c>
      <c r="GO18" s="62">
        <f t="shared" si="119"/>
        <v>61</v>
      </c>
      <c r="GP18" s="62">
        <f t="shared" si="120"/>
        <v>61</v>
      </c>
      <c r="GQ18" s="62">
        <f t="shared" si="121"/>
        <v>61</v>
      </c>
      <c r="GR18" s="62">
        <f t="shared" si="122"/>
        <v>61</v>
      </c>
      <c r="GT18" s="62">
        <f>IF(Deltagarlista!$K$3=2,
IF(GW18="1",
      IF(Arrangörslista!$U$5=1,J81,
IF(Arrangörslista!$U$5=2,K81,
IF(Arrangörslista!$U$5=3,L81,
IF(Arrangörslista!$U$5=4,M81,
IF(Arrangörslista!$U$5=5,N81,
IF(Arrangörslista!$U$5=6,O81,
IF(Arrangörslista!$U$5=7,P81,
IF(Arrangörslista!$U$5=8,Q81,
IF(Arrangörslista!$U$5=9,R81,
IF(Arrangörslista!$U$5=10,S81,
IF(Arrangörslista!$U$5=11,T81,
IF(Arrangörslista!$U$5=12,U81,
IF(Arrangörslista!$U$5=13,V81,
IF(Arrangörslista!$U$5=14,W81,
IF(Arrangörslista!$U$5=15,X81,
IF(Arrangörslista!$U$5=16,Y81,IF(Arrangörslista!$U$5=17,Z81,IF(Arrangörslista!$U$5=18,AA81,IF(Arrangörslista!$U$5=19,AB81,IF(Arrangörslista!$U$5=20,AC81,IF(Arrangörslista!$U$5=21,AD81,IF(Arrangörslista!$U$5=22,AE81,IF(Arrangörslista!$U$5=23,AF81, IF(Arrangörslista!$U$5=24,AG81, IF(Arrangörslista!$U$5=25,AH81, IF(Arrangörslista!$U$5=26,AI81, IF(Arrangörslista!$U$5=27,AJ81, IF(Arrangörslista!$U$5=28,AK81, IF(Arrangörslista!$U$5=29,AL81, IF(Arrangörslista!$U$5=30,AM81, IF(Arrangörslista!$U$5=31,AN81, IF(Arrangörslista!$U$5=32,AO81, IF(Arrangörslista!$U$5=33,AP81, IF(Arrangörslista!$U$5=34,AQ81, IF(Arrangörslista!$U$5=35,AR81, IF(Arrangörslista!$U$5=36,AS81, IF(Arrangörslista!$U$5=37,AT81, IF(Arrangörslista!$U$5=38,AU81, IF(Arrangörslista!$U$5=39,AV81, IF(Arrangörslista!$U$5=40,AW81, IF(Arrangörslista!$U$5=41,AX81, IF(Arrangörslista!$U$5=42,AY81, IF(Arrangörslista!$U$5=43,AZ81, IF(Arrangörslista!$U$5=44,BA81, IF(Arrangörslista!$U$5=45,BB81, IF(Arrangörslista!$U$5=46,BC81, IF(Arrangörslista!$U$5=47,BD81, IF(Arrangörslista!$U$5=48,BE81, IF(Arrangörslista!$U$5=49,BF81, IF(Arrangörslista!$U$5=50,BG81, IF(Arrangörslista!$U$5=51,BH81, IF(Arrangörslista!$U$5=52,BI81, IF(Arrangörslista!$U$5=53,BJ81, IF(Arrangörslista!$U$5=54,BK81, IF(Arrangörslista!$U$5=55,BL81, IF(Arrangörslista!$U$5=56,BM81, IF(Arrangörslista!$U$5=57,BN81, IF(Arrangörslista!$U$5=58,BO81, IF(Arrangörslista!$U$5=59,BP81, IF(Arrangörslista!$U$5=60,BQ81,0))))))))))))))))))))))))))))))))))))))))))))))))))))))))))))),IF(Deltagarlista!$K$3=4, IF(Arrangörslista!$U$5=1,J81,
IF(Arrangörslista!$U$5=2,J81,
IF(Arrangörslista!$U$5=3,K81,
IF(Arrangörslista!$U$5=4,K81,
IF(Arrangörslista!$U$5=5,L81,
IF(Arrangörslista!$U$5=6,L81,
IF(Arrangörslista!$U$5=7,M81,
IF(Arrangörslista!$U$5=8,M81,
IF(Arrangörslista!$U$5=9,N81,
IF(Arrangörslista!$U$5=10,N81,
IF(Arrangörslista!$U$5=11,O81,
IF(Arrangörslista!$U$5=12,O81,
IF(Arrangörslista!$U$5=13,P81,
IF(Arrangörslista!$U$5=14,P81,
IF(Arrangörslista!$U$5=15,Q81,
IF(Arrangörslista!$U$5=16,Q81,
IF(Arrangörslista!$U$5=17,R81,
IF(Arrangörslista!$U$5=18,R81,
IF(Arrangörslista!$U$5=19,S81,
IF(Arrangörslista!$U$5=20,S81,
IF(Arrangörslista!$U$5=21,T81,
IF(Arrangörslista!$U$5=22,T81,IF(Arrangörslista!$U$5=23,U81, IF(Arrangörslista!$U$5=24,U81, IF(Arrangörslista!$U$5=25,V81, IF(Arrangörslista!$U$5=26,V81, IF(Arrangörslista!$U$5=27,W81, IF(Arrangörslista!$U$5=28,W81, IF(Arrangörslista!$U$5=29,X81, IF(Arrangörslista!$U$5=30,X81, IF(Arrangörslista!$U$5=31,X81, IF(Arrangörslista!$U$5=32,Y81, IF(Arrangörslista!$U$5=33,AO81, IF(Arrangörslista!$U$5=34,Y81, IF(Arrangörslista!$U$5=35,Z81, IF(Arrangörslista!$U$5=36,AR81, IF(Arrangörslista!$U$5=37,Z81, IF(Arrangörslista!$U$5=38,AA81, IF(Arrangörslista!$U$5=39,AU81, IF(Arrangörslista!$U$5=40,AA81, IF(Arrangörslista!$U$5=41,AB81, IF(Arrangörslista!$U$5=42,AX81, IF(Arrangörslista!$U$5=43,AB81, IF(Arrangörslista!$U$5=44,AC81, IF(Arrangörslista!$U$5=45,BA81, IF(Arrangörslista!$U$5=46,AC81, IF(Arrangörslista!$U$5=47,AD81, IF(Arrangörslista!$U$5=48,BD81, IF(Arrangörslista!$U$5=49,AD81, IF(Arrangörslista!$U$5=50,AE81, IF(Arrangörslista!$U$5=51,BG81, IF(Arrangörslista!$U$5=52,AE81, IF(Arrangörslista!$U$5=53,AF81, IF(Arrangörslista!$U$5=54,BJ81, IF(Arrangörslista!$U$5=55,AF81, IF(Arrangörslista!$U$5=56,AG81, IF(Arrangörslista!$U$5=57,BM81, IF(Arrangörslista!$U$5=58,AG81, IF(Arrangörslista!$U$5=59,AH81, IF(Arrangörslista!$U$5=60,AH81,0)))))))))))))))))))))))))))))))))))))))))))))))))))))))))))),IF(Arrangörslista!$U$5=1,J81,
IF(Arrangörslista!$U$5=2,K81,
IF(Arrangörslista!$U$5=3,L81,
IF(Arrangörslista!$U$5=4,M81,
IF(Arrangörslista!$U$5=5,N81,
IF(Arrangörslista!$U$5=6,O81,
IF(Arrangörslista!$U$5=7,P81,
IF(Arrangörslista!$U$5=8,Q81,
IF(Arrangörslista!$U$5=9,R81,
IF(Arrangörslista!$U$5=10,S81,
IF(Arrangörslista!$U$5=11,T81,
IF(Arrangörslista!$U$5=12,U81,
IF(Arrangörslista!$U$5=13,V81,
IF(Arrangörslista!$U$5=14,W81,
IF(Arrangörslista!$U$5=15,X81,
IF(Arrangörslista!$U$5=16,Y81,IF(Arrangörslista!$U$5=17,Z81,IF(Arrangörslista!$U$5=18,AA81,IF(Arrangörslista!$U$5=19,AB81,IF(Arrangörslista!$U$5=20,AC81,IF(Arrangörslista!$U$5=21,AD81,IF(Arrangörslista!$U$5=22,AE81,IF(Arrangörslista!$U$5=23,AF81, IF(Arrangörslista!$U$5=24,AG81, IF(Arrangörslista!$U$5=25,AH81, IF(Arrangörslista!$U$5=26,AI81, IF(Arrangörslista!$U$5=27,AJ81, IF(Arrangörslista!$U$5=28,AK81, IF(Arrangörslista!$U$5=29,AL81, IF(Arrangörslista!$U$5=30,AM81, IF(Arrangörslista!$U$5=31,AN81, IF(Arrangörslista!$U$5=32,AO81, IF(Arrangörslista!$U$5=33,AP81, IF(Arrangörslista!$U$5=34,AQ81, IF(Arrangörslista!$U$5=35,AR81, IF(Arrangörslista!$U$5=36,AS81, IF(Arrangörslista!$U$5=37,AT81, IF(Arrangörslista!$U$5=38,AU81, IF(Arrangörslista!$U$5=39,AV81, IF(Arrangörslista!$U$5=40,AW81, IF(Arrangörslista!$U$5=41,AX81, IF(Arrangörslista!$U$5=42,AY81, IF(Arrangörslista!$U$5=43,AZ81, IF(Arrangörslista!$U$5=44,BA81, IF(Arrangörslista!$U$5=45,BB81, IF(Arrangörslista!$U$5=46,BC81, IF(Arrangörslista!$U$5=47,BD81, IF(Arrangörslista!$U$5=48,BE81, IF(Arrangörslista!$U$5=49,BF81, IF(Arrangörslista!$U$5=50,BG81, IF(Arrangörslista!$U$5=51,BH81, IF(Arrangörslista!$U$5=52,BI81, IF(Arrangörslista!$U$5=53,BJ81, IF(Arrangörslista!$U$5=54,BK81, IF(Arrangörslista!$U$5=55,BL81, IF(Arrangörslista!$U$5=56,BM81, IF(Arrangörslista!$U$5=57,BN81, IF(Arrangörslista!$U$5=58,BO81, IF(Arrangörslista!$U$5=59,BP81, IF(Arrangörslista!$U$5=60,BQ81,0))))))))))))))))))))))))))))))))))))))))))))))))))))))))))))
))</f>
        <v>0</v>
      </c>
      <c r="GV18" s="65" t="str">
        <f>IFERROR(IF(VLOOKUP(F18,Deltagarlista!$E$5:$I$64,5,FALSE)="Grön","Gr",IF(VLOOKUP(F18,Deltagarlista!$E$5:$I$64,5,FALSE)="Röd","R",IF(VLOOKUP(F18,Deltagarlista!$E$5:$I$64,5,FALSE)="Blå","B","Gu"))),"")</f>
        <v/>
      </c>
      <c r="GW18" s="62" t="str">
        <f t="shared" si="124"/>
        <v/>
      </c>
    </row>
    <row r="19" spans="2:205" x14ac:dyDescent="0.3">
      <c r="B19" s="23" t="str">
        <f>IF((COUNTIF(Deltagarlista!$H$5:$H$64,"GM"))&gt;15,16,"")</f>
        <v/>
      </c>
      <c r="C19" s="92" t="str">
        <f>IF(ISBLANK(Deltagarlista!C51),"",Deltagarlista!C51)</f>
        <v/>
      </c>
      <c r="D19" s="109" t="str">
        <f>CONCATENATE(IF(Deltagarlista!H51="GM","GM   ",""), IF(OR(Deltagarlista!$K$3=4,Deltagarlista!$K$3=2),Deltagarlista!I51,""))</f>
        <v/>
      </c>
      <c r="E19" s="8" t="str">
        <f>IF(ISBLANK(Deltagarlista!D51),"",Deltagarlista!D51)</f>
        <v/>
      </c>
      <c r="F19" s="8" t="str">
        <f>IF(ISBLANK(Deltagarlista!E51),"",Deltagarlista!E51)</f>
        <v/>
      </c>
      <c r="G19" s="95" t="str">
        <f>IF(ISBLANK(Deltagarlista!F51),"",Deltagarlista!F51)</f>
        <v/>
      </c>
      <c r="H19" s="72" t="str">
        <f>IF(ISBLANK(Deltagarlista!C51),"",BU19-EE19)</f>
        <v/>
      </c>
      <c r="I19" s="13" t="str">
        <f>IF(ISBLANK(Deltagarlista!C51),"",IF(AND(Deltagarlista!$K$3=2,Deltagarlista!$L$3&lt;37),SUM(SUM(BV19:EC19)-(ROUNDDOWN(Arrangörslista!$U$5/3,1))*($BW$3+1)),SUM(BV19:EC19)))</f>
        <v/>
      </c>
      <c r="J19" s="79" t="str">
        <f>IF(Deltagarlista!$K$3=4,IF(ISBLANK(Deltagarlista!$C51),"",IF(ISBLANK(Arrangörslista!C$8),"",IFERROR(VLOOKUP($F19,Arrangörslista!C$8:$AG$45,16,FALSE),IF(ISBLANK(Deltagarlista!$C51),"",IF(ISBLANK(Arrangörslista!C$8),"",IFERROR(VLOOKUP($F19,Arrangörslista!D$8:$AG$45,16,FALSE),"DNS")))))),IF(Deltagarlista!$K$3=2,
IF(ISBLANK(Deltagarlista!$C51),"",IF(ISBLANK(Arrangörslista!C$8),"",IF($GV19=J$64," DNS ",IFERROR(VLOOKUP($F19,Arrangörslista!C$8:$AG$45,16,FALSE),"DNS")))),IF(ISBLANK(Deltagarlista!$C51),"",IF(ISBLANK(Arrangörslista!C$8),"",IFERROR(VLOOKUP($F19,Arrangörslista!C$8:$AG$45,16,FALSE),"DNS")))))</f>
        <v/>
      </c>
      <c r="K19" s="5" t="str">
        <f>IF(Deltagarlista!$K$3=4,IF(ISBLANK(Deltagarlista!$C51),"",IF(ISBLANK(Arrangörslista!E$8),"",IFERROR(VLOOKUP($F19,Arrangörslista!E$8:$AG$45,16,FALSE),IF(ISBLANK(Deltagarlista!$C51),"",IF(ISBLANK(Arrangörslista!E$8),"",IFERROR(VLOOKUP($F19,Arrangörslista!F$8:$AG$45,16,FALSE),"DNS")))))),IF(Deltagarlista!$K$3=2,
IF(ISBLANK(Deltagarlista!$C51),"",IF(ISBLANK(Arrangörslista!D$8),"",IF($GV19=K$64," DNS ",IFERROR(VLOOKUP($F19,Arrangörslista!D$8:$AG$45,16,FALSE),"DNS")))),IF(ISBLANK(Deltagarlista!$C51),"",IF(ISBLANK(Arrangörslista!D$8),"",IFERROR(VLOOKUP($F19,Arrangörslista!D$8:$AG$45,16,FALSE),"DNS")))))</f>
        <v/>
      </c>
      <c r="L19" s="5" t="str">
        <f>IF(Deltagarlista!$K$3=4,IF(ISBLANK(Deltagarlista!$C51),"",IF(ISBLANK(Arrangörslista!G$8),"",IFERROR(VLOOKUP($F19,Arrangörslista!G$8:$AG$45,16,FALSE),IF(ISBLANK(Deltagarlista!$C51),"",IF(ISBLANK(Arrangörslista!G$8),"",IFERROR(VLOOKUP($F19,Arrangörslista!H$8:$AG$45,16,FALSE),"DNS")))))),IF(Deltagarlista!$K$3=2,
IF(ISBLANK(Deltagarlista!$C51),"",IF(ISBLANK(Arrangörslista!E$8),"",IF($GV19=L$64," DNS ",IFERROR(VLOOKUP($F19,Arrangörslista!E$8:$AG$45,16,FALSE),"DNS")))),IF(ISBLANK(Deltagarlista!$C51),"",IF(ISBLANK(Arrangörslista!E$8),"",IFERROR(VLOOKUP($F19,Arrangörslista!E$8:$AG$45,16,FALSE),"DNS")))))</f>
        <v/>
      </c>
      <c r="M19" s="5" t="str">
        <f>IF(Deltagarlista!$K$3=4,IF(ISBLANK(Deltagarlista!$C51),"",IF(ISBLANK(Arrangörslista!I$8),"",IFERROR(VLOOKUP($F19,Arrangörslista!I$8:$AG$45,16,FALSE),IF(ISBLANK(Deltagarlista!$C51),"",IF(ISBLANK(Arrangörslista!I$8),"",IFERROR(VLOOKUP($F19,Arrangörslista!J$8:$AG$45,16,FALSE),"DNS")))))),IF(Deltagarlista!$K$3=2,
IF(ISBLANK(Deltagarlista!$C51),"",IF(ISBLANK(Arrangörslista!F$8),"",IF($GV19=M$64," DNS ",IFERROR(VLOOKUP($F19,Arrangörslista!F$8:$AG$45,16,FALSE),"DNS")))),IF(ISBLANK(Deltagarlista!$C51),"",IF(ISBLANK(Arrangörslista!F$8),"",IFERROR(VLOOKUP($F19,Arrangörslista!F$8:$AG$45,16,FALSE),"DNS")))))</f>
        <v/>
      </c>
      <c r="N19" s="5" t="str">
        <f>IF(Deltagarlista!$K$3=4,IF(ISBLANK(Deltagarlista!$C51),"",IF(ISBLANK(Arrangörslista!K$8),"",IFERROR(VLOOKUP($F19,Arrangörslista!K$8:$AG$45,16,FALSE),IF(ISBLANK(Deltagarlista!$C51),"",IF(ISBLANK(Arrangörslista!K$8),"",IFERROR(VLOOKUP($F19,Arrangörslista!L$8:$AG$45,16,FALSE),"DNS")))))),IF(Deltagarlista!$K$3=2,
IF(ISBLANK(Deltagarlista!$C51),"",IF(ISBLANK(Arrangörslista!G$8),"",IF($GV19=N$64," DNS ",IFERROR(VLOOKUP($F19,Arrangörslista!G$8:$AG$45,16,FALSE),"DNS")))),IF(ISBLANK(Deltagarlista!$C51),"",IF(ISBLANK(Arrangörslista!G$8),"",IFERROR(VLOOKUP($F19,Arrangörslista!G$8:$AG$45,16,FALSE),"DNS")))))</f>
        <v/>
      </c>
      <c r="O19" s="5" t="str">
        <f>IF(Deltagarlista!$K$3=4,IF(ISBLANK(Deltagarlista!$C51),"",IF(ISBLANK(Arrangörslista!M$8),"",IFERROR(VLOOKUP($F19,Arrangörslista!M$8:$AG$45,16,FALSE),IF(ISBLANK(Deltagarlista!$C51),"",IF(ISBLANK(Arrangörslista!M$8),"",IFERROR(VLOOKUP($F19,Arrangörslista!N$8:$AG$45,16,FALSE),"DNS")))))),IF(Deltagarlista!$K$3=2,
IF(ISBLANK(Deltagarlista!$C51),"",IF(ISBLANK(Arrangörslista!H$8),"",IF($GV19=O$64," DNS ",IFERROR(VLOOKUP($F19,Arrangörslista!H$8:$AG$45,16,FALSE),"DNS")))),IF(ISBLANK(Deltagarlista!$C51),"",IF(ISBLANK(Arrangörslista!H$8),"",IFERROR(VLOOKUP($F19,Arrangörslista!H$8:$AG$45,16,FALSE),"DNS")))))</f>
        <v/>
      </c>
      <c r="P19" s="5" t="str">
        <f>IF(Deltagarlista!$K$3=4,IF(ISBLANK(Deltagarlista!$C51),"",IF(ISBLANK(Arrangörslista!O$8),"",IFERROR(VLOOKUP($F19,Arrangörslista!O$8:$AG$45,16,FALSE),IF(ISBLANK(Deltagarlista!$C51),"",IF(ISBLANK(Arrangörslista!O$8),"",IFERROR(VLOOKUP($F19,Arrangörslista!P$8:$AG$45,16,FALSE),"DNS")))))),IF(Deltagarlista!$K$3=2,
IF(ISBLANK(Deltagarlista!$C51),"",IF(ISBLANK(Arrangörslista!I$8),"",IF($GV19=P$64," DNS ",IFERROR(VLOOKUP($F19,Arrangörslista!I$8:$AG$45,16,FALSE),"DNS")))),IF(ISBLANK(Deltagarlista!$C51),"",IF(ISBLANK(Arrangörslista!I$8),"",IFERROR(VLOOKUP($F19,Arrangörslista!I$8:$AG$45,16,FALSE),"DNS")))))</f>
        <v/>
      </c>
      <c r="Q19" s="5" t="str">
        <f>IF(Deltagarlista!$K$3=4,IF(ISBLANK(Deltagarlista!$C51),"",IF(ISBLANK(Arrangörslista!Q$8),"",IFERROR(VLOOKUP($F19,Arrangörslista!Q$8:$AG$45,16,FALSE),IF(ISBLANK(Deltagarlista!$C51),"",IF(ISBLANK(Arrangörslista!Q$8),"",IFERROR(VLOOKUP($F19,Arrangörslista!C$53:$AG$90,16,FALSE),"DNS")))))),IF(Deltagarlista!$K$3=2,
IF(ISBLANK(Deltagarlista!$C51),"",IF(ISBLANK(Arrangörslista!J$8),"",IF($GV19=Q$64," DNS ",IFERROR(VLOOKUP($F19,Arrangörslista!J$8:$AG$45,16,FALSE),"DNS")))),IF(ISBLANK(Deltagarlista!$C51),"",IF(ISBLANK(Arrangörslista!J$8),"",IFERROR(VLOOKUP($F19,Arrangörslista!J$8:$AG$45,16,FALSE),"DNS")))))</f>
        <v/>
      </c>
      <c r="R19" s="5" t="str">
        <f>IF(Deltagarlista!$K$3=4,IF(ISBLANK(Deltagarlista!$C51),"",IF(ISBLANK(Arrangörslista!D$53),"",IFERROR(VLOOKUP($F19,Arrangörslista!D$53:$AG$90,16,FALSE),IF(ISBLANK(Deltagarlista!$C51),"",IF(ISBLANK(Arrangörslista!D$53),"",IFERROR(VLOOKUP($F19,Arrangörslista!E$53:$AG$90,16,FALSE),"DNS")))))),IF(Deltagarlista!$K$3=2,
IF(ISBLANK(Deltagarlista!$C51),"",IF(ISBLANK(Arrangörslista!K$8),"",IF($GV19=R$64," DNS ",IFERROR(VLOOKUP($F19,Arrangörslista!K$8:$AG$45,16,FALSE),"DNS")))),IF(ISBLANK(Deltagarlista!$C51),"",IF(ISBLANK(Arrangörslista!K$8),"",IFERROR(VLOOKUP($F19,Arrangörslista!K$8:$AG$45,16,FALSE),"DNS")))))</f>
        <v/>
      </c>
      <c r="S19" s="5" t="str">
        <f>IF(Deltagarlista!$K$3=4,IF(ISBLANK(Deltagarlista!$C51),"",IF(ISBLANK(Arrangörslista!F$53),"",IFERROR(VLOOKUP($F19,Arrangörslista!F$53:$AG$90,16,FALSE),IF(ISBLANK(Deltagarlista!$C51),"",IF(ISBLANK(Arrangörslista!F$53),"",IFERROR(VLOOKUP($F19,Arrangörslista!G$53:$AG$90,16,FALSE),"DNS")))))),IF(Deltagarlista!$K$3=2,
IF(ISBLANK(Deltagarlista!$C51),"",IF(ISBLANK(Arrangörslista!L$8),"",IF($GV19=S$64," DNS ",IFERROR(VLOOKUP($F19,Arrangörslista!L$8:$AG$45,16,FALSE),"DNS")))),IF(ISBLANK(Deltagarlista!$C51),"",IF(ISBLANK(Arrangörslista!L$8),"",IFERROR(VLOOKUP($F19,Arrangörslista!L$8:$AG$45,16,FALSE),"DNS")))))</f>
        <v/>
      </c>
      <c r="T19" s="5" t="str">
        <f>IF(Deltagarlista!$K$3=4,IF(ISBLANK(Deltagarlista!$C51),"",IF(ISBLANK(Arrangörslista!H$53),"",IFERROR(VLOOKUP($F19,Arrangörslista!H$53:$AG$90,16,FALSE),IF(ISBLANK(Deltagarlista!$C51),"",IF(ISBLANK(Arrangörslista!H$53),"",IFERROR(VLOOKUP($F19,Arrangörslista!I$53:$AG$90,16,FALSE),"DNS")))))),IF(Deltagarlista!$K$3=2,
IF(ISBLANK(Deltagarlista!$C51),"",IF(ISBLANK(Arrangörslista!M$8),"",IF($GV19=T$64," DNS ",IFERROR(VLOOKUP($F19,Arrangörslista!M$8:$AG$45,16,FALSE),"DNS")))),IF(ISBLANK(Deltagarlista!$C51),"",IF(ISBLANK(Arrangörslista!M$8),"",IFERROR(VLOOKUP($F19,Arrangörslista!M$8:$AG$45,16,FALSE),"DNS")))))</f>
        <v/>
      </c>
      <c r="U19" s="5" t="str">
        <f>IF(Deltagarlista!$K$3=4,IF(ISBLANK(Deltagarlista!$C51),"",IF(ISBLANK(Arrangörslista!J$53),"",IFERROR(VLOOKUP($F19,Arrangörslista!J$53:$AG$90,16,FALSE),IF(ISBLANK(Deltagarlista!$C51),"",IF(ISBLANK(Arrangörslista!J$53),"",IFERROR(VLOOKUP($F19,Arrangörslista!K$53:$AG$90,16,FALSE),"DNS")))))),IF(Deltagarlista!$K$3=2,
IF(ISBLANK(Deltagarlista!$C51),"",IF(ISBLANK(Arrangörslista!N$8),"",IF($GV19=U$64," DNS ",IFERROR(VLOOKUP($F19,Arrangörslista!N$8:$AG$45,16,FALSE),"DNS")))),IF(ISBLANK(Deltagarlista!$C51),"",IF(ISBLANK(Arrangörslista!N$8),"",IFERROR(VLOOKUP($F19,Arrangörslista!N$8:$AG$45,16,FALSE),"DNS")))))</f>
        <v/>
      </c>
      <c r="V19" s="5" t="str">
        <f>IF(Deltagarlista!$K$3=4,IF(ISBLANK(Deltagarlista!$C51),"",IF(ISBLANK(Arrangörslista!L$53),"",IFERROR(VLOOKUP($F19,Arrangörslista!L$53:$AG$90,16,FALSE),IF(ISBLANK(Deltagarlista!$C51),"",IF(ISBLANK(Arrangörslista!L$53),"",IFERROR(VLOOKUP($F19,Arrangörslista!M$53:$AG$90,16,FALSE),"DNS")))))),IF(Deltagarlista!$K$3=2,
IF(ISBLANK(Deltagarlista!$C51),"",IF(ISBLANK(Arrangörslista!O$8),"",IF($GV19=V$64," DNS ",IFERROR(VLOOKUP($F19,Arrangörslista!O$8:$AG$45,16,FALSE),"DNS")))),IF(ISBLANK(Deltagarlista!$C51),"",IF(ISBLANK(Arrangörslista!O$8),"",IFERROR(VLOOKUP($F19,Arrangörslista!O$8:$AG$45,16,FALSE),"DNS")))))</f>
        <v/>
      </c>
      <c r="W19" s="5" t="str">
        <f>IF(Deltagarlista!$K$3=4,IF(ISBLANK(Deltagarlista!$C51),"",IF(ISBLANK(Arrangörslista!N$53),"",IFERROR(VLOOKUP($F19,Arrangörslista!N$53:$AG$90,16,FALSE),IF(ISBLANK(Deltagarlista!$C51),"",IF(ISBLANK(Arrangörslista!N$53),"",IFERROR(VLOOKUP($F19,Arrangörslista!O$53:$AG$90,16,FALSE),"DNS")))))),IF(Deltagarlista!$K$3=2,
IF(ISBLANK(Deltagarlista!$C51),"",IF(ISBLANK(Arrangörslista!P$8),"",IF($GV19=W$64," DNS ",IFERROR(VLOOKUP($F19,Arrangörslista!P$8:$AG$45,16,FALSE),"DNS")))),IF(ISBLANK(Deltagarlista!$C51),"",IF(ISBLANK(Arrangörslista!P$8),"",IFERROR(VLOOKUP($F19,Arrangörslista!P$8:$AG$45,16,FALSE),"DNS")))))</f>
        <v/>
      </c>
      <c r="X19" s="5" t="str">
        <f>IF(Deltagarlista!$K$3=4,IF(ISBLANK(Deltagarlista!$C51),"",IF(ISBLANK(Arrangörslista!P$53),"",IFERROR(VLOOKUP($F19,Arrangörslista!P$53:$AG$90,16,FALSE),IF(ISBLANK(Deltagarlista!$C51),"",IF(ISBLANK(Arrangörslista!P$53),"",IFERROR(VLOOKUP($F19,Arrangörslista!Q$53:$AG$90,16,FALSE),"DNS")))))),IF(Deltagarlista!$K$3=2,
IF(ISBLANK(Deltagarlista!$C51),"",IF(ISBLANK(Arrangörslista!Q$8),"",IF($GV19=X$64," DNS ",IFERROR(VLOOKUP($F19,Arrangörslista!Q$8:$AG$45,16,FALSE),"DNS")))),IF(ISBLANK(Deltagarlista!$C51),"",IF(ISBLANK(Arrangörslista!Q$8),"",IFERROR(VLOOKUP($F19,Arrangörslista!Q$8:$AG$45,16,FALSE),"DNS")))))</f>
        <v/>
      </c>
      <c r="Y19" s="5" t="str">
        <f>IF(Deltagarlista!$K$3=4,IF(ISBLANK(Deltagarlista!$C51),"",IF(ISBLANK(Arrangörslista!C$98),"",IFERROR(VLOOKUP($F19,Arrangörslista!C$98:$AG$135,16,FALSE),IF(ISBLANK(Deltagarlista!$C51),"",IF(ISBLANK(Arrangörslista!C$98),"",IFERROR(VLOOKUP($F19,Arrangörslista!D$98:$AG$135,16,FALSE),"DNS")))))),IF(Deltagarlista!$K$3=2,
IF(ISBLANK(Deltagarlista!$C51),"",IF(ISBLANK(Arrangörslista!C$53),"",IF($GV19=Y$64," DNS ",IFERROR(VLOOKUP($F19,Arrangörslista!C$53:$AG$90,16,FALSE),"DNS")))),IF(ISBLANK(Deltagarlista!$C51),"",IF(ISBLANK(Arrangörslista!C$53),"",IFERROR(VLOOKUP($F19,Arrangörslista!C$53:$AG$90,16,FALSE),"DNS")))))</f>
        <v/>
      </c>
      <c r="Z19" s="5" t="str">
        <f>IF(Deltagarlista!$K$3=4,IF(ISBLANK(Deltagarlista!$C51),"",IF(ISBLANK(Arrangörslista!E$98),"",IFERROR(VLOOKUP($F19,Arrangörslista!E$98:$AG$135,16,FALSE),IF(ISBLANK(Deltagarlista!$C51),"",IF(ISBLANK(Arrangörslista!E$98),"",IFERROR(VLOOKUP($F19,Arrangörslista!F$98:$AG$135,16,FALSE),"DNS")))))),IF(Deltagarlista!$K$3=2,
IF(ISBLANK(Deltagarlista!$C51),"",IF(ISBLANK(Arrangörslista!D$53),"",IF($GV19=Z$64," DNS ",IFERROR(VLOOKUP($F19,Arrangörslista!D$53:$AG$90,16,FALSE),"DNS")))),IF(ISBLANK(Deltagarlista!$C51),"",IF(ISBLANK(Arrangörslista!D$53),"",IFERROR(VLOOKUP($F19,Arrangörslista!D$53:$AG$90,16,FALSE),"DNS")))))</f>
        <v/>
      </c>
      <c r="AA19" s="5" t="str">
        <f>IF(Deltagarlista!$K$3=4,IF(ISBLANK(Deltagarlista!$C51),"",IF(ISBLANK(Arrangörslista!G$98),"",IFERROR(VLOOKUP($F19,Arrangörslista!G$98:$AG$135,16,FALSE),IF(ISBLANK(Deltagarlista!$C51),"",IF(ISBLANK(Arrangörslista!G$98),"",IFERROR(VLOOKUP($F19,Arrangörslista!H$98:$AG$135,16,FALSE),"DNS")))))),IF(Deltagarlista!$K$3=2,
IF(ISBLANK(Deltagarlista!$C51),"",IF(ISBLANK(Arrangörslista!E$53),"",IF($GV19=AA$64," DNS ",IFERROR(VLOOKUP($F19,Arrangörslista!E$53:$AG$90,16,FALSE),"DNS")))),IF(ISBLANK(Deltagarlista!$C51),"",IF(ISBLANK(Arrangörslista!E$53),"",IFERROR(VLOOKUP($F19,Arrangörslista!E$53:$AG$90,16,FALSE),"DNS")))))</f>
        <v/>
      </c>
      <c r="AB19" s="5" t="str">
        <f>IF(Deltagarlista!$K$3=4,IF(ISBLANK(Deltagarlista!$C51),"",IF(ISBLANK(Arrangörslista!I$98),"",IFERROR(VLOOKUP($F19,Arrangörslista!I$98:$AG$135,16,FALSE),IF(ISBLANK(Deltagarlista!$C51),"",IF(ISBLANK(Arrangörslista!I$98),"",IFERROR(VLOOKUP($F19,Arrangörslista!J$98:$AG$135,16,FALSE),"DNS")))))),IF(Deltagarlista!$K$3=2,
IF(ISBLANK(Deltagarlista!$C51),"",IF(ISBLANK(Arrangörslista!F$53),"",IF($GV19=AB$64," DNS ",IFERROR(VLOOKUP($F19,Arrangörslista!F$53:$AG$90,16,FALSE),"DNS")))),IF(ISBLANK(Deltagarlista!$C51),"",IF(ISBLANK(Arrangörslista!F$53),"",IFERROR(VLOOKUP($F19,Arrangörslista!F$53:$AG$90,16,FALSE),"DNS")))))</f>
        <v/>
      </c>
      <c r="AC19" s="5" t="str">
        <f>IF(Deltagarlista!$K$3=4,IF(ISBLANK(Deltagarlista!$C51),"",IF(ISBLANK(Arrangörslista!K$98),"",IFERROR(VLOOKUP($F19,Arrangörslista!K$98:$AG$135,16,FALSE),IF(ISBLANK(Deltagarlista!$C51),"",IF(ISBLANK(Arrangörslista!K$98),"",IFERROR(VLOOKUP($F19,Arrangörslista!L$98:$AG$135,16,FALSE),"DNS")))))),IF(Deltagarlista!$K$3=2,
IF(ISBLANK(Deltagarlista!$C51),"",IF(ISBLANK(Arrangörslista!G$53),"",IF($GV19=AC$64," DNS ",IFERROR(VLOOKUP($F19,Arrangörslista!G$53:$AG$90,16,FALSE),"DNS")))),IF(ISBLANK(Deltagarlista!$C51),"",IF(ISBLANK(Arrangörslista!G$53),"",IFERROR(VLOOKUP($F19,Arrangörslista!G$53:$AG$90,16,FALSE),"DNS")))))</f>
        <v/>
      </c>
      <c r="AD19" s="5" t="str">
        <f>IF(Deltagarlista!$K$3=4,IF(ISBLANK(Deltagarlista!$C51),"",IF(ISBLANK(Arrangörslista!M$98),"",IFERROR(VLOOKUP($F19,Arrangörslista!M$98:$AG$135,16,FALSE),IF(ISBLANK(Deltagarlista!$C51),"",IF(ISBLANK(Arrangörslista!M$98),"",IFERROR(VLOOKUP($F19,Arrangörslista!N$98:$AG$135,16,FALSE),"DNS")))))),IF(Deltagarlista!$K$3=2,
IF(ISBLANK(Deltagarlista!$C51),"",IF(ISBLANK(Arrangörslista!H$53),"",IF($GV19=AD$64," DNS ",IFERROR(VLOOKUP($F19,Arrangörslista!H$53:$AG$90,16,FALSE),"DNS")))),IF(ISBLANK(Deltagarlista!$C51),"",IF(ISBLANK(Arrangörslista!H$53),"",IFERROR(VLOOKUP($F19,Arrangörslista!H$53:$AG$90,16,FALSE),"DNS")))))</f>
        <v/>
      </c>
      <c r="AE19" s="5" t="str">
        <f>IF(Deltagarlista!$K$3=4,IF(ISBLANK(Deltagarlista!$C51),"",IF(ISBLANK(Arrangörslista!O$98),"",IFERROR(VLOOKUP($F19,Arrangörslista!O$98:$AG$135,16,FALSE),IF(ISBLANK(Deltagarlista!$C51),"",IF(ISBLANK(Arrangörslista!O$98),"",IFERROR(VLOOKUP($F19,Arrangörslista!P$98:$AG$135,16,FALSE),"DNS")))))),IF(Deltagarlista!$K$3=2,
IF(ISBLANK(Deltagarlista!$C51),"",IF(ISBLANK(Arrangörslista!I$53),"",IF($GV19=AE$64," DNS ",IFERROR(VLOOKUP($F19,Arrangörslista!I$53:$AG$90,16,FALSE),"DNS")))),IF(ISBLANK(Deltagarlista!$C51),"",IF(ISBLANK(Arrangörslista!I$53),"",IFERROR(VLOOKUP($F19,Arrangörslista!I$53:$AG$90,16,FALSE),"DNS")))))</f>
        <v/>
      </c>
      <c r="AF19" s="5" t="str">
        <f>IF(Deltagarlista!$K$3=4,IF(ISBLANK(Deltagarlista!$C51),"",IF(ISBLANK(Arrangörslista!Q$98),"",IFERROR(VLOOKUP($F19,Arrangörslista!Q$98:$AG$135,16,FALSE),IF(ISBLANK(Deltagarlista!$C51),"",IF(ISBLANK(Arrangörslista!Q$98),"",IFERROR(VLOOKUP($F19,Arrangörslista!C$143:$AG$180,16,FALSE),"DNS")))))),IF(Deltagarlista!$K$3=2,
IF(ISBLANK(Deltagarlista!$C51),"",IF(ISBLANK(Arrangörslista!J$53),"",IF($GV19=AF$64," DNS ",IFERROR(VLOOKUP($F19,Arrangörslista!J$53:$AG$90,16,FALSE),"DNS")))),IF(ISBLANK(Deltagarlista!$C51),"",IF(ISBLANK(Arrangörslista!J$53),"",IFERROR(VLOOKUP($F19,Arrangörslista!J$53:$AG$90,16,FALSE),"DNS")))))</f>
        <v/>
      </c>
      <c r="AG19" s="5" t="str">
        <f>IF(Deltagarlista!$K$3=4,IF(ISBLANK(Deltagarlista!$C51),"",IF(ISBLANK(Arrangörslista!D$143),"",IFERROR(VLOOKUP($F19,Arrangörslista!D$143:$AG$180,16,FALSE),IF(ISBLANK(Deltagarlista!$C51),"",IF(ISBLANK(Arrangörslista!D$143),"",IFERROR(VLOOKUP($F19,Arrangörslista!E$143:$AG$180,16,FALSE),"DNS")))))),IF(Deltagarlista!$K$3=2,
IF(ISBLANK(Deltagarlista!$C51),"",IF(ISBLANK(Arrangörslista!K$53),"",IF($GV19=AG$64," DNS ",IFERROR(VLOOKUP($F19,Arrangörslista!K$53:$AG$90,16,FALSE),"DNS")))),IF(ISBLANK(Deltagarlista!$C51),"",IF(ISBLANK(Arrangörslista!K$53),"",IFERROR(VLOOKUP($F19,Arrangörslista!K$53:$AG$90,16,FALSE),"DNS")))))</f>
        <v/>
      </c>
      <c r="AH19" s="5" t="str">
        <f>IF(Deltagarlista!$K$3=4,IF(ISBLANK(Deltagarlista!$C51),"",IF(ISBLANK(Arrangörslista!F$143),"",IFERROR(VLOOKUP($F19,Arrangörslista!F$143:$AG$180,16,FALSE),IF(ISBLANK(Deltagarlista!$C51),"",IF(ISBLANK(Arrangörslista!F$143),"",IFERROR(VLOOKUP($F19,Arrangörslista!G$143:$AG$180,16,FALSE),"DNS")))))),IF(Deltagarlista!$K$3=2,
IF(ISBLANK(Deltagarlista!$C51),"",IF(ISBLANK(Arrangörslista!L$53),"",IF($GV19=AH$64," DNS ",IFERROR(VLOOKUP($F19,Arrangörslista!L$53:$AG$90,16,FALSE),"DNS")))),IF(ISBLANK(Deltagarlista!$C51),"",IF(ISBLANK(Arrangörslista!L$53),"",IFERROR(VLOOKUP($F19,Arrangörslista!L$53:$AG$90,16,FALSE),"DNS")))))</f>
        <v/>
      </c>
      <c r="AI19" s="5" t="str">
        <f>IF(Deltagarlista!$K$3=4,IF(ISBLANK(Deltagarlista!$C51),"",IF(ISBLANK(Arrangörslista!H$143),"",IFERROR(VLOOKUP($F19,Arrangörslista!H$143:$AG$180,16,FALSE),IF(ISBLANK(Deltagarlista!$C51),"",IF(ISBLANK(Arrangörslista!H$143),"",IFERROR(VLOOKUP($F19,Arrangörslista!I$143:$AG$180,16,FALSE),"DNS")))))),IF(Deltagarlista!$K$3=2,
IF(ISBLANK(Deltagarlista!$C51),"",IF(ISBLANK(Arrangörslista!M$53),"",IF($GV19=AI$64," DNS ",IFERROR(VLOOKUP($F19,Arrangörslista!M$53:$AG$90,16,FALSE),"DNS")))),IF(ISBLANK(Deltagarlista!$C51),"",IF(ISBLANK(Arrangörslista!M$53),"",IFERROR(VLOOKUP($F19,Arrangörslista!M$53:$AG$90,16,FALSE),"DNS")))))</f>
        <v/>
      </c>
      <c r="AJ19" s="5" t="str">
        <f>IF(Deltagarlista!$K$3=4,IF(ISBLANK(Deltagarlista!$C51),"",IF(ISBLANK(Arrangörslista!J$143),"",IFERROR(VLOOKUP($F19,Arrangörslista!J$143:$AG$180,16,FALSE),IF(ISBLANK(Deltagarlista!$C51),"",IF(ISBLANK(Arrangörslista!J$143),"",IFERROR(VLOOKUP($F19,Arrangörslista!K$143:$AG$180,16,FALSE),"DNS")))))),IF(Deltagarlista!$K$3=2,
IF(ISBLANK(Deltagarlista!$C51),"",IF(ISBLANK(Arrangörslista!N$53),"",IF($GV19=AJ$64," DNS ",IFERROR(VLOOKUP($F19,Arrangörslista!N$53:$AG$90,16,FALSE),"DNS")))),IF(ISBLANK(Deltagarlista!$C51),"",IF(ISBLANK(Arrangörslista!N$53),"",IFERROR(VLOOKUP($F19,Arrangörslista!N$53:$AG$90,16,FALSE),"DNS")))))</f>
        <v/>
      </c>
      <c r="AK19" s="5" t="str">
        <f>IF(Deltagarlista!$K$3=4,IF(ISBLANK(Deltagarlista!$C51),"",IF(ISBLANK(Arrangörslista!L$143),"",IFERROR(VLOOKUP($F19,Arrangörslista!L$143:$AG$180,16,FALSE),IF(ISBLANK(Deltagarlista!$C51),"",IF(ISBLANK(Arrangörslista!L$143),"",IFERROR(VLOOKUP($F19,Arrangörslista!M$143:$AG$180,16,FALSE),"DNS")))))),IF(Deltagarlista!$K$3=2,
IF(ISBLANK(Deltagarlista!$C51),"",IF(ISBLANK(Arrangörslista!O$53),"",IF($GV19=AK$64," DNS ",IFERROR(VLOOKUP($F19,Arrangörslista!O$53:$AG$90,16,FALSE),"DNS")))),IF(ISBLANK(Deltagarlista!$C51),"",IF(ISBLANK(Arrangörslista!O$53),"",IFERROR(VLOOKUP($F19,Arrangörslista!O$53:$AG$90,16,FALSE),"DNS")))))</f>
        <v/>
      </c>
      <c r="AL19" s="5" t="str">
        <f>IF(Deltagarlista!$K$3=4,IF(ISBLANK(Deltagarlista!$C51),"",IF(ISBLANK(Arrangörslista!N$143),"",IFERROR(VLOOKUP($F19,Arrangörslista!N$143:$AG$180,16,FALSE),IF(ISBLANK(Deltagarlista!$C51),"",IF(ISBLANK(Arrangörslista!N$143),"",IFERROR(VLOOKUP($F19,Arrangörslista!O$143:$AG$180,16,FALSE),"DNS")))))),IF(Deltagarlista!$K$3=2,
IF(ISBLANK(Deltagarlista!$C51),"",IF(ISBLANK(Arrangörslista!P$53),"",IF($GV19=AL$64," DNS ",IFERROR(VLOOKUP($F19,Arrangörslista!P$53:$AG$90,16,FALSE),"DNS")))),IF(ISBLANK(Deltagarlista!$C51),"",IF(ISBLANK(Arrangörslista!P$53),"",IFERROR(VLOOKUP($F19,Arrangörslista!P$53:$AG$90,16,FALSE),"DNS")))))</f>
        <v/>
      </c>
      <c r="AM19" s="5" t="str">
        <f>IF(Deltagarlista!$K$3=4,IF(ISBLANK(Deltagarlista!$C51),"",IF(ISBLANK(Arrangörslista!P$143),"",IFERROR(VLOOKUP($F19,Arrangörslista!P$143:$AG$180,16,FALSE),IF(ISBLANK(Deltagarlista!$C51),"",IF(ISBLANK(Arrangörslista!P$143),"",IFERROR(VLOOKUP($F19,Arrangörslista!Q$143:$AG$180,16,FALSE),"DNS")))))),IF(Deltagarlista!$K$3=2,
IF(ISBLANK(Deltagarlista!$C51),"",IF(ISBLANK(Arrangörslista!Q$53),"",IF($GV19=AM$64," DNS ",IFERROR(VLOOKUP($F19,Arrangörslista!Q$53:$AG$90,16,FALSE),"DNS")))),IF(ISBLANK(Deltagarlista!$C51),"",IF(ISBLANK(Arrangörslista!Q$53),"",IFERROR(VLOOKUP($F19,Arrangörslista!Q$53:$AG$90,16,FALSE),"DNS")))))</f>
        <v/>
      </c>
      <c r="AN19" s="5" t="str">
        <f>IF(Deltagarlista!$K$3=2,
IF(ISBLANK(Deltagarlista!$C51),"",IF(ISBLANK(Arrangörslista!C$98),"",IF($GV19=AN$64," DNS ",IFERROR(VLOOKUP($F19,Arrangörslista!C$98:$AG$135,16,FALSE), "DNS")))), IF(Deltagarlista!$K$3=1,IF(ISBLANK(Deltagarlista!$C51),"",IF(ISBLANK(Arrangörslista!C$98),"",IFERROR(VLOOKUP($F19,Arrangörslista!C$98:$AG$135,16,FALSE), "DNS"))),""))</f>
        <v/>
      </c>
      <c r="AO19" s="5" t="str">
        <f>IF(Deltagarlista!$K$3=2,
IF(ISBLANK(Deltagarlista!$C51),"",IF(ISBLANK(Arrangörslista!D$98),"",IF($GV19=AO$64," DNS ",IFERROR(VLOOKUP($F19,Arrangörslista!D$98:$AG$135,16,FALSE), "DNS")))), IF(Deltagarlista!$K$3=1,IF(ISBLANK(Deltagarlista!$C51),"",IF(ISBLANK(Arrangörslista!D$98),"",IFERROR(VLOOKUP($F19,Arrangörslista!D$98:$AG$135,16,FALSE), "DNS"))),""))</f>
        <v/>
      </c>
      <c r="AP19" s="5" t="str">
        <f>IF(Deltagarlista!$K$3=2,
IF(ISBLANK(Deltagarlista!$C51),"",IF(ISBLANK(Arrangörslista!E$98),"",IF($GV19=AP$64," DNS ",IFERROR(VLOOKUP($F19,Arrangörslista!E$98:$AG$135,16,FALSE), "DNS")))), IF(Deltagarlista!$K$3=1,IF(ISBLANK(Deltagarlista!$C51),"",IF(ISBLANK(Arrangörslista!E$98),"",IFERROR(VLOOKUP($F19,Arrangörslista!E$98:$AG$135,16,FALSE), "DNS"))),""))</f>
        <v/>
      </c>
      <c r="AQ19" s="5" t="str">
        <f>IF(Deltagarlista!$K$3=2,
IF(ISBLANK(Deltagarlista!$C51),"",IF(ISBLANK(Arrangörslista!F$98),"",IF($GV19=AQ$64," DNS ",IFERROR(VLOOKUP($F19,Arrangörslista!F$98:$AG$135,16,FALSE), "DNS")))), IF(Deltagarlista!$K$3=1,IF(ISBLANK(Deltagarlista!$C51),"",IF(ISBLANK(Arrangörslista!F$98),"",IFERROR(VLOOKUP($F19,Arrangörslista!F$98:$AG$135,16,FALSE), "DNS"))),""))</f>
        <v/>
      </c>
      <c r="AR19" s="5" t="str">
        <f>IF(Deltagarlista!$K$3=2,
IF(ISBLANK(Deltagarlista!$C51),"",IF(ISBLANK(Arrangörslista!G$98),"",IF($GV19=AR$64," DNS ",IFERROR(VLOOKUP($F19,Arrangörslista!G$98:$AG$135,16,FALSE), "DNS")))), IF(Deltagarlista!$K$3=1,IF(ISBLANK(Deltagarlista!$C51),"",IF(ISBLANK(Arrangörslista!G$98),"",IFERROR(VLOOKUP($F19,Arrangörslista!G$98:$AG$135,16,FALSE), "DNS"))),""))</f>
        <v/>
      </c>
      <c r="AS19" s="5" t="str">
        <f>IF(Deltagarlista!$K$3=2,
IF(ISBLANK(Deltagarlista!$C51),"",IF(ISBLANK(Arrangörslista!H$98),"",IF($GV19=AS$64," DNS ",IFERROR(VLOOKUP($F19,Arrangörslista!H$98:$AG$135,16,FALSE), "DNS")))), IF(Deltagarlista!$K$3=1,IF(ISBLANK(Deltagarlista!$C51),"",IF(ISBLANK(Arrangörslista!H$98),"",IFERROR(VLOOKUP($F19,Arrangörslista!H$98:$AG$135,16,FALSE), "DNS"))),""))</f>
        <v/>
      </c>
      <c r="AT19" s="5" t="str">
        <f>IF(Deltagarlista!$K$3=2,
IF(ISBLANK(Deltagarlista!$C51),"",IF(ISBLANK(Arrangörslista!I$98),"",IF($GV19=AT$64," DNS ",IFERROR(VLOOKUP($F19,Arrangörslista!I$98:$AG$135,16,FALSE), "DNS")))), IF(Deltagarlista!$K$3=1,IF(ISBLANK(Deltagarlista!$C51),"",IF(ISBLANK(Arrangörslista!I$98),"",IFERROR(VLOOKUP($F19,Arrangörslista!I$98:$AG$135,16,FALSE), "DNS"))),""))</f>
        <v/>
      </c>
      <c r="AU19" s="5" t="str">
        <f>IF(Deltagarlista!$K$3=2,
IF(ISBLANK(Deltagarlista!$C51),"",IF(ISBLANK(Arrangörslista!J$98),"",IF($GV19=AU$64," DNS ",IFERROR(VLOOKUP($F19,Arrangörslista!J$98:$AG$135,16,FALSE), "DNS")))), IF(Deltagarlista!$K$3=1,IF(ISBLANK(Deltagarlista!$C51),"",IF(ISBLANK(Arrangörslista!J$98),"",IFERROR(VLOOKUP($F19,Arrangörslista!J$98:$AG$135,16,FALSE), "DNS"))),""))</f>
        <v/>
      </c>
      <c r="AV19" s="5" t="str">
        <f>IF(Deltagarlista!$K$3=2,
IF(ISBLANK(Deltagarlista!$C51),"",IF(ISBLANK(Arrangörslista!K$98),"",IF($GV19=AV$64," DNS ",IFERROR(VLOOKUP($F19,Arrangörslista!K$98:$AG$135,16,FALSE), "DNS")))), IF(Deltagarlista!$K$3=1,IF(ISBLANK(Deltagarlista!$C51),"",IF(ISBLANK(Arrangörslista!K$98),"",IFERROR(VLOOKUP($F19,Arrangörslista!K$98:$AG$135,16,FALSE), "DNS"))),""))</f>
        <v/>
      </c>
      <c r="AW19" s="5" t="str">
        <f>IF(Deltagarlista!$K$3=2,
IF(ISBLANK(Deltagarlista!$C51),"",IF(ISBLANK(Arrangörslista!L$98),"",IF($GV19=AW$64," DNS ",IFERROR(VLOOKUP($F19,Arrangörslista!L$98:$AG$135,16,FALSE), "DNS")))), IF(Deltagarlista!$K$3=1,IF(ISBLANK(Deltagarlista!$C51),"",IF(ISBLANK(Arrangörslista!L$98),"",IFERROR(VLOOKUP($F19,Arrangörslista!L$98:$AG$135,16,FALSE), "DNS"))),""))</f>
        <v/>
      </c>
      <c r="AX19" s="5" t="str">
        <f>IF(Deltagarlista!$K$3=2,
IF(ISBLANK(Deltagarlista!$C51),"",IF(ISBLANK(Arrangörslista!M$98),"",IF($GV19=AX$64," DNS ",IFERROR(VLOOKUP($F19,Arrangörslista!M$98:$AG$135,16,FALSE), "DNS")))), IF(Deltagarlista!$K$3=1,IF(ISBLANK(Deltagarlista!$C51),"",IF(ISBLANK(Arrangörslista!M$98),"",IFERROR(VLOOKUP($F19,Arrangörslista!M$98:$AG$135,16,FALSE), "DNS"))),""))</f>
        <v/>
      </c>
      <c r="AY19" s="5" t="str">
        <f>IF(Deltagarlista!$K$3=2,
IF(ISBLANK(Deltagarlista!$C51),"",IF(ISBLANK(Arrangörslista!N$98),"",IF($GV19=AY$64," DNS ",IFERROR(VLOOKUP($F19,Arrangörslista!N$98:$AG$135,16,FALSE), "DNS")))), IF(Deltagarlista!$K$3=1,IF(ISBLANK(Deltagarlista!$C51),"",IF(ISBLANK(Arrangörslista!N$98),"",IFERROR(VLOOKUP($F19,Arrangörslista!N$98:$AG$135,16,FALSE), "DNS"))),""))</f>
        <v/>
      </c>
      <c r="AZ19" s="5" t="str">
        <f>IF(Deltagarlista!$K$3=2,
IF(ISBLANK(Deltagarlista!$C51),"",IF(ISBLANK(Arrangörslista!O$98),"",IF($GV19=AZ$64," DNS ",IFERROR(VLOOKUP($F19,Arrangörslista!O$98:$AG$135,16,FALSE), "DNS")))), IF(Deltagarlista!$K$3=1,IF(ISBLANK(Deltagarlista!$C51),"",IF(ISBLANK(Arrangörslista!O$98),"",IFERROR(VLOOKUP($F19,Arrangörslista!O$98:$AG$135,16,FALSE), "DNS"))),""))</f>
        <v/>
      </c>
      <c r="BA19" s="5" t="str">
        <f>IF(Deltagarlista!$K$3=2,
IF(ISBLANK(Deltagarlista!$C51),"",IF(ISBLANK(Arrangörslista!P$98),"",IF($GV19=BA$64," DNS ",IFERROR(VLOOKUP($F19,Arrangörslista!P$98:$AG$135,16,FALSE), "DNS")))), IF(Deltagarlista!$K$3=1,IF(ISBLANK(Deltagarlista!$C51),"",IF(ISBLANK(Arrangörslista!P$98),"",IFERROR(VLOOKUP($F19,Arrangörslista!P$98:$AG$135,16,FALSE), "DNS"))),""))</f>
        <v/>
      </c>
      <c r="BB19" s="5" t="str">
        <f>IF(Deltagarlista!$K$3=2,
IF(ISBLANK(Deltagarlista!$C51),"",IF(ISBLANK(Arrangörslista!Q$98),"",IF($GV19=BB$64," DNS ",IFERROR(VLOOKUP($F19,Arrangörslista!Q$98:$AG$135,16,FALSE), "DNS")))), IF(Deltagarlista!$K$3=1,IF(ISBLANK(Deltagarlista!$C51),"",IF(ISBLANK(Arrangörslista!Q$98),"",IFERROR(VLOOKUP($F19,Arrangörslista!Q$98:$AG$135,16,FALSE), "DNS"))),""))</f>
        <v/>
      </c>
      <c r="BC19" s="5" t="str">
        <f>IF(Deltagarlista!$K$3=2,
IF(ISBLANK(Deltagarlista!$C51),"",IF(ISBLANK(Arrangörslista!C$143),"",IF($GV19=BC$64," DNS ",IFERROR(VLOOKUP($F19,Arrangörslista!C$143:$AG$180,16,FALSE), "DNS")))), IF(Deltagarlista!$K$3=1,IF(ISBLANK(Deltagarlista!$C51),"",IF(ISBLANK(Arrangörslista!C$143),"",IFERROR(VLOOKUP($F19,Arrangörslista!C$143:$AG$180,16,FALSE), "DNS"))),""))</f>
        <v/>
      </c>
      <c r="BD19" s="5" t="str">
        <f>IF(Deltagarlista!$K$3=2,
IF(ISBLANK(Deltagarlista!$C51),"",IF(ISBLANK(Arrangörslista!D$143),"",IF($GV19=BD$64," DNS ",IFERROR(VLOOKUP($F19,Arrangörslista!D$143:$AG$180,16,FALSE), "DNS")))), IF(Deltagarlista!$K$3=1,IF(ISBLANK(Deltagarlista!$C51),"",IF(ISBLANK(Arrangörslista!D$143),"",IFERROR(VLOOKUP($F19,Arrangörslista!D$143:$AG$180,16,FALSE), "DNS"))),""))</f>
        <v/>
      </c>
      <c r="BE19" s="5" t="str">
        <f>IF(Deltagarlista!$K$3=2,
IF(ISBLANK(Deltagarlista!$C51),"",IF(ISBLANK(Arrangörslista!E$143),"",IF($GV19=BE$64," DNS ",IFERROR(VLOOKUP($F19,Arrangörslista!E$143:$AG$180,16,FALSE), "DNS")))), IF(Deltagarlista!$K$3=1,IF(ISBLANK(Deltagarlista!$C51),"",IF(ISBLANK(Arrangörslista!E$143),"",IFERROR(VLOOKUP($F19,Arrangörslista!E$143:$AG$180,16,FALSE), "DNS"))),""))</f>
        <v/>
      </c>
      <c r="BF19" s="5" t="str">
        <f>IF(Deltagarlista!$K$3=2,
IF(ISBLANK(Deltagarlista!$C51),"",IF(ISBLANK(Arrangörslista!F$143),"",IF($GV19=BF$64," DNS ",IFERROR(VLOOKUP($F19,Arrangörslista!F$143:$AG$180,16,FALSE), "DNS")))), IF(Deltagarlista!$K$3=1,IF(ISBLANK(Deltagarlista!$C51),"",IF(ISBLANK(Arrangörslista!F$143),"",IFERROR(VLOOKUP($F19,Arrangörslista!F$143:$AG$180,16,FALSE), "DNS"))),""))</f>
        <v/>
      </c>
      <c r="BG19" s="5" t="str">
        <f>IF(Deltagarlista!$K$3=2,
IF(ISBLANK(Deltagarlista!$C51),"",IF(ISBLANK(Arrangörslista!G$143),"",IF($GV19=BG$64," DNS ",IFERROR(VLOOKUP($F19,Arrangörslista!G$143:$AG$180,16,FALSE), "DNS")))), IF(Deltagarlista!$K$3=1,IF(ISBLANK(Deltagarlista!$C51),"",IF(ISBLANK(Arrangörslista!G$143),"",IFERROR(VLOOKUP($F19,Arrangörslista!G$143:$AG$180,16,FALSE), "DNS"))),""))</f>
        <v/>
      </c>
      <c r="BH19" s="5" t="str">
        <f>IF(Deltagarlista!$K$3=2,
IF(ISBLANK(Deltagarlista!$C51),"",IF(ISBLANK(Arrangörslista!H$143),"",IF($GV19=BH$64," DNS ",IFERROR(VLOOKUP($F19,Arrangörslista!H$143:$AG$180,16,FALSE), "DNS")))), IF(Deltagarlista!$K$3=1,IF(ISBLANK(Deltagarlista!$C51),"",IF(ISBLANK(Arrangörslista!H$143),"",IFERROR(VLOOKUP($F19,Arrangörslista!H$143:$AG$180,16,FALSE), "DNS"))),""))</f>
        <v/>
      </c>
      <c r="BI19" s="5" t="str">
        <f>IF(Deltagarlista!$K$3=2,
IF(ISBLANK(Deltagarlista!$C51),"",IF(ISBLANK(Arrangörslista!I$143),"",IF($GV19=BI$64," DNS ",IFERROR(VLOOKUP($F19,Arrangörslista!I$143:$AG$180,16,FALSE), "DNS")))), IF(Deltagarlista!$K$3=1,IF(ISBLANK(Deltagarlista!$C51),"",IF(ISBLANK(Arrangörslista!I$143),"",IFERROR(VLOOKUP($F19,Arrangörslista!I$143:$AG$180,16,FALSE), "DNS"))),""))</f>
        <v/>
      </c>
      <c r="BJ19" s="5" t="str">
        <f>IF(Deltagarlista!$K$3=2,
IF(ISBLANK(Deltagarlista!$C51),"",IF(ISBLANK(Arrangörslista!J$143),"",IF($GV19=BJ$64," DNS ",IFERROR(VLOOKUP($F19,Arrangörslista!J$143:$AG$180,16,FALSE), "DNS")))), IF(Deltagarlista!$K$3=1,IF(ISBLANK(Deltagarlista!$C51),"",IF(ISBLANK(Arrangörslista!J$143),"",IFERROR(VLOOKUP($F19,Arrangörslista!J$143:$AG$180,16,FALSE), "DNS"))),""))</f>
        <v/>
      </c>
      <c r="BK19" s="5" t="str">
        <f>IF(Deltagarlista!$K$3=2,
IF(ISBLANK(Deltagarlista!$C51),"",IF(ISBLANK(Arrangörslista!K$143),"",IF($GV19=BK$64," DNS ",IFERROR(VLOOKUP($F19,Arrangörslista!K$143:$AG$180,16,FALSE), "DNS")))), IF(Deltagarlista!$K$3=1,IF(ISBLANK(Deltagarlista!$C51),"",IF(ISBLANK(Arrangörslista!K$143),"",IFERROR(VLOOKUP($F19,Arrangörslista!K$143:$AG$180,16,FALSE), "DNS"))),""))</f>
        <v/>
      </c>
      <c r="BL19" s="5" t="str">
        <f>IF(Deltagarlista!$K$3=2,
IF(ISBLANK(Deltagarlista!$C51),"",IF(ISBLANK(Arrangörslista!L$143),"",IF($GV19=BL$64," DNS ",IFERROR(VLOOKUP($F19,Arrangörslista!L$143:$AG$180,16,FALSE), "DNS")))), IF(Deltagarlista!$K$3=1,IF(ISBLANK(Deltagarlista!$C51),"",IF(ISBLANK(Arrangörslista!L$143),"",IFERROR(VLOOKUP($F19,Arrangörslista!L$143:$AG$180,16,FALSE), "DNS"))),""))</f>
        <v/>
      </c>
      <c r="BM19" s="5" t="str">
        <f>IF(Deltagarlista!$K$3=2,
IF(ISBLANK(Deltagarlista!$C51),"",IF(ISBLANK(Arrangörslista!M$143),"",IF($GV19=BM$64," DNS ",IFERROR(VLOOKUP($F19,Arrangörslista!M$143:$AG$180,16,FALSE), "DNS")))), IF(Deltagarlista!$K$3=1,IF(ISBLANK(Deltagarlista!$C51),"",IF(ISBLANK(Arrangörslista!M$143),"",IFERROR(VLOOKUP($F19,Arrangörslista!M$143:$AG$180,16,FALSE), "DNS"))),""))</f>
        <v/>
      </c>
      <c r="BN19" s="5" t="str">
        <f>IF(Deltagarlista!$K$3=2,
IF(ISBLANK(Deltagarlista!$C51),"",IF(ISBLANK(Arrangörslista!N$143),"",IF($GV19=BN$64," DNS ",IFERROR(VLOOKUP($F19,Arrangörslista!N$143:$AG$180,16,FALSE), "DNS")))), IF(Deltagarlista!$K$3=1,IF(ISBLANK(Deltagarlista!$C51),"",IF(ISBLANK(Arrangörslista!N$143),"",IFERROR(VLOOKUP($F19,Arrangörslista!N$143:$AG$180,16,FALSE), "DNS"))),""))</f>
        <v/>
      </c>
      <c r="BO19" s="5" t="str">
        <f>IF(Deltagarlista!$K$3=2,
IF(ISBLANK(Deltagarlista!$C51),"",IF(ISBLANK(Arrangörslista!O$143),"",IF($GV19=BO$64," DNS ",IFERROR(VLOOKUP($F19,Arrangörslista!O$143:$AG$180,16,FALSE), "DNS")))), IF(Deltagarlista!$K$3=1,IF(ISBLANK(Deltagarlista!$C51),"",IF(ISBLANK(Arrangörslista!O$143),"",IFERROR(VLOOKUP($F19,Arrangörslista!O$143:$AG$180,16,FALSE), "DNS"))),""))</f>
        <v/>
      </c>
      <c r="BP19" s="5" t="str">
        <f>IF(Deltagarlista!$K$3=2,
IF(ISBLANK(Deltagarlista!$C51),"",IF(ISBLANK(Arrangörslista!P$143),"",IF($GV19=BP$64," DNS ",IFERROR(VLOOKUP($F19,Arrangörslista!P$143:$AG$180,16,FALSE), "DNS")))), IF(Deltagarlista!$K$3=1,IF(ISBLANK(Deltagarlista!$C51),"",IF(ISBLANK(Arrangörslista!P$143),"",IFERROR(VLOOKUP($F19,Arrangörslista!P$143:$AG$180,16,FALSE), "DNS"))),""))</f>
        <v/>
      </c>
      <c r="BQ19" s="80" t="str">
        <f>IF(Deltagarlista!$K$3=2,
IF(ISBLANK(Deltagarlista!$C51),"",IF(ISBLANK(Arrangörslista!Q$143),"",IF($GV19=BQ$64," DNS ",IFERROR(VLOOKUP($F19,Arrangörslista!Q$143:$AG$180,16,FALSE), "DNS")))), IF(Deltagarlista!$K$3=1,IF(ISBLANK(Deltagarlista!$C51),"",IF(ISBLANK(Arrangörslista!Q$143),"",IFERROR(VLOOKUP($F19,Arrangörslista!Q$143:$AG$180,16,FALSE), "DNS"))),""))</f>
        <v/>
      </c>
      <c r="BR19" s="48"/>
      <c r="BS19" s="50" t="str">
        <f t="shared" si="0"/>
        <v>2</v>
      </c>
      <c r="BU19" s="71">
        <f t="shared" si="1"/>
        <v>0</v>
      </c>
      <c r="BV19" s="61">
        <f t="shared" si="2"/>
        <v>0</v>
      </c>
      <c r="BW19" s="61">
        <f t="shared" si="3"/>
        <v>0</v>
      </c>
      <c r="BX19" s="61">
        <f t="shared" si="4"/>
        <v>0</v>
      </c>
      <c r="BY19" s="61">
        <f t="shared" si="5"/>
        <v>0</v>
      </c>
      <c r="BZ19" s="61">
        <f t="shared" si="6"/>
        <v>0</v>
      </c>
      <c r="CA19" s="61">
        <f t="shared" si="7"/>
        <v>0</v>
      </c>
      <c r="CB19" s="61">
        <f t="shared" si="8"/>
        <v>0</v>
      </c>
      <c r="CC19" s="61">
        <f t="shared" si="9"/>
        <v>0</v>
      </c>
      <c r="CD19" s="61">
        <f t="shared" si="10"/>
        <v>0</v>
      </c>
      <c r="CE19" s="61">
        <f t="shared" si="11"/>
        <v>0</v>
      </c>
      <c r="CF19" s="61">
        <f t="shared" si="12"/>
        <v>0</v>
      </c>
      <c r="CG19" s="61">
        <f t="shared" si="13"/>
        <v>0</v>
      </c>
      <c r="CH19" s="61">
        <f t="shared" si="14"/>
        <v>0</v>
      </c>
      <c r="CI19" s="61">
        <f t="shared" si="15"/>
        <v>0</v>
      </c>
      <c r="CJ19" s="61">
        <f t="shared" si="16"/>
        <v>0</v>
      </c>
      <c r="CK19" s="61">
        <f t="shared" si="17"/>
        <v>0</v>
      </c>
      <c r="CL19" s="61">
        <f t="shared" si="18"/>
        <v>0</v>
      </c>
      <c r="CM19" s="61">
        <f t="shared" si="19"/>
        <v>0</v>
      </c>
      <c r="CN19" s="61">
        <f t="shared" si="20"/>
        <v>0</v>
      </c>
      <c r="CO19" s="61">
        <f t="shared" si="21"/>
        <v>0</v>
      </c>
      <c r="CP19" s="61">
        <f t="shared" si="22"/>
        <v>0</v>
      </c>
      <c r="CQ19" s="61">
        <f t="shared" si="23"/>
        <v>0</v>
      </c>
      <c r="CR19" s="61">
        <f t="shared" si="24"/>
        <v>0</v>
      </c>
      <c r="CS19" s="61">
        <f t="shared" si="25"/>
        <v>0</v>
      </c>
      <c r="CT19" s="61">
        <f t="shared" si="26"/>
        <v>0</v>
      </c>
      <c r="CU19" s="61">
        <f t="shared" si="27"/>
        <v>0</v>
      </c>
      <c r="CV19" s="61">
        <f t="shared" si="28"/>
        <v>0</v>
      </c>
      <c r="CW19" s="61">
        <f t="shared" si="29"/>
        <v>0</v>
      </c>
      <c r="CX19" s="61">
        <f t="shared" si="30"/>
        <v>0</v>
      </c>
      <c r="CY19" s="61">
        <f t="shared" si="31"/>
        <v>0</v>
      </c>
      <c r="CZ19" s="61">
        <f t="shared" si="32"/>
        <v>0</v>
      </c>
      <c r="DA19" s="61">
        <f t="shared" si="33"/>
        <v>0</v>
      </c>
      <c r="DB19" s="61">
        <f t="shared" si="34"/>
        <v>0</v>
      </c>
      <c r="DC19" s="61">
        <f t="shared" si="35"/>
        <v>0</v>
      </c>
      <c r="DD19" s="61">
        <f t="shared" si="36"/>
        <v>0</v>
      </c>
      <c r="DE19" s="61">
        <f t="shared" si="37"/>
        <v>0</v>
      </c>
      <c r="DF19" s="61">
        <f t="shared" si="38"/>
        <v>0</v>
      </c>
      <c r="DG19" s="61">
        <f t="shared" si="39"/>
        <v>0</v>
      </c>
      <c r="DH19" s="61">
        <f t="shared" si="40"/>
        <v>0</v>
      </c>
      <c r="DI19" s="61">
        <f t="shared" si="41"/>
        <v>0</v>
      </c>
      <c r="DJ19" s="61">
        <f t="shared" si="42"/>
        <v>0</v>
      </c>
      <c r="DK19" s="61">
        <f t="shared" si="43"/>
        <v>0</v>
      </c>
      <c r="DL19" s="61">
        <f t="shared" si="44"/>
        <v>0</v>
      </c>
      <c r="DM19" s="61">
        <f t="shared" si="45"/>
        <v>0</v>
      </c>
      <c r="DN19" s="61">
        <f t="shared" si="46"/>
        <v>0</v>
      </c>
      <c r="DO19" s="61">
        <f t="shared" si="47"/>
        <v>0</v>
      </c>
      <c r="DP19" s="61">
        <f t="shared" si="48"/>
        <v>0</v>
      </c>
      <c r="DQ19" s="61">
        <f t="shared" si="49"/>
        <v>0</v>
      </c>
      <c r="DR19" s="61">
        <f t="shared" si="50"/>
        <v>0</v>
      </c>
      <c r="DS19" s="61">
        <f t="shared" si="51"/>
        <v>0</v>
      </c>
      <c r="DT19" s="61">
        <f t="shared" si="52"/>
        <v>0</v>
      </c>
      <c r="DU19" s="61">
        <f t="shared" si="53"/>
        <v>0</v>
      </c>
      <c r="DV19" s="61">
        <f t="shared" si="54"/>
        <v>0</v>
      </c>
      <c r="DW19" s="61">
        <f t="shared" si="55"/>
        <v>0</v>
      </c>
      <c r="DX19" s="61">
        <f t="shared" si="56"/>
        <v>0</v>
      </c>
      <c r="DY19" s="61">
        <f t="shared" si="57"/>
        <v>0</v>
      </c>
      <c r="DZ19" s="61">
        <f t="shared" si="58"/>
        <v>0</v>
      </c>
      <c r="EA19" s="61">
        <f t="shared" si="59"/>
        <v>0</v>
      </c>
      <c r="EB19" s="61">
        <f t="shared" si="60"/>
        <v>0</v>
      </c>
      <c r="EC19" s="61">
        <f t="shared" si="61"/>
        <v>0</v>
      </c>
      <c r="EE19" s="61">
        <f xml:space="preserve">
IF(OR(Deltagarlista!$K$3=3,Deltagarlista!$K$3=4),
IF(Arrangörslista!$U$5&lt;8,0,
IF(Arrangörslista!$U$5&lt;16,SUM(LARGE(BV19:CJ19,1)),
IF(Arrangörslista!$U$5&lt;24,SUM(LARGE(BV19:CR19,{1;2})),
IF(Arrangörslista!$U$5&lt;32,SUM(LARGE(BV19:CZ19,{1;2;3})),
IF(Arrangörslista!$U$5&lt;40,SUM(LARGE(BV19:DH19,{1;2;3;4})),
IF(Arrangörslista!$U$5&lt;48,SUM(LARGE(BV19:DP19,{1;2;3;4;5})),
IF(Arrangörslista!$U$5&lt;56,SUM(LARGE(BV19:DX19,{1;2;3;4;5;6})),
IF(Arrangörslista!$U$5&lt;64,SUM(LARGE(BV19:EC19,{1;2;3;4;5;6;7})),0)))))))),
IF(Deltagarlista!$K$3=2,
IF(Arrangörslista!$U$5&lt;4,LARGE(BV19:BX19,1),
IF(Arrangörslista!$U$5&lt;7,SUM(LARGE(BV19:CA19,{1;2;3})),
IF(Arrangörslista!$U$5&lt;10,SUM(LARGE(BV19:CD19,{1;2;3;4})),
IF(Arrangörslista!$U$5&lt;13,SUM(LARGE(BV19:CG19,{1;2;3;4;5;6})),
IF(Arrangörslista!$U$5&lt;16,SUM(LARGE(BV19:CJ19,{1;2;3;4;5;6;7})),
IF(Arrangörslista!$U$5&lt;19,SUM(LARGE(BV19:CM19,{1;2;3;4;5;6;7;8;9})),
IF(Arrangörslista!$U$5&lt;22,SUM(LARGE(BV19:CP19,{1;2;3;4;5;6;7;8;9;10})),
IF(Arrangörslista!$U$5&lt;25,SUM(LARGE(BV19:CS19,{1;2;3;4;5;6;7;8;9;10;11;12})),
IF(Arrangörslista!$U$5&lt;28,SUM(LARGE(BV19:CV19,{1;2;3;4;5;6;7;8;9;10;11;12;13})),
IF(Arrangörslista!$U$5&lt;31,SUM(LARGE(BV19:CY19,{1;2;3;4;5;6;7;8;9;10;11;12;13;14;15})),
IF(Arrangörslista!$U$5&lt;34,SUM(LARGE(BV19:DB19,{1;2;3;4;5;6;7;8;9;10;11;12;13;14;15;16})),
IF(Arrangörslista!$U$5&lt;37,SUM(LARGE(BV19:DE19,{1;2;3;4;5;6;7;8;9;10;11;12;13;14;15;16;17;18})),
IF(Arrangörslista!$U$5&lt;40,SUM(LARGE(BV19:DH19,{1;2;3;4;5;6;7;8;9;10;11;12;13;14;15;16;17;18;19})),
IF(Arrangörslista!$U$5&lt;43,SUM(LARGE(BV19:DK19,{1;2;3;4;5;6;7;8;9;10;11;12;13;14;15;16;17;18;19;20;21})),
IF(Arrangörslista!$U$5&lt;46,SUM(LARGE(BV19:DN19,{1;2;3;4;5;6;7;8;9;10;11;12;13;14;15;16;17;18;19;20;21;22})),
IF(Arrangörslista!$U$5&lt;49,SUM(LARGE(BV19:DQ19,{1;2;3;4;5;6;7;8;9;10;11;12;13;14;15;16;17;18;19;20;21;22;23;24})),
IF(Arrangörslista!$U$5&lt;52,SUM(LARGE(BV19:DT19,{1;2;3;4;5;6;7;8;9;10;11;12;13;14;15;16;17;18;19;20;21;22;23;24;25})),
IF(Arrangörslista!$U$5&lt;55,SUM(LARGE(BV19:DW19,{1;2;3;4;5;6;7;8;9;10;11;12;13;14;15;16;17;18;19;20;21;22;23;24;25;26;27})),
IF(Arrangörslista!$U$5&lt;58,SUM(LARGE(BV19:DZ19,{1;2;3;4;5;6;7;8;9;10;11;12;13;14;15;16;17;18;19;20;21;22;23;24;25;26;27;28})),
IF(Arrangörslista!$U$5&lt;61,SUM(LARGE(BV19:EC19,{1;2;3;4;5;6;7;8;9;10;11;12;13;14;15;16;17;18;19;20;21;22;23;24;25;26;27;28;29;30})),0)))))))))))))))))))),
IF(Arrangörslista!$U$5&lt;4,0,
IF(Arrangörslista!$U$5&lt;8,SUM(LARGE(BV19:CB19,1)),
IF(Arrangörslista!$U$5&lt;12,SUM(LARGE(BV19:CF19,{1;2})),
IF(Arrangörslista!$U$5&lt;16,SUM(LARGE(BV19:CJ19,{1;2;3})),
IF(Arrangörslista!$U$5&lt;20,SUM(LARGE(BV19:CN19,{1;2;3;4})),
IF(Arrangörslista!$U$5&lt;24,SUM(LARGE(BV19:CR19,{1;2;3;4;5})),
IF(Arrangörslista!$U$5&lt;28,SUM(LARGE(BV19:CV19,{1;2;3;4;5;6})),
IF(Arrangörslista!$U$5&lt;32,SUM(LARGE(BV19:CZ19,{1;2;3;4;5;6;7})),
IF(Arrangörslista!$U$5&lt;36,SUM(LARGE(BV19:DD19,{1;2;3;4;5;6;7;8})),
IF(Arrangörslista!$U$5&lt;40,SUM(LARGE(BV19:DH19,{1;2;3;4;5;6;7;8;9})),
IF(Arrangörslista!$U$5&lt;44,SUM(LARGE(BV19:DL19,{1;2;3;4;5;6;7;8;9;10})),
IF(Arrangörslista!$U$5&lt;48,SUM(LARGE(BV19:DP19,{1;2;3;4;5;6;7;8;9;10;11})),
IF(Arrangörslista!$U$5&lt;52,SUM(LARGE(BV19:DT19,{1;2;3;4;5;6;7;8;9;10;11;12})),
IF(Arrangörslista!$U$5&lt;56,SUM(LARGE(BV19:DX19,{1;2;3;4;5;6;7;8;9;10;11;12;13})),
IF(Arrangörslista!$U$5&lt;60,SUM(LARGE(BV19:EB19,{1;2;3;4;5;6;7;8;9;10;11;12;13;14})),
IF(Arrangörslista!$U$5=60,SUM(LARGE(BV19:EC19,{1;2;3;4;5;6;7;8;9;10;11;12;13;14;15})),0))))))))))))))))))</f>
        <v>0</v>
      </c>
      <c r="EG19" s="67">
        <f t="shared" si="62"/>
        <v>0</v>
      </c>
      <c r="EH19" s="61"/>
      <c r="EI19" s="61"/>
      <c r="EK19" s="62">
        <f t="shared" si="63"/>
        <v>61</v>
      </c>
      <c r="EL19" s="62">
        <f t="shared" si="64"/>
        <v>61</v>
      </c>
      <c r="EM19" s="62">
        <f t="shared" si="65"/>
        <v>61</v>
      </c>
      <c r="EN19" s="62">
        <f t="shared" si="66"/>
        <v>61</v>
      </c>
      <c r="EO19" s="62">
        <f t="shared" si="67"/>
        <v>61</v>
      </c>
      <c r="EP19" s="62">
        <f t="shared" si="68"/>
        <v>61</v>
      </c>
      <c r="EQ19" s="62">
        <f t="shared" si="69"/>
        <v>61</v>
      </c>
      <c r="ER19" s="62">
        <f t="shared" si="70"/>
        <v>61</v>
      </c>
      <c r="ES19" s="62">
        <f t="shared" si="71"/>
        <v>61</v>
      </c>
      <c r="ET19" s="62">
        <f t="shared" si="72"/>
        <v>61</v>
      </c>
      <c r="EU19" s="62">
        <f t="shared" si="73"/>
        <v>61</v>
      </c>
      <c r="EV19" s="62">
        <f t="shared" si="74"/>
        <v>61</v>
      </c>
      <c r="EW19" s="62">
        <f t="shared" si="75"/>
        <v>61</v>
      </c>
      <c r="EX19" s="62">
        <f t="shared" si="76"/>
        <v>61</v>
      </c>
      <c r="EY19" s="62">
        <f t="shared" si="77"/>
        <v>61</v>
      </c>
      <c r="EZ19" s="62">
        <f t="shared" si="78"/>
        <v>61</v>
      </c>
      <c r="FA19" s="62">
        <f t="shared" si="79"/>
        <v>61</v>
      </c>
      <c r="FB19" s="62">
        <f t="shared" si="80"/>
        <v>61</v>
      </c>
      <c r="FC19" s="62">
        <f t="shared" si="81"/>
        <v>61</v>
      </c>
      <c r="FD19" s="62">
        <f t="shared" si="82"/>
        <v>61</v>
      </c>
      <c r="FE19" s="62">
        <f t="shared" si="83"/>
        <v>61</v>
      </c>
      <c r="FF19" s="62">
        <f t="shared" si="84"/>
        <v>61</v>
      </c>
      <c r="FG19" s="62">
        <f t="shared" si="85"/>
        <v>61</v>
      </c>
      <c r="FH19" s="62">
        <f t="shared" si="86"/>
        <v>61</v>
      </c>
      <c r="FI19" s="62">
        <f t="shared" si="87"/>
        <v>61</v>
      </c>
      <c r="FJ19" s="62">
        <f t="shared" si="88"/>
        <v>61</v>
      </c>
      <c r="FK19" s="62">
        <f t="shared" si="89"/>
        <v>61</v>
      </c>
      <c r="FL19" s="62">
        <f t="shared" si="90"/>
        <v>61</v>
      </c>
      <c r="FM19" s="62">
        <f t="shared" si="91"/>
        <v>61</v>
      </c>
      <c r="FN19" s="62">
        <f t="shared" si="92"/>
        <v>61</v>
      </c>
      <c r="FO19" s="62">
        <f t="shared" si="93"/>
        <v>61</v>
      </c>
      <c r="FP19" s="62">
        <f t="shared" si="94"/>
        <v>61</v>
      </c>
      <c r="FQ19" s="62">
        <f t="shared" si="95"/>
        <v>61</v>
      </c>
      <c r="FR19" s="62">
        <f t="shared" si="96"/>
        <v>61</v>
      </c>
      <c r="FS19" s="62">
        <f t="shared" si="97"/>
        <v>61</v>
      </c>
      <c r="FT19" s="62">
        <f t="shared" si="98"/>
        <v>61</v>
      </c>
      <c r="FU19" s="62">
        <f t="shared" si="99"/>
        <v>61</v>
      </c>
      <c r="FV19" s="62">
        <f t="shared" si="100"/>
        <v>61</v>
      </c>
      <c r="FW19" s="62">
        <f t="shared" si="101"/>
        <v>61</v>
      </c>
      <c r="FX19" s="62">
        <f t="shared" si="102"/>
        <v>61</v>
      </c>
      <c r="FY19" s="62">
        <f t="shared" si="103"/>
        <v>61</v>
      </c>
      <c r="FZ19" s="62">
        <f t="shared" si="104"/>
        <v>61</v>
      </c>
      <c r="GA19" s="62">
        <f t="shared" si="105"/>
        <v>61</v>
      </c>
      <c r="GB19" s="62">
        <f t="shared" si="106"/>
        <v>61</v>
      </c>
      <c r="GC19" s="62">
        <f t="shared" si="107"/>
        <v>61</v>
      </c>
      <c r="GD19" s="62">
        <f t="shared" si="108"/>
        <v>61</v>
      </c>
      <c r="GE19" s="62">
        <f t="shared" si="109"/>
        <v>61</v>
      </c>
      <c r="GF19" s="62">
        <f t="shared" si="110"/>
        <v>61</v>
      </c>
      <c r="GG19" s="62">
        <f t="shared" si="111"/>
        <v>61</v>
      </c>
      <c r="GH19" s="62">
        <f t="shared" si="112"/>
        <v>61</v>
      </c>
      <c r="GI19" s="62">
        <f t="shared" si="113"/>
        <v>61</v>
      </c>
      <c r="GJ19" s="62">
        <f t="shared" si="114"/>
        <v>61</v>
      </c>
      <c r="GK19" s="62">
        <f t="shared" si="115"/>
        <v>61</v>
      </c>
      <c r="GL19" s="62">
        <f t="shared" si="116"/>
        <v>61</v>
      </c>
      <c r="GM19" s="62">
        <f t="shared" si="117"/>
        <v>61</v>
      </c>
      <c r="GN19" s="62">
        <f t="shared" si="118"/>
        <v>61</v>
      </c>
      <c r="GO19" s="62">
        <f t="shared" si="119"/>
        <v>61</v>
      </c>
      <c r="GP19" s="62">
        <f t="shared" si="120"/>
        <v>61</v>
      </c>
      <c r="GQ19" s="62">
        <f t="shared" si="121"/>
        <v>61</v>
      </c>
      <c r="GR19" s="62">
        <f t="shared" si="122"/>
        <v>61</v>
      </c>
      <c r="GT19" s="62">
        <f>IF(Deltagarlista!$K$3=2,
IF(GW19="1",
      IF(Arrangörslista!$U$5=1,J82,
IF(Arrangörslista!$U$5=2,K82,
IF(Arrangörslista!$U$5=3,L82,
IF(Arrangörslista!$U$5=4,M82,
IF(Arrangörslista!$U$5=5,N82,
IF(Arrangörslista!$U$5=6,O82,
IF(Arrangörslista!$U$5=7,P82,
IF(Arrangörslista!$U$5=8,Q82,
IF(Arrangörslista!$U$5=9,R82,
IF(Arrangörslista!$U$5=10,S82,
IF(Arrangörslista!$U$5=11,T82,
IF(Arrangörslista!$U$5=12,U82,
IF(Arrangörslista!$U$5=13,V82,
IF(Arrangörslista!$U$5=14,W82,
IF(Arrangörslista!$U$5=15,X82,
IF(Arrangörslista!$U$5=16,Y82,IF(Arrangörslista!$U$5=17,Z82,IF(Arrangörslista!$U$5=18,AA82,IF(Arrangörslista!$U$5=19,AB82,IF(Arrangörslista!$U$5=20,AC82,IF(Arrangörslista!$U$5=21,AD82,IF(Arrangörslista!$U$5=22,AE82,IF(Arrangörslista!$U$5=23,AF82, IF(Arrangörslista!$U$5=24,AG82, IF(Arrangörslista!$U$5=25,AH82, IF(Arrangörslista!$U$5=26,AI82, IF(Arrangörslista!$U$5=27,AJ82, IF(Arrangörslista!$U$5=28,AK82, IF(Arrangörslista!$U$5=29,AL82, IF(Arrangörslista!$U$5=30,AM82, IF(Arrangörslista!$U$5=31,AN82, IF(Arrangörslista!$U$5=32,AO82, IF(Arrangörslista!$U$5=33,AP82, IF(Arrangörslista!$U$5=34,AQ82, IF(Arrangörslista!$U$5=35,AR82, IF(Arrangörslista!$U$5=36,AS82, IF(Arrangörslista!$U$5=37,AT82, IF(Arrangörslista!$U$5=38,AU82, IF(Arrangörslista!$U$5=39,AV82, IF(Arrangörslista!$U$5=40,AW82, IF(Arrangörslista!$U$5=41,AX82, IF(Arrangörslista!$U$5=42,AY82, IF(Arrangörslista!$U$5=43,AZ82, IF(Arrangörslista!$U$5=44,BA82, IF(Arrangörslista!$U$5=45,BB82, IF(Arrangörslista!$U$5=46,BC82, IF(Arrangörslista!$U$5=47,BD82, IF(Arrangörslista!$U$5=48,BE82, IF(Arrangörslista!$U$5=49,BF82, IF(Arrangörslista!$U$5=50,BG82, IF(Arrangörslista!$U$5=51,BH82, IF(Arrangörslista!$U$5=52,BI82, IF(Arrangörslista!$U$5=53,BJ82, IF(Arrangörslista!$U$5=54,BK82, IF(Arrangörslista!$U$5=55,BL82, IF(Arrangörslista!$U$5=56,BM82, IF(Arrangörslista!$U$5=57,BN82, IF(Arrangörslista!$U$5=58,BO82, IF(Arrangörslista!$U$5=59,BP82, IF(Arrangörslista!$U$5=60,BQ82,0))))))))))))))))))))))))))))))))))))))))))))))))))))))))))))),IF(Deltagarlista!$K$3=4, IF(Arrangörslista!$U$5=1,J82,
IF(Arrangörslista!$U$5=2,J82,
IF(Arrangörslista!$U$5=3,K82,
IF(Arrangörslista!$U$5=4,K82,
IF(Arrangörslista!$U$5=5,L82,
IF(Arrangörslista!$U$5=6,L82,
IF(Arrangörslista!$U$5=7,M82,
IF(Arrangörslista!$U$5=8,M82,
IF(Arrangörslista!$U$5=9,N82,
IF(Arrangörslista!$U$5=10,N82,
IF(Arrangörslista!$U$5=11,O82,
IF(Arrangörslista!$U$5=12,O82,
IF(Arrangörslista!$U$5=13,P82,
IF(Arrangörslista!$U$5=14,P82,
IF(Arrangörslista!$U$5=15,Q82,
IF(Arrangörslista!$U$5=16,Q82,
IF(Arrangörslista!$U$5=17,R82,
IF(Arrangörslista!$U$5=18,R82,
IF(Arrangörslista!$U$5=19,S82,
IF(Arrangörslista!$U$5=20,S82,
IF(Arrangörslista!$U$5=21,T82,
IF(Arrangörslista!$U$5=22,T82,IF(Arrangörslista!$U$5=23,U82, IF(Arrangörslista!$U$5=24,U82, IF(Arrangörslista!$U$5=25,V82, IF(Arrangörslista!$U$5=26,V82, IF(Arrangörslista!$U$5=27,W82, IF(Arrangörslista!$U$5=28,W82, IF(Arrangörslista!$U$5=29,X82, IF(Arrangörslista!$U$5=30,X82, IF(Arrangörslista!$U$5=31,X82, IF(Arrangörslista!$U$5=32,Y82, IF(Arrangörslista!$U$5=33,AO82, IF(Arrangörslista!$U$5=34,Y82, IF(Arrangörslista!$U$5=35,Z82, IF(Arrangörslista!$U$5=36,AR82, IF(Arrangörslista!$U$5=37,Z82, IF(Arrangörslista!$U$5=38,AA82, IF(Arrangörslista!$U$5=39,AU82, IF(Arrangörslista!$U$5=40,AA82, IF(Arrangörslista!$U$5=41,AB82, IF(Arrangörslista!$U$5=42,AX82, IF(Arrangörslista!$U$5=43,AB82, IF(Arrangörslista!$U$5=44,AC82, IF(Arrangörslista!$U$5=45,BA82, IF(Arrangörslista!$U$5=46,AC82, IF(Arrangörslista!$U$5=47,AD82, IF(Arrangörslista!$U$5=48,BD82, IF(Arrangörslista!$U$5=49,AD82, IF(Arrangörslista!$U$5=50,AE82, IF(Arrangörslista!$U$5=51,BG82, IF(Arrangörslista!$U$5=52,AE82, IF(Arrangörslista!$U$5=53,AF82, IF(Arrangörslista!$U$5=54,BJ82, IF(Arrangörslista!$U$5=55,AF82, IF(Arrangörslista!$U$5=56,AG82, IF(Arrangörslista!$U$5=57,BM82, IF(Arrangörslista!$U$5=58,AG82, IF(Arrangörslista!$U$5=59,AH82, IF(Arrangörslista!$U$5=60,AH82,0)))))))))))))))))))))))))))))))))))))))))))))))))))))))))))),IF(Arrangörslista!$U$5=1,J82,
IF(Arrangörslista!$U$5=2,K82,
IF(Arrangörslista!$U$5=3,L82,
IF(Arrangörslista!$U$5=4,M82,
IF(Arrangörslista!$U$5=5,N82,
IF(Arrangörslista!$U$5=6,O82,
IF(Arrangörslista!$U$5=7,P82,
IF(Arrangörslista!$U$5=8,Q82,
IF(Arrangörslista!$U$5=9,R82,
IF(Arrangörslista!$U$5=10,S82,
IF(Arrangörslista!$U$5=11,T82,
IF(Arrangörslista!$U$5=12,U82,
IF(Arrangörslista!$U$5=13,V82,
IF(Arrangörslista!$U$5=14,W82,
IF(Arrangörslista!$U$5=15,X82,
IF(Arrangörslista!$U$5=16,Y82,IF(Arrangörslista!$U$5=17,Z82,IF(Arrangörslista!$U$5=18,AA82,IF(Arrangörslista!$U$5=19,AB82,IF(Arrangörslista!$U$5=20,AC82,IF(Arrangörslista!$U$5=21,AD82,IF(Arrangörslista!$U$5=22,AE82,IF(Arrangörslista!$U$5=23,AF82, IF(Arrangörslista!$U$5=24,AG82, IF(Arrangörslista!$U$5=25,AH82, IF(Arrangörslista!$U$5=26,AI82, IF(Arrangörslista!$U$5=27,AJ82, IF(Arrangörslista!$U$5=28,AK82, IF(Arrangörslista!$U$5=29,AL82, IF(Arrangörslista!$U$5=30,AM82, IF(Arrangörslista!$U$5=31,AN82, IF(Arrangörslista!$U$5=32,AO82, IF(Arrangörslista!$U$5=33,AP82, IF(Arrangörslista!$U$5=34,AQ82, IF(Arrangörslista!$U$5=35,AR82, IF(Arrangörslista!$U$5=36,AS82, IF(Arrangörslista!$U$5=37,AT82, IF(Arrangörslista!$U$5=38,AU82, IF(Arrangörslista!$U$5=39,AV82, IF(Arrangörslista!$U$5=40,AW82, IF(Arrangörslista!$U$5=41,AX82, IF(Arrangörslista!$U$5=42,AY82, IF(Arrangörslista!$U$5=43,AZ82, IF(Arrangörslista!$U$5=44,BA82, IF(Arrangörslista!$U$5=45,BB82, IF(Arrangörslista!$U$5=46,BC82, IF(Arrangörslista!$U$5=47,BD82, IF(Arrangörslista!$U$5=48,BE82, IF(Arrangörslista!$U$5=49,BF82, IF(Arrangörslista!$U$5=50,BG82, IF(Arrangörslista!$U$5=51,BH82, IF(Arrangörslista!$U$5=52,BI82, IF(Arrangörslista!$U$5=53,BJ82, IF(Arrangörslista!$U$5=54,BK82, IF(Arrangörslista!$U$5=55,BL82, IF(Arrangörslista!$U$5=56,BM82, IF(Arrangörslista!$U$5=57,BN82, IF(Arrangörslista!$U$5=58,BO82, IF(Arrangörslista!$U$5=59,BP82, IF(Arrangörslista!$U$5=60,BQ82,0))))))))))))))))))))))))))))))))))))))))))))))))))))))))))))
))</f>
        <v>0</v>
      </c>
      <c r="GV19" s="65" t="str">
        <f>IFERROR(IF(VLOOKUP(F19,Deltagarlista!$E$5:$I$64,5,FALSE)="Grön","Gr",IF(VLOOKUP(F19,Deltagarlista!$E$5:$I$64,5,FALSE)="Röd","R",IF(VLOOKUP(F19,Deltagarlista!$E$5:$I$64,5,FALSE)="Blå","B","Gu"))),"")</f>
        <v/>
      </c>
      <c r="GW19" s="62" t="str">
        <f t="shared" si="124"/>
        <v/>
      </c>
    </row>
    <row r="20" spans="2:205" x14ac:dyDescent="0.3">
      <c r="B20" s="23" t="str">
        <f>IF((COUNTIF(Deltagarlista!$H$5:$H$64,"GM"))&gt;16,17,"")</f>
        <v/>
      </c>
      <c r="C20" s="92" t="str">
        <f>IF(ISBLANK(Deltagarlista!C56),"",Deltagarlista!C56)</f>
        <v/>
      </c>
      <c r="D20" s="109" t="str">
        <f>CONCATENATE(IF(Deltagarlista!H56="GM","GM   ",""), IF(OR(Deltagarlista!$K$3=4,Deltagarlista!$K$3=2),Deltagarlista!I56,""))</f>
        <v/>
      </c>
      <c r="E20" s="8" t="str">
        <f>IF(ISBLANK(Deltagarlista!D56),"",Deltagarlista!D56)</f>
        <v/>
      </c>
      <c r="F20" s="8" t="str">
        <f>IF(ISBLANK(Deltagarlista!E56),"",Deltagarlista!E56)</f>
        <v/>
      </c>
      <c r="G20" s="95" t="str">
        <f>IF(ISBLANK(Deltagarlista!F56),"",Deltagarlista!F56)</f>
        <v/>
      </c>
      <c r="H20" s="72" t="str">
        <f>IF(ISBLANK(Deltagarlista!C56),"",BU20-EE20)</f>
        <v/>
      </c>
      <c r="I20" s="13" t="str">
        <f>IF(ISBLANK(Deltagarlista!C56),"",IF(AND(Deltagarlista!$K$3=2,Deltagarlista!$L$3&lt;37),SUM(SUM(BV20:EC20)-(ROUNDDOWN(Arrangörslista!$U$5/3,1))*($BW$3+1)),SUM(BV20:EC20)))</f>
        <v/>
      </c>
      <c r="J20" s="79" t="str">
        <f>IF(Deltagarlista!$K$3=4,IF(ISBLANK(Deltagarlista!$C56),"",IF(ISBLANK(Arrangörslista!C$8),"",IFERROR(VLOOKUP($F20,Arrangörslista!C$8:$AG$45,16,FALSE),IF(ISBLANK(Deltagarlista!$C56),"",IF(ISBLANK(Arrangörslista!C$8),"",IFERROR(VLOOKUP($F20,Arrangörslista!D$8:$AG$45,16,FALSE),"DNS")))))),IF(Deltagarlista!$K$3=2,
IF(ISBLANK(Deltagarlista!$C56),"",IF(ISBLANK(Arrangörslista!C$8),"",IF($GV20=J$64," DNS ",IFERROR(VLOOKUP($F20,Arrangörslista!C$8:$AG$45,16,FALSE),"DNS")))),IF(ISBLANK(Deltagarlista!$C56),"",IF(ISBLANK(Arrangörslista!C$8),"",IFERROR(VLOOKUP($F20,Arrangörslista!C$8:$AG$45,16,FALSE),"DNS")))))</f>
        <v/>
      </c>
      <c r="K20" s="5" t="str">
        <f>IF(Deltagarlista!$K$3=4,IF(ISBLANK(Deltagarlista!$C56),"",IF(ISBLANK(Arrangörslista!E$8),"",IFERROR(VLOOKUP($F20,Arrangörslista!E$8:$AG$45,16,FALSE),IF(ISBLANK(Deltagarlista!$C56),"",IF(ISBLANK(Arrangörslista!E$8),"",IFERROR(VLOOKUP($F20,Arrangörslista!F$8:$AG$45,16,FALSE),"DNS")))))),IF(Deltagarlista!$K$3=2,
IF(ISBLANK(Deltagarlista!$C56),"",IF(ISBLANK(Arrangörslista!D$8),"",IF($GV20=K$64," DNS ",IFERROR(VLOOKUP($F20,Arrangörslista!D$8:$AG$45,16,FALSE),"DNS")))),IF(ISBLANK(Deltagarlista!$C56),"",IF(ISBLANK(Arrangörslista!D$8),"",IFERROR(VLOOKUP($F20,Arrangörslista!D$8:$AG$45,16,FALSE),"DNS")))))</f>
        <v/>
      </c>
      <c r="L20" s="5" t="str">
        <f>IF(Deltagarlista!$K$3=4,IF(ISBLANK(Deltagarlista!$C56),"",IF(ISBLANK(Arrangörslista!G$8),"",IFERROR(VLOOKUP($F20,Arrangörslista!G$8:$AG$45,16,FALSE),IF(ISBLANK(Deltagarlista!$C56),"",IF(ISBLANK(Arrangörslista!G$8),"",IFERROR(VLOOKUP($F20,Arrangörslista!H$8:$AG$45,16,FALSE),"DNS")))))),IF(Deltagarlista!$K$3=2,
IF(ISBLANK(Deltagarlista!$C56),"",IF(ISBLANK(Arrangörslista!E$8),"",IF($GV20=L$64," DNS ",IFERROR(VLOOKUP($F20,Arrangörslista!E$8:$AG$45,16,FALSE),"DNS")))),IF(ISBLANK(Deltagarlista!$C56),"",IF(ISBLANK(Arrangörslista!E$8),"",IFERROR(VLOOKUP($F20,Arrangörslista!E$8:$AG$45,16,FALSE),"DNS")))))</f>
        <v/>
      </c>
      <c r="M20" s="5" t="str">
        <f>IF(Deltagarlista!$K$3=4,IF(ISBLANK(Deltagarlista!$C56),"",IF(ISBLANK(Arrangörslista!I$8),"",IFERROR(VLOOKUP($F20,Arrangörslista!I$8:$AG$45,16,FALSE),IF(ISBLANK(Deltagarlista!$C56),"",IF(ISBLANK(Arrangörslista!I$8),"",IFERROR(VLOOKUP($F20,Arrangörslista!J$8:$AG$45,16,FALSE),"DNS")))))),IF(Deltagarlista!$K$3=2,
IF(ISBLANK(Deltagarlista!$C56),"",IF(ISBLANK(Arrangörslista!F$8),"",IF($GV20=M$64," DNS ",IFERROR(VLOOKUP($F20,Arrangörslista!F$8:$AG$45,16,FALSE),"DNS")))),IF(ISBLANK(Deltagarlista!$C56),"",IF(ISBLANK(Arrangörslista!F$8),"",IFERROR(VLOOKUP($F20,Arrangörslista!F$8:$AG$45,16,FALSE),"DNS")))))</f>
        <v/>
      </c>
      <c r="N20" s="5" t="str">
        <f>IF(Deltagarlista!$K$3=4,IF(ISBLANK(Deltagarlista!$C56),"",IF(ISBLANK(Arrangörslista!K$8),"",IFERROR(VLOOKUP($F20,Arrangörslista!K$8:$AG$45,16,FALSE),IF(ISBLANK(Deltagarlista!$C56),"",IF(ISBLANK(Arrangörslista!K$8),"",IFERROR(VLOOKUP($F20,Arrangörslista!L$8:$AG$45,16,FALSE),"DNS")))))),IF(Deltagarlista!$K$3=2,
IF(ISBLANK(Deltagarlista!$C56),"",IF(ISBLANK(Arrangörslista!G$8),"",IF($GV20=N$64," DNS ",IFERROR(VLOOKUP($F20,Arrangörslista!G$8:$AG$45,16,FALSE),"DNS")))),IF(ISBLANK(Deltagarlista!$C56),"",IF(ISBLANK(Arrangörslista!G$8),"",IFERROR(VLOOKUP($F20,Arrangörslista!G$8:$AG$45,16,FALSE),"DNS")))))</f>
        <v/>
      </c>
      <c r="O20" s="5" t="str">
        <f>IF(Deltagarlista!$K$3=4,IF(ISBLANK(Deltagarlista!$C56),"",IF(ISBLANK(Arrangörslista!M$8),"",IFERROR(VLOOKUP($F20,Arrangörslista!M$8:$AG$45,16,FALSE),IF(ISBLANK(Deltagarlista!$C56),"",IF(ISBLANK(Arrangörslista!M$8),"",IFERROR(VLOOKUP($F20,Arrangörslista!N$8:$AG$45,16,FALSE),"DNS")))))),IF(Deltagarlista!$K$3=2,
IF(ISBLANK(Deltagarlista!$C56),"",IF(ISBLANK(Arrangörslista!H$8),"",IF($GV20=O$64," DNS ",IFERROR(VLOOKUP($F20,Arrangörslista!H$8:$AG$45,16,FALSE),"DNS")))),IF(ISBLANK(Deltagarlista!$C56),"",IF(ISBLANK(Arrangörslista!H$8),"",IFERROR(VLOOKUP($F20,Arrangörslista!H$8:$AG$45,16,FALSE),"DNS")))))</f>
        <v/>
      </c>
      <c r="P20" s="5" t="str">
        <f>IF(Deltagarlista!$K$3=4,IF(ISBLANK(Deltagarlista!$C56),"",IF(ISBLANK(Arrangörslista!O$8),"",IFERROR(VLOOKUP($F20,Arrangörslista!O$8:$AG$45,16,FALSE),IF(ISBLANK(Deltagarlista!$C56),"",IF(ISBLANK(Arrangörslista!O$8),"",IFERROR(VLOOKUP($F20,Arrangörslista!P$8:$AG$45,16,FALSE),"DNS")))))),IF(Deltagarlista!$K$3=2,
IF(ISBLANK(Deltagarlista!$C56),"",IF(ISBLANK(Arrangörslista!I$8),"",IF($GV20=P$64," DNS ",IFERROR(VLOOKUP($F20,Arrangörslista!I$8:$AG$45,16,FALSE),"DNS")))),IF(ISBLANK(Deltagarlista!$C56),"",IF(ISBLANK(Arrangörslista!I$8),"",IFERROR(VLOOKUP($F20,Arrangörslista!I$8:$AG$45,16,FALSE),"DNS")))))</f>
        <v/>
      </c>
      <c r="Q20" s="5" t="str">
        <f>IF(Deltagarlista!$K$3=4,IF(ISBLANK(Deltagarlista!$C56),"",IF(ISBLANK(Arrangörslista!Q$8),"",IFERROR(VLOOKUP($F20,Arrangörslista!Q$8:$AG$45,16,FALSE),IF(ISBLANK(Deltagarlista!$C56),"",IF(ISBLANK(Arrangörslista!Q$8),"",IFERROR(VLOOKUP($F20,Arrangörslista!C$53:$AG$90,16,FALSE),"DNS")))))),IF(Deltagarlista!$K$3=2,
IF(ISBLANK(Deltagarlista!$C56),"",IF(ISBLANK(Arrangörslista!J$8),"",IF($GV20=Q$64," DNS ",IFERROR(VLOOKUP($F20,Arrangörslista!J$8:$AG$45,16,FALSE),"DNS")))),IF(ISBLANK(Deltagarlista!$C56),"",IF(ISBLANK(Arrangörslista!J$8),"",IFERROR(VLOOKUP($F20,Arrangörslista!J$8:$AG$45,16,FALSE),"DNS")))))</f>
        <v/>
      </c>
      <c r="R20" s="5" t="str">
        <f>IF(Deltagarlista!$K$3=4,IF(ISBLANK(Deltagarlista!$C56),"",IF(ISBLANK(Arrangörslista!D$53),"",IFERROR(VLOOKUP($F20,Arrangörslista!D$53:$AG$90,16,FALSE),IF(ISBLANK(Deltagarlista!$C56),"",IF(ISBLANK(Arrangörslista!D$53),"",IFERROR(VLOOKUP($F20,Arrangörslista!E$53:$AG$90,16,FALSE),"DNS")))))),IF(Deltagarlista!$K$3=2,
IF(ISBLANK(Deltagarlista!$C56),"",IF(ISBLANK(Arrangörslista!K$8),"",IF($GV20=R$64," DNS ",IFERROR(VLOOKUP($F20,Arrangörslista!K$8:$AG$45,16,FALSE),"DNS")))),IF(ISBLANK(Deltagarlista!$C56),"",IF(ISBLANK(Arrangörslista!K$8),"",IFERROR(VLOOKUP($F20,Arrangörslista!K$8:$AG$45,16,FALSE),"DNS")))))</f>
        <v/>
      </c>
      <c r="S20" s="5" t="str">
        <f>IF(Deltagarlista!$K$3=4,IF(ISBLANK(Deltagarlista!$C56),"",IF(ISBLANK(Arrangörslista!F$53),"",IFERROR(VLOOKUP($F20,Arrangörslista!F$53:$AG$90,16,FALSE),IF(ISBLANK(Deltagarlista!$C56),"",IF(ISBLANK(Arrangörslista!F$53),"",IFERROR(VLOOKUP($F20,Arrangörslista!G$53:$AG$90,16,FALSE),"DNS")))))),IF(Deltagarlista!$K$3=2,
IF(ISBLANK(Deltagarlista!$C56),"",IF(ISBLANK(Arrangörslista!L$8),"",IF($GV20=S$64," DNS ",IFERROR(VLOOKUP($F20,Arrangörslista!L$8:$AG$45,16,FALSE),"DNS")))),IF(ISBLANK(Deltagarlista!$C56),"",IF(ISBLANK(Arrangörslista!L$8),"",IFERROR(VLOOKUP($F20,Arrangörslista!L$8:$AG$45,16,FALSE),"DNS")))))</f>
        <v/>
      </c>
      <c r="T20" s="5" t="str">
        <f>IF(Deltagarlista!$K$3=4,IF(ISBLANK(Deltagarlista!$C56),"",IF(ISBLANK(Arrangörslista!H$53),"",IFERROR(VLOOKUP($F20,Arrangörslista!H$53:$AG$90,16,FALSE),IF(ISBLANK(Deltagarlista!$C56),"",IF(ISBLANK(Arrangörslista!H$53),"",IFERROR(VLOOKUP($F20,Arrangörslista!I$53:$AG$90,16,FALSE),"DNS")))))),IF(Deltagarlista!$K$3=2,
IF(ISBLANK(Deltagarlista!$C56),"",IF(ISBLANK(Arrangörslista!M$8),"",IF($GV20=T$64," DNS ",IFERROR(VLOOKUP($F20,Arrangörslista!M$8:$AG$45,16,FALSE),"DNS")))),IF(ISBLANK(Deltagarlista!$C56),"",IF(ISBLANK(Arrangörslista!M$8),"",IFERROR(VLOOKUP($F20,Arrangörslista!M$8:$AG$45,16,FALSE),"DNS")))))</f>
        <v/>
      </c>
      <c r="U20" s="5" t="str">
        <f>IF(Deltagarlista!$K$3=4,IF(ISBLANK(Deltagarlista!$C56),"",IF(ISBLANK(Arrangörslista!J$53),"",IFERROR(VLOOKUP($F20,Arrangörslista!J$53:$AG$90,16,FALSE),IF(ISBLANK(Deltagarlista!$C56),"",IF(ISBLANK(Arrangörslista!J$53),"",IFERROR(VLOOKUP($F20,Arrangörslista!K$53:$AG$90,16,FALSE),"DNS")))))),IF(Deltagarlista!$K$3=2,
IF(ISBLANK(Deltagarlista!$C56),"",IF(ISBLANK(Arrangörslista!N$8),"",IF($GV20=U$64," DNS ",IFERROR(VLOOKUP($F20,Arrangörslista!N$8:$AG$45,16,FALSE),"DNS")))),IF(ISBLANK(Deltagarlista!$C56),"",IF(ISBLANK(Arrangörslista!N$8),"",IFERROR(VLOOKUP($F20,Arrangörslista!N$8:$AG$45,16,FALSE),"DNS")))))</f>
        <v/>
      </c>
      <c r="V20" s="5" t="str">
        <f>IF(Deltagarlista!$K$3=4,IF(ISBLANK(Deltagarlista!$C56),"",IF(ISBLANK(Arrangörslista!L$53),"",IFERROR(VLOOKUP($F20,Arrangörslista!L$53:$AG$90,16,FALSE),IF(ISBLANK(Deltagarlista!$C56),"",IF(ISBLANK(Arrangörslista!L$53),"",IFERROR(VLOOKUP($F20,Arrangörslista!M$53:$AG$90,16,FALSE),"DNS")))))),IF(Deltagarlista!$K$3=2,
IF(ISBLANK(Deltagarlista!$C56),"",IF(ISBLANK(Arrangörslista!O$8),"",IF($GV20=V$64," DNS ",IFERROR(VLOOKUP($F20,Arrangörslista!O$8:$AG$45,16,FALSE),"DNS")))),IF(ISBLANK(Deltagarlista!$C56),"",IF(ISBLANK(Arrangörslista!O$8),"",IFERROR(VLOOKUP($F20,Arrangörslista!O$8:$AG$45,16,FALSE),"DNS")))))</f>
        <v/>
      </c>
      <c r="W20" s="5" t="str">
        <f>IF(Deltagarlista!$K$3=4,IF(ISBLANK(Deltagarlista!$C56),"",IF(ISBLANK(Arrangörslista!N$53),"",IFERROR(VLOOKUP($F20,Arrangörslista!N$53:$AG$90,16,FALSE),IF(ISBLANK(Deltagarlista!$C56),"",IF(ISBLANK(Arrangörslista!N$53),"",IFERROR(VLOOKUP($F20,Arrangörslista!O$53:$AG$90,16,FALSE),"DNS")))))),IF(Deltagarlista!$K$3=2,
IF(ISBLANK(Deltagarlista!$C56),"",IF(ISBLANK(Arrangörslista!P$8),"",IF($GV20=W$64," DNS ",IFERROR(VLOOKUP($F20,Arrangörslista!P$8:$AG$45,16,FALSE),"DNS")))),IF(ISBLANK(Deltagarlista!$C56),"",IF(ISBLANK(Arrangörslista!P$8),"",IFERROR(VLOOKUP($F20,Arrangörslista!P$8:$AG$45,16,FALSE),"DNS")))))</f>
        <v/>
      </c>
      <c r="X20" s="5" t="str">
        <f>IF(Deltagarlista!$K$3=4,IF(ISBLANK(Deltagarlista!$C56),"",IF(ISBLANK(Arrangörslista!P$53),"",IFERROR(VLOOKUP($F20,Arrangörslista!P$53:$AG$90,16,FALSE),IF(ISBLANK(Deltagarlista!$C56),"",IF(ISBLANK(Arrangörslista!P$53),"",IFERROR(VLOOKUP($F20,Arrangörslista!Q$53:$AG$90,16,FALSE),"DNS")))))),IF(Deltagarlista!$K$3=2,
IF(ISBLANK(Deltagarlista!$C56),"",IF(ISBLANK(Arrangörslista!Q$8),"",IF($GV20=X$64," DNS ",IFERROR(VLOOKUP($F20,Arrangörslista!Q$8:$AG$45,16,FALSE),"DNS")))),IF(ISBLANK(Deltagarlista!$C56),"",IF(ISBLANK(Arrangörslista!Q$8),"",IFERROR(VLOOKUP($F20,Arrangörslista!Q$8:$AG$45,16,FALSE),"DNS")))))</f>
        <v/>
      </c>
      <c r="Y20" s="5" t="str">
        <f>IF(Deltagarlista!$K$3=4,IF(ISBLANK(Deltagarlista!$C56),"",IF(ISBLANK(Arrangörslista!C$98),"",IFERROR(VLOOKUP($F20,Arrangörslista!C$98:$AG$135,16,FALSE),IF(ISBLANK(Deltagarlista!$C56),"",IF(ISBLANK(Arrangörslista!C$98),"",IFERROR(VLOOKUP($F20,Arrangörslista!D$98:$AG$135,16,FALSE),"DNS")))))),IF(Deltagarlista!$K$3=2,
IF(ISBLANK(Deltagarlista!$C56),"",IF(ISBLANK(Arrangörslista!C$53),"",IF($GV20=Y$64," DNS ",IFERROR(VLOOKUP($F20,Arrangörslista!C$53:$AG$90,16,FALSE),"DNS")))),IF(ISBLANK(Deltagarlista!$C56),"",IF(ISBLANK(Arrangörslista!C$53),"",IFERROR(VLOOKUP($F20,Arrangörslista!C$53:$AG$90,16,FALSE),"DNS")))))</f>
        <v/>
      </c>
      <c r="Z20" s="5" t="str">
        <f>IF(Deltagarlista!$K$3=4,IF(ISBLANK(Deltagarlista!$C56),"",IF(ISBLANK(Arrangörslista!E$98),"",IFERROR(VLOOKUP($F20,Arrangörslista!E$98:$AG$135,16,FALSE),IF(ISBLANK(Deltagarlista!$C56),"",IF(ISBLANK(Arrangörslista!E$98),"",IFERROR(VLOOKUP($F20,Arrangörslista!F$98:$AG$135,16,FALSE),"DNS")))))),IF(Deltagarlista!$K$3=2,
IF(ISBLANK(Deltagarlista!$C56),"",IF(ISBLANK(Arrangörslista!D$53),"",IF($GV20=Z$64," DNS ",IFERROR(VLOOKUP($F20,Arrangörslista!D$53:$AG$90,16,FALSE),"DNS")))),IF(ISBLANK(Deltagarlista!$C56),"",IF(ISBLANK(Arrangörslista!D$53),"",IFERROR(VLOOKUP($F20,Arrangörslista!D$53:$AG$90,16,FALSE),"DNS")))))</f>
        <v/>
      </c>
      <c r="AA20" s="5" t="str">
        <f>IF(Deltagarlista!$K$3=4,IF(ISBLANK(Deltagarlista!$C56),"",IF(ISBLANK(Arrangörslista!G$98),"",IFERROR(VLOOKUP($F20,Arrangörslista!G$98:$AG$135,16,FALSE),IF(ISBLANK(Deltagarlista!$C56),"",IF(ISBLANK(Arrangörslista!G$98),"",IFERROR(VLOOKUP($F20,Arrangörslista!H$98:$AG$135,16,FALSE),"DNS")))))),IF(Deltagarlista!$K$3=2,
IF(ISBLANK(Deltagarlista!$C56),"",IF(ISBLANK(Arrangörslista!E$53),"",IF($GV20=AA$64," DNS ",IFERROR(VLOOKUP($F20,Arrangörslista!E$53:$AG$90,16,FALSE),"DNS")))),IF(ISBLANK(Deltagarlista!$C56),"",IF(ISBLANK(Arrangörslista!E$53),"",IFERROR(VLOOKUP($F20,Arrangörslista!E$53:$AG$90,16,FALSE),"DNS")))))</f>
        <v/>
      </c>
      <c r="AB20" s="5" t="str">
        <f>IF(Deltagarlista!$K$3=4,IF(ISBLANK(Deltagarlista!$C56),"",IF(ISBLANK(Arrangörslista!I$98),"",IFERROR(VLOOKUP($F20,Arrangörslista!I$98:$AG$135,16,FALSE),IF(ISBLANK(Deltagarlista!$C56),"",IF(ISBLANK(Arrangörslista!I$98),"",IFERROR(VLOOKUP($F20,Arrangörslista!J$98:$AG$135,16,FALSE),"DNS")))))),IF(Deltagarlista!$K$3=2,
IF(ISBLANK(Deltagarlista!$C56),"",IF(ISBLANK(Arrangörslista!F$53),"",IF($GV20=AB$64," DNS ",IFERROR(VLOOKUP($F20,Arrangörslista!F$53:$AG$90,16,FALSE),"DNS")))),IF(ISBLANK(Deltagarlista!$C56),"",IF(ISBLANK(Arrangörslista!F$53),"",IFERROR(VLOOKUP($F20,Arrangörslista!F$53:$AG$90,16,FALSE),"DNS")))))</f>
        <v/>
      </c>
      <c r="AC20" s="5" t="str">
        <f>IF(Deltagarlista!$K$3=4,IF(ISBLANK(Deltagarlista!$C56),"",IF(ISBLANK(Arrangörslista!K$98),"",IFERROR(VLOOKUP($F20,Arrangörslista!K$98:$AG$135,16,FALSE),IF(ISBLANK(Deltagarlista!$C56),"",IF(ISBLANK(Arrangörslista!K$98),"",IFERROR(VLOOKUP($F20,Arrangörslista!L$98:$AG$135,16,FALSE),"DNS")))))),IF(Deltagarlista!$K$3=2,
IF(ISBLANK(Deltagarlista!$C56),"",IF(ISBLANK(Arrangörslista!G$53),"",IF($GV20=AC$64," DNS ",IFERROR(VLOOKUP($F20,Arrangörslista!G$53:$AG$90,16,FALSE),"DNS")))),IF(ISBLANK(Deltagarlista!$C56),"",IF(ISBLANK(Arrangörslista!G$53),"",IFERROR(VLOOKUP($F20,Arrangörslista!G$53:$AG$90,16,FALSE),"DNS")))))</f>
        <v/>
      </c>
      <c r="AD20" s="5" t="str">
        <f>IF(Deltagarlista!$K$3=4,IF(ISBLANK(Deltagarlista!$C56),"",IF(ISBLANK(Arrangörslista!M$98),"",IFERROR(VLOOKUP($F20,Arrangörslista!M$98:$AG$135,16,FALSE),IF(ISBLANK(Deltagarlista!$C56),"",IF(ISBLANK(Arrangörslista!M$98),"",IFERROR(VLOOKUP($F20,Arrangörslista!N$98:$AG$135,16,FALSE),"DNS")))))),IF(Deltagarlista!$K$3=2,
IF(ISBLANK(Deltagarlista!$C56),"",IF(ISBLANK(Arrangörslista!H$53),"",IF($GV20=AD$64," DNS ",IFERROR(VLOOKUP($F20,Arrangörslista!H$53:$AG$90,16,FALSE),"DNS")))),IF(ISBLANK(Deltagarlista!$C56),"",IF(ISBLANK(Arrangörslista!H$53),"",IFERROR(VLOOKUP($F20,Arrangörslista!H$53:$AG$90,16,FALSE),"DNS")))))</f>
        <v/>
      </c>
      <c r="AE20" s="5" t="str">
        <f>IF(Deltagarlista!$K$3=4,IF(ISBLANK(Deltagarlista!$C56),"",IF(ISBLANK(Arrangörslista!O$98),"",IFERROR(VLOOKUP($F20,Arrangörslista!O$98:$AG$135,16,FALSE),IF(ISBLANK(Deltagarlista!$C56),"",IF(ISBLANK(Arrangörslista!O$98),"",IFERROR(VLOOKUP($F20,Arrangörslista!P$98:$AG$135,16,FALSE),"DNS")))))),IF(Deltagarlista!$K$3=2,
IF(ISBLANK(Deltagarlista!$C56),"",IF(ISBLANK(Arrangörslista!I$53),"",IF($GV20=AE$64," DNS ",IFERROR(VLOOKUP($F20,Arrangörslista!I$53:$AG$90,16,FALSE),"DNS")))),IF(ISBLANK(Deltagarlista!$C56),"",IF(ISBLANK(Arrangörslista!I$53),"",IFERROR(VLOOKUP($F20,Arrangörslista!I$53:$AG$90,16,FALSE),"DNS")))))</f>
        <v/>
      </c>
      <c r="AF20" s="5" t="str">
        <f>IF(Deltagarlista!$K$3=4,IF(ISBLANK(Deltagarlista!$C56),"",IF(ISBLANK(Arrangörslista!Q$98),"",IFERROR(VLOOKUP($F20,Arrangörslista!Q$98:$AG$135,16,FALSE),IF(ISBLANK(Deltagarlista!$C56),"",IF(ISBLANK(Arrangörslista!Q$98),"",IFERROR(VLOOKUP($F20,Arrangörslista!C$143:$AG$180,16,FALSE),"DNS")))))),IF(Deltagarlista!$K$3=2,
IF(ISBLANK(Deltagarlista!$C56),"",IF(ISBLANK(Arrangörslista!J$53),"",IF($GV20=AF$64," DNS ",IFERROR(VLOOKUP($F20,Arrangörslista!J$53:$AG$90,16,FALSE),"DNS")))),IF(ISBLANK(Deltagarlista!$C56),"",IF(ISBLANK(Arrangörslista!J$53),"",IFERROR(VLOOKUP($F20,Arrangörslista!J$53:$AG$90,16,FALSE),"DNS")))))</f>
        <v/>
      </c>
      <c r="AG20" s="5" t="str">
        <f>IF(Deltagarlista!$K$3=4,IF(ISBLANK(Deltagarlista!$C56),"",IF(ISBLANK(Arrangörslista!D$143),"",IFERROR(VLOOKUP($F20,Arrangörslista!D$143:$AG$180,16,FALSE),IF(ISBLANK(Deltagarlista!$C56),"",IF(ISBLANK(Arrangörslista!D$143),"",IFERROR(VLOOKUP($F20,Arrangörslista!E$143:$AG$180,16,FALSE),"DNS")))))),IF(Deltagarlista!$K$3=2,
IF(ISBLANK(Deltagarlista!$C56),"",IF(ISBLANK(Arrangörslista!K$53),"",IF($GV20=AG$64," DNS ",IFERROR(VLOOKUP($F20,Arrangörslista!K$53:$AG$90,16,FALSE),"DNS")))),IF(ISBLANK(Deltagarlista!$C56),"",IF(ISBLANK(Arrangörslista!K$53),"",IFERROR(VLOOKUP($F20,Arrangörslista!K$53:$AG$90,16,FALSE),"DNS")))))</f>
        <v/>
      </c>
      <c r="AH20" s="5" t="str">
        <f>IF(Deltagarlista!$K$3=4,IF(ISBLANK(Deltagarlista!$C56),"",IF(ISBLANK(Arrangörslista!F$143),"",IFERROR(VLOOKUP($F20,Arrangörslista!F$143:$AG$180,16,FALSE),IF(ISBLANK(Deltagarlista!$C56),"",IF(ISBLANK(Arrangörslista!F$143),"",IFERROR(VLOOKUP($F20,Arrangörslista!G$143:$AG$180,16,FALSE),"DNS")))))),IF(Deltagarlista!$K$3=2,
IF(ISBLANK(Deltagarlista!$C56),"",IF(ISBLANK(Arrangörslista!L$53),"",IF($GV20=AH$64," DNS ",IFERROR(VLOOKUP($F20,Arrangörslista!L$53:$AG$90,16,FALSE),"DNS")))),IF(ISBLANK(Deltagarlista!$C56),"",IF(ISBLANK(Arrangörslista!L$53),"",IFERROR(VLOOKUP($F20,Arrangörslista!L$53:$AG$90,16,FALSE),"DNS")))))</f>
        <v/>
      </c>
      <c r="AI20" s="5" t="str">
        <f>IF(Deltagarlista!$K$3=4,IF(ISBLANK(Deltagarlista!$C56),"",IF(ISBLANK(Arrangörslista!H$143),"",IFERROR(VLOOKUP($F20,Arrangörslista!H$143:$AG$180,16,FALSE),IF(ISBLANK(Deltagarlista!$C56),"",IF(ISBLANK(Arrangörslista!H$143),"",IFERROR(VLOOKUP($F20,Arrangörslista!I$143:$AG$180,16,FALSE),"DNS")))))),IF(Deltagarlista!$K$3=2,
IF(ISBLANK(Deltagarlista!$C56),"",IF(ISBLANK(Arrangörslista!M$53),"",IF($GV20=AI$64," DNS ",IFERROR(VLOOKUP($F20,Arrangörslista!M$53:$AG$90,16,FALSE),"DNS")))),IF(ISBLANK(Deltagarlista!$C56),"",IF(ISBLANK(Arrangörslista!M$53),"",IFERROR(VLOOKUP($F20,Arrangörslista!M$53:$AG$90,16,FALSE),"DNS")))))</f>
        <v/>
      </c>
      <c r="AJ20" s="5" t="str">
        <f>IF(Deltagarlista!$K$3=4,IF(ISBLANK(Deltagarlista!$C56),"",IF(ISBLANK(Arrangörslista!J$143),"",IFERROR(VLOOKUP($F20,Arrangörslista!J$143:$AG$180,16,FALSE),IF(ISBLANK(Deltagarlista!$C56),"",IF(ISBLANK(Arrangörslista!J$143),"",IFERROR(VLOOKUP($F20,Arrangörslista!K$143:$AG$180,16,FALSE),"DNS")))))),IF(Deltagarlista!$K$3=2,
IF(ISBLANK(Deltagarlista!$C56),"",IF(ISBLANK(Arrangörslista!N$53),"",IF($GV20=AJ$64," DNS ",IFERROR(VLOOKUP($F20,Arrangörslista!N$53:$AG$90,16,FALSE),"DNS")))),IF(ISBLANK(Deltagarlista!$C56),"",IF(ISBLANK(Arrangörslista!N$53),"",IFERROR(VLOOKUP($F20,Arrangörslista!N$53:$AG$90,16,FALSE),"DNS")))))</f>
        <v/>
      </c>
      <c r="AK20" s="5" t="str">
        <f>IF(Deltagarlista!$K$3=4,IF(ISBLANK(Deltagarlista!$C56),"",IF(ISBLANK(Arrangörslista!L$143),"",IFERROR(VLOOKUP($F20,Arrangörslista!L$143:$AG$180,16,FALSE),IF(ISBLANK(Deltagarlista!$C56),"",IF(ISBLANK(Arrangörslista!L$143),"",IFERROR(VLOOKUP($F20,Arrangörslista!M$143:$AG$180,16,FALSE),"DNS")))))),IF(Deltagarlista!$K$3=2,
IF(ISBLANK(Deltagarlista!$C56),"",IF(ISBLANK(Arrangörslista!O$53),"",IF($GV20=AK$64," DNS ",IFERROR(VLOOKUP($F20,Arrangörslista!O$53:$AG$90,16,FALSE),"DNS")))),IF(ISBLANK(Deltagarlista!$C56),"",IF(ISBLANK(Arrangörslista!O$53),"",IFERROR(VLOOKUP($F20,Arrangörslista!O$53:$AG$90,16,FALSE),"DNS")))))</f>
        <v/>
      </c>
      <c r="AL20" s="5" t="str">
        <f>IF(Deltagarlista!$K$3=4,IF(ISBLANK(Deltagarlista!$C56),"",IF(ISBLANK(Arrangörslista!N$143),"",IFERROR(VLOOKUP($F20,Arrangörslista!N$143:$AG$180,16,FALSE),IF(ISBLANK(Deltagarlista!$C56),"",IF(ISBLANK(Arrangörslista!N$143),"",IFERROR(VLOOKUP($F20,Arrangörslista!O$143:$AG$180,16,FALSE),"DNS")))))),IF(Deltagarlista!$K$3=2,
IF(ISBLANK(Deltagarlista!$C56),"",IF(ISBLANK(Arrangörslista!P$53),"",IF($GV20=AL$64," DNS ",IFERROR(VLOOKUP($F20,Arrangörslista!P$53:$AG$90,16,FALSE),"DNS")))),IF(ISBLANK(Deltagarlista!$C56),"",IF(ISBLANK(Arrangörslista!P$53),"",IFERROR(VLOOKUP($F20,Arrangörslista!P$53:$AG$90,16,FALSE),"DNS")))))</f>
        <v/>
      </c>
      <c r="AM20" s="5" t="str">
        <f>IF(Deltagarlista!$K$3=4,IF(ISBLANK(Deltagarlista!$C56),"",IF(ISBLANK(Arrangörslista!P$143),"",IFERROR(VLOOKUP($F20,Arrangörslista!P$143:$AG$180,16,FALSE),IF(ISBLANK(Deltagarlista!$C56),"",IF(ISBLANK(Arrangörslista!P$143),"",IFERROR(VLOOKUP($F20,Arrangörslista!Q$143:$AG$180,16,FALSE),"DNS")))))),IF(Deltagarlista!$K$3=2,
IF(ISBLANK(Deltagarlista!$C56),"",IF(ISBLANK(Arrangörslista!Q$53),"",IF($GV20=AM$64," DNS ",IFERROR(VLOOKUP($F20,Arrangörslista!Q$53:$AG$90,16,FALSE),"DNS")))),IF(ISBLANK(Deltagarlista!$C56),"",IF(ISBLANK(Arrangörslista!Q$53),"",IFERROR(VLOOKUP($F20,Arrangörslista!Q$53:$AG$90,16,FALSE),"DNS")))))</f>
        <v/>
      </c>
      <c r="AN20" s="5" t="str">
        <f>IF(Deltagarlista!$K$3=2,
IF(ISBLANK(Deltagarlista!$C56),"",IF(ISBLANK(Arrangörslista!C$98),"",IF($GV20=AN$64," DNS ",IFERROR(VLOOKUP($F20,Arrangörslista!C$98:$AG$135,16,FALSE), "DNS")))), IF(Deltagarlista!$K$3=1,IF(ISBLANK(Deltagarlista!$C56),"",IF(ISBLANK(Arrangörslista!C$98),"",IFERROR(VLOOKUP($F20,Arrangörslista!C$98:$AG$135,16,FALSE), "DNS"))),""))</f>
        <v/>
      </c>
      <c r="AO20" s="5" t="str">
        <f>IF(Deltagarlista!$K$3=2,
IF(ISBLANK(Deltagarlista!$C56),"",IF(ISBLANK(Arrangörslista!D$98),"",IF($GV20=AO$64," DNS ",IFERROR(VLOOKUP($F20,Arrangörslista!D$98:$AG$135,16,FALSE), "DNS")))), IF(Deltagarlista!$K$3=1,IF(ISBLANK(Deltagarlista!$C56),"",IF(ISBLANK(Arrangörslista!D$98),"",IFERROR(VLOOKUP($F20,Arrangörslista!D$98:$AG$135,16,FALSE), "DNS"))),""))</f>
        <v/>
      </c>
      <c r="AP20" s="5" t="str">
        <f>IF(Deltagarlista!$K$3=2,
IF(ISBLANK(Deltagarlista!$C56),"",IF(ISBLANK(Arrangörslista!E$98),"",IF($GV20=AP$64," DNS ",IFERROR(VLOOKUP($F20,Arrangörslista!E$98:$AG$135,16,FALSE), "DNS")))), IF(Deltagarlista!$K$3=1,IF(ISBLANK(Deltagarlista!$C56),"",IF(ISBLANK(Arrangörslista!E$98),"",IFERROR(VLOOKUP($F20,Arrangörslista!E$98:$AG$135,16,FALSE), "DNS"))),""))</f>
        <v/>
      </c>
      <c r="AQ20" s="5" t="str">
        <f>IF(Deltagarlista!$K$3=2,
IF(ISBLANK(Deltagarlista!$C56),"",IF(ISBLANK(Arrangörslista!F$98),"",IF($GV20=AQ$64," DNS ",IFERROR(VLOOKUP($F20,Arrangörslista!F$98:$AG$135,16,FALSE), "DNS")))), IF(Deltagarlista!$K$3=1,IF(ISBLANK(Deltagarlista!$C56),"",IF(ISBLANK(Arrangörslista!F$98),"",IFERROR(VLOOKUP($F20,Arrangörslista!F$98:$AG$135,16,FALSE), "DNS"))),""))</f>
        <v/>
      </c>
      <c r="AR20" s="5" t="str">
        <f>IF(Deltagarlista!$K$3=2,
IF(ISBLANK(Deltagarlista!$C56),"",IF(ISBLANK(Arrangörslista!G$98),"",IF($GV20=AR$64," DNS ",IFERROR(VLOOKUP($F20,Arrangörslista!G$98:$AG$135,16,FALSE), "DNS")))), IF(Deltagarlista!$K$3=1,IF(ISBLANK(Deltagarlista!$C56),"",IF(ISBLANK(Arrangörslista!G$98),"",IFERROR(VLOOKUP($F20,Arrangörslista!G$98:$AG$135,16,FALSE), "DNS"))),""))</f>
        <v/>
      </c>
      <c r="AS20" s="5" t="str">
        <f>IF(Deltagarlista!$K$3=2,
IF(ISBLANK(Deltagarlista!$C56),"",IF(ISBLANK(Arrangörslista!H$98),"",IF($GV20=AS$64," DNS ",IFERROR(VLOOKUP($F20,Arrangörslista!H$98:$AG$135,16,FALSE), "DNS")))), IF(Deltagarlista!$K$3=1,IF(ISBLANK(Deltagarlista!$C56),"",IF(ISBLANK(Arrangörslista!H$98),"",IFERROR(VLOOKUP($F20,Arrangörslista!H$98:$AG$135,16,FALSE), "DNS"))),""))</f>
        <v/>
      </c>
      <c r="AT20" s="5" t="str">
        <f>IF(Deltagarlista!$K$3=2,
IF(ISBLANK(Deltagarlista!$C56),"",IF(ISBLANK(Arrangörslista!I$98),"",IF($GV20=AT$64," DNS ",IFERROR(VLOOKUP($F20,Arrangörslista!I$98:$AG$135,16,FALSE), "DNS")))), IF(Deltagarlista!$K$3=1,IF(ISBLANK(Deltagarlista!$C56),"",IF(ISBLANK(Arrangörslista!I$98),"",IFERROR(VLOOKUP($F20,Arrangörslista!I$98:$AG$135,16,FALSE), "DNS"))),""))</f>
        <v/>
      </c>
      <c r="AU20" s="5" t="str">
        <f>IF(Deltagarlista!$K$3=2,
IF(ISBLANK(Deltagarlista!$C56),"",IF(ISBLANK(Arrangörslista!J$98),"",IF($GV20=AU$64," DNS ",IFERROR(VLOOKUP($F20,Arrangörslista!J$98:$AG$135,16,FALSE), "DNS")))), IF(Deltagarlista!$K$3=1,IF(ISBLANK(Deltagarlista!$C56),"",IF(ISBLANK(Arrangörslista!J$98),"",IFERROR(VLOOKUP($F20,Arrangörslista!J$98:$AG$135,16,FALSE), "DNS"))),""))</f>
        <v/>
      </c>
      <c r="AV20" s="5" t="str">
        <f>IF(Deltagarlista!$K$3=2,
IF(ISBLANK(Deltagarlista!$C56),"",IF(ISBLANK(Arrangörslista!K$98),"",IF($GV20=AV$64," DNS ",IFERROR(VLOOKUP($F20,Arrangörslista!K$98:$AG$135,16,FALSE), "DNS")))), IF(Deltagarlista!$K$3=1,IF(ISBLANK(Deltagarlista!$C56),"",IF(ISBLANK(Arrangörslista!K$98),"",IFERROR(VLOOKUP($F20,Arrangörslista!K$98:$AG$135,16,FALSE), "DNS"))),""))</f>
        <v/>
      </c>
      <c r="AW20" s="5" t="str">
        <f>IF(Deltagarlista!$K$3=2,
IF(ISBLANK(Deltagarlista!$C56),"",IF(ISBLANK(Arrangörslista!L$98),"",IF($GV20=AW$64," DNS ",IFERROR(VLOOKUP($F20,Arrangörslista!L$98:$AG$135,16,FALSE), "DNS")))), IF(Deltagarlista!$K$3=1,IF(ISBLANK(Deltagarlista!$C56),"",IF(ISBLANK(Arrangörslista!L$98),"",IFERROR(VLOOKUP($F20,Arrangörslista!L$98:$AG$135,16,FALSE), "DNS"))),""))</f>
        <v/>
      </c>
      <c r="AX20" s="5" t="str">
        <f>IF(Deltagarlista!$K$3=2,
IF(ISBLANK(Deltagarlista!$C56),"",IF(ISBLANK(Arrangörslista!M$98),"",IF($GV20=AX$64," DNS ",IFERROR(VLOOKUP($F20,Arrangörslista!M$98:$AG$135,16,FALSE), "DNS")))), IF(Deltagarlista!$K$3=1,IF(ISBLANK(Deltagarlista!$C56),"",IF(ISBLANK(Arrangörslista!M$98),"",IFERROR(VLOOKUP($F20,Arrangörslista!M$98:$AG$135,16,FALSE), "DNS"))),""))</f>
        <v/>
      </c>
      <c r="AY20" s="5" t="str">
        <f>IF(Deltagarlista!$K$3=2,
IF(ISBLANK(Deltagarlista!$C56),"",IF(ISBLANK(Arrangörslista!N$98),"",IF($GV20=AY$64," DNS ",IFERROR(VLOOKUP($F20,Arrangörslista!N$98:$AG$135,16,FALSE), "DNS")))), IF(Deltagarlista!$K$3=1,IF(ISBLANK(Deltagarlista!$C56),"",IF(ISBLANK(Arrangörslista!N$98),"",IFERROR(VLOOKUP($F20,Arrangörslista!N$98:$AG$135,16,FALSE), "DNS"))),""))</f>
        <v/>
      </c>
      <c r="AZ20" s="5" t="str">
        <f>IF(Deltagarlista!$K$3=2,
IF(ISBLANK(Deltagarlista!$C56),"",IF(ISBLANK(Arrangörslista!O$98),"",IF($GV20=AZ$64," DNS ",IFERROR(VLOOKUP($F20,Arrangörslista!O$98:$AG$135,16,FALSE), "DNS")))), IF(Deltagarlista!$K$3=1,IF(ISBLANK(Deltagarlista!$C56),"",IF(ISBLANK(Arrangörslista!O$98),"",IFERROR(VLOOKUP($F20,Arrangörslista!O$98:$AG$135,16,FALSE), "DNS"))),""))</f>
        <v/>
      </c>
      <c r="BA20" s="5" t="str">
        <f>IF(Deltagarlista!$K$3=2,
IF(ISBLANK(Deltagarlista!$C56),"",IF(ISBLANK(Arrangörslista!P$98),"",IF($GV20=BA$64," DNS ",IFERROR(VLOOKUP($F20,Arrangörslista!P$98:$AG$135,16,FALSE), "DNS")))), IF(Deltagarlista!$K$3=1,IF(ISBLANK(Deltagarlista!$C56),"",IF(ISBLANK(Arrangörslista!P$98),"",IFERROR(VLOOKUP($F20,Arrangörslista!P$98:$AG$135,16,FALSE), "DNS"))),""))</f>
        <v/>
      </c>
      <c r="BB20" s="5" t="str">
        <f>IF(Deltagarlista!$K$3=2,
IF(ISBLANK(Deltagarlista!$C56),"",IF(ISBLANK(Arrangörslista!Q$98),"",IF($GV20=BB$64," DNS ",IFERROR(VLOOKUP($F20,Arrangörslista!Q$98:$AG$135,16,FALSE), "DNS")))), IF(Deltagarlista!$K$3=1,IF(ISBLANK(Deltagarlista!$C56),"",IF(ISBLANK(Arrangörslista!Q$98),"",IFERROR(VLOOKUP($F20,Arrangörslista!Q$98:$AG$135,16,FALSE), "DNS"))),""))</f>
        <v/>
      </c>
      <c r="BC20" s="5" t="str">
        <f>IF(Deltagarlista!$K$3=2,
IF(ISBLANK(Deltagarlista!$C56),"",IF(ISBLANK(Arrangörslista!C$143),"",IF($GV20=BC$64," DNS ",IFERROR(VLOOKUP($F20,Arrangörslista!C$143:$AG$180,16,FALSE), "DNS")))), IF(Deltagarlista!$K$3=1,IF(ISBLANK(Deltagarlista!$C56),"",IF(ISBLANK(Arrangörslista!C$143),"",IFERROR(VLOOKUP($F20,Arrangörslista!C$143:$AG$180,16,FALSE), "DNS"))),""))</f>
        <v/>
      </c>
      <c r="BD20" s="5" t="str">
        <f>IF(Deltagarlista!$K$3=2,
IF(ISBLANK(Deltagarlista!$C56),"",IF(ISBLANK(Arrangörslista!D$143),"",IF($GV20=BD$64," DNS ",IFERROR(VLOOKUP($F20,Arrangörslista!D$143:$AG$180,16,FALSE), "DNS")))), IF(Deltagarlista!$K$3=1,IF(ISBLANK(Deltagarlista!$C56),"",IF(ISBLANK(Arrangörslista!D$143),"",IFERROR(VLOOKUP($F20,Arrangörslista!D$143:$AG$180,16,FALSE), "DNS"))),""))</f>
        <v/>
      </c>
      <c r="BE20" s="5" t="str">
        <f>IF(Deltagarlista!$K$3=2,
IF(ISBLANK(Deltagarlista!$C56),"",IF(ISBLANK(Arrangörslista!E$143),"",IF($GV20=BE$64," DNS ",IFERROR(VLOOKUP($F20,Arrangörslista!E$143:$AG$180,16,FALSE), "DNS")))), IF(Deltagarlista!$K$3=1,IF(ISBLANK(Deltagarlista!$C56),"",IF(ISBLANK(Arrangörslista!E$143),"",IFERROR(VLOOKUP($F20,Arrangörslista!E$143:$AG$180,16,FALSE), "DNS"))),""))</f>
        <v/>
      </c>
      <c r="BF20" s="5" t="str">
        <f>IF(Deltagarlista!$K$3=2,
IF(ISBLANK(Deltagarlista!$C56),"",IF(ISBLANK(Arrangörslista!F$143),"",IF($GV20=BF$64," DNS ",IFERROR(VLOOKUP($F20,Arrangörslista!F$143:$AG$180,16,FALSE), "DNS")))), IF(Deltagarlista!$K$3=1,IF(ISBLANK(Deltagarlista!$C56),"",IF(ISBLANK(Arrangörslista!F$143),"",IFERROR(VLOOKUP($F20,Arrangörslista!F$143:$AG$180,16,FALSE), "DNS"))),""))</f>
        <v/>
      </c>
      <c r="BG20" s="5" t="str">
        <f>IF(Deltagarlista!$K$3=2,
IF(ISBLANK(Deltagarlista!$C56),"",IF(ISBLANK(Arrangörslista!G$143),"",IF($GV20=BG$64," DNS ",IFERROR(VLOOKUP($F20,Arrangörslista!G$143:$AG$180,16,FALSE), "DNS")))), IF(Deltagarlista!$K$3=1,IF(ISBLANK(Deltagarlista!$C56),"",IF(ISBLANK(Arrangörslista!G$143),"",IFERROR(VLOOKUP($F20,Arrangörslista!G$143:$AG$180,16,FALSE), "DNS"))),""))</f>
        <v/>
      </c>
      <c r="BH20" s="5" t="str">
        <f>IF(Deltagarlista!$K$3=2,
IF(ISBLANK(Deltagarlista!$C56),"",IF(ISBLANK(Arrangörslista!H$143),"",IF($GV20=BH$64," DNS ",IFERROR(VLOOKUP($F20,Arrangörslista!H$143:$AG$180,16,FALSE), "DNS")))), IF(Deltagarlista!$K$3=1,IF(ISBLANK(Deltagarlista!$C56),"",IF(ISBLANK(Arrangörslista!H$143),"",IFERROR(VLOOKUP($F20,Arrangörslista!H$143:$AG$180,16,FALSE), "DNS"))),""))</f>
        <v/>
      </c>
      <c r="BI20" s="5" t="str">
        <f>IF(Deltagarlista!$K$3=2,
IF(ISBLANK(Deltagarlista!$C56),"",IF(ISBLANK(Arrangörslista!I$143),"",IF($GV20=BI$64," DNS ",IFERROR(VLOOKUP($F20,Arrangörslista!I$143:$AG$180,16,FALSE), "DNS")))), IF(Deltagarlista!$K$3=1,IF(ISBLANK(Deltagarlista!$C56),"",IF(ISBLANK(Arrangörslista!I$143),"",IFERROR(VLOOKUP($F20,Arrangörslista!I$143:$AG$180,16,FALSE), "DNS"))),""))</f>
        <v/>
      </c>
      <c r="BJ20" s="5" t="str">
        <f>IF(Deltagarlista!$K$3=2,
IF(ISBLANK(Deltagarlista!$C56),"",IF(ISBLANK(Arrangörslista!J$143),"",IF($GV20=BJ$64," DNS ",IFERROR(VLOOKUP($F20,Arrangörslista!J$143:$AG$180,16,FALSE), "DNS")))), IF(Deltagarlista!$K$3=1,IF(ISBLANK(Deltagarlista!$C56),"",IF(ISBLANK(Arrangörslista!J$143),"",IFERROR(VLOOKUP($F20,Arrangörslista!J$143:$AG$180,16,FALSE), "DNS"))),""))</f>
        <v/>
      </c>
      <c r="BK20" s="5" t="str">
        <f>IF(Deltagarlista!$K$3=2,
IF(ISBLANK(Deltagarlista!$C56),"",IF(ISBLANK(Arrangörslista!K$143),"",IF($GV20=BK$64," DNS ",IFERROR(VLOOKUP($F20,Arrangörslista!K$143:$AG$180,16,FALSE), "DNS")))), IF(Deltagarlista!$K$3=1,IF(ISBLANK(Deltagarlista!$C56),"",IF(ISBLANK(Arrangörslista!K$143),"",IFERROR(VLOOKUP($F20,Arrangörslista!K$143:$AG$180,16,FALSE), "DNS"))),""))</f>
        <v/>
      </c>
      <c r="BL20" s="5" t="str">
        <f>IF(Deltagarlista!$K$3=2,
IF(ISBLANK(Deltagarlista!$C56),"",IF(ISBLANK(Arrangörslista!L$143),"",IF($GV20=BL$64," DNS ",IFERROR(VLOOKUP($F20,Arrangörslista!L$143:$AG$180,16,FALSE), "DNS")))), IF(Deltagarlista!$K$3=1,IF(ISBLANK(Deltagarlista!$C56),"",IF(ISBLANK(Arrangörslista!L$143),"",IFERROR(VLOOKUP($F20,Arrangörslista!L$143:$AG$180,16,FALSE), "DNS"))),""))</f>
        <v/>
      </c>
      <c r="BM20" s="5" t="str">
        <f>IF(Deltagarlista!$K$3=2,
IF(ISBLANK(Deltagarlista!$C56),"",IF(ISBLANK(Arrangörslista!M$143),"",IF($GV20=BM$64," DNS ",IFERROR(VLOOKUP($F20,Arrangörslista!M$143:$AG$180,16,FALSE), "DNS")))), IF(Deltagarlista!$K$3=1,IF(ISBLANK(Deltagarlista!$C56),"",IF(ISBLANK(Arrangörslista!M$143),"",IFERROR(VLOOKUP($F20,Arrangörslista!M$143:$AG$180,16,FALSE), "DNS"))),""))</f>
        <v/>
      </c>
      <c r="BN20" s="5" t="str">
        <f>IF(Deltagarlista!$K$3=2,
IF(ISBLANK(Deltagarlista!$C56),"",IF(ISBLANK(Arrangörslista!N$143),"",IF($GV20=BN$64," DNS ",IFERROR(VLOOKUP($F20,Arrangörslista!N$143:$AG$180,16,FALSE), "DNS")))), IF(Deltagarlista!$K$3=1,IF(ISBLANK(Deltagarlista!$C56),"",IF(ISBLANK(Arrangörslista!N$143),"",IFERROR(VLOOKUP($F20,Arrangörslista!N$143:$AG$180,16,FALSE), "DNS"))),""))</f>
        <v/>
      </c>
      <c r="BO20" s="5" t="str">
        <f>IF(Deltagarlista!$K$3=2,
IF(ISBLANK(Deltagarlista!$C56),"",IF(ISBLANK(Arrangörslista!O$143),"",IF($GV20=BO$64," DNS ",IFERROR(VLOOKUP($F20,Arrangörslista!O$143:$AG$180,16,FALSE), "DNS")))), IF(Deltagarlista!$K$3=1,IF(ISBLANK(Deltagarlista!$C56),"",IF(ISBLANK(Arrangörslista!O$143),"",IFERROR(VLOOKUP($F20,Arrangörslista!O$143:$AG$180,16,FALSE), "DNS"))),""))</f>
        <v/>
      </c>
      <c r="BP20" s="5" t="str">
        <f>IF(Deltagarlista!$K$3=2,
IF(ISBLANK(Deltagarlista!$C56),"",IF(ISBLANK(Arrangörslista!P$143),"",IF($GV20=BP$64," DNS ",IFERROR(VLOOKUP($F20,Arrangörslista!P$143:$AG$180,16,FALSE), "DNS")))), IF(Deltagarlista!$K$3=1,IF(ISBLANK(Deltagarlista!$C56),"",IF(ISBLANK(Arrangörslista!P$143),"",IFERROR(VLOOKUP($F20,Arrangörslista!P$143:$AG$180,16,FALSE), "DNS"))),""))</f>
        <v/>
      </c>
      <c r="BQ20" s="80" t="str">
        <f>IF(Deltagarlista!$K$3=2,
IF(ISBLANK(Deltagarlista!$C56),"",IF(ISBLANK(Arrangörslista!Q$143),"",IF($GV20=BQ$64," DNS ",IFERROR(VLOOKUP($F20,Arrangörslista!Q$143:$AG$180,16,FALSE), "DNS")))), IF(Deltagarlista!$K$3=1,IF(ISBLANK(Deltagarlista!$C56),"",IF(ISBLANK(Arrangörslista!Q$143),"",IFERROR(VLOOKUP($F20,Arrangörslista!Q$143:$AG$180,16,FALSE), "DNS"))),""))</f>
        <v/>
      </c>
      <c r="BR20" s="48"/>
      <c r="BS20" s="50" t="str">
        <f t="shared" si="0"/>
        <v>2</v>
      </c>
      <c r="BU20" s="71">
        <f t="shared" si="1"/>
        <v>0</v>
      </c>
      <c r="BV20" s="61">
        <f t="shared" si="2"/>
        <v>0</v>
      </c>
      <c r="BW20" s="61">
        <f t="shared" si="3"/>
        <v>0</v>
      </c>
      <c r="BX20" s="61">
        <f t="shared" si="4"/>
        <v>0</v>
      </c>
      <c r="BY20" s="61">
        <f t="shared" si="5"/>
        <v>0</v>
      </c>
      <c r="BZ20" s="61">
        <f t="shared" si="6"/>
        <v>0</v>
      </c>
      <c r="CA20" s="61">
        <f t="shared" si="7"/>
        <v>0</v>
      </c>
      <c r="CB20" s="61">
        <f t="shared" si="8"/>
        <v>0</v>
      </c>
      <c r="CC20" s="61">
        <f t="shared" si="9"/>
        <v>0</v>
      </c>
      <c r="CD20" s="61">
        <f t="shared" si="10"/>
        <v>0</v>
      </c>
      <c r="CE20" s="61">
        <f t="shared" si="11"/>
        <v>0</v>
      </c>
      <c r="CF20" s="61">
        <f t="shared" si="12"/>
        <v>0</v>
      </c>
      <c r="CG20" s="61">
        <f t="shared" si="13"/>
        <v>0</v>
      </c>
      <c r="CH20" s="61">
        <f t="shared" si="14"/>
        <v>0</v>
      </c>
      <c r="CI20" s="61">
        <f t="shared" si="15"/>
        <v>0</v>
      </c>
      <c r="CJ20" s="61">
        <f t="shared" si="16"/>
        <v>0</v>
      </c>
      <c r="CK20" s="61">
        <f t="shared" si="17"/>
        <v>0</v>
      </c>
      <c r="CL20" s="61">
        <f t="shared" si="18"/>
        <v>0</v>
      </c>
      <c r="CM20" s="61">
        <f t="shared" si="19"/>
        <v>0</v>
      </c>
      <c r="CN20" s="61">
        <f t="shared" si="20"/>
        <v>0</v>
      </c>
      <c r="CO20" s="61">
        <f t="shared" si="21"/>
        <v>0</v>
      </c>
      <c r="CP20" s="61">
        <f t="shared" si="22"/>
        <v>0</v>
      </c>
      <c r="CQ20" s="61">
        <f t="shared" si="23"/>
        <v>0</v>
      </c>
      <c r="CR20" s="61">
        <f t="shared" si="24"/>
        <v>0</v>
      </c>
      <c r="CS20" s="61">
        <f t="shared" si="25"/>
        <v>0</v>
      </c>
      <c r="CT20" s="61">
        <f t="shared" si="26"/>
        <v>0</v>
      </c>
      <c r="CU20" s="61">
        <f t="shared" si="27"/>
        <v>0</v>
      </c>
      <c r="CV20" s="61">
        <f t="shared" si="28"/>
        <v>0</v>
      </c>
      <c r="CW20" s="61">
        <f t="shared" si="29"/>
        <v>0</v>
      </c>
      <c r="CX20" s="61">
        <f t="shared" si="30"/>
        <v>0</v>
      </c>
      <c r="CY20" s="61">
        <f t="shared" si="31"/>
        <v>0</v>
      </c>
      <c r="CZ20" s="61">
        <f t="shared" si="32"/>
        <v>0</v>
      </c>
      <c r="DA20" s="61">
        <f t="shared" si="33"/>
        <v>0</v>
      </c>
      <c r="DB20" s="61">
        <f t="shared" si="34"/>
        <v>0</v>
      </c>
      <c r="DC20" s="61">
        <f t="shared" si="35"/>
        <v>0</v>
      </c>
      <c r="DD20" s="61">
        <f t="shared" si="36"/>
        <v>0</v>
      </c>
      <c r="DE20" s="61">
        <f t="shared" si="37"/>
        <v>0</v>
      </c>
      <c r="DF20" s="61">
        <f t="shared" si="38"/>
        <v>0</v>
      </c>
      <c r="DG20" s="61">
        <f t="shared" si="39"/>
        <v>0</v>
      </c>
      <c r="DH20" s="61">
        <f t="shared" si="40"/>
        <v>0</v>
      </c>
      <c r="DI20" s="61">
        <f t="shared" si="41"/>
        <v>0</v>
      </c>
      <c r="DJ20" s="61">
        <f t="shared" si="42"/>
        <v>0</v>
      </c>
      <c r="DK20" s="61">
        <f t="shared" si="43"/>
        <v>0</v>
      </c>
      <c r="DL20" s="61">
        <f t="shared" si="44"/>
        <v>0</v>
      </c>
      <c r="DM20" s="61">
        <f t="shared" si="45"/>
        <v>0</v>
      </c>
      <c r="DN20" s="61">
        <f t="shared" si="46"/>
        <v>0</v>
      </c>
      <c r="DO20" s="61">
        <f t="shared" si="47"/>
        <v>0</v>
      </c>
      <c r="DP20" s="61">
        <f t="shared" si="48"/>
        <v>0</v>
      </c>
      <c r="DQ20" s="61">
        <f t="shared" si="49"/>
        <v>0</v>
      </c>
      <c r="DR20" s="61">
        <f t="shared" si="50"/>
        <v>0</v>
      </c>
      <c r="DS20" s="61">
        <f t="shared" si="51"/>
        <v>0</v>
      </c>
      <c r="DT20" s="61">
        <f t="shared" si="52"/>
        <v>0</v>
      </c>
      <c r="DU20" s="61">
        <f t="shared" si="53"/>
        <v>0</v>
      </c>
      <c r="DV20" s="61">
        <f t="shared" si="54"/>
        <v>0</v>
      </c>
      <c r="DW20" s="61">
        <f t="shared" si="55"/>
        <v>0</v>
      </c>
      <c r="DX20" s="61">
        <f t="shared" si="56"/>
        <v>0</v>
      </c>
      <c r="DY20" s="61">
        <f t="shared" si="57"/>
        <v>0</v>
      </c>
      <c r="DZ20" s="61">
        <f t="shared" si="58"/>
        <v>0</v>
      </c>
      <c r="EA20" s="61">
        <f t="shared" si="59"/>
        <v>0</v>
      </c>
      <c r="EB20" s="61">
        <f t="shared" si="60"/>
        <v>0</v>
      </c>
      <c r="EC20" s="61">
        <f t="shared" si="61"/>
        <v>0</v>
      </c>
      <c r="EE20" s="61">
        <f xml:space="preserve">
IF(OR(Deltagarlista!$K$3=3,Deltagarlista!$K$3=4),
IF(Arrangörslista!$U$5&lt;8,0,
IF(Arrangörslista!$U$5&lt;16,SUM(LARGE(BV20:CJ20,1)),
IF(Arrangörslista!$U$5&lt;24,SUM(LARGE(BV20:CR20,{1;2})),
IF(Arrangörslista!$U$5&lt;32,SUM(LARGE(BV20:CZ20,{1;2;3})),
IF(Arrangörslista!$U$5&lt;40,SUM(LARGE(BV20:DH20,{1;2;3;4})),
IF(Arrangörslista!$U$5&lt;48,SUM(LARGE(BV20:DP20,{1;2;3;4;5})),
IF(Arrangörslista!$U$5&lt;56,SUM(LARGE(BV20:DX20,{1;2;3;4;5;6})),
IF(Arrangörslista!$U$5&lt;64,SUM(LARGE(BV20:EC20,{1;2;3;4;5;6;7})),0)))))))),
IF(Deltagarlista!$K$3=2,
IF(Arrangörslista!$U$5&lt;4,LARGE(BV20:BX20,1),
IF(Arrangörslista!$U$5&lt;7,SUM(LARGE(BV20:CA20,{1;2;3})),
IF(Arrangörslista!$U$5&lt;10,SUM(LARGE(BV20:CD20,{1;2;3;4})),
IF(Arrangörslista!$U$5&lt;13,SUM(LARGE(BV20:CG20,{1;2;3;4;5;6})),
IF(Arrangörslista!$U$5&lt;16,SUM(LARGE(BV20:CJ20,{1;2;3;4;5;6;7})),
IF(Arrangörslista!$U$5&lt;19,SUM(LARGE(BV20:CM20,{1;2;3;4;5;6;7;8;9})),
IF(Arrangörslista!$U$5&lt;22,SUM(LARGE(BV20:CP20,{1;2;3;4;5;6;7;8;9;10})),
IF(Arrangörslista!$U$5&lt;25,SUM(LARGE(BV20:CS20,{1;2;3;4;5;6;7;8;9;10;11;12})),
IF(Arrangörslista!$U$5&lt;28,SUM(LARGE(BV20:CV20,{1;2;3;4;5;6;7;8;9;10;11;12;13})),
IF(Arrangörslista!$U$5&lt;31,SUM(LARGE(BV20:CY20,{1;2;3;4;5;6;7;8;9;10;11;12;13;14;15})),
IF(Arrangörslista!$U$5&lt;34,SUM(LARGE(BV20:DB20,{1;2;3;4;5;6;7;8;9;10;11;12;13;14;15;16})),
IF(Arrangörslista!$U$5&lt;37,SUM(LARGE(BV20:DE20,{1;2;3;4;5;6;7;8;9;10;11;12;13;14;15;16;17;18})),
IF(Arrangörslista!$U$5&lt;40,SUM(LARGE(BV20:DH20,{1;2;3;4;5;6;7;8;9;10;11;12;13;14;15;16;17;18;19})),
IF(Arrangörslista!$U$5&lt;43,SUM(LARGE(BV20:DK20,{1;2;3;4;5;6;7;8;9;10;11;12;13;14;15;16;17;18;19;20;21})),
IF(Arrangörslista!$U$5&lt;46,SUM(LARGE(BV20:DN20,{1;2;3;4;5;6;7;8;9;10;11;12;13;14;15;16;17;18;19;20;21;22})),
IF(Arrangörslista!$U$5&lt;49,SUM(LARGE(BV20:DQ20,{1;2;3;4;5;6;7;8;9;10;11;12;13;14;15;16;17;18;19;20;21;22;23;24})),
IF(Arrangörslista!$U$5&lt;52,SUM(LARGE(BV20:DT20,{1;2;3;4;5;6;7;8;9;10;11;12;13;14;15;16;17;18;19;20;21;22;23;24;25})),
IF(Arrangörslista!$U$5&lt;55,SUM(LARGE(BV20:DW20,{1;2;3;4;5;6;7;8;9;10;11;12;13;14;15;16;17;18;19;20;21;22;23;24;25;26;27})),
IF(Arrangörslista!$U$5&lt;58,SUM(LARGE(BV20:DZ20,{1;2;3;4;5;6;7;8;9;10;11;12;13;14;15;16;17;18;19;20;21;22;23;24;25;26;27;28})),
IF(Arrangörslista!$U$5&lt;61,SUM(LARGE(BV20:EC20,{1;2;3;4;5;6;7;8;9;10;11;12;13;14;15;16;17;18;19;20;21;22;23;24;25;26;27;28;29;30})),0)))))))))))))))))))),
IF(Arrangörslista!$U$5&lt;4,0,
IF(Arrangörslista!$U$5&lt;8,SUM(LARGE(BV20:CB20,1)),
IF(Arrangörslista!$U$5&lt;12,SUM(LARGE(BV20:CF20,{1;2})),
IF(Arrangörslista!$U$5&lt;16,SUM(LARGE(BV20:CJ20,{1;2;3})),
IF(Arrangörslista!$U$5&lt;20,SUM(LARGE(BV20:CN20,{1;2;3;4})),
IF(Arrangörslista!$U$5&lt;24,SUM(LARGE(BV20:CR20,{1;2;3;4;5})),
IF(Arrangörslista!$U$5&lt;28,SUM(LARGE(BV20:CV20,{1;2;3;4;5;6})),
IF(Arrangörslista!$U$5&lt;32,SUM(LARGE(BV20:CZ20,{1;2;3;4;5;6;7})),
IF(Arrangörslista!$U$5&lt;36,SUM(LARGE(BV20:DD20,{1;2;3;4;5;6;7;8})),
IF(Arrangörslista!$U$5&lt;40,SUM(LARGE(BV20:DH20,{1;2;3;4;5;6;7;8;9})),
IF(Arrangörslista!$U$5&lt;44,SUM(LARGE(BV20:DL20,{1;2;3;4;5;6;7;8;9;10})),
IF(Arrangörslista!$U$5&lt;48,SUM(LARGE(BV20:DP20,{1;2;3;4;5;6;7;8;9;10;11})),
IF(Arrangörslista!$U$5&lt;52,SUM(LARGE(BV20:DT20,{1;2;3;4;5;6;7;8;9;10;11;12})),
IF(Arrangörslista!$U$5&lt;56,SUM(LARGE(BV20:DX20,{1;2;3;4;5;6;7;8;9;10;11;12;13})),
IF(Arrangörslista!$U$5&lt;60,SUM(LARGE(BV20:EB20,{1;2;3;4;5;6;7;8;9;10;11;12;13;14})),
IF(Arrangörslista!$U$5=60,SUM(LARGE(BV20:EC20,{1;2;3;4;5;6;7;8;9;10;11;12;13;14;15})),0))))))))))))))))))</f>
        <v>0</v>
      </c>
      <c r="EG20" s="67">
        <f t="shared" si="62"/>
        <v>0</v>
      </c>
      <c r="EH20" s="61"/>
      <c r="EI20" s="61"/>
      <c r="EK20" s="62">
        <f t="shared" si="63"/>
        <v>61</v>
      </c>
      <c r="EL20" s="62">
        <f t="shared" si="64"/>
        <v>61</v>
      </c>
      <c r="EM20" s="62">
        <f t="shared" si="65"/>
        <v>61</v>
      </c>
      <c r="EN20" s="62">
        <f t="shared" si="66"/>
        <v>61</v>
      </c>
      <c r="EO20" s="62">
        <f t="shared" si="67"/>
        <v>61</v>
      </c>
      <c r="EP20" s="62">
        <f t="shared" si="68"/>
        <v>61</v>
      </c>
      <c r="EQ20" s="62">
        <f t="shared" si="69"/>
        <v>61</v>
      </c>
      <c r="ER20" s="62">
        <f t="shared" si="70"/>
        <v>61</v>
      </c>
      <c r="ES20" s="62">
        <f t="shared" si="71"/>
        <v>61</v>
      </c>
      <c r="ET20" s="62">
        <f t="shared" si="72"/>
        <v>61</v>
      </c>
      <c r="EU20" s="62">
        <f t="shared" si="73"/>
        <v>61</v>
      </c>
      <c r="EV20" s="62">
        <f t="shared" si="74"/>
        <v>61</v>
      </c>
      <c r="EW20" s="62">
        <f t="shared" si="75"/>
        <v>61</v>
      </c>
      <c r="EX20" s="62">
        <f t="shared" si="76"/>
        <v>61</v>
      </c>
      <c r="EY20" s="62">
        <f t="shared" si="77"/>
        <v>61</v>
      </c>
      <c r="EZ20" s="62">
        <f t="shared" si="78"/>
        <v>61</v>
      </c>
      <c r="FA20" s="62">
        <f t="shared" si="79"/>
        <v>61</v>
      </c>
      <c r="FB20" s="62">
        <f t="shared" si="80"/>
        <v>61</v>
      </c>
      <c r="FC20" s="62">
        <f t="shared" si="81"/>
        <v>61</v>
      </c>
      <c r="FD20" s="62">
        <f t="shared" si="82"/>
        <v>61</v>
      </c>
      <c r="FE20" s="62">
        <f t="shared" si="83"/>
        <v>61</v>
      </c>
      <c r="FF20" s="62">
        <f t="shared" si="84"/>
        <v>61</v>
      </c>
      <c r="FG20" s="62">
        <f t="shared" si="85"/>
        <v>61</v>
      </c>
      <c r="FH20" s="62">
        <f t="shared" si="86"/>
        <v>61</v>
      </c>
      <c r="FI20" s="62">
        <f t="shared" si="87"/>
        <v>61</v>
      </c>
      <c r="FJ20" s="62">
        <f t="shared" si="88"/>
        <v>61</v>
      </c>
      <c r="FK20" s="62">
        <f t="shared" si="89"/>
        <v>61</v>
      </c>
      <c r="FL20" s="62">
        <f t="shared" si="90"/>
        <v>61</v>
      </c>
      <c r="FM20" s="62">
        <f t="shared" si="91"/>
        <v>61</v>
      </c>
      <c r="FN20" s="62">
        <f t="shared" si="92"/>
        <v>61</v>
      </c>
      <c r="FO20" s="62">
        <f t="shared" si="93"/>
        <v>61</v>
      </c>
      <c r="FP20" s="62">
        <f t="shared" si="94"/>
        <v>61</v>
      </c>
      <c r="FQ20" s="62">
        <f t="shared" si="95"/>
        <v>61</v>
      </c>
      <c r="FR20" s="62">
        <f t="shared" si="96"/>
        <v>61</v>
      </c>
      <c r="FS20" s="62">
        <f t="shared" si="97"/>
        <v>61</v>
      </c>
      <c r="FT20" s="62">
        <f t="shared" si="98"/>
        <v>61</v>
      </c>
      <c r="FU20" s="62">
        <f t="shared" si="99"/>
        <v>61</v>
      </c>
      <c r="FV20" s="62">
        <f t="shared" si="100"/>
        <v>61</v>
      </c>
      <c r="FW20" s="62">
        <f t="shared" si="101"/>
        <v>61</v>
      </c>
      <c r="FX20" s="62">
        <f t="shared" si="102"/>
        <v>61</v>
      </c>
      <c r="FY20" s="62">
        <f t="shared" si="103"/>
        <v>61</v>
      </c>
      <c r="FZ20" s="62">
        <f t="shared" si="104"/>
        <v>61</v>
      </c>
      <c r="GA20" s="62">
        <f t="shared" si="105"/>
        <v>61</v>
      </c>
      <c r="GB20" s="62">
        <f t="shared" si="106"/>
        <v>61</v>
      </c>
      <c r="GC20" s="62">
        <f t="shared" si="107"/>
        <v>61</v>
      </c>
      <c r="GD20" s="62">
        <f t="shared" si="108"/>
        <v>61</v>
      </c>
      <c r="GE20" s="62">
        <f t="shared" si="109"/>
        <v>61</v>
      </c>
      <c r="GF20" s="62">
        <f t="shared" si="110"/>
        <v>61</v>
      </c>
      <c r="GG20" s="62">
        <f t="shared" si="111"/>
        <v>61</v>
      </c>
      <c r="GH20" s="62">
        <f t="shared" si="112"/>
        <v>61</v>
      </c>
      <c r="GI20" s="62">
        <f t="shared" si="113"/>
        <v>61</v>
      </c>
      <c r="GJ20" s="62">
        <f t="shared" si="114"/>
        <v>61</v>
      </c>
      <c r="GK20" s="62">
        <f t="shared" si="115"/>
        <v>61</v>
      </c>
      <c r="GL20" s="62">
        <f t="shared" si="116"/>
        <v>61</v>
      </c>
      <c r="GM20" s="62">
        <f t="shared" si="117"/>
        <v>61</v>
      </c>
      <c r="GN20" s="62">
        <f t="shared" si="118"/>
        <v>61</v>
      </c>
      <c r="GO20" s="62">
        <f t="shared" si="119"/>
        <v>61</v>
      </c>
      <c r="GP20" s="62">
        <f t="shared" si="120"/>
        <v>61</v>
      </c>
      <c r="GQ20" s="62">
        <f t="shared" si="121"/>
        <v>61</v>
      </c>
      <c r="GR20" s="62">
        <f t="shared" si="122"/>
        <v>61</v>
      </c>
      <c r="GT20" s="62">
        <f>IF(Deltagarlista!$K$3=2,
IF(GW20="1",
      IF(Arrangörslista!$U$5=1,J83,
IF(Arrangörslista!$U$5=2,K83,
IF(Arrangörslista!$U$5=3,L83,
IF(Arrangörslista!$U$5=4,M83,
IF(Arrangörslista!$U$5=5,N83,
IF(Arrangörslista!$U$5=6,O83,
IF(Arrangörslista!$U$5=7,P83,
IF(Arrangörslista!$U$5=8,Q83,
IF(Arrangörslista!$U$5=9,R83,
IF(Arrangörslista!$U$5=10,S83,
IF(Arrangörslista!$U$5=11,T83,
IF(Arrangörslista!$U$5=12,U83,
IF(Arrangörslista!$U$5=13,V83,
IF(Arrangörslista!$U$5=14,W83,
IF(Arrangörslista!$U$5=15,X83,
IF(Arrangörslista!$U$5=16,Y83,IF(Arrangörslista!$U$5=17,Z83,IF(Arrangörslista!$U$5=18,AA83,IF(Arrangörslista!$U$5=19,AB83,IF(Arrangörslista!$U$5=20,AC83,IF(Arrangörslista!$U$5=21,AD83,IF(Arrangörslista!$U$5=22,AE83,IF(Arrangörslista!$U$5=23,AF83, IF(Arrangörslista!$U$5=24,AG83, IF(Arrangörslista!$U$5=25,AH83, IF(Arrangörslista!$U$5=26,AI83, IF(Arrangörslista!$U$5=27,AJ83, IF(Arrangörslista!$U$5=28,AK83, IF(Arrangörslista!$U$5=29,AL83, IF(Arrangörslista!$U$5=30,AM83, IF(Arrangörslista!$U$5=31,AN83, IF(Arrangörslista!$U$5=32,AO83, IF(Arrangörslista!$U$5=33,AP83, IF(Arrangörslista!$U$5=34,AQ83, IF(Arrangörslista!$U$5=35,AR83, IF(Arrangörslista!$U$5=36,AS83, IF(Arrangörslista!$U$5=37,AT83, IF(Arrangörslista!$U$5=38,AU83, IF(Arrangörslista!$U$5=39,AV83, IF(Arrangörslista!$U$5=40,AW83, IF(Arrangörslista!$U$5=41,AX83, IF(Arrangörslista!$U$5=42,AY83, IF(Arrangörslista!$U$5=43,AZ83, IF(Arrangörslista!$U$5=44,BA83, IF(Arrangörslista!$U$5=45,BB83, IF(Arrangörslista!$U$5=46,BC83, IF(Arrangörslista!$U$5=47,BD83, IF(Arrangörslista!$U$5=48,BE83, IF(Arrangörslista!$U$5=49,BF83, IF(Arrangörslista!$U$5=50,BG83, IF(Arrangörslista!$U$5=51,BH83, IF(Arrangörslista!$U$5=52,BI83, IF(Arrangörslista!$U$5=53,BJ83, IF(Arrangörslista!$U$5=54,BK83, IF(Arrangörslista!$U$5=55,BL83, IF(Arrangörslista!$U$5=56,BM83, IF(Arrangörslista!$U$5=57,BN83, IF(Arrangörslista!$U$5=58,BO83, IF(Arrangörslista!$U$5=59,BP83, IF(Arrangörslista!$U$5=60,BQ83,0))))))))))))))))))))))))))))))))))))))))))))))))))))))))))))),IF(Deltagarlista!$K$3=4, IF(Arrangörslista!$U$5=1,J83,
IF(Arrangörslista!$U$5=2,J83,
IF(Arrangörslista!$U$5=3,K83,
IF(Arrangörslista!$U$5=4,K83,
IF(Arrangörslista!$U$5=5,L83,
IF(Arrangörslista!$U$5=6,L83,
IF(Arrangörslista!$U$5=7,M83,
IF(Arrangörslista!$U$5=8,M83,
IF(Arrangörslista!$U$5=9,N83,
IF(Arrangörslista!$U$5=10,N83,
IF(Arrangörslista!$U$5=11,O83,
IF(Arrangörslista!$U$5=12,O83,
IF(Arrangörslista!$U$5=13,P83,
IF(Arrangörslista!$U$5=14,P83,
IF(Arrangörslista!$U$5=15,Q83,
IF(Arrangörslista!$U$5=16,Q83,
IF(Arrangörslista!$U$5=17,R83,
IF(Arrangörslista!$U$5=18,R83,
IF(Arrangörslista!$U$5=19,S83,
IF(Arrangörslista!$U$5=20,S83,
IF(Arrangörslista!$U$5=21,T83,
IF(Arrangörslista!$U$5=22,T83,IF(Arrangörslista!$U$5=23,U83, IF(Arrangörslista!$U$5=24,U83, IF(Arrangörslista!$U$5=25,V83, IF(Arrangörslista!$U$5=26,V83, IF(Arrangörslista!$U$5=27,W83, IF(Arrangörslista!$U$5=28,W83, IF(Arrangörslista!$U$5=29,X83, IF(Arrangörslista!$U$5=30,X83, IF(Arrangörslista!$U$5=31,X83, IF(Arrangörslista!$U$5=32,Y83, IF(Arrangörslista!$U$5=33,AO83, IF(Arrangörslista!$U$5=34,Y83, IF(Arrangörslista!$U$5=35,Z83, IF(Arrangörslista!$U$5=36,AR83, IF(Arrangörslista!$U$5=37,Z83, IF(Arrangörslista!$U$5=38,AA83, IF(Arrangörslista!$U$5=39,AU83, IF(Arrangörslista!$U$5=40,AA83, IF(Arrangörslista!$U$5=41,AB83, IF(Arrangörslista!$U$5=42,AX83, IF(Arrangörslista!$U$5=43,AB83, IF(Arrangörslista!$U$5=44,AC83, IF(Arrangörslista!$U$5=45,BA83, IF(Arrangörslista!$U$5=46,AC83, IF(Arrangörslista!$U$5=47,AD83, IF(Arrangörslista!$U$5=48,BD83, IF(Arrangörslista!$U$5=49,AD83, IF(Arrangörslista!$U$5=50,AE83, IF(Arrangörslista!$U$5=51,BG83, IF(Arrangörslista!$U$5=52,AE83, IF(Arrangörslista!$U$5=53,AF83, IF(Arrangörslista!$U$5=54,BJ83, IF(Arrangörslista!$U$5=55,AF83, IF(Arrangörslista!$U$5=56,AG83, IF(Arrangörslista!$U$5=57,BM83, IF(Arrangörslista!$U$5=58,AG83, IF(Arrangörslista!$U$5=59,AH83, IF(Arrangörslista!$U$5=60,AH83,0)))))))))))))))))))))))))))))))))))))))))))))))))))))))))))),IF(Arrangörslista!$U$5=1,J83,
IF(Arrangörslista!$U$5=2,K83,
IF(Arrangörslista!$U$5=3,L83,
IF(Arrangörslista!$U$5=4,M83,
IF(Arrangörslista!$U$5=5,N83,
IF(Arrangörslista!$U$5=6,O83,
IF(Arrangörslista!$U$5=7,P83,
IF(Arrangörslista!$U$5=8,Q83,
IF(Arrangörslista!$U$5=9,R83,
IF(Arrangörslista!$U$5=10,S83,
IF(Arrangörslista!$U$5=11,T83,
IF(Arrangörslista!$U$5=12,U83,
IF(Arrangörslista!$U$5=13,V83,
IF(Arrangörslista!$U$5=14,W83,
IF(Arrangörslista!$U$5=15,X83,
IF(Arrangörslista!$U$5=16,Y83,IF(Arrangörslista!$U$5=17,Z83,IF(Arrangörslista!$U$5=18,AA83,IF(Arrangörslista!$U$5=19,AB83,IF(Arrangörslista!$U$5=20,AC83,IF(Arrangörslista!$U$5=21,AD83,IF(Arrangörslista!$U$5=22,AE83,IF(Arrangörslista!$U$5=23,AF83, IF(Arrangörslista!$U$5=24,AG83, IF(Arrangörslista!$U$5=25,AH83, IF(Arrangörslista!$U$5=26,AI83, IF(Arrangörslista!$U$5=27,AJ83, IF(Arrangörslista!$U$5=28,AK83, IF(Arrangörslista!$U$5=29,AL83, IF(Arrangörslista!$U$5=30,AM83, IF(Arrangörslista!$U$5=31,AN83, IF(Arrangörslista!$U$5=32,AO83, IF(Arrangörslista!$U$5=33,AP83, IF(Arrangörslista!$U$5=34,AQ83, IF(Arrangörslista!$U$5=35,AR83, IF(Arrangörslista!$U$5=36,AS83, IF(Arrangörslista!$U$5=37,AT83, IF(Arrangörslista!$U$5=38,AU83, IF(Arrangörslista!$U$5=39,AV83, IF(Arrangörslista!$U$5=40,AW83, IF(Arrangörslista!$U$5=41,AX83, IF(Arrangörslista!$U$5=42,AY83, IF(Arrangörslista!$U$5=43,AZ83, IF(Arrangörslista!$U$5=44,BA83, IF(Arrangörslista!$U$5=45,BB83, IF(Arrangörslista!$U$5=46,BC83, IF(Arrangörslista!$U$5=47,BD83, IF(Arrangörslista!$U$5=48,BE83, IF(Arrangörslista!$U$5=49,BF83, IF(Arrangörslista!$U$5=50,BG83, IF(Arrangörslista!$U$5=51,BH83, IF(Arrangörslista!$U$5=52,BI83, IF(Arrangörslista!$U$5=53,BJ83, IF(Arrangörslista!$U$5=54,BK83, IF(Arrangörslista!$U$5=55,BL83, IF(Arrangörslista!$U$5=56,BM83, IF(Arrangörslista!$U$5=57,BN83, IF(Arrangörslista!$U$5=58,BO83, IF(Arrangörslista!$U$5=59,BP83, IF(Arrangörslista!$U$5=60,BQ83,0))))))))))))))))))))))))))))))))))))))))))))))))))))))))))))
))</f>
        <v>0</v>
      </c>
      <c r="GV20" s="65" t="str">
        <f>IFERROR(IF(VLOOKUP(F20,Deltagarlista!$E$5:$I$64,5,FALSE)="Grön","Gr",IF(VLOOKUP(F20,Deltagarlista!$E$5:$I$64,5,FALSE)="Röd","R",IF(VLOOKUP(F20,Deltagarlista!$E$5:$I$64,5,FALSE)="Blå","B","Gu"))),"")</f>
        <v/>
      </c>
      <c r="GW20" s="62" t="str">
        <f t="shared" si="124"/>
        <v/>
      </c>
    </row>
    <row r="21" spans="2:205" x14ac:dyDescent="0.3">
      <c r="B21" s="23" t="str">
        <f>IF((COUNTIF(Deltagarlista!$H$5:$H$64,"GM"))&gt;17,18,"")</f>
        <v/>
      </c>
      <c r="C21" s="92" t="str">
        <f>IF(ISBLANK(Deltagarlista!C45),"",Deltagarlista!C45)</f>
        <v/>
      </c>
      <c r="D21" s="109" t="str">
        <f>CONCATENATE(IF(Deltagarlista!H45="GM","GM   ",""), IF(OR(Deltagarlista!$K$3=4,Deltagarlista!$K$3=2),Deltagarlista!I45,""))</f>
        <v/>
      </c>
      <c r="E21" s="8" t="str">
        <f>IF(ISBLANK(Deltagarlista!D45),"",Deltagarlista!D45)</f>
        <v/>
      </c>
      <c r="F21" s="8" t="str">
        <f>IF(ISBLANK(Deltagarlista!E45),"",Deltagarlista!E45)</f>
        <v/>
      </c>
      <c r="G21" s="95" t="str">
        <f>IF(ISBLANK(Deltagarlista!F45),"",Deltagarlista!F45)</f>
        <v/>
      </c>
      <c r="H21" s="72" t="str">
        <f>IF(ISBLANK(Deltagarlista!C45),"",BU21-EE21)</f>
        <v/>
      </c>
      <c r="I21" s="13" t="str">
        <f>IF(ISBLANK(Deltagarlista!C45),"",IF(AND(Deltagarlista!$K$3=2,Deltagarlista!$L$3&lt;37),SUM(SUM(BV21:EC21)-(ROUNDDOWN(Arrangörslista!$U$5/3,1))*($BW$3+1)),SUM(BV21:EC21)))</f>
        <v/>
      </c>
      <c r="J21" s="79" t="str">
        <f>IF(Deltagarlista!$K$3=4,IF(ISBLANK(Deltagarlista!$C45),"",IF(ISBLANK(Arrangörslista!C$8),"",IFERROR(VLOOKUP($F21,Arrangörslista!C$8:$AG$45,16,FALSE),IF(ISBLANK(Deltagarlista!$C45),"",IF(ISBLANK(Arrangörslista!C$8),"",IFERROR(VLOOKUP($F21,Arrangörslista!D$8:$AG$45,16,FALSE),"DNS")))))),IF(Deltagarlista!$K$3=2,
IF(ISBLANK(Deltagarlista!$C45),"",IF(ISBLANK(Arrangörslista!C$8),"",IF($GV21=J$64," DNS ",IFERROR(VLOOKUP($F21,Arrangörslista!C$8:$AG$45,16,FALSE),"DNS")))),IF(ISBLANK(Deltagarlista!$C45),"",IF(ISBLANK(Arrangörslista!C$8),"",IFERROR(VLOOKUP($F21,Arrangörslista!C$8:$AG$45,16,FALSE),"DNS")))))</f>
        <v/>
      </c>
      <c r="K21" s="5" t="str">
        <f>IF(Deltagarlista!$K$3=4,IF(ISBLANK(Deltagarlista!$C45),"",IF(ISBLANK(Arrangörslista!E$8),"",IFERROR(VLOOKUP($F21,Arrangörslista!E$8:$AG$45,16,FALSE),IF(ISBLANK(Deltagarlista!$C45),"",IF(ISBLANK(Arrangörslista!E$8),"",IFERROR(VLOOKUP($F21,Arrangörslista!F$8:$AG$45,16,FALSE),"DNS")))))),IF(Deltagarlista!$K$3=2,
IF(ISBLANK(Deltagarlista!$C45),"",IF(ISBLANK(Arrangörslista!D$8),"",IF($GV21=K$64," DNS ",IFERROR(VLOOKUP($F21,Arrangörslista!D$8:$AG$45,16,FALSE),"DNS")))),IF(ISBLANK(Deltagarlista!$C45),"",IF(ISBLANK(Arrangörslista!D$8),"",IFERROR(VLOOKUP($F21,Arrangörslista!D$8:$AG$45,16,FALSE),"DNS")))))</f>
        <v/>
      </c>
      <c r="L21" s="5" t="str">
        <f>IF(Deltagarlista!$K$3=4,IF(ISBLANK(Deltagarlista!$C45),"",IF(ISBLANK(Arrangörslista!G$8),"",IFERROR(VLOOKUP($F21,Arrangörslista!G$8:$AG$45,16,FALSE),IF(ISBLANK(Deltagarlista!$C45),"",IF(ISBLANK(Arrangörslista!G$8),"",IFERROR(VLOOKUP($F21,Arrangörslista!H$8:$AG$45,16,FALSE),"DNS")))))),IF(Deltagarlista!$K$3=2,
IF(ISBLANK(Deltagarlista!$C45),"",IF(ISBLANK(Arrangörslista!E$8),"",IF($GV21=L$64," DNS ",IFERROR(VLOOKUP($F21,Arrangörslista!E$8:$AG$45,16,FALSE),"DNS")))),IF(ISBLANK(Deltagarlista!$C45),"",IF(ISBLANK(Arrangörslista!E$8),"",IFERROR(VLOOKUP($F21,Arrangörslista!E$8:$AG$45,16,FALSE),"DNS")))))</f>
        <v/>
      </c>
      <c r="M21" s="5" t="str">
        <f>IF(Deltagarlista!$K$3=4,IF(ISBLANK(Deltagarlista!$C45),"",IF(ISBLANK(Arrangörslista!I$8),"",IFERROR(VLOOKUP($F21,Arrangörslista!I$8:$AG$45,16,FALSE),IF(ISBLANK(Deltagarlista!$C45),"",IF(ISBLANK(Arrangörslista!I$8),"",IFERROR(VLOOKUP($F21,Arrangörslista!J$8:$AG$45,16,FALSE),"DNS")))))),IF(Deltagarlista!$K$3=2,
IF(ISBLANK(Deltagarlista!$C45),"",IF(ISBLANK(Arrangörslista!F$8),"",IF($GV21=M$64," DNS ",IFERROR(VLOOKUP($F21,Arrangörslista!F$8:$AG$45,16,FALSE),"DNS")))),IF(ISBLANK(Deltagarlista!$C45),"",IF(ISBLANK(Arrangörslista!F$8),"",IFERROR(VLOOKUP($F21,Arrangörslista!F$8:$AG$45,16,FALSE),"DNS")))))</f>
        <v/>
      </c>
      <c r="N21" s="5" t="str">
        <f>IF(Deltagarlista!$K$3=4,IF(ISBLANK(Deltagarlista!$C45),"",IF(ISBLANK(Arrangörslista!K$8),"",IFERROR(VLOOKUP($F21,Arrangörslista!K$8:$AG$45,16,FALSE),IF(ISBLANK(Deltagarlista!$C45),"",IF(ISBLANK(Arrangörslista!K$8),"",IFERROR(VLOOKUP($F21,Arrangörslista!L$8:$AG$45,16,FALSE),"DNS")))))),IF(Deltagarlista!$K$3=2,
IF(ISBLANK(Deltagarlista!$C45),"",IF(ISBLANK(Arrangörslista!G$8),"",IF($GV21=N$64," DNS ",IFERROR(VLOOKUP($F21,Arrangörslista!G$8:$AG$45,16,FALSE),"DNS")))),IF(ISBLANK(Deltagarlista!$C45),"",IF(ISBLANK(Arrangörslista!G$8),"",IFERROR(VLOOKUP($F21,Arrangörslista!G$8:$AG$45,16,FALSE),"DNS")))))</f>
        <v/>
      </c>
      <c r="O21" s="5" t="str">
        <f>IF(Deltagarlista!$K$3=4,IF(ISBLANK(Deltagarlista!$C45),"",IF(ISBLANK(Arrangörslista!M$8),"",IFERROR(VLOOKUP($F21,Arrangörslista!M$8:$AG$45,16,FALSE),IF(ISBLANK(Deltagarlista!$C45),"",IF(ISBLANK(Arrangörslista!M$8),"",IFERROR(VLOOKUP($F21,Arrangörslista!N$8:$AG$45,16,FALSE),"DNS")))))),IF(Deltagarlista!$K$3=2,
IF(ISBLANK(Deltagarlista!$C45),"",IF(ISBLANK(Arrangörslista!H$8),"",IF($GV21=O$64," DNS ",IFERROR(VLOOKUP($F21,Arrangörslista!H$8:$AG$45,16,FALSE),"DNS")))),IF(ISBLANK(Deltagarlista!$C45),"",IF(ISBLANK(Arrangörslista!H$8),"",IFERROR(VLOOKUP($F21,Arrangörslista!H$8:$AG$45,16,FALSE),"DNS")))))</f>
        <v/>
      </c>
      <c r="P21" s="5" t="str">
        <f>IF(Deltagarlista!$K$3=4,IF(ISBLANK(Deltagarlista!$C45),"",IF(ISBLANK(Arrangörslista!O$8),"",IFERROR(VLOOKUP($F21,Arrangörslista!O$8:$AG$45,16,FALSE),IF(ISBLANK(Deltagarlista!$C45),"",IF(ISBLANK(Arrangörslista!O$8),"",IFERROR(VLOOKUP($F21,Arrangörslista!P$8:$AG$45,16,FALSE),"DNS")))))),IF(Deltagarlista!$K$3=2,
IF(ISBLANK(Deltagarlista!$C45),"",IF(ISBLANK(Arrangörslista!I$8),"",IF($GV21=P$64," DNS ",IFERROR(VLOOKUP($F21,Arrangörslista!I$8:$AG$45,16,FALSE),"DNS")))),IF(ISBLANK(Deltagarlista!$C45),"",IF(ISBLANK(Arrangörslista!I$8),"",IFERROR(VLOOKUP($F21,Arrangörslista!I$8:$AG$45,16,FALSE),"DNS")))))</f>
        <v/>
      </c>
      <c r="Q21" s="5" t="str">
        <f>IF(Deltagarlista!$K$3=4,IF(ISBLANK(Deltagarlista!$C45),"",IF(ISBLANK(Arrangörslista!Q$8),"",IFERROR(VLOOKUP($F21,Arrangörslista!Q$8:$AG$45,16,FALSE),IF(ISBLANK(Deltagarlista!$C45),"",IF(ISBLANK(Arrangörslista!Q$8),"",IFERROR(VLOOKUP($F21,Arrangörslista!C$53:$AG$90,16,FALSE),"DNS")))))),IF(Deltagarlista!$K$3=2,
IF(ISBLANK(Deltagarlista!$C45),"",IF(ISBLANK(Arrangörslista!J$8),"",IF($GV21=Q$64," DNS ",IFERROR(VLOOKUP($F21,Arrangörslista!J$8:$AG$45,16,FALSE),"DNS")))),IF(ISBLANK(Deltagarlista!$C45),"",IF(ISBLANK(Arrangörslista!J$8),"",IFERROR(VLOOKUP($F21,Arrangörslista!J$8:$AG$45,16,FALSE),"DNS")))))</f>
        <v/>
      </c>
      <c r="R21" s="5" t="str">
        <f>IF(Deltagarlista!$K$3=4,IF(ISBLANK(Deltagarlista!$C45),"",IF(ISBLANK(Arrangörslista!D$53),"",IFERROR(VLOOKUP($F21,Arrangörslista!D$53:$AG$90,16,FALSE),IF(ISBLANK(Deltagarlista!$C45),"",IF(ISBLANK(Arrangörslista!D$53),"",IFERROR(VLOOKUP($F21,Arrangörslista!E$53:$AG$90,16,FALSE),"DNS")))))),IF(Deltagarlista!$K$3=2,
IF(ISBLANK(Deltagarlista!$C45),"",IF(ISBLANK(Arrangörslista!K$8),"",IF($GV21=R$64," DNS ",IFERROR(VLOOKUP($F21,Arrangörslista!K$8:$AG$45,16,FALSE),"DNS")))),IF(ISBLANK(Deltagarlista!$C45),"",IF(ISBLANK(Arrangörslista!K$8),"",IFERROR(VLOOKUP($F21,Arrangörslista!K$8:$AG$45,16,FALSE),"DNS")))))</f>
        <v/>
      </c>
      <c r="S21" s="5" t="str">
        <f>IF(Deltagarlista!$K$3=4,IF(ISBLANK(Deltagarlista!$C45),"",IF(ISBLANK(Arrangörslista!F$53),"",IFERROR(VLOOKUP($F21,Arrangörslista!F$53:$AG$90,16,FALSE),IF(ISBLANK(Deltagarlista!$C45),"",IF(ISBLANK(Arrangörslista!F$53),"",IFERROR(VLOOKUP($F21,Arrangörslista!G$53:$AG$90,16,FALSE),"DNS")))))),IF(Deltagarlista!$K$3=2,
IF(ISBLANK(Deltagarlista!$C45),"",IF(ISBLANK(Arrangörslista!L$8),"",IF($GV21=S$64," DNS ",IFERROR(VLOOKUP($F21,Arrangörslista!L$8:$AG$45,16,FALSE),"DNS")))),IF(ISBLANK(Deltagarlista!$C45),"",IF(ISBLANK(Arrangörslista!L$8),"",IFERROR(VLOOKUP($F21,Arrangörslista!L$8:$AG$45,16,FALSE),"DNS")))))</f>
        <v/>
      </c>
      <c r="T21" s="5" t="str">
        <f>IF(Deltagarlista!$K$3=4,IF(ISBLANK(Deltagarlista!$C45),"",IF(ISBLANK(Arrangörslista!H$53),"",IFERROR(VLOOKUP($F21,Arrangörslista!H$53:$AG$90,16,FALSE),IF(ISBLANK(Deltagarlista!$C45),"",IF(ISBLANK(Arrangörslista!H$53),"",IFERROR(VLOOKUP($F21,Arrangörslista!I$53:$AG$90,16,FALSE),"DNS")))))),IF(Deltagarlista!$K$3=2,
IF(ISBLANK(Deltagarlista!$C45),"",IF(ISBLANK(Arrangörslista!M$8),"",IF($GV21=T$64," DNS ",IFERROR(VLOOKUP($F21,Arrangörslista!M$8:$AG$45,16,FALSE),"DNS")))),IF(ISBLANK(Deltagarlista!$C45),"",IF(ISBLANK(Arrangörslista!M$8),"",IFERROR(VLOOKUP($F21,Arrangörslista!M$8:$AG$45,16,FALSE),"DNS")))))</f>
        <v/>
      </c>
      <c r="U21" s="5" t="str">
        <f>IF(Deltagarlista!$K$3=4,IF(ISBLANK(Deltagarlista!$C45),"",IF(ISBLANK(Arrangörslista!J$53),"",IFERROR(VLOOKUP($F21,Arrangörslista!J$53:$AG$90,16,FALSE),IF(ISBLANK(Deltagarlista!$C45),"",IF(ISBLANK(Arrangörslista!J$53),"",IFERROR(VLOOKUP($F21,Arrangörslista!K$53:$AG$90,16,FALSE),"DNS")))))),IF(Deltagarlista!$K$3=2,
IF(ISBLANK(Deltagarlista!$C45),"",IF(ISBLANK(Arrangörslista!N$8),"",IF($GV21=U$64," DNS ",IFERROR(VLOOKUP($F21,Arrangörslista!N$8:$AG$45,16,FALSE),"DNS")))),IF(ISBLANK(Deltagarlista!$C45),"",IF(ISBLANK(Arrangörslista!N$8),"",IFERROR(VLOOKUP($F21,Arrangörslista!N$8:$AG$45,16,FALSE),"DNS")))))</f>
        <v/>
      </c>
      <c r="V21" s="5" t="str">
        <f>IF(Deltagarlista!$K$3=4,IF(ISBLANK(Deltagarlista!$C45),"",IF(ISBLANK(Arrangörslista!L$53),"",IFERROR(VLOOKUP($F21,Arrangörslista!L$53:$AG$90,16,FALSE),IF(ISBLANK(Deltagarlista!$C45),"",IF(ISBLANK(Arrangörslista!L$53),"",IFERROR(VLOOKUP($F21,Arrangörslista!M$53:$AG$90,16,FALSE),"DNS")))))),IF(Deltagarlista!$K$3=2,
IF(ISBLANK(Deltagarlista!$C45),"",IF(ISBLANK(Arrangörslista!O$8),"",IF($GV21=V$64," DNS ",IFERROR(VLOOKUP($F21,Arrangörslista!O$8:$AG$45,16,FALSE),"DNS")))),IF(ISBLANK(Deltagarlista!$C45),"",IF(ISBLANK(Arrangörslista!O$8),"",IFERROR(VLOOKUP($F21,Arrangörslista!O$8:$AG$45,16,FALSE),"DNS")))))</f>
        <v/>
      </c>
      <c r="W21" s="5" t="str">
        <f>IF(Deltagarlista!$K$3=4,IF(ISBLANK(Deltagarlista!$C45),"",IF(ISBLANK(Arrangörslista!N$53),"",IFERROR(VLOOKUP($F21,Arrangörslista!N$53:$AG$90,16,FALSE),IF(ISBLANK(Deltagarlista!$C45),"",IF(ISBLANK(Arrangörslista!N$53),"",IFERROR(VLOOKUP($F21,Arrangörslista!O$53:$AG$90,16,FALSE),"DNS")))))),IF(Deltagarlista!$K$3=2,
IF(ISBLANK(Deltagarlista!$C45),"",IF(ISBLANK(Arrangörslista!P$8),"",IF($GV21=W$64," DNS ",IFERROR(VLOOKUP($F21,Arrangörslista!P$8:$AG$45,16,FALSE),"DNS")))),IF(ISBLANK(Deltagarlista!$C45),"",IF(ISBLANK(Arrangörslista!P$8),"",IFERROR(VLOOKUP($F21,Arrangörslista!P$8:$AG$45,16,FALSE),"DNS")))))</f>
        <v/>
      </c>
      <c r="X21" s="5" t="str">
        <f>IF(Deltagarlista!$K$3=4,IF(ISBLANK(Deltagarlista!$C45),"",IF(ISBLANK(Arrangörslista!P$53),"",IFERROR(VLOOKUP($F21,Arrangörslista!P$53:$AG$90,16,FALSE),IF(ISBLANK(Deltagarlista!$C45),"",IF(ISBLANK(Arrangörslista!P$53),"",IFERROR(VLOOKUP($F21,Arrangörslista!Q$53:$AG$90,16,FALSE),"DNS")))))),IF(Deltagarlista!$K$3=2,
IF(ISBLANK(Deltagarlista!$C45),"",IF(ISBLANK(Arrangörslista!Q$8),"",IF($GV21=X$64," DNS ",IFERROR(VLOOKUP($F21,Arrangörslista!Q$8:$AG$45,16,FALSE),"DNS")))),IF(ISBLANK(Deltagarlista!$C45),"",IF(ISBLANK(Arrangörslista!Q$8),"",IFERROR(VLOOKUP($F21,Arrangörslista!Q$8:$AG$45,16,FALSE),"DNS")))))</f>
        <v/>
      </c>
      <c r="Y21" s="5" t="str">
        <f>IF(Deltagarlista!$K$3=4,IF(ISBLANK(Deltagarlista!$C45),"",IF(ISBLANK(Arrangörslista!C$98),"",IFERROR(VLOOKUP($F21,Arrangörslista!C$98:$AG$135,16,FALSE),IF(ISBLANK(Deltagarlista!$C45),"",IF(ISBLANK(Arrangörslista!C$98),"",IFERROR(VLOOKUP($F21,Arrangörslista!D$98:$AG$135,16,FALSE),"DNS")))))),IF(Deltagarlista!$K$3=2,
IF(ISBLANK(Deltagarlista!$C45),"",IF(ISBLANK(Arrangörslista!C$53),"",IF($GV21=Y$64," DNS ",IFERROR(VLOOKUP($F21,Arrangörslista!C$53:$AG$90,16,FALSE),"DNS")))),IF(ISBLANK(Deltagarlista!$C45),"",IF(ISBLANK(Arrangörslista!C$53),"",IFERROR(VLOOKUP($F21,Arrangörslista!C$53:$AG$90,16,FALSE),"DNS")))))</f>
        <v/>
      </c>
      <c r="Z21" s="5" t="str">
        <f>IF(Deltagarlista!$K$3=4,IF(ISBLANK(Deltagarlista!$C45),"",IF(ISBLANK(Arrangörslista!E$98),"",IFERROR(VLOOKUP($F21,Arrangörslista!E$98:$AG$135,16,FALSE),IF(ISBLANK(Deltagarlista!$C45),"",IF(ISBLANK(Arrangörslista!E$98),"",IFERROR(VLOOKUP($F21,Arrangörslista!F$98:$AG$135,16,FALSE),"DNS")))))),IF(Deltagarlista!$K$3=2,
IF(ISBLANK(Deltagarlista!$C45),"",IF(ISBLANK(Arrangörslista!D$53),"",IF($GV21=Z$64," DNS ",IFERROR(VLOOKUP($F21,Arrangörslista!D$53:$AG$90,16,FALSE),"DNS")))),IF(ISBLANK(Deltagarlista!$C45),"",IF(ISBLANK(Arrangörslista!D$53),"",IFERROR(VLOOKUP($F21,Arrangörslista!D$53:$AG$90,16,FALSE),"DNS")))))</f>
        <v/>
      </c>
      <c r="AA21" s="5" t="str">
        <f>IF(Deltagarlista!$K$3=4,IF(ISBLANK(Deltagarlista!$C45),"",IF(ISBLANK(Arrangörslista!G$98),"",IFERROR(VLOOKUP($F21,Arrangörslista!G$98:$AG$135,16,FALSE),IF(ISBLANK(Deltagarlista!$C45),"",IF(ISBLANK(Arrangörslista!G$98),"",IFERROR(VLOOKUP($F21,Arrangörslista!H$98:$AG$135,16,FALSE),"DNS")))))),IF(Deltagarlista!$K$3=2,
IF(ISBLANK(Deltagarlista!$C45),"",IF(ISBLANK(Arrangörslista!E$53),"",IF($GV21=AA$64," DNS ",IFERROR(VLOOKUP($F21,Arrangörslista!E$53:$AG$90,16,FALSE),"DNS")))),IF(ISBLANK(Deltagarlista!$C45),"",IF(ISBLANK(Arrangörslista!E$53),"",IFERROR(VLOOKUP($F21,Arrangörslista!E$53:$AG$90,16,FALSE),"DNS")))))</f>
        <v/>
      </c>
      <c r="AB21" s="5" t="str">
        <f>IF(Deltagarlista!$K$3=4,IF(ISBLANK(Deltagarlista!$C45),"",IF(ISBLANK(Arrangörslista!I$98),"",IFERROR(VLOOKUP($F21,Arrangörslista!I$98:$AG$135,16,FALSE),IF(ISBLANK(Deltagarlista!$C45),"",IF(ISBLANK(Arrangörslista!I$98),"",IFERROR(VLOOKUP($F21,Arrangörslista!J$98:$AG$135,16,FALSE),"DNS")))))),IF(Deltagarlista!$K$3=2,
IF(ISBLANK(Deltagarlista!$C45),"",IF(ISBLANK(Arrangörslista!F$53),"",IF($GV21=AB$64," DNS ",IFERROR(VLOOKUP($F21,Arrangörslista!F$53:$AG$90,16,FALSE),"DNS")))),IF(ISBLANK(Deltagarlista!$C45),"",IF(ISBLANK(Arrangörslista!F$53),"",IFERROR(VLOOKUP($F21,Arrangörslista!F$53:$AG$90,16,FALSE),"DNS")))))</f>
        <v/>
      </c>
      <c r="AC21" s="5" t="str">
        <f>IF(Deltagarlista!$K$3=4,IF(ISBLANK(Deltagarlista!$C45),"",IF(ISBLANK(Arrangörslista!K$98),"",IFERROR(VLOOKUP($F21,Arrangörslista!K$98:$AG$135,16,FALSE),IF(ISBLANK(Deltagarlista!$C45),"",IF(ISBLANK(Arrangörslista!K$98),"",IFERROR(VLOOKUP($F21,Arrangörslista!L$98:$AG$135,16,FALSE),"DNS")))))),IF(Deltagarlista!$K$3=2,
IF(ISBLANK(Deltagarlista!$C45),"",IF(ISBLANK(Arrangörslista!G$53),"",IF($GV21=AC$64," DNS ",IFERROR(VLOOKUP($F21,Arrangörslista!G$53:$AG$90,16,FALSE),"DNS")))),IF(ISBLANK(Deltagarlista!$C45),"",IF(ISBLANK(Arrangörslista!G$53),"",IFERROR(VLOOKUP($F21,Arrangörslista!G$53:$AG$90,16,FALSE),"DNS")))))</f>
        <v/>
      </c>
      <c r="AD21" s="5" t="str">
        <f>IF(Deltagarlista!$K$3=4,IF(ISBLANK(Deltagarlista!$C45),"",IF(ISBLANK(Arrangörslista!M$98),"",IFERROR(VLOOKUP($F21,Arrangörslista!M$98:$AG$135,16,FALSE),IF(ISBLANK(Deltagarlista!$C45),"",IF(ISBLANK(Arrangörslista!M$98),"",IFERROR(VLOOKUP($F21,Arrangörslista!N$98:$AG$135,16,FALSE),"DNS")))))),IF(Deltagarlista!$K$3=2,
IF(ISBLANK(Deltagarlista!$C45),"",IF(ISBLANK(Arrangörslista!H$53),"",IF($GV21=AD$64," DNS ",IFERROR(VLOOKUP($F21,Arrangörslista!H$53:$AG$90,16,FALSE),"DNS")))),IF(ISBLANK(Deltagarlista!$C45),"",IF(ISBLANK(Arrangörslista!H$53),"",IFERROR(VLOOKUP($F21,Arrangörslista!H$53:$AG$90,16,FALSE),"DNS")))))</f>
        <v/>
      </c>
      <c r="AE21" s="5" t="str">
        <f>IF(Deltagarlista!$K$3=4,IF(ISBLANK(Deltagarlista!$C45),"",IF(ISBLANK(Arrangörslista!O$98),"",IFERROR(VLOOKUP($F21,Arrangörslista!O$98:$AG$135,16,FALSE),IF(ISBLANK(Deltagarlista!$C45),"",IF(ISBLANK(Arrangörslista!O$98),"",IFERROR(VLOOKUP($F21,Arrangörslista!P$98:$AG$135,16,FALSE),"DNS")))))),IF(Deltagarlista!$K$3=2,
IF(ISBLANK(Deltagarlista!$C45),"",IF(ISBLANK(Arrangörslista!I$53),"",IF($GV21=AE$64," DNS ",IFERROR(VLOOKUP($F21,Arrangörslista!I$53:$AG$90,16,FALSE),"DNS")))),IF(ISBLANK(Deltagarlista!$C45),"",IF(ISBLANK(Arrangörslista!I$53),"",IFERROR(VLOOKUP($F21,Arrangörslista!I$53:$AG$90,16,FALSE),"DNS")))))</f>
        <v/>
      </c>
      <c r="AF21" s="5" t="str">
        <f>IF(Deltagarlista!$K$3=4,IF(ISBLANK(Deltagarlista!$C45),"",IF(ISBLANK(Arrangörslista!Q$98),"",IFERROR(VLOOKUP($F21,Arrangörslista!Q$98:$AG$135,16,FALSE),IF(ISBLANK(Deltagarlista!$C45),"",IF(ISBLANK(Arrangörslista!Q$98),"",IFERROR(VLOOKUP($F21,Arrangörslista!C$143:$AG$180,16,FALSE),"DNS")))))),IF(Deltagarlista!$K$3=2,
IF(ISBLANK(Deltagarlista!$C45),"",IF(ISBLANK(Arrangörslista!J$53),"",IF($GV21=AF$64," DNS ",IFERROR(VLOOKUP($F21,Arrangörslista!J$53:$AG$90,16,FALSE),"DNS")))),IF(ISBLANK(Deltagarlista!$C45),"",IF(ISBLANK(Arrangörslista!J$53),"",IFERROR(VLOOKUP($F21,Arrangörslista!J$53:$AG$90,16,FALSE),"DNS")))))</f>
        <v/>
      </c>
      <c r="AG21" s="5" t="str">
        <f>IF(Deltagarlista!$K$3=4,IF(ISBLANK(Deltagarlista!$C45),"",IF(ISBLANK(Arrangörslista!D$143),"",IFERROR(VLOOKUP($F21,Arrangörslista!D$143:$AG$180,16,FALSE),IF(ISBLANK(Deltagarlista!$C45),"",IF(ISBLANK(Arrangörslista!D$143),"",IFERROR(VLOOKUP($F21,Arrangörslista!E$143:$AG$180,16,FALSE),"DNS")))))),IF(Deltagarlista!$K$3=2,
IF(ISBLANK(Deltagarlista!$C45),"",IF(ISBLANK(Arrangörslista!K$53),"",IF($GV21=AG$64," DNS ",IFERROR(VLOOKUP($F21,Arrangörslista!K$53:$AG$90,16,FALSE),"DNS")))),IF(ISBLANK(Deltagarlista!$C45),"",IF(ISBLANK(Arrangörslista!K$53),"",IFERROR(VLOOKUP($F21,Arrangörslista!K$53:$AG$90,16,FALSE),"DNS")))))</f>
        <v/>
      </c>
      <c r="AH21" s="5" t="str">
        <f>IF(Deltagarlista!$K$3=4,IF(ISBLANK(Deltagarlista!$C45),"",IF(ISBLANK(Arrangörslista!F$143),"",IFERROR(VLOOKUP($F21,Arrangörslista!F$143:$AG$180,16,FALSE),IF(ISBLANK(Deltagarlista!$C45),"",IF(ISBLANK(Arrangörslista!F$143),"",IFERROR(VLOOKUP($F21,Arrangörslista!G$143:$AG$180,16,FALSE),"DNS")))))),IF(Deltagarlista!$K$3=2,
IF(ISBLANK(Deltagarlista!$C45),"",IF(ISBLANK(Arrangörslista!L$53),"",IF($GV21=AH$64," DNS ",IFERROR(VLOOKUP($F21,Arrangörslista!L$53:$AG$90,16,FALSE),"DNS")))),IF(ISBLANK(Deltagarlista!$C45),"",IF(ISBLANK(Arrangörslista!L$53),"",IFERROR(VLOOKUP($F21,Arrangörslista!L$53:$AG$90,16,FALSE),"DNS")))))</f>
        <v/>
      </c>
      <c r="AI21" s="5" t="str">
        <f>IF(Deltagarlista!$K$3=4,IF(ISBLANK(Deltagarlista!$C45),"",IF(ISBLANK(Arrangörslista!H$143),"",IFERROR(VLOOKUP($F21,Arrangörslista!H$143:$AG$180,16,FALSE),IF(ISBLANK(Deltagarlista!$C45),"",IF(ISBLANK(Arrangörslista!H$143),"",IFERROR(VLOOKUP($F21,Arrangörslista!I$143:$AG$180,16,FALSE),"DNS")))))),IF(Deltagarlista!$K$3=2,
IF(ISBLANK(Deltagarlista!$C45),"",IF(ISBLANK(Arrangörslista!M$53),"",IF($GV21=AI$64," DNS ",IFERROR(VLOOKUP($F21,Arrangörslista!M$53:$AG$90,16,FALSE),"DNS")))),IF(ISBLANK(Deltagarlista!$C45),"",IF(ISBLANK(Arrangörslista!M$53),"",IFERROR(VLOOKUP($F21,Arrangörslista!M$53:$AG$90,16,FALSE),"DNS")))))</f>
        <v/>
      </c>
      <c r="AJ21" s="5" t="str">
        <f>IF(Deltagarlista!$K$3=4,IF(ISBLANK(Deltagarlista!$C45),"",IF(ISBLANK(Arrangörslista!J$143),"",IFERROR(VLOOKUP($F21,Arrangörslista!J$143:$AG$180,16,FALSE),IF(ISBLANK(Deltagarlista!$C45),"",IF(ISBLANK(Arrangörslista!J$143),"",IFERROR(VLOOKUP($F21,Arrangörslista!K$143:$AG$180,16,FALSE),"DNS")))))),IF(Deltagarlista!$K$3=2,
IF(ISBLANK(Deltagarlista!$C45),"",IF(ISBLANK(Arrangörslista!N$53),"",IF($GV21=AJ$64," DNS ",IFERROR(VLOOKUP($F21,Arrangörslista!N$53:$AG$90,16,FALSE),"DNS")))),IF(ISBLANK(Deltagarlista!$C45),"",IF(ISBLANK(Arrangörslista!N$53),"",IFERROR(VLOOKUP($F21,Arrangörslista!N$53:$AG$90,16,FALSE),"DNS")))))</f>
        <v/>
      </c>
      <c r="AK21" s="5" t="str">
        <f>IF(Deltagarlista!$K$3=4,IF(ISBLANK(Deltagarlista!$C45),"",IF(ISBLANK(Arrangörslista!L$143),"",IFERROR(VLOOKUP($F21,Arrangörslista!L$143:$AG$180,16,FALSE),IF(ISBLANK(Deltagarlista!$C45),"",IF(ISBLANK(Arrangörslista!L$143),"",IFERROR(VLOOKUP($F21,Arrangörslista!M$143:$AG$180,16,FALSE),"DNS")))))),IF(Deltagarlista!$K$3=2,
IF(ISBLANK(Deltagarlista!$C45),"",IF(ISBLANK(Arrangörslista!O$53),"",IF($GV21=AK$64," DNS ",IFERROR(VLOOKUP($F21,Arrangörslista!O$53:$AG$90,16,FALSE),"DNS")))),IF(ISBLANK(Deltagarlista!$C45),"",IF(ISBLANK(Arrangörslista!O$53),"",IFERROR(VLOOKUP($F21,Arrangörslista!O$53:$AG$90,16,FALSE),"DNS")))))</f>
        <v/>
      </c>
      <c r="AL21" s="5" t="str">
        <f>IF(Deltagarlista!$K$3=4,IF(ISBLANK(Deltagarlista!$C45),"",IF(ISBLANK(Arrangörslista!N$143),"",IFERROR(VLOOKUP($F21,Arrangörslista!N$143:$AG$180,16,FALSE),IF(ISBLANK(Deltagarlista!$C45),"",IF(ISBLANK(Arrangörslista!N$143),"",IFERROR(VLOOKUP($F21,Arrangörslista!O$143:$AG$180,16,FALSE),"DNS")))))),IF(Deltagarlista!$K$3=2,
IF(ISBLANK(Deltagarlista!$C45),"",IF(ISBLANK(Arrangörslista!P$53),"",IF($GV21=AL$64," DNS ",IFERROR(VLOOKUP($F21,Arrangörslista!P$53:$AG$90,16,FALSE),"DNS")))),IF(ISBLANK(Deltagarlista!$C45),"",IF(ISBLANK(Arrangörslista!P$53),"",IFERROR(VLOOKUP($F21,Arrangörslista!P$53:$AG$90,16,FALSE),"DNS")))))</f>
        <v/>
      </c>
      <c r="AM21" s="5" t="str">
        <f>IF(Deltagarlista!$K$3=4,IF(ISBLANK(Deltagarlista!$C45),"",IF(ISBLANK(Arrangörslista!P$143),"",IFERROR(VLOOKUP($F21,Arrangörslista!P$143:$AG$180,16,FALSE),IF(ISBLANK(Deltagarlista!$C45),"",IF(ISBLANK(Arrangörslista!P$143),"",IFERROR(VLOOKUP($F21,Arrangörslista!Q$143:$AG$180,16,FALSE),"DNS")))))),IF(Deltagarlista!$K$3=2,
IF(ISBLANK(Deltagarlista!$C45),"",IF(ISBLANK(Arrangörslista!Q$53),"",IF($GV21=AM$64," DNS ",IFERROR(VLOOKUP($F21,Arrangörslista!Q$53:$AG$90,16,FALSE),"DNS")))),IF(ISBLANK(Deltagarlista!$C45),"",IF(ISBLANK(Arrangörslista!Q$53),"",IFERROR(VLOOKUP($F21,Arrangörslista!Q$53:$AG$90,16,FALSE),"DNS")))))</f>
        <v/>
      </c>
      <c r="AN21" s="5" t="str">
        <f>IF(Deltagarlista!$K$3=2,
IF(ISBLANK(Deltagarlista!$C45),"",IF(ISBLANK(Arrangörslista!C$98),"",IF($GV21=AN$64," DNS ",IFERROR(VLOOKUP($F21,Arrangörslista!C$98:$AG$135,16,FALSE), "DNS")))), IF(Deltagarlista!$K$3=1,IF(ISBLANK(Deltagarlista!$C45),"",IF(ISBLANK(Arrangörslista!C$98),"",IFERROR(VLOOKUP($F21,Arrangörslista!C$98:$AG$135,16,FALSE), "DNS"))),""))</f>
        <v/>
      </c>
      <c r="AO21" s="5" t="str">
        <f>IF(Deltagarlista!$K$3=2,
IF(ISBLANK(Deltagarlista!$C45),"",IF(ISBLANK(Arrangörslista!D$98),"",IF($GV21=AO$64," DNS ",IFERROR(VLOOKUP($F21,Arrangörslista!D$98:$AG$135,16,FALSE), "DNS")))), IF(Deltagarlista!$K$3=1,IF(ISBLANK(Deltagarlista!$C45),"",IF(ISBLANK(Arrangörslista!D$98),"",IFERROR(VLOOKUP($F21,Arrangörslista!D$98:$AG$135,16,FALSE), "DNS"))),""))</f>
        <v/>
      </c>
      <c r="AP21" s="5" t="str">
        <f>IF(Deltagarlista!$K$3=2,
IF(ISBLANK(Deltagarlista!$C45),"",IF(ISBLANK(Arrangörslista!E$98),"",IF($GV21=AP$64," DNS ",IFERROR(VLOOKUP($F21,Arrangörslista!E$98:$AG$135,16,FALSE), "DNS")))), IF(Deltagarlista!$K$3=1,IF(ISBLANK(Deltagarlista!$C45),"",IF(ISBLANK(Arrangörslista!E$98),"",IFERROR(VLOOKUP($F21,Arrangörslista!E$98:$AG$135,16,FALSE), "DNS"))),""))</f>
        <v/>
      </c>
      <c r="AQ21" s="5" t="str">
        <f>IF(Deltagarlista!$K$3=2,
IF(ISBLANK(Deltagarlista!$C45),"",IF(ISBLANK(Arrangörslista!F$98),"",IF($GV21=AQ$64," DNS ",IFERROR(VLOOKUP($F21,Arrangörslista!F$98:$AG$135,16,FALSE), "DNS")))), IF(Deltagarlista!$K$3=1,IF(ISBLANK(Deltagarlista!$C45),"",IF(ISBLANK(Arrangörslista!F$98),"",IFERROR(VLOOKUP($F21,Arrangörslista!F$98:$AG$135,16,FALSE), "DNS"))),""))</f>
        <v/>
      </c>
      <c r="AR21" s="5" t="str">
        <f>IF(Deltagarlista!$K$3=2,
IF(ISBLANK(Deltagarlista!$C45),"",IF(ISBLANK(Arrangörslista!G$98),"",IF($GV21=AR$64," DNS ",IFERROR(VLOOKUP($F21,Arrangörslista!G$98:$AG$135,16,FALSE), "DNS")))), IF(Deltagarlista!$K$3=1,IF(ISBLANK(Deltagarlista!$C45),"",IF(ISBLANK(Arrangörslista!G$98),"",IFERROR(VLOOKUP($F21,Arrangörslista!G$98:$AG$135,16,FALSE), "DNS"))),""))</f>
        <v/>
      </c>
      <c r="AS21" s="5" t="str">
        <f>IF(Deltagarlista!$K$3=2,
IF(ISBLANK(Deltagarlista!$C45),"",IF(ISBLANK(Arrangörslista!H$98),"",IF($GV21=AS$64," DNS ",IFERROR(VLOOKUP($F21,Arrangörslista!H$98:$AG$135,16,FALSE), "DNS")))), IF(Deltagarlista!$K$3=1,IF(ISBLANK(Deltagarlista!$C45),"",IF(ISBLANK(Arrangörslista!H$98),"",IFERROR(VLOOKUP($F21,Arrangörslista!H$98:$AG$135,16,FALSE), "DNS"))),""))</f>
        <v/>
      </c>
      <c r="AT21" s="5" t="str">
        <f>IF(Deltagarlista!$K$3=2,
IF(ISBLANK(Deltagarlista!$C45),"",IF(ISBLANK(Arrangörslista!I$98),"",IF($GV21=AT$64," DNS ",IFERROR(VLOOKUP($F21,Arrangörslista!I$98:$AG$135,16,FALSE), "DNS")))), IF(Deltagarlista!$K$3=1,IF(ISBLANK(Deltagarlista!$C45),"",IF(ISBLANK(Arrangörslista!I$98),"",IFERROR(VLOOKUP($F21,Arrangörslista!I$98:$AG$135,16,FALSE), "DNS"))),""))</f>
        <v/>
      </c>
      <c r="AU21" s="5" t="str">
        <f>IF(Deltagarlista!$K$3=2,
IF(ISBLANK(Deltagarlista!$C45),"",IF(ISBLANK(Arrangörslista!J$98),"",IF($GV21=AU$64," DNS ",IFERROR(VLOOKUP($F21,Arrangörslista!J$98:$AG$135,16,FALSE), "DNS")))), IF(Deltagarlista!$K$3=1,IF(ISBLANK(Deltagarlista!$C45),"",IF(ISBLANK(Arrangörslista!J$98),"",IFERROR(VLOOKUP($F21,Arrangörslista!J$98:$AG$135,16,FALSE), "DNS"))),""))</f>
        <v/>
      </c>
      <c r="AV21" s="5" t="str">
        <f>IF(Deltagarlista!$K$3=2,
IF(ISBLANK(Deltagarlista!$C45),"",IF(ISBLANK(Arrangörslista!K$98),"",IF($GV21=AV$64," DNS ",IFERROR(VLOOKUP($F21,Arrangörslista!K$98:$AG$135,16,FALSE), "DNS")))), IF(Deltagarlista!$K$3=1,IF(ISBLANK(Deltagarlista!$C45),"",IF(ISBLANK(Arrangörslista!K$98),"",IFERROR(VLOOKUP($F21,Arrangörslista!K$98:$AG$135,16,FALSE), "DNS"))),""))</f>
        <v/>
      </c>
      <c r="AW21" s="5" t="str">
        <f>IF(Deltagarlista!$K$3=2,
IF(ISBLANK(Deltagarlista!$C45),"",IF(ISBLANK(Arrangörslista!L$98),"",IF($GV21=AW$64," DNS ",IFERROR(VLOOKUP($F21,Arrangörslista!L$98:$AG$135,16,FALSE), "DNS")))), IF(Deltagarlista!$K$3=1,IF(ISBLANK(Deltagarlista!$C45),"",IF(ISBLANK(Arrangörslista!L$98),"",IFERROR(VLOOKUP($F21,Arrangörslista!L$98:$AG$135,16,FALSE), "DNS"))),""))</f>
        <v/>
      </c>
      <c r="AX21" s="5" t="str">
        <f>IF(Deltagarlista!$K$3=2,
IF(ISBLANK(Deltagarlista!$C45),"",IF(ISBLANK(Arrangörslista!M$98),"",IF($GV21=AX$64," DNS ",IFERROR(VLOOKUP($F21,Arrangörslista!M$98:$AG$135,16,FALSE), "DNS")))), IF(Deltagarlista!$K$3=1,IF(ISBLANK(Deltagarlista!$C45),"",IF(ISBLANK(Arrangörslista!M$98),"",IFERROR(VLOOKUP($F21,Arrangörslista!M$98:$AG$135,16,FALSE), "DNS"))),""))</f>
        <v/>
      </c>
      <c r="AY21" s="5" t="str">
        <f>IF(Deltagarlista!$K$3=2,
IF(ISBLANK(Deltagarlista!$C45),"",IF(ISBLANK(Arrangörslista!N$98),"",IF($GV21=AY$64," DNS ",IFERROR(VLOOKUP($F21,Arrangörslista!N$98:$AG$135,16,FALSE), "DNS")))), IF(Deltagarlista!$K$3=1,IF(ISBLANK(Deltagarlista!$C45),"",IF(ISBLANK(Arrangörslista!N$98),"",IFERROR(VLOOKUP($F21,Arrangörslista!N$98:$AG$135,16,FALSE), "DNS"))),""))</f>
        <v/>
      </c>
      <c r="AZ21" s="5" t="str">
        <f>IF(Deltagarlista!$K$3=2,
IF(ISBLANK(Deltagarlista!$C45),"",IF(ISBLANK(Arrangörslista!O$98),"",IF($GV21=AZ$64," DNS ",IFERROR(VLOOKUP($F21,Arrangörslista!O$98:$AG$135,16,FALSE), "DNS")))), IF(Deltagarlista!$K$3=1,IF(ISBLANK(Deltagarlista!$C45),"",IF(ISBLANK(Arrangörslista!O$98),"",IFERROR(VLOOKUP($F21,Arrangörslista!O$98:$AG$135,16,FALSE), "DNS"))),""))</f>
        <v/>
      </c>
      <c r="BA21" s="5" t="str">
        <f>IF(Deltagarlista!$K$3=2,
IF(ISBLANK(Deltagarlista!$C45),"",IF(ISBLANK(Arrangörslista!P$98),"",IF($GV21=BA$64," DNS ",IFERROR(VLOOKUP($F21,Arrangörslista!P$98:$AG$135,16,FALSE), "DNS")))), IF(Deltagarlista!$K$3=1,IF(ISBLANK(Deltagarlista!$C45),"",IF(ISBLANK(Arrangörslista!P$98),"",IFERROR(VLOOKUP($F21,Arrangörslista!P$98:$AG$135,16,FALSE), "DNS"))),""))</f>
        <v/>
      </c>
      <c r="BB21" s="5" t="str">
        <f>IF(Deltagarlista!$K$3=2,
IF(ISBLANK(Deltagarlista!$C45),"",IF(ISBLANK(Arrangörslista!Q$98),"",IF($GV21=BB$64," DNS ",IFERROR(VLOOKUP($F21,Arrangörslista!Q$98:$AG$135,16,FALSE), "DNS")))), IF(Deltagarlista!$K$3=1,IF(ISBLANK(Deltagarlista!$C45),"",IF(ISBLANK(Arrangörslista!Q$98),"",IFERROR(VLOOKUP($F21,Arrangörslista!Q$98:$AG$135,16,FALSE), "DNS"))),""))</f>
        <v/>
      </c>
      <c r="BC21" s="5" t="str">
        <f>IF(Deltagarlista!$K$3=2,
IF(ISBLANK(Deltagarlista!$C45),"",IF(ISBLANK(Arrangörslista!C$143),"",IF($GV21=BC$64," DNS ",IFERROR(VLOOKUP($F21,Arrangörslista!C$143:$AG$180,16,FALSE), "DNS")))), IF(Deltagarlista!$K$3=1,IF(ISBLANK(Deltagarlista!$C45),"",IF(ISBLANK(Arrangörslista!C$143),"",IFERROR(VLOOKUP($F21,Arrangörslista!C$143:$AG$180,16,FALSE), "DNS"))),""))</f>
        <v/>
      </c>
      <c r="BD21" s="5" t="str">
        <f>IF(Deltagarlista!$K$3=2,
IF(ISBLANK(Deltagarlista!$C45),"",IF(ISBLANK(Arrangörslista!D$143),"",IF($GV21=BD$64," DNS ",IFERROR(VLOOKUP($F21,Arrangörslista!D$143:$AG$180,16,FALSE), "DNS")))), IF(Deltagarlista!$K$3=1,IF(ISBLANK(Deltagarlista!$C45),"",IF(ISBLANK(Arrangörslista!D$143),"",IFERROR(VLOOKUP($F21,Arrangörslista!D$143:$AG$180,16,FALSE), "DNS"))),""))</f>
        <v/>
      </c>
      <c r="BE21" s="5" t="str">
        <f>IF(Deltagarlista!$K$3=2,
IF(ISBLANK(Deltagarlista!$C45),"",IF(ISBLANK(Arrangörslista!E$143),"",IF($GV21=BE$64," DNS ",IFERROR(VLOOKUP($F21,Arrangörslista!E$143:$AG$180,16,FALSE), "DNS")))), IF(Deltagarlista!$K$3=1,IF(ISBLANK(Deltagarlista!$C45),"",IF(ISBLANK(Arrangörslista!E$143),"",IFERROR(VLOOKUP($F21,Arrangörslista!E$143:$AG$180,16,FALSE), "DNS"))),""))</f>
        <v/>
      </c>
      <c r="BF21" s="5" t="str">
        <f>IF(Deltagarlista!$K$3=2,
IF(ISBLANK(Deltagarlista!$C45),"",IF(ISBLANK(Arrangörslista!F$143),"",IF($GV21=BF$64," DNS ",IFERROR(VLOOKUP($F21,Arrangörslista!F$143:$AG$180,16,FALSE), "DNS")))), IF(Deltagarlista!$K$3=1,IF(ISBLANK(Deltagarlista!$C45),"",IF(ISBLANK(Arrangörslista!F$143),"",IFERROR(VLOOKUP($F21,Arrangörslista!F$143:$AG$180,16,FALSE), "DNS"))),""))</f>
        <v/>
      </c>
      <c r="BG21" s="5" t="str">
        <f>IF(Deltagarlista!$K$3=2,
IF(ISBLANK(Deltagarlista!$C45),"",IF(ISBLANK(Arrangörslista!G$143),"",IF($GV21=BG$64," DNS ",IFERROR(VLOOKUP($F21,Arrangörslista!G$143:$AG$180,16,FALSE), "DNS")))), IF(Deltagarlista!$K$3=1,IF(ISBLANK(Deltagarlista!$C45),"",IF(ISBLANK(Arrangörslista!G$143),"",IFERROR(VLOOKUP($F21,Arrangörslista!G$143:$AG$180,16,FALSE), "DNS"))),""))</f>
        <v/>
      </c>
      <c r="BH21" s="5" t="str">
        <f>IF(Deltagarlista!$K$3=2,
IF(ISBLANK(Deltagarlista!$C45),"",IF(ISBLANK(Arrangörslista!H$143),"",IF($GV21=BH$64," DNS ",IFERROR(VLOOKUP($F21,Arrangörslista!H$143:$AG$180,16,FALSE), "DNS")))), IF(Deltagarlista!$K$3=1,IF(ISBLANK(Deltagarlista!$C45),"",IF(ISBLANK(Arrangörslista!H$143),"",IFERROR(VLOOKUP($F21,Arrangörslista!H$143:$AG$180,16,FALSE), "DNS"))),""))</f>
        <v/>
      </c>
      <c r="BI21" s="5" t="str">
        <f>IF(Deltagarlista!$K$3=2,
IF(ISBLANK(Deltagarlista!$C45),"",IF(ISBLANK(Arrangörslista!I$143),"",IF($GV21=BI$64," DNS ",IFERROR(VLOOKUP($F21,Arrangörslista!I$143:$AG$180,16,FALSE), "DNS")))), IF(Deltagarlista!$K$3=1,IF(ISBLANK(Deltagarlista!$C45),"",IF(ISBLANK(Arrangörslista!I$143),"",IFERROR(VLOOKUP($F21,Arrangörslista!I$143:$AG$180,16,FALSE), "DNS"))),""))</f>
        <v/>
      </c>
      <c r="BJ21" s="5" t="str">
        <f>IF(Deltagarlista!$K$3=2,
IF(ISBLANK(Deltagarlista!$C45),"",IF(ISBLANK(Arrangörslista!J$143),"",IF($GV21=BJ$64," DNS ",IFERROR(VLOOKUP($F21,Arrangörslista!J$143:$AG$180,16,FALSE), "DNS")))), IF(Deltagarlista!$K$3=1,IF(ISBLANK(Deltagarlista!$C45),"",IF(ISBLANK(Arrangörslista!J$143),"",IFERROR(VLOOKUP($F21,Arrangörslista!J$143:$AG$180,16,FALSE), "DNS"))),""))</f>
        <v/>
      </c>
      <c r="BK21" s="5" t="str">
        <f>IF(Deltagarlista!$K$3=2,
IF(ISBLANK(Deltagarlista!$C45),"",IF(ISBLANK(Arrangörslista!K$143),"",IF($GV21=BK$64," DNS ",IFERROR(VLOOKUP($F21,Arrangörslista!K$143:$AG$180,16,FALSE), "DNS")))), IF(Deltagarlista!$K$3=1,IF(ISBLANK(Deltagarlista!$C45),"",IF(ISBLANK(Arrangörslista!K$143),"",IFERROR(VLOOKUP($F21,Arrangörslista!K$143:$AG$180,16,FALSE), "DNS"))),""))</f>
        <v/>
      </c>
      <c r="BL21" s="5" t="str">
        <f>IF(Deltagarlista!$K$3=2,
IF(ISBLANK(Deltagarlista!$C45),"",IF(ISBLANK(Arrangörslista!L$143),"",IF($GV21=BL$64," DNS ",IFERROR(VLOOKUP($F21,Arrangörslista!L$143:$AG$180,16,FALSE), "DNS")))), IF(Deltagarlista!$K$3=1,IF(ISBLANK(Deltagarlista!$C45),"",IF(ISBLANK(Arrangörslista!L$143),"",IFERROR(VLOOKUP($F21,Arrangörslista!L$143:$AG$180,16,FALSE), "DNS"))),""))</f>
        <v/>
      </c>
      <c r="BM21" s="5" t="str">
        <f>IF(Deltagarlista!$K$3=2,
IF(ISBLANK(Deltagarlista!$C45),"",IF(ISBLANK(Arrangörslista!M$143),"",IF($GV21=BM$64," DNS ",IFERROR(VLOOKUP($F21,Arrangörslista!M$143:$AG$180,16,FALSE), "DNS")))), IF(Deltagarlista!$K$3=1,IF(ISBLANK(Deltagarlista!$C45),"",IF(ISBLANK(Arrangörslista!M$143),"",IFERROR(VLOOKUP($F21,Arrangörslista!M$143:$AG$180,16,FALSE), "DNS"))),""))</f>
        <v/>
      </c>
      <c r="BN21" s="5" t="str">
        <f>IF(Deltagarlista!$K$3=2,
IF(ISBLANK(Deltagarlista!$C45),"",IF(ISBLANK(Arrangörslista!N$143),"",IF($GV21=BN$64," DNS ",IFERROR(VLOOKUP($F21,Arrangörslista!N$143:$AG$180,16,FALSE), "DNS")))), IF(Deltagarlista!$K$3=1,IF(ISBLANK(Deltagarlista!$C45),"",IF(ISBLANK(Arrangörslista!N$143),"",IFERROR(VLOOKUP($F21,Arrangörslista!N$143:$AG$180,16,FALSE), "DNS"))),""))</f>
        <v/>
      </c>
      <c r="BO21" s="5" t="str">
        <f>IF(Deltagarlista!$K$3=2,
IF(ISBLANK(Deltagarlista!$C45),"",IF(ISBLANK(Arrangörslista!O$143),"",IF($GV21=BO$64," DNS ",IFERROR(VLOOKUP($F21,Arrangörslista!O$143:$AG$180,16,FALSE), "DNS")))), IF(Deltagarlista!$K$3=1,IF(ISBLANK(Deltagarlista!$C45),"",IF(ISBLANK(Arrangörslista!O$143),"",IFERROR(VLOOKUP($F21,Arrangörslista!O$143:$AG$180,16,FALSE), "DNS"))),""))</f>
        <v/>
      </c>
      <c r="BP21" s="5" t="str">
        <f>IF(Deltagarlista!$K$3=2,
IF(ISBLANK(Deltagarlista!$C45),"",IF(ISBLANK(Arrangörslista!P$143),"",IF($GV21=BP$64," DNS ",IFERROR(VLOOKUP($F21,Arrangörslista!P$143:$AG$180,16,FALSE), "DNS")))), IF(Deltagarlista!$K$3=1,IF(ISBLANK(Deltagarlista!$C45),"",IF(ISBLANK(Arrangörslista!P$143),"",IFERROR(VLOOKUP($F21,Arrangörslista!P$143:$AG$180,16,FALSE), "DNS"))),""))</f>
        <v/>
      </c>
      <c r="BQ21" s="80" t="str">
        <f>IF(Deltagarlista!$K$3=2,
IF(ISBLANK(Deltagarlista!$C45),"",IF(ISBLANK(Arrangörslista!Q$143),"",IF($GV21=BQ$64," DNS ",IFERROR(VLOOKUP($F21,Arrangörslista!Q$143:$AG$180,16,FALSE), "DNS")))), IF(Deltagarlista!$K$3=1,IF(ISBLANK(Deltagarlista!$C45),"",IF(ISBLANK(Arrangörslista!Q$143),"",IFERROR(VLOOKUP($F21,Arrangörslista!Q$143:$AG$180,16,FALSE), "DNS"))),""))</f>
        <v/>
      </c>
      <c r="BR21" s="48"/>
      <c r="BS21" s="50" t="str">
        <f t="shared" si="0"/>
        <v>2</v>
      </c>
      <c r="BU21" s="71">
        <f t="shared" si="1"/>
        <v>0</v>
      </c>
      <c r="BV21" s="61">
        <f t="shared" si="2"/>
        <v>0</v>
      </c>
      <c r="BW21" s="61">
        <f t="shared" si="3"/>
        <v>0</v>
      </c>
      <c r="BX21" s="61">
        <f t="shared" si="4"/>
        <v>0</v>
      </c>
      <c r="BY21" s="61">
        <f t="shared" si="5"/>
        <v>0</v>
      </c>
      <c r="BZ21" s="61">
        <f t="shared" si="6"/>
        <v>0</v>
      </c>
      <c r="CA21" s="61">
        <f t="shared" si="7"/>
        <v>0</v>
      </c>
      <c r="CB21" s="61">
        <f t="shared" si="8"/>
        <v>0</v>
      </c>
      <c r="CC21" s="61">
        <f t="shared" si="9"/>
        <v>0</v>
      </c>
      <c r="CD21" s="61">
        <f t="shared" si="10"/>
        <v>0</v>
      </c>
      <c r="CE21" s="61">
        <f t="shared" si="11"/>
        <v>0</v>
      </c>
      <c r="CF21" s="61">
        <f t="shared" si="12"/>
        <v>0</v>
      </c>
      <c r="CG21" s="61">
        <f t="shared" si="13"/>
        <v>0</v>
      </c>
      <c r="CH21" s="61">
        <f t="shared" si="14"/>
        <v>0</v>
      </c>
      <c r="CI21" s="61">
        <f t="shared" si="15"/>
        <v>0</v>
      </c>
      <c r="CJ21" s="61">
        <f t="shared" si="16"/>
        <v>0</v>
      </c>
      <c r="CK21" s="61">
        <f t="shared" si="17"/>
        <v>0</v>
      </c>
      <c r="CL21" s="61">
        <f t="shared" si="18"/>
        <v>0</v>
      </c>
      <c r="CM21" s="61">
        <f t="shared" si="19"/>
        <v>0</v>
      </c>
      <c r="CN21" s="61">
        <f t="shared" si="20"/>
        <v>0</v>
      </c>
      <c r="CO21" s="61">
        <f t="shared" si="21"/>
        <v>0</v>
      </c>
      <c r="CP21" s="61">
        <f t="shared" si="22"/>
        <v>0</v>
      </c>
      <c r="CQ21" s="61">
        <f t="shared" si="23"/>
        <v>0</v>
      </c>
      <c r="CR21" s="61">
        <f t="shared" si="24"/>
        <v>0</v>
      </c>
      <c r="CS21" s="61">
        <f t="shared" si="25"/>
        <v>0</v>
      </c>
      <c r="CT21" s="61">
        <f t="shared" si="26"/>
        <v>0</v>
      </c>
      <c r="CU21" s="61">
        <f t="shared" si="27"/>
        <v>0</v>
      </c>
      <c r="CV21" s="61">
        <f t="shared" si="28"/>
        <v>0</v>
      </c>
      <c r="CW21" s="61">
        <f t="shared" si="29"/>
        <v>0</v>
      </c>
      <c r="CX21" s="61">
        <f t="shared" si="30"/>
        <v>0</v>
      </c>
      <c r="CY21" s="61">
        <f t="shared" si="31"/>
        <v>0</v>
      </c>
      <c r="CZ21" s="61">
        <f t="shared" si="32"/>
        <v>0</v>
      </c>
      <c r="DA21" s="61">
        <f t="shared" si="33"/>
        <v>0</v>
      </c>
      <c r="DB21" s="61">
        <f t="shared" si="34"/>
        <v>0</v>
      </c>
      <c r="DC21" s="61">
        <f t="shared" si="35"/>
        <v>0</v>
      </c>
      <c r="DD21" s="61">
        <f t="shared" si="36"/>
        <v>0</v>
      </c>
      <c r="DE21" s="61">
        <f t="shared" si="37"/>
        <v>0</v>
      </c>
      <c r="DF21" s="61">
        <f t="shared" si="38"/>
        <v>0</v>
      </c>
      <c r="DG21" s="61">
        <f t="shared" si="39"/>
        <v>0</v>
      </c>
      <c r="DH21" s="61">
        <f t="shared" si="40"/>
        <v>0</v>
      </c>
      <c r="DI21" s="61">
        <f t="shared" si="41"/>
        <v>0</v>
      </c>
      <c r="DJ21" s="61">
        <f t="shared" si="42"/>
        <v>0</v>
      </c>
      <c r="DK21" s="61">
        <f t="shared" si="43"/>
        <v>0</v>
      </c>
      <c r="DL21" s="61">
        <f t="shared" si="44"/>
        <v>0</v>
      </c>
      <c r="DM21" s="61">
        <f t="shared" si="45"/>
        <v>0</v>
      </c>
      <c r="DN21" s="61">
        <f t="shared" si="46"/>
        <v>0</v>
      </c>
      <c r="DO21" s="61">
        <f t="shared" si="47"/>
        <v>0</v>
      </c>
      <c r="DP21" s="61">
        <f t="shared" si="48"/>
        <v>0</v>
      </c>
      <c r="DQ21" s="61">
        <f t="shared" si="49"/>
        <v>0</v>
      </c>
      <c r="DR21" s="61">
        <f t="shared" si="50"/>
        <v>0</v>
      </c>
      <c r="DS21" s="61">
        <f t="shared" si="51"/>
        <v>0</v>
      </c>
      <c r="DT21" s="61">
        <f t="shared" si="52"/>
        <v>0</v>
      </c>
      <c r="DU21" s="61">
        <f t="shared" si="53"/>
        <v>0</v>
      </c>
      <c r="DV21" s="61">
        <f t="shared" si="54"/>
        <v>0</v>
      </c>
      <c r="DW21" s="61">
        <f t="shared" si="55"/>
        <v>0</v>
      </c>
      <c r="DX21" s="61">
        <f t="shared" si="56"/>
        <v>0</v>
      </c>
      <c r="DY21" s="61">
        <f t="shared" si="57"/>
        <v>0</v>
      </c>
      <c r="DZ21" s="61">
        <f t="shared" si="58"/>
        <v>0</v>
      </c>
      <c r="EA21" s="61">
        <f t="shared" si="59"/>
        <v>0</v>
      </c>
      <c r="EB21" s="61">
        <f t="shared" si="60"/>
        <v>0</v>
      </c>
      <c r="EC21" s="61">
        <f t="shared" si="61"/>
        <v>0</v>
      </c>
      <c r="EE21" s="61">
        <f xml:space="preserve">
IF(OR(Deltagarlista!$K$3=3,Deltagarlista!$K$3=4),
IF(Arrangörslista!$U$5&lt;8,0,
IF(Arrangörslista!$U$5&lt;16,SUM(LARGE(BV21:CJ21,1)),
IF(Arrangörslista!$U$5&lt;24,SUM(LARGE(BV21:CR21,{1;2})),
IF(Arrangörslista!$U$5&lt;32,SUM(LARGE(BV21:CZ21,{1;2;3})),
IF(Arrangörslista!$U$5&lt;40,SUM(LARGE(BV21:DH21,{1;2;3;4})),
IF(Arrangörslista!$U$5&lt;48,SUM(LARGE(BV21:DP21,{1;2;3;4;5})),
IF(Arrangörslista!$U$5&lt;56,SUM(LARGE(BV21:DX21,{1;2;3;4;5;6})),
IF(Arrangörslista!$U$5&lt;64,SUM(LARGE(BV21:EC21,{1;2;3;4;5;6;7})),0)))))))),
IF(Deltagarlista!$K$3=2,
IF(Arrangörslista!$U$5&lt;4,LARGE(BV21:BX21,1),
IF(Arrangörslista!$U$5&lt;7,SUM(LARGE(BV21:CA21,{1;2;3})),
IF(Arrangörslista!$U$5&lt;10,SUM(LARGE(BV21:CD21,{1;2;3;4})),
IF(Arrangörslista!$U$5&lt;13,SUM(LARGE(BV21:CG21,{1;2;3;4;5;6})),
IF(Arrangörslista!$U$5&lt;16,SUM(LARGE(BV21:CJ21,{1;2;3;4;5;6;7})),
IF(Arrangörslista!$U$5&lt;19,SUM(LARGE(BV21:CM21,{1;2;3;4;5;6;7;8;9})),
IF(Arrangörslista!$U$5&lt;22,SUM(LARGE(BV21:CP21,{1;2;3;4;5;6;7;8;9;10})),
IF(Arrangörslista!$U$5&lt;25,SUM(LARGE(BV21:CS21,{1;2;3;4;5;6;7;8;9;10;11;12})),
IF(Arrangörslista!$U$5&lt;28,SUM(LARGE(BV21:CV21,{1;2;3;4;5;6;7;8;9;10;11;12;13})),
IF(Arrangörslista!$U$5&lt;31,SUM(LARGE(BV21:CY21,{1;2;3;4;5;6;7;8;9;10;11;12;13;14;15})),
IF(Arrangörslista!$U$5&lt;34,SUM(LARGE(BV21:DB21,{1;2;3;4;5;6;7;8;9;10;11;12;13;14;15;16})),
IF(Arrangörslista!$U$5&lt;37,SUM(LARGE(BV21:DE21,{1;2;3;4;5;6;7;8;9;10;11;12;13;14;15;16;17;18})),
IF(Arrangörslista!$U$5&lt;40,SUM(LARGE(BV21:DH21,{1;2;3;4;5;6;7;8;9;10;11;12;13;14;15;16;17;18;19})),
IF(Arrangörslista!$U$5&lt;43,SUM(LARGE(BV21:DK21,{1;2;3;4;5;6;7;8;9;10;11;12;13;14;15;16;17;18;19;20;21})),
IF(Arrangörslista!$U$5&lt;46,SUM(LARGE(BV21:DN21,{1;2;3;4;5;6;7;8;9;10;11;12;13;14;15;16;17;18;19;20;21;22})),
IF(Arrangörslista!$U$5&lt;49,SUM(LARGE(BV21:DQ21,{1;2;3;4;5;6;7;8;9;10;11;12;13;14;15;16;17;18;19;20;21;22;23;24})),
IF(Arrangörslista!$U$5&lt;52,SUM(LARGE(BV21:DT21,{1;2;3;4;5;6;7;8;9;10;11;12;13;14;15;16;17;18;19;20;21;22;23;24;25})),
IF(Arrangörslista!$U$5&lt;55,SUM(LARGE(BV21:DW21,{1;2;3;4;5;6;7;8;9;10;11;12;13;14;15;16;17;18;19;20;21;22;23;24;25;26;27})),
IF(Arrangörslista!$U$5&lt;58,SUM(LARGE(BV21:DZ21,{1;2;3;4;5;6;7;8;9;10;11;12;13;14;15;16;17;18;19;20;21;22;23;24;25;26;27;28})),
IF(Arrangörslista!$U$5&lt;61,SUM(LARGE(BV21:EC21,{1;2;3;4;5;6;7;8;9;10;11;12;13;14;15;16;17;18;19;20;21;22;23;24;25;26;27;28;29;30})),0)))))))))))))))))))),
IF(Arrangörslista!$U$5&lt;4,0,
IF(Arrangörslista!$U$5&lt;8,SUM(LARGE(BV21:CB21,1)),
IF(Arrangörslista!$U$5&lt;12,SUM(LARGE(BV21:CF21,{1;2})),
IF(Arrangörslista!$U$5&lt;16,SUM(LARGE(BV21:CJ21,{1;2;3})),
IF(Arrangörslista!$U$5&lt;20,SUM(LARGE(BV21:CN21,{1;2;3;4})),
IF(Arrangörslista!$U$5&lt;24,SUM(LARGE(BV21:CR21,{1;2;3;4;5})),
IF(Arrangörslista!$U$5&lt;28,SUM(LARGE(BV21:CV21,{1;2;3;4;5;6})),
IF(Arrangörslista!$U$5&lt;32,SUM(LARGE(BV21:CZ21,{1;2;3;4;5;6;7})),
IF(Arrangörslista!$U$5&lt;36,SUM(LARGE(BV21:DD21,{1;2;3;4;5;6;7;8})),
IF(Arrangörslista!$U$5&lt;40,SUM(LARGE(BV21:DH21,{1;2;3;4;5;6;7;8;9})),
IF(Arrangörslista!$U$5&lt;44,SUM(LARGE(BV21:DL21,{1;2;3;4;5;6;7;8;9;10})),
IF(Arrangörslista!$U$5&lt;48,SUM(LARGE(BV21:DP21,{1;2;3;4;5;6;7;8;9;10;11})),
IF(Arrangörslista!$U$5&lt;52,SUM(LARGE(BV21:DT21,{1;2;3;4;5;6;7;8;9;10;11;12})),
IF(Arrangörslista!$U$5&lt;56,SUM(LARGE(BV21:DX21,{1;2;3;4;5;6;7;8;9;10;11;12;13})),
IF(Arrangörslista!$U$5&lt;60,SUM(LARGE(BV21:EB21,{1;2;3;4;5;6;7;8;9;10;11;12;13;14})),
IF(Arrangörslista!$U$5=60,SUM(LARGE(BV21:EC21,{1;2;3;4;5;6;7;8;9;10;11;12;13;14;15})),0))))))))))))))))))</f>
        <v>0</v>
      </c>
      <c r="EG21" s="67">
        <f t="shared" si="62"/>
        <v>0</v>
      </c>
      <c r="EH21" s="61"/>
      <c r="EI21" s="61"/>
      <c r="EK21" s="62">
        <f t="shared" si="63"/>
        <v>61</v>
      </c>
      <c r="EL21" s="62">
        <f t="shared" si="64"/>
        <v>61</v>
      </c>
      <c r="EM21" s="62">
        <f t="shared" si="65"/>
        <v>61</v>
      </c>
      <c r="EN21" s="62">
        <f t="shared" si="66"/>
        <v>61</v>
      </c>
      <c r="EO21" s="62">
        <f t="shared" si="67"/>
        <v>61</v>
      </c>
      <c r="EP21" s="62">
        <f t="shared" si="68"/>
        <v>61</v>
      </c>
      <c r="EQ21" s="62">
        <f t="shared" si="69"/>
        <v>61</v>
      </c>
      <c r="ER21" s="62">
        <f t="shared" si="70"/>
        <v>61</v>
      </c>
      <c r="ES21" s="62">
        <f t="shared" si="71"/>
        <v>61</v>
      </c>
      <c r="ET21" s="62">
        <f t="shared" si="72"/>
        <v>61</v>
      </c>
      <c r="EU21" s="62">
        <f t="shared" si="73"/>
        <v>61</v>
      </c>
      <c r="EV21" s="62">
        <f t="shared" si="74"/>
        <v>61</v>
      </c>
      <c r="EW21" s="62">
        <f t="shared" si="75"/>
        <v>61</v>
      </c>
      <c r="EX21" s="62">
        <f t="shared" si="76"/>
        <v>61</v>
      </c>
      <c r="EY21" s="62">
        <f t="shared" si="77"/>
        <v>61</v>
      </c>
      <c r="EZ21" s="62">
        <f t="shared" si="78"/>
        <v>61</v>
      </c>
      <c r="FA21" s="62">
        <f t="shared" si="79"/>
        <v>61</v>
      </c>
      <c r="FB21" s="62">
        <f t="shared" si="80"/>
        <v>61</v>
      </c>
      <c r="FC21" s="62">
        <f t="shared" si="81"/>
        <v>61</v>
      </c>
      <c r="FD21" s="62">
        <f t="shared" si="82"/>
        <v>61</v>
      </c>
      <c r="FE21" s="62">
        <f t="shared" si="83"/>
        <v>61</v>
      </c>
      <c r="FF21" s="62">
        <f t="shared" si="84"/>
        <v>61</v>
      </c>
      <c r="FG21" s="62">
        <f t="shared" si="85"/>
        <v>61</v>
      </c>
      <c r="FH21" s="62">
        <f t="shared" si="86"/>
        <v>61</v>
      </c>
      <c r="FI21" s="62">
        <f t="shared" si="87"/>
        <v>61</v>
      </c>
      <c r="FJ21" s="62">
        <f t="shared" si="88"/>
        <v>61</v>
      </c>
      <c r="FK21" s="62">
        <f t="shared" si="89"/>
        <v>61</v>
      </c>
      <c r="FL21" s="62">
        <f t="shared" si="90"/>
        <v>61</v>
      </c>
      <c r="FM21" s="62">
        <f t="shared" si="91"/>
        <v>61</v>
      </c>
      <c r="FN21" s="62">
        <f t="shared" si="92"/>
        <v>61</v>
      </c>
      <c r="FO21" s="62">
        <f t="shared" si="93"/>
        <v>61</v>
      </c>
      <c r="FP21" s="62">
        <f t="shared" si="94"/>
        <v>61</v>
      </c>
      <c r="FQ21" s="62">
        <f t="shared" si="95"/>
        <v>61</v>
      </c>
      <c r="FR21" s="62">
        <f t="shared" si="96"/>
        <v>61</v>
      </c>
      <c r="FS21" s="62">
        <f t="shared" si="97"/>
        <v>61</v>
      </c>
      <c r="FT21" s="62">
        <f t="shared" si="98"/>
        <v>61</v>
      </c>
      <c r="FU21" s="62">
        <f t="shared" si="99"/>
        <v>61</v>
      </c>
      <c r="FV21" s="62">
        <f t="shared" si="100"/>
        <v>61</v>
      </c>
      <c r="FW21" s="62">
        <f t="shared" si="101"/>
        <v>61</v>
      </c>
      <c r="FX21" s="62">
        <f t="shared" si="102"/>
        <v>61</v>
      </c>
      <c r="FY21" s="62">
        <f t="shared" si="103"/>
        <v>61</v>
      </c>
      <c r="FZ21" s="62">
        <f t="shared" si="104"/>
        <v>61</v>
      </c>
      <c r="GA21" s="62">
        <f t="shared" si="105"/>
        <v>61</v>
      </c>
      <c r="GB21" s="62">
        <f t="shared" si="106"/>
        <v>61</v>
      </c>
      <c r="GC21" s="62">
        <f t="shared" si="107"/>
        <v>61</v>
      </c>
      <c r="GD21" s="62">
        <f t="shared" si="108"/>
        <v>61</v>
      </c>
      <c r="GE21" s="62">
        <f t="shared" si="109"/>
        <v>61</v>
      </c>
      <c r="GF21" s="62">
        <f t="shared" si="110"/>
        <v>61</v>
      </c>
      <c r="GG21" s="62">
        <f t="shared" si="111"/>
        <v>61</v>
      </c>
      <c r="GH21" s="62">
        <f t="shared" si="112"/>
        <v>61</v>
      </c>
      <c r="GI21" s="62">
        <f t="shared" si="113"/>
        <v>61</v>
      </c>
      <c r="GJ21" s="62">
        <f t="shared" si="114"/>
        <v>61</v>
      </c>
      <c r="GK21" s="62">
        <f t="shared" si="115"/>
        <v>61</v>
      </c>
      <c r="GL21" s="62">
        <f t="shared" si="116"/>
        <v>61</v>
      </c>
      <c r="GM21" s="62">
        <f t="shared" si="117"/>
        <v>61</v>
      </c>
      <c r="GN21" s="62">
        <f t="shared" si="118"/>
        <v>61</v>
      </c>
      <c r="GO21" s="62">
        <f t="shared" si="119"/>
        <v>61</v>
      </c>
      <c r="GP21" s="62">
        <f t="shared" si="120"/>
        <v>61</v>
      </c>
      <c r="GQ21" s="62">
        <f t="shared" si="121"/>
        <v>61</v>
      </c>
      <c r="GR21" s="62">
        <f t="shared" si="122"/>
        <v>61</v>
      </c>
      <c r="GT21" s="62">
        <f>IF(Deltagarlista!$K$3=2,
IF(GW21="1",
      IF(Arrangörslista!$U$5=1,J84,
IF(Arrangörslista!$U$5=2,K84,
IF(Arrangörslista!$U$5=3,L84,
IF(Arrangörslista!$U$5=4,M84,
IF(Arrangörslista!$U$5=5,N84,
IF(Arrangörslista!$U$5=6,O84,
IF(Arrangörslista!$U$5=7,P84,
IF(Arrangörslista!$U$5=8,Q84,
IF(Arrangörslista!$U$5=9,R84,
IF(Arrangörslista!$U$5=10,S84,
IF(Arrangörslista!$U$5=11,T84,
IF(Arrangörslista!$U$5=12,U84,
IF(Arrangörslista!$U$5=13,V84,
IF(Arrangörslista!$U$5=14,W84,
IF(Arrangörslista!$U$5=15,X84,
IF(Arrangörslista!$U$5=16,Y84,IF(Arrangörslista!$U$5=17,Z84,IF(Arrangörslista!$U$5=18,AA84,IF(Arrangörslista!$U$5=19,AB84,IF(Arrangörslista!$U$5=20,AC84,IF(Arrangörslista!$U$5=21,AD84,IF(Arrangörslista!$U$5=22,AE84,IF(Arrangörslista!$U$5=23,AF84, IF(Arrangörslista!$U$5=24,AG84, IF(Arrangörslista!$U$5=25,AH84, IF(Arrangörslista!$U$5=26,AI84, IF(Arrangörslista!$U$5=27,AJ84, IF(Arrangörslista!$U$5=28,AK84, IF(Arrangörslista!$U$5=29,AL84, IF(Arrangörslista!$U$5=30,AM84, IF(Arrangörslista!$U$5=31,AN84, IF(Arrangörslista!$U$5=32,AO84, IF(Arrangörslista!$U$5=33,AP84, IF(Arrangörslista!$U$5=34,AQ84, IF(Arrangörslista!$U$5=35,AR84, IF(Arrangörslista!$U$5=36,AS84, IF(Arrangörslista!$U$5=37,AT84, IF(Arrangörslista!$U$5=38,AU84, IF(Arrangörslista!$U$5=39,AV84, IF(Arrangörslista!$U$5=40,AW84, IF(Arrangörslista!$U$5=41,AX84, IF(Arrangörslista!$U$5=42,AY84, IF(Arrangörslista!$U$5=43,AZ84, IF(Arrangörslista!$U$5=44,BA84, IF(Arrangörslista!$U$5=45,BB84, IF(Arrangörslista!$U$5=46,BC84, IF(Arrangörslista!$U$5=47,BD84, IF(Arrangörslista!$U$5=48,BE84, IF(Arrangörslista!$U$5=49,BF84, IF(Arrangörslista!$U$5=50,BG84, IF(Arrangörslista!$U$5=51,BH84, IF(Arrangörslista!$U$5=52,BI84, IF(Arrangörslista!$U$5=53,BJ84, IF(Arrangörslista!$U$5=54,BK84, IF(Arrangörslista!$U$5=55,BL84, IF(Arrangörslista!$U$5=56,BM84, IF(Arrangörslista!$U$5=57,BN84, IF(Arrangörslista!$U$5=58,BO84, IF(Arrangörslista!$U$5=59,BP84, IF(Arrangörslista!$U$5=60,BQ84,0))))))))))))))))))))))))))))))))))))))))))))))))))))))))))))),IF(Deltagarlista!$K$3=4, IF(Arrangörslista!$U$5=1,J84,
IF(Arrangörslista!$U$5=2,J84,
IF(Arrangörslista!$U$5=3,K84,
IF(Arrangörslista!$U$5=4,K84,
IF(Arrangörslista!$U$5=5,L84,
IF(Arrangörslista!$U$5=6,L84,
IF(Arrangörslista!$U$5=7,M84,
IF(Arrangörslista!$U$5=8,M84,
IF(Arrangörslista!$U$5=9,N84,
IF(Arrangörslista!$U$5=10,N84,
IF(Arrangörslista!$U$5=11,O84,
IF(Arrangörslista!$U$5=12,O84,
IF(Arrangörslista!$U$5=13,P84,
IF(Arrangörslista!$U$5=14,P84,
IF(Arrangörslista!$U$5=15,Q84,
IF(Arrangörslista!$U$5=16,Q84,
IF(Arrangörslista!$U$5=17,R84,
IF(Arrangörslista!$U$5=18,R84,
IF(Arrangörslista!$U$5=19,S84,
IF(Arrangörslista!$U$5=20,S84,
IF(Arrangörslista!$U$5=21,T84,
IF(Arrangörslista!$U$5=22,T84,IF(Arrangörslista!$U$5=23,U84, IF(Arrangörslista!$U$5=24,U84, IF(Arrangörslista!$U$5=25,V84, IF(Arrangörslista!$U$5=26,V84, IF(Arrangörslista!$U$5=27,W84, IF(Arrangörslista!$U$5=28,W84, IF(Arrangörslista!$U$5=29,X84, IF(Arrangörslista!$U$5=30,X84, IF(Arrangörslista!$U$5=31,X84, IF(Arrangörslista!$U$5=32,Y84, IF(Arrangörslista!$U$5=33,AO84, IF(Arrangörslista!$U$5=34,Y84, IF(Arrangörslista!$U$5=35,Z84, IF(Arrangörslista!$U$5=36,AR84, IF(Arrangörslista!$U$5=37,Z84, IF(Arrangörslista!$U$5=38,AA84, IF(Arrangörslista!$U$5=39,AU84, IF(Arrangörslista!$U$5=40,AA84, IF(Arrangörslista!$U$5=41,AB84, IF(Arrangörslista!$U$5=42,AX84, IF(Arrangörslista!$U$5=43,AB84, IF(Arrangörslista!$U$5=44,AC84, IF(Arrangörslista!$U$5=45,BA84, IF(Arrangörslista!$U$5=46,AC84, IF(Arrangörslista!$U$5=47,AD84, IF(Arrangörslista!$U$5=48,BD84, IF(Arrangörslista!$U$5=49,AD84, IF(Arrangörslista!$U$5=50,AE84, IF(Arrangörslista!$U$5=51,BG84, IF(Arrangörslista!$U$5=52,AE84, IF(Arrangörslista!$U$5=53,AF84, IF(Arrangörslista!$U$5=54,BJ84, IF(Arrangörslista!$U$5=55,AF84, IF(Arrangörslista!$U$5=56,AG84, IF(Arrangörslista!$U$5=57,BM84, IF(Arrangörslista!$U$5=58,AG84, IF(Arrangörslista!$U$5=59,AH84, IF(Arrangörslista!$U$5=60,AH84,0)))))))))))))))))))))))))))))))))))))))))))))))))))))))))))),IF(Arrangörslista!$U$5=1,J84,
IF(Arrangörslista!$U$5=2,K84,
IF(Arrangörslista!$U$5=3,L84,
IF(Arrangörslista!$U$5=4,M84,
IF(Arrangörslista!$U$5=5,N84,
IF(Arrangörslista!$U$5=6,O84,
IF(Arrangörslista!$U$5=7,P84,
IF(Arrangörslista!$U$5=8,Q84,
IF(Arrangörslista!$U$5=9,R84,
IF(Arrangörslista!$U$5=10,S84,
IF(Arrangörslista!$U$5=11,T84,
IF(Arrangörslista!$U$5=12,U84,
IF(Arrangörslista!$U$5=13,V84,
IF(Arrangörslista!$U$5=14,W84,
IF(Arrangörslista!$U$5=15,X84,
IF(Arrangörslista!$U$5=16,Y84,IF(Arrangörslista!$U$5=17,Z84,IF(Arrangörslista!$U$5=18,AA84,IF(Arrangörslista!$U$5=19,AB84,IF(Arrangörslista!$U$5=20,AC84,IF(Arrangörslista!$U$5=21,AD84,IF(Arrangörslista!$U$5=22,AE84,IF(Arrangörslista!$U$5=23,AF84, IF(Arrangörslista!$U$5=24,AG84, IF(Arrangörslista!$U$5=25,AH84, IF(Arrangörslista!$U$5=26,AI84, IF(Arrangörslista!$U$5=27,AJ84, IF(Arrangörslista!$U$5=28,AK84, IF(Arrangörslista!$U$5=29,AL84, IF(Arrangörslista!$U$5=30,AM84, IF(Arrangörslista!$U$5=31,AN84, IF(Arrangörslista!$U$5=32,AO84, IF(Arrangörslista!$U$5=33,AP84, IF(Arrangörslista!$U$5=34,AQ84, IF(Arrangörslista!$U$5=35,AR84, IF(Arrangörslista!$U$5=36,AS84, IF(Arrangörslista!$U$5=37,AT84, IF(Arrangörslista!$U$5=38,AU84, IF(Arrangörslista!$U$5=39,AV84, IF(Arrangörslista!$U$5=40,AW84, IF(Arrangörslista!$U$5=41,AX84, IF(Arrangörslista!$U$5=42,AY84, IF(Arrangörslista!$U$5=43,AZ84, IF(Arrangörslista!$U$5=44,BA84, IF(Arrangörslista!$U$5=45,BB84, IF(Arrangörslista!$U$5=46,BC84, IF(Arrangörslista!$U$5=47,BD84, IF(Arrangörslista!$U$5=48,BE84, IF(Arrangörslista!$U$5=49,BF84, IF(Arrangörslista!$U$5=50,BG84, IF(Arrangörslista!$U$5=51,BH84, IF(Arrangörslista!$U$5=52,BI84, IF(Arrangörslista!$U$5=53,BJ84, IF(Arrangörslista!$U$5=54,BK84, IF(Arrangörslista!$U$5=55,BL84, IF(Arrangörslista!$U$5=56,BM84, IF(Arrangörslista!$U$5=57,BN84, IF(Arrangörslista!$U$5=58,BO84, IF(Arrangörslista!$U$5=59,BP84, IF(Arrangörslista!$U$5=60,BQ84,0))))))))))))))))))))))))))))))))))))))))))))))))))))))))))))
))</f>
        <v>0</v>
      </c>
      <c r="GV21" s="65" t="str">
        <f>IFERROR(IF(VLOOKUP(F21,Deltagarlista!$E$5:$I$64,5,FALSE)="Grön","Gr",IF(VLOOKUP(F21,Deltagarlista!$E$5:$I$64,5,FALSE)="Röd","R",IF(VLOOKUP(F21,Deltagarlista!$E$5:$I$64,5,FALSE)="Blå","B","Gu"))),"")</f>
        <v/>
      </c>
      <c r="GW21" s="62" t="str">
        <f t="shared" si="124"/>
        <v/>
      </c>
    </row>
    <row r="22" spans="2:205" x14ac:dyDescent="0.3">
      <c r="B22" s="23" t="str">
        <f>IF((COUNTIF(Deltagarlista!$H$5:$H$64,"GM"))&gt;18,19,"")</f>
        <v/>
      </c>
      <c r="C22" s="92" t="str">
        <f>IF(ISBLANK(Deltagarlista!C46),"",Deltagarlista!C46)</f>
        <v/>
      </c>
      <c r="D22" s="109" t="str">
        <f>CONCATENATE(IF(Deltagarlista!H46="GM","GM   ",""), IF(OR(Deltagarlista!$K$3=4,Deltagarlista!$K$3=2),Deltagarlista!I46,""))</f>
        <v/>
      </c>
      <c r="E22" s="8" t="str">
        <f>IF(ISBLANK(Deltagarlista!D46),"",Deltagarlista!D46)</f>
        <v/>
      </c>
      <c r="F22" s="8" t="str">
        <f>IF(ISBLANK(Deltagarlista!E46),"",Deltagarlista!E46)</f>
        <v/>
      </c>
      <c r="G22" s="95" t="str">
        <f>IF(ISBLANK(Deltagarlista!F46),"",Deltagarlista!F46)</f>
        <v/>
      </c>
      <c r="H22" s="72" t="str">
        <f>IF(ISBLANK(Deltagarlista!C46),"",BU22-EE22)</f>
        <v/>
      </c>
      <c r="I22" s="13" t="str">
        <f>IF(ISBLANK(Deltagarlista!C46),"",IF(AND(Deltagarlista!$K$3=2,Deltagarlista!$L$3&lt;37),SUM(SUM(BV22:EC22)-(ROUNDDOWN(Arrangörslista!$U$5/3,1))*($BW$3+1)),SUM(BV22:EC22)))</f>
        <v/>
      </c>
      <c r="J22" s="79" t="str">
        <f>IF(Deltagarlista!$K$3=4,IF(ISBLANK(Deltagarlista!$C46),"",IF(ISBLANK(Arrangörslista!C$8),"",IFERROR(VLOOKUP($F22,Arrangörslista!C$8:$AG$45,16,FALSE),IF(ISBLANK(Deltagarlista!$C46),"",IF(ISBLANK(Arrangörslista!C$8),"",IFERROR(VLOOKUP($F22,Arrangörslista!D$8:$AG$45,16,FALSE),"DNS")))))),IF(Deltagarlista!$K$3=2,
IF(ISBLANK(Deltagarlista!$C46),"",IF(ISBLANK(Arrangörslista!C$8),"",IF($GV22=J$64," DNS ",IFERROR(VLOOKUP($F22,Arrangörslista!C$8:$AG$45,16,FALSE),"DNS")))),IF(ISBLANK(Deltagarlista!$C46),"",IF(ISBLANK(Arrangörslista!C$8),"",IFERROR(VLOOKUP($F22,Arrangörslista!C$8:$AG$45,16,FALSE),"DNS")))))</f>
        <v/>
      </c>
      <c r="K22" s="5" t="str">
        <f>IF(Deltagarlista!$K$3=4,IF(ISBLANK(Deltagarlista!$C46),"",IF(ISBLANK(Arrangörslista!E$8),"",IFERROR(VLOOKUP($F22,Arrangörslista!E$8:$AG$45,16,FALSE),IF(ISBLANK(Deltagarlista!$C46),"",IF(ISBLANK(Arrangörslista!E$8),"",IFERROR(VLOOKUP($F22,Arrangörslista!F$8:$AG$45,16,FALSE),"DNS")))))),IF(Deltagarlista!$K$3=2,
IF(ISBLANK(Deltagarlista!$C46),"",IF(ISBLANK(Arrangörslista!D$8),"",IF($GV22=K$64," DNS ",IFERROR(VLOOKUP($F22,Arrangörslista!D$8:$AG$45,16,FALSE),"DNS")))),IF(ISBLANK(Deltagarlista!$C46),"",IF(ISBLANK(Arrangörslista!D$8),"",IFERROR(VLOOKUP($F22,Arrangörslista!D$8:$AG$45,16,FALSE),"DNS")))))</f>
        <v/>
      </c>
      <c r="L22" s="5" t="str">
        <f>IF(Deltagarlista!$K$3=4,IF(ISBLANK(Deltagarlista!$C46),"",IF(ISBLANK(Arrangörslista!G$8),"",IFERROR(VLOOKUP($F22,Arrangörslista!G$8:$AG$45,16,FALSE),IF(ISBLANK(Deltagarlista!$C46),"",IF(ISBLANK(Arrangörslista!G$8),"",IFERROR(VLOOKUP($F22,Arrangörslista!H$8:$AG$45,16,FALSE),"DNS")))))),IF(Deltagarlista!$K$3=2,
IF(ISBLANK(Deltagarlista!$C46),"",IF(ISBLANK(Arrangörslista!E$8),"",IF($GV22=L$64," DNS ",IFERROR(VLOOKUP($F22,Arrangörslista!E$8:$AG$45,16,FALSE),"DNS")))),IF(ISBLANK(Deltagarlista!$C46),"",IF(ISBLANK(Arrangörslista!E$8),"",IFERROR(VLOOKUP($F22,Arrangörslista!E$8:$AG$45,16,FALSE),"DNS")))))</f>
        <v/>
      </c>
      <c r="M22" s="5" t="str">
        <f>IF(Deltagarlista!$K$3=4,IF(ISBLANK(Deltagarlista!$C46),"",IF(ISBLANK(Arrangörslista!I$8),"",IFERROR(VLOOKUP($F22,Arrangörslista!I$8:$AG$45,16,FALSE),IF(ISBLANK(Deltagarlista!$C46),"",IF(ISBLANK(Arrangörslista!I$8),"",IFERROR(VLOOKUP($F22,Arrangörslista!J$8:$AG$45,16,FALSE),"DNS")))))),IF(Deltagarlista!$K$3=2,
IF(ISBLANK(Deltagarlista!$C46),"",IF(ISBLANK(Arrangörslista!F$8),"",IF($GV22=M$64," DNS ",IFERROR(VLOOKUP($F22,Arrangörslista!F$8:$AG$45,16,FALSE),"DNS")))),IF(ISBLANK(Deltagarlista!$C46),"",IF(ISBLANK(Arrangörslista!F$8),"",IFERROR(VLOOKUP($F22,Arrangörslista!F$8:$AG$45,16,FALSE),"DNS")))))</f>
        <v/>
      </c>
      <c r="N22" s="5" t="str">
        <f>IF(Deltagarlista!$K$3=4,IF(ISBLANK(Deltagarlista!$C46),"",IF(ISBLANK(Arrangörslista!K$8),"",IFERROR(VLOOKUP($F22,Arrangörslista!K$8:$AG$45,16,FALSE),IF(ISBLANK(Deltagarlista!$C46),"",IF(ISBLANK(Arrangörslista!K$8),"",IFERROR(VLOOKUP($F22,Arrangörslista!L$8:$AG$45,16,FALSE),"DNS")))))),IF(Deltagarlista!$K$3=2,
IF(ISBLANK(Deltagarlista!$C46),"",IF(ISBLANK(Arrangörslista!G$8),"",IF($GV22=N$64," DNS ",IFERROR(VLOOKUP($F22,Arrangörslista!G$8:$AG$45,16,FALSE),"DNS")))),IF(ISBLANK(Deltagarlista!$C46),"",IF(ISBLANK(Arrangörslista!G$8),"",IFERROR(VLOOKUP($F22,Arrangörslista!G$8:$AG$45,16,FALSE),"DNS")))))</f>
        <v/>
      </c>
      <c r="O22" s="5" t="str">
        <f>IF(Deltagarlista!$K$3=4,IF(ISBLANK(Deltagarlista!$C46),"",IF(ISBLANK(Arrangörslista!M$8),"",IFERROR(VLOOKUP($F22,Arrangörslista!M$8:$AG$45,16,FALSE),IF(ISBLANK(Deltagarlista!$C46),"",IF(ISBLANK(Arrangörslista!M$8),"",IFERROR(VLOOKUP($F22,Arrangörslista!N$8:$AG$45,16,FALSE),"DNS")))))),IF(Deltagarlista!$K$3=2,
IF(ISBLANK(Deltagarlista!$C46),"",IF(ISBLANK(Arrangörslista!H$8),"",IF($GV22=O$64," DNS ",IFERROR(VLOOKUP($F22,Arrangörslista!H$8:$AG$45,16,FALSE),"DNS")))),IF(ISBLANK(Deltagarlista!$C46),"",IF(ISBLANK(Arrangörslista!H$8),"",IFERROR(VLOOKUP($F22,Arrangörslista!H$8:$AG$45,16,FALSE),"DNS")))))</f>
        <v/>
      </c>
      <c r="P22" s="5" t="str">
        <f>IF(Deltagarlista!$K$3=4,IF(ISBLANK(Deltagarlista!$C46),"",IF(ISBLANK(Arrangörslista!O$8),"",IFERROR(VLOOKUP($F22,Arrangörslista!O$8:$AG$45,16,FALSE),IF(ISBLANK(Deltagarlista!$C46),"",IF(ISBLANK(Arrangörslista!O$8),"",IFERROR(VLOOKUP($F22,Arrangörslista!P$8:$AG$45,16,FALSE),"DNS")))))),IF(Deltagarlista!$K$3=2,
IF(ISBLANK(Deltagarlista!$C46),"",IF(ISBLANK(Arrangörslista!I$8),"",IF($GV22=P$64," DNS ",IFERROR(VLOOKUP($F22,Arrangörslista!I$8:$AG$45,16,FALSE),"DNS")))),IF(ISBLANK(Deltagarlista!$C46),"",IF(ISBLANK(Arrangörslista!I$8),"",IFERROR(VLOOKUP($F22,Arrangörslista!I$8:$AG$45,16,FALSE),"DNS")))))</f>
        <v/>
      </c>
      <c r="Q22" s="5" t="str">
        <f>IF(Deltagarlista!$K$3=4,IF(ISBLANK(Deltagarlista!$C46),"",IF(ISBLANK(Arrangörslista!Q$8),"",IFERROR(VLOOKUP($F22,Arrangörslista!Q$8:$AG$45,16,FALSE),IF(ISBLANK(Deltagarlista!$C46),"",IF(ISBLANK(Arrangörslista!Q$8),"",IFERROR(VLOOKUP($F22,Arrangörslista!C$53:$AG$90,16,FALSE),"DNS")))))),IF(Deltagarlista!$K$3=2,
IF(ISBLANK(Deltagarlista!$C46),"",IF(ISBLANK(Arrangörslista!J$8),"",IF($GV22=Q$64," DNS ",IFERROR(VLOOKUP($F22,Arrangörslista!J$8:$AG$45,16,FALSE),"DNS")))),IF(ISBLANK(Deltagarlista!$C46),"",IF(ISBLANK(Arrangörslista!J$8),"",IFERROR(VLOOKUP($F22,Arrangörslista!J$8:$AG$45,16,FALSE),"DNS")))))</f>
        <v/>
      </c>
      <c r="R22" s="5" t="str">
        <f>IF(Deltagarlista!$K$3=4,IF(ISBLANK(Deltagarlista!$C46),"",IF(ISBLANK(Arrangörslista!D$53),"",IFERROR(VLOOKUP($F22,Arrangörslista!D$53:$AG$90,16,FALSE),IF(ISBLANK(Deltagarlista!$C46),"",IF(ISBLANK(Arrangörslista!D$53),"",IFERROR(VLOOKUP($F22,Arrangörslista!E$53:$AG$90,16,FALSE),"DNS")))))),IF(Deltagarlista!$K$3=2,
IF(ISBLANK(Deltagarlista!$C46),"",IF(ISBLANK(Arrangörslista!K$8),"",IF($GV22=R$64," DNS ",IFERROR(VLOOKUP($F22,Arrangörslista!K$8:$AG$45,16,FALSE),"DNS")))),IF(ISBLANK(Deltagarlista!$C46),"",IF(ISBLANK(Arrangörslista!K$8),"",IFERROR(VLOOKUP($F22,Arrangörslista!K$8:$AG$45,16,FALSE),"DNS")))))</f>
        <v/>
      </c>
      <c r="S22" s="5" t="str">
        <f>IF(Deltagarlista!$K$3=4,IF(ISBLANK(Deltagarlista!$C46),"",IF(ISBLANK(Arrangörslista!F$53),"",IFERROR(VLOOKUP($F22,Arrangörslista!F$53:$AG$90,16,FALSE),IF(ISBLANK(Deltagarlista!$C46),"",IF(ISBLANK(Arrangörslista!F$53),"",IFERROR(VLOOKUP($F22,Arrangörslista!G$53:$AG$90,16,FALSE),"DNS")))))),IF(Deltagarlista!$K$3=2,
IF(ISBLANK(Deltagarlista!$C46),"",IF(ISBLANK(Arrangörslista!L$8),"",IF($GV22=S$64," DNS ",IFERROR(VLOOKUP($F22,Arrangörslista!L$8:$AG$45,16,FALSE),"DNS")))),IF(ISBLANK(Deltagarlista!$C46),"",IF(ISBLANK(Arrangörslista!L$8),"",IFERROR(VLOOKUP($F22,Arrangörslista!L$8:$AG$45,16,FALSE),"DNS")))))</f>
        <v/>
      </c>
      <c r="T22" s="5" t="str">
        <f>IF(Deltagarlista!$K$3=4,IF(ISBLANK(Deltagarlista!$C46),"",IF(ISBLANK(Arrangörslista!H$53),"",IFERROR(VLOOKUP($F22,Arrangörslista!H$53:$AG$90,16,FALSE),IF(ISBLANK(Deltagarlista!$C46),"",IF(ISBLANK(Arrangörslista!H$53),"",IFERROR(VLOOKUP($F22,Arrangörslista!I$53:$AG$90,16,FALSE),"DNS")))))),IF(Deltagarlista!$K$3=2,
IF(ISBLANK(Deltagarlista!$C46),"",IF(ISBLANK(Arrangörslista!M$8),"",IF($GV22=T$64," DNS ",IFERROR(VLOOKUP($F22,Arrangörslista!M$8:$AG$45,16,FALSE),"DNS")))),IF(ISBLANK(Deltagarlista!$C46),"",IF(ISBLANK(Arrangörslista!M$8),"",IFERROR(VLOOKUP($F22,Arrangörslista!M$8:$AG$45,16,FALSE),"DNS")))))</f>
        <v/>
      </c>
      <c r="U22" s="5" t="str">
        <f>IF(Deltagarlista!$K$3=4,IF(ISBLANK(Deltagarlista!$C46),"",IF(ISBLANK(Arrangörslista!J$53),"",IFERROR(VLOOKUP($F22,Arrangörslista!J$53:$AG$90,16,FALSE),IF(ISBLANK(Deltagarlista!$C46),"",IF(ISBLANK(Arrangörslista!J$53),"",IFERROR(VLOOKUP($F22,Arrangörslista!K$53:$AG$90,16,FALSE),"DNS")))))),IF(Deltagarlista!$K$3=2,
IF(ISBLANK(Deltagarlista!$C46),"",IF(ISBLANK(Arrangörslista!N$8),"",IF($GV22=U$64," DNS ",IFERROR(VLOOKUP($F22,Arrangörslista!N$8:$AG$45,16,FALSE),"DNS")))),IF(ISBLANK(Deltagarlista!$C46),"",IF(ISBLANK(Arrangörslista!N$8),"",IFERROR(VLOOKUP($F22,Arrangörslista!N$8:$AG$45,16,FALSE),"DNS")))))</f>
        <v/>
      </c>
      <c r="V22" s="5" t="str">
        <f>IF(Deltagarlista!$K$3=4,IF(ISBLANK(Deltagarlista!$C46),"",IF(ISBLANK(Arrangörslista!L$53),"",IFERROR(VLOOKUP($F22,Arrangörslista!L$53:$AG$90,16,FALSE),IF(ISBLANK(Deltagarlista!$C46),"",IF(ISBLANK(Arrangörslista!L$53),"",IFERROR(VLOOKUP($F22,Arrangörslista!M$53:$AG$90,16,FALSE),"DNS")))))),IF(Deltagarlista!$K$3=2,
IF(ISBLANK(Deltagarlista!$C46),"",IF(ISBLANK(Arrangörslista!O$8),"",IF($GV22=V$64," DNS ",IFERROR(VLOOKUP($F22,Arrangörslista!O$8:$AG$45,16,FALSE),"DNS")))),IF(ISBLANK(Deltagarlista!$C46),"",IF(ISBLANK(Arrangörslista!O$8),"",IFERROR(VLOOKUP($F22,Arrangörslista!O$8:$AG$45,16,FALSE),"DNS")))))</f>
        <v/>
      </c>
      <c r="W22" s="5" t="str">
        <f>IF(Deltagarlista!$K$3=4,IF(ISBLANK(Deltagarlista!$C46),"",IF(ISBLANK(Arrangörslista!N$53),"",IFERROR(VLOOKUP($F22,Arrangörslista!N$53:$AG$90,16,FALSE),IF(ISBLANK(Deltagarlista!$C46),"",IF(ISBLANK(Arrangörslista!N$53),"",IFERROR(VLOOKUP($F22,Arrangörslista!O$53:$AG$90,16,FALSE),"DNS")))))),IF(Deltagarlista!$K$3=2,
IF(ISBLANK(Deltagarlista!$C46),"",IF(ISBLANK(Arrangörslista!P$8),"",IF($GV22=W$64," DNS ",IFERROR(VLOOKUP($F22,Arrangörslista!P$8:$AG$45,16,FALSE),"DNS")))),IF(ISBLANK(Deltagarlista!$C46),"",IF(ISBLANK(Arrangörslista!P$8),"",IFERROR(VLOOKUP($F22,Arrangörslista!P$8:$AG$45,16,FALSE),"DNS")))))</f>
        <v/>
      </c>
      <c r="X22" s="5" t="str">
        <f>IF(Deltagarlista!$K$3=4,IF(ISBLANK(Deltagarlista!$C46),"",IF(ISBLANK(Arrangörslista!P$53),"",IFERROR(VLOOKUP($F22,Arrangörslista!P$53:$AG$90,16,FALSE),IF(ISBLANK(Deltagarlista!$C46),"",IF(ISBLANK(Arrangörslista!P$53),"",IFERROR(VLOOKUP($F22,Arrangörslista!Q$53:$AG$90,16,FALSE),"DNS")))))),IF(Deltagarlista!$K$3=2,
IF(ISBLANK(Deltagarlista!$C46),"",IF(ISBLANK(Arrangörslista!Q$8),"",IF($GV22=X$64," DNS ",IFERROR(VLOOKUP($F22,Arrangörslista!Q$8:$AG$45,16,FALSE),"DNS")))),IF(ISBLANK(Deltagarlista!$C46),"",IF(ISBLANK(Arrangörslista!Q$8),"",IFERROR(VLOOKUP($F22,Arrangörslista!Q$8:$AG$45,16,FALSE),"DNS")))))</f>
        <v/>
      </c>
      <c r="Y22" s="5" t="str">
        <f>IF(Deltagarlista!$K$3=4,IF(ISBLANK(Deltagarlista!$C46),"",IF(ISBLANK(Arrangörslista!C$98),"",IFERROR(VLOOKUP($F22,Arrangörslista!C$98:$AG$135,16,FALSE),IF(ISBLANK(Deltagarlista!$C46),"",IF(ISBLANK(Arrangörslista!C$98),"",IFERROR(VLOOKUP($F22,Arrangörslista!D$98:$AG$135,16,FALSE),"DNS")))))),IF(Deltagarlista!$K$3=2,
IF(ISBLANK(Deltagarlista!$C46),"",IF(ISBLANK(Arrangörslista!C$53),"",IF($GV22=Y$64," DNS ",IFERROR(VLOOKUP($F22,Arrangörslista!C$53:$AG$90,16,FALSE),"DNS")))),IF(ISBLANK(Deltagarlista!$C46),"",IF(ISBLANK(Arrangörslista!C$53),"",IFERROR(VLOOKUP($F22,Arrangörslista!C$53:$AG$90,16,FALSE),"DNS")))))</f>
        <v/>
      </c>
      <c r="Z22" s="5" t="str">
        <f>IF(Deltagarlista!$K$3=4,IF(ISBLANK(Deltagarlista!$C46),"",IF(ISBLANK(Arrangörslista!E$98),"",IFERROR(VLOOKUP($F22,Arrangörslista!E$98:$AG$135,16,FALSE),IF(ISBLANK(Deltagarlista!$C46),"",IF(ISBLANK(Arrangörslista!E$98),"",IFERROR(VLOOKUP($F22,Arrangörslista!F$98:$AG$135,16,FALSE),"DNS")))))),IF(Deltagarlista!$K$3=2,
IF(ISBLANK(Deltagarlista!$C46),"",IF(ISBLANK(Arrangörslista!D$53),"",IF($GV22=Z$64," DNS ",IFERROR(VLOOKUP($F22,Arrangörslista!D$53:$AG$90,16,FALSE),"DNS")))),IF(ISBLANK(Deltagarlista!$C46),"",IF(ISBLANK(Arrangörslista!D$53),"",IFERROR(VLOOKUP($F22,Arrangörslista!D$53:$AG$90,16,FALSE),"DNS")))))</f>
        <v/>
      </c>
      <c r="AA22" s="5" t="str">
        <f>IF(Deltagarlista!$K$3=4,IF(ISBLANK(Deltagarlista!$C46),"",IF(ISBLANK(Arrangörslista!G$98),"",IFERROR(VLOOKUP($F22,Arrangörslista!G$98:$AG$135,16,FALSE),IF(ISBLANK(Deltagarlista!$C46),"",IF(ISBLANK(Arrangörslista!G$98),"",IFERROR(VLOOKUP($F22,Arrangörslista!H$98:$AG$135,16,FALSE),"DNS")))))),IF(Deltagarlista!$K$3=2,
IF(ISBLANK(Deltagarlista!$C46),"",IF(ISBLANK(Arrangörslista!E$53),"",IF($GV22=AA$64," DNS ",IFERROR(VLOOKUP($F22,Arrangörslista!E$53:$AG$90,16,FALSE),"DNS")))),IF(ISBLANK(Deltagarlista!$C46),"",IF(ISBLANK(Arrangörslista!E$53),"",IFERROR(VLOOKUP($F22,Arrangörslista!E$53:$AG$90,16,FALSE),"DNS")))))</f>
        <v/>
      </c>
      <c r="AB22" s="5" t="str">
        <f>IF(Deltagarlista!$K$3=4,IF(ISBLANK(Deltagarlista!$C46),"",IF(ISBLANK(Arrangörslista!I$98),"",IFERROR(VLOOKUP($F22,Arrangörslista!I$98:$AG$135,16,FALSE),IF(ISBLANK(Deltagarlista!$C46),"",IF(ISBLANK(Arrangörslista!I$98),"",IFERROR(VLOOKUP($F22,Arrangörslista!J$98:$AG$135,16,FALSE),"DNS")))))),IF(Deltagarlista!$K$3=2,
IF(ISBLANK(Deltagarlista!$C46),"",IF(ISBLANK(Arrangörslista!F$53),"",IF($GV22=AB$64," DNS ",IFERROR(VLOOKUP($F22,Arrangörslista!F$53:$AG$90,16,FALSE),"DNS")))),IF(ISBLANK(Deltagarlista!$C46),"",IF(ISBLANK(Arrangörslista!F$53),"",IFERROR(VLOOKUP($F22,Arrangörslista!F$53:$AG$90,16,FALSE),"DNS")))))</f>
        <v/>
      </c>
      <c r="AC22" s="5" t="str">
        <f>IF(Deltagarlista!$K$3=4,IF(ISBLANK(Deltagarlista!$C46),"",IF(ISBLANK(Arrangörslista!K$98),"",IFERROR(VLOOKUP($F22,Arrangörslista!K$98:$AG$135,16,FALSE),IF(ISBLANK(Deltagarlista!$C46),"",IF(ISBLANK(Arrangörslista!K$98),"",IFERROR(VLOOKUP($F22,Arrangörslista!L$98:$AG$135,16,FALSE),"DNS")))))),IF(Deltagarlista!$K$3=2,
IF(ISBLANK(Deltagarlista!$C46),"",IF(ISBLANK(Arrangörslista!G$53),"",IF($GV22=AC$64," DNS ",IFERROR(VLOOKUP($F22,Arrangörslista!G$53:$AG$90,16,FALSE),"DNS")))),IF(ISBLANK(Deltagarlista!$C46),"",IF(ISBLANK(Arrangörslista!G$53),"",IFERROR(VLOOKUP($F22,Arrangörslista!G$53:$AG$90,16,FALSE),"DNS")))))</f>
        <v/>
      </c>
      <c r="AD22" s="5" t="str">
        <f>IF(Deltagarlista!$K$3=4,IF(ISBLANK(Deltagarlista!$C46),"",IF(ISBLANK(Arrangörslista!M$98),"",IFERROR(VLOOKUP($F22,Arrangörslista!M$98:$AG$135,16,FALSE),IF(ISBLANK(Deltagarlista!$C46),"",IF(ISBLANK(Arrangörslista!M$98),"",IFERROR(VLOOKUP($F22,Arrangörslista!N$98:$AG$135,16,FALSE),"DNS")))))),IF(Deltagarlista!$K$3=2,
IF(ISBLANK(Deltagarlista!$C46),"",IF(ISBLANK(Arrangörslista!H$53),"",IF($GV22=AD$64," DNS ",IFERROR(VLOOKUP($F22,Arrangörslista!H$53:$AG$90,16,FALSE),"DNS")))),IF(ISBLANK(Deltagarlista!$C46),"",IF(ISBLANK(Arrangörslista!H$53),"",IFERROR(VLOOKUP($F22,Arrangörslista!H$53:$AG$90,16,FALSE),"DNS")))))</f>
        <v/>
      </c>
      <c r="AE22" s="5" t="str">
        <f>IF(Deltagarlista!$K$3=4,IF(ISBLANK(Deltagarlista!$C46),"",IF(ISBLANK(Arrangörslista!O$98),"",IFERROR(VLOOKUP($F22,Arrangörslista!O$98:$AG$135,16,FALSE),IF(ISBLANK(Deltagarlista!$C46),"",IF(ISBLANK(Arrangörslista!O$98),"",IFERROR(VLOOKUP($F22,Arrangörslista!P$98:$AG$135,16,FALSE),"DNS")))))),IF(Deltagarlista!$K$3=2,
IF(ISBLANK(Deltagarlista!$C46),"",IF(ISBLANK(Arrangörslista!I$53),"",IF($GV22=AE$64," DNS ",IFERROR(VLOOKUP($F22,Arrangörslista!I$53:$AG$90,16,FALSE),"DNS")))),IF(ISBLANK(Deltagarlista!$C46),"",IF(ISBLANK(Arrangörslista!I$53),"",IFERROR(VLOOKUP($F22,Arrangörslista!I$53:$AG$90,16,FALSE),"DNS")))))</f>
        <v/>
      </c>
      <c r="AF22" s="5" t="str">
        <f>IF(Deltagarlista!$K$3=4,IF(ISBLANK(Deltagarlista!$C46),"",IF(ISBLANK(Arrangörslista!Q$98),"",IFERROR(VLOOKUP($F22,Arrangörslista!Q$98:$AG$135,16,FALSE),IF(ISBLANK(Deltagarlista!$C46),"",IF(ISBLANK(Arrangörslista!Q$98),"",IFERROR(VLOOKUP($F22,Arrangörslista!C$143:$AG$180,16,FALSE),"DNS")))))),IF(Deltagarlista!$K$3=2,
IF(ISBLANK(Deltagarlista!$C46),"",IF(ISBLANK(Arrangörslista!J$53),"",IF($GV22=AF$64," DNS ",IFERROR(VLOOKUP($F22,Arrangörslista!J$53:$AG$90,16,FALSE),"DNS")))),IF(ISBLANK(Deltagarlista!$C46),"",IF(ISBLANK(Arrangörslista!J$53),"",IFERROR(VLOOKUP($F22,Arrangörslista!J$53:$AG$90,16,FALSE),"DNS")))))</f>
        <v/>
      </c>
      <c r="AG22" s="5" t="str">
        <f>IF(Deltagarlista!$K$3=4,IF(ISBLANK(Deltagarlista!$C46),"",IF(ISBLANK(Arrangörslista!D$143),"",IFERROR(VLOOKUP($F22,Arrangörslista!D$143:$AG$180,16,FALSE),IF(ISBLANK(Deltagarlista!$C46),"",IF(ISBLANK(Arrangörslista!D$143),"",IFERROR(VLOOKUP($F22,Arrangörslista!E$143:$AG$180,16,FALSE),"DNS")))))),IF(Deltagarlista!$K$3=2,
IF(ISBLANK(Deltagarlista!$C46),"",IF(ISBLANK(Arrangörslista!K$53),"",IF($GV22=AG$64," DNS ",IFERROR(VLOOKUP($F22,Arrangörslista!K$53:$AG$90,16,FALSE),"DNS")))),IF(ISBLANK(Deltagarlista!$C46),"",IF(ISBLANK(Arrangörslista!K$53),"",IFERROR(VLOOKUP($F22,Arrangörslista!K$53:$AG$90,16,FALSE),"DNS")))))</f>
        <v/>
      </c>
      <c r="AH22" s="5" t="str">
        <f>IF(Deltagarlista!$K$3=4,IF(ISBLANK(Deltagarlista!$C46),"",IF(ISBLANK(Arrangörslista!F$143),"",IFERROR(VLOOKUP($F22,Arrangörslista!F$143:$AG$180,16,FALSE),IF(ISBLANK(Deltagarlista!$C46),"",IF(ISBLANK(Arrangörslista!F$143),"",IFERROR(VLOOKUP($F22,Arrangörslista!G$143:$AG$180,16,FALSE),"DNS")))))),IF(Deltagarlista!$K$3=2,
IF(ISBLANK(Deltagarlista!$C46),"",IF(ISBLANK(Arrangörslista!L$53),"",IF($GV22=AH$64," DNS ",IFERROR(VLOOKUP($F22,Arrangörslista!L$53:$AG$90,16,FALSE),"DNS")))),IF(ISBLANK(Deltagarlista!$C46),"",IF(ISBLANK(Arrangörslista!L$53),"",IFERROR(VLOOKUP($F22,Arrangörslista!L$53:$AG$90,16,FALSE),"DNS")))))</f>
        <v/>
      </c>
      <c r="AI22" s="5" t="str">
        <f>IF(Deltagarlista!$K$3=4,IF(ISBLANK(Deltagarlista!$C46),"",IF(ISBLANK(Arrangörslista!H$143),"",IFERROR(VLOOKUP($F22,Arrangörslista!H$143:$AG$180,16,FALSE),IF(ISBLANK(Deltagarlista!$C46),"",IF(ISBLANK(Arrangörslista!H$143),"",IFERROR(VLOOKUP($F22,Arrangörslista!I$143:$AG$180,16,FALSE),"DNS")))))),IF(Deltagarlista!$K$3=2,
IF(ISBLANK(Deltagarlista!$C46),"",IF(ISBLANK(Arrangörslista!M$53),"",IF($GV22=AI$64," DNS ",IFERROR(VLOOKUP($F22,Arrangörslista!M$53:$AG$90,16,FALSE),"DNS")))),IF(ISBLANK(Deltagarlista!$C46),"",IF(ISBLANK(Arrangörslista!M$53),"",IFERROR(VLOOKUP($F22,Arrangörslista!M$53:$AG$90,16,FALSE),"DNS")))))</f>
        <v/>
      </c>
      <c r="AJ22" s="5" t="str">
        <f>IF(Deltagarlista!$K$3=4,IF(ISBLANK(Deltagarlista!$C46),"",IF(ISBLANK(Arrangörslista!J$143),"",IFERROR(VLOOKUP($F22,Arrangörslista!J$143:$AG$180,16,FALSE),IF(ISBLANK(Deltagarlista!$C46),"",IF(ISBLANK(Arrangörslista!J$143),"",IFERROR(VLOOKUP($F22,Arrangörslista!K$143:$AG$180,16,FALSE),"DNS")))))),IF(Deltagarlista!$K$3=2,
IF(ISBLANK(Deltagarlista!$C46),"",IF(ISBLANK(Arrangörslista!N$53),"",IF($GV22=AJ$64," DNS ",IFERROR(VLOOKUP($F22,Arrangörslista!N$53:$AG$90,16,FALSE),"DNS")))),IF(ISBLANK(Deltagarlista!$C46),"",IF(ISBLANK(Arrangörslista!N$53),"",IFERROR(VLOOKUP($F22,Arrangörslista!N$53:$AG$90,16,FALSE),"DNS")))))</f>
        <v/>
      </c>
      <c r="AK22" s="5" t="str">
        <f>IF(Deltagarlista!$K$3=4,IF(ISBLANK(Deltagarlista!$C46),"",IF(ISBLANK(Arrangörslista!L$143),"",IFERROR(VLOOKUP($F22,Arrangörslista!L$143:$AG$180,16,FALSE),IF(ISBLANK(Deltagarlista!$C46),"",IF(ISBLANK(Arrangörslista!L$143),"",IFERROR(VLOOKUP($F22,Arrangörslista!M$143:$AG$180,16,FALSE),"DNS")))))),IF(Deltagarlista!$K$3=2,
IF(ISBLANK(Deltagarlista!$C46),"",IF(ISBLANK(Arrangörslista!O$53),"",IF($GV22=AK$64," DNS ",IFERROR(VLOOKUP($F22,Arrangörslista!O$53:$AG$90,16,FALSE),"DNS")))),IF(ISBLANK(Deltagarlista!$C46),"",IF(ISBLANK(Arrangörslista!O$53),"",IFERROR(VLOOKUP($F22,Arrangörslista!O$53:$AG$90,16,FALSE),"DNS")))))</f>
        <v/>
      </c>
      <c r="AL22" s="5" t="str">
        <f>IF(Deltagarlista!$K$3=4,IF(ISBLANK(Deltagarlista!$C46),"",IF(ISBLANK(Arrangörslista!N$143),"",IFERROR(VLOOKUP($F22,Arrangörslista!N$143:$AG$180,16,FALSE),IF(ISBLANK(Deltagarlista!$C46),"",IF(ISBLANK(Arrangörslista!N$143),"",IFERROR(VLOOKUP($F22,Arrangörslista!O$143:$AG$180,16,FALSE),"DNS")))))),IF(Deltagarlista!$K$3=2,
IF(ISBLANK(Deltagarlista!$C46),"",IF(ISBLANK(Arrangörslista!P$53),"",IF($GV22=AL$64," DNS ",IFERROR(VLOOKUP($F22,Arrangörslista!P$53:$AG$90,16,FALSE),"DNS")))),IF(ISBLANK(Deltagarlista!$C46),"",IF(ISBLANK(Arrangörslista!P$53),"",IFERROR(VLOOKUP($F22,Arrangörslista!P$53:$AG$90,16,FALSE),"DNS")))))</f>
        <v/>
      </c>
      <c r="AM22" s="5" t="str">
        <f>IF(Deltagarlista!$K$3=4,IF(ISBLANK(Deltagarlista!$C46),"",IF(ISBLANK(Arrangörslista!P$143),"",IFERROR(VLOOKUP($F22,Arrangörslista!P$143:$AG$180,16,FALSE),IF(ISBLANK(Deltagarlista!$C46),"",IF(ISBLANK(Arrangörslista!P$143),"",IFERROR(VLOOKUP($F22,Arrangörslista!Q$143:$AG$180,16,FALSE),"DNS")))))),IF(Deltagarlista!$K$3=2,
IF(ISBLANK(Deltagarlista!$C46),"",IF(ISBLANK(Arrangörslista!Q$53),"",IF($GV22=AM$64," DNS ",IFERROR(VLOOKUP($F22,Arrangörslista!Q$53:$AG$90,16,FALSE),"DNS")))),IF(ISBLANK(Deltagarlista!$C46),"",IF(ISBLANK(Arrangörslista!Q$53),"",IFERROR(VLOOKUP($F22,Arrangörslista!Q$53:$AG$90,16,FALSE),"DNS")))))</f>
        <v/>
      </c>
      <c r="AN22" s="5" t="str">
        <f>IF(Deltagarlista!$K$3=2,
IF(ISBLANK(Deltagarlista!$C46),"",IF(ISBLANK(Arrangörslista!C$98),"",IF($GV22=AN$64," DNS ",IFERROR(VLOOKUP($F22,Arrangörslista!C$98:$AG$135,16,FALSE), "DNS")))), IF(Deltagarlista!$K$3=1,IF(ISBLANK(Deltagarlista!$C46),"",IF(ISBLANK(Arrangörslista!C$98),"",IFERROR(VLOOKUP($F22,Arrangörslista!C$98:$AG$135,16,FALSE), "DNS"))),""))</f>
        <v/>
      </c>
      <c r="AO22" s="5" t="str">
        <f>IF(Deltagarlista!$K$3=2,
IF(ISBLANK(Deltagarlista!$C46),"",IF(ISBLANK(Arrangörslista!D$98),"",IF($GV22=AO$64," DNS ",IFERROR(VLOOKUP($F22,Arrangörslista!D$98:$AG$135,16,FALSE), "DNS")))), IF(Deltagarlista!$K$3=1,IF(ISBLANK(Deltagarlista!$C46),"",IF(ISBLANK(Arrangörslista!D$98),"",IFERROR(VLOOKUP($F22,Arrangörslista!D$98:$AG$135,16,FALSE), "DNS"))),""))</f>
        <v/>
      </c>
      <c r="AP22" s="5" t="str">
        <f>IF(Deltagarlista!$K$3=2,
IF(ISBLANK(Deltagarlista!$C46),"",IF(ISBLANK(Arrangörslista!E$98),"",IF($GV22=AP$64," DNS ",IFERROR(VLOOKUP($F22,Arrangörslista!E$98:$AG$135,16,FALSE), "DNS")))), IF(Deltagarlista!$K$3=1,IF(ISBLANK(Deltagarlista!$C46),"",IF(ISBLANK(Arrangörslista!E$98),"",IFERROR(VLOOKUP($F22,Arrangörslista!E$98:$AG$135,16,FALSE), "DNS"))),""))</f>
        <v/>
      </c>
      <c r="AQ22" s="5" t="str">
        <f>IF(Deltagarlista!$K$3=2,
IF(ISBLANK(Deltagarlista!$C46),"",IF(ISBLANK(Arrangörslista!F$98),"",IF($GV22=AQ$64," DNS ",IFERROR(VLOOKUP($F22,Arrangörslista!F$98:$AG$135,16,FALSE), "DNS")))), IF(Deltagarlista!$K$3=1,IF(ISBLANK(Deltagarlista!$C46),"",IF(ISBLANK(Arrangörslista!F$98),"",IFERROR(VLOOKUP($F22,Arrangörslista!F$98:$AG$135,16,FALSE), "DNS"))),""))</f>
        <v/>
      </c>
      <c r="AR22" s="5" t="str">
        <f>IF(Deltagarlista!$K$3=2,
IF(ISBLANK(Deltagarlista!$C46),"",IF(ISBLANK(Arrangörslista!G$98),"",IF($GV22=AR$64," DNS ",IFERROR(VLOOKUP($F22,Arrangörslista!G$98:$AG$135,16,FALSE), "DNS")))), IF(Deltagarlista!$K$3=1,IF(ISBLANK(Deltagarlista!$C46),"",IF(ISBLANK(Arrangörslista!G$98),"",IFERROR(VLOOKUP($F22,Arrangörslista!G$98:$AG$135,16,FALSE), "DNS"))),""))</f>
        <v/>
      </c>
      <c r="AS22" s="5" t="str">
        <f>IF(Deltagarlista!$K$3=2,
IF(ISBLANK(Deltagarlista!$C46),"",IF(ISBLANK(Arrangörslista!H$98),"",IF($GV22=AS$64," DNS ",IFERROR(VLOOKUP($F22,Arrangörslista!H$98:$AG$135,16,FALSE), "DNS")))), IF(Deltagarlista!$K$3=1,IF(ISBLANK(Deltagarlista!$C46),"",IF(ISBLANK(Arrangörslista!H$98),"",IFERROR(VLOOKUP($F22,Arrangörslista!H$98:$AG$135,16,FALSE), "DNS"))),""))</f>
        <v/>
      </c>
      <c r="AT22" s="5" t="str">
        <f>IF(Deltagarlista!$K$3=2,
IF(ISBLANK(Deltagarlista!$C46),"",IF(ISBLANK(Arrangörslista!I$98),"",IF($GV22=AT$64," DNS ",IFERROR(VLOOKUP($F22,Arrangörslista!I$98:$AG$135,16,FALSE), "DNS")))), IF(Deltagarlista!$K$3=1,IF(ISBLANK(Deltagarlista!$C46),"",IF(ISBLANK(Arrangörslista!I$98),"",IFERROR(VLOOKUP($F22,Arrangörslista!I$98:$AG$135,16,FALSE), "DNS"))),""))</f>
        <v/>
      </c>
      <c r="AU22" s="5" t="str">
        <f>IF(Deltagarlista!$K$3=2,
IF(ISBLANK(Deltagarlista!$C46),"",IF(ISBLANK(Arrangörslista!J$98),"",IF($GV22=AU$64," DNS ",IFERROR(VLOOKUP($F22,Arrangörslista!J$98:$AG$135,16,FALSE), "DNS")))), IF(Deltagarlista!$K$3=1,IF(ISBLANK(Deltagarlista!$C46),"",IF(ISBLANK(Arrangörslista!J$98),"",IFERROR(VLOOKUP($F22,Arrangörslista!J$98:$AG$135,16,FALSE), "DNS"))),""))</f>
        <v/>
      </c>
      <c r="AV22" s="5" t="str">
        <f>IF(Deltagarlista!$K$3=2,
IF(ISBLANK(Deltagarlista!$C46),"",IF(ISBLANK(Arrangörslista!K$98),"",IF($GV22=AV$64," DNS ",IFERROR(VLOOKUP($F22,Arrangörslista!K$98:$AG$135,16,FALSE), "DNS")))), IF(Deltagarlista!$K$3=1,IF(ISBLANK(Deltagarlista!$C46),"",IF(ISBLANK(Arrangörslista!K$98),"",IFERROR(VLOOKUP($F22,Arrangörslista!K$98:$AG$135,16,FALSE), "DNS"))),""))</f>
        <v/>
      </c>
      <c r="AW22" s="5" t="str">
        <f>IF(Deltagarlista!$K$3=2,
IF(ISBLANK(Deltagarlista!$C46),"",IF(ISBLANK(Arrangörslista!L$98),"",IF($GV22=AW$64," DNS ",IFERROR(VLOOKUP($F22,Arrangörslista!L$98:$AG$135,16,FALSE), "DNS")))), IF(Deltagarlista!$K$3=1,IF(ISBLANK(Deltagarlista!$C46),"",IF(ISBLANK(Arrangörslista!L$98),"",IFERROR(VLOOKUP($F22,Arrangörslista!L$98:$AG$135,16,FALSE), "DNS"))),""))</f>
        <v/>
      </c>
      <c r="AX22" s="5" t="str">
        <f>IF(Deltagarlista!$K$3=2,
IF(ISBLANK(Deltagarlista!$C46),"",IF(ISBLANK(Arrangörslista!M$98),"",IF($GV22=AX$64," DNS ",IFERROR(VLOOKUP($F22,Arrangörslista!M$98:$AG$135,16,FALSE), "DNS")))), IF(Deltagarlista!$K$3=1,IF(ISBLANK(Deltagarlista!$C46),"",IF(ISBLANK(Arrangörslista!M$98),"",IFERROR(VLOOKUP($F22,Arrangörslista!M$98:$AG$135,16,FALSE), "DNS"))),""))</f>
        <v/>
      </c>
      <c r="AY22" s="5" t="str">
        <f>IF(Deltagarlista!$K$3=2,
IF(ISBLANK(Deltagarlista!$C46),"",IF(ISBLANK(Arrangörslista!N$98),"",IF($GV22=AY$64," DNS ",IFERROR(VLOOKUP($F22,Arrangörslista!N$98:$AG$135,16,FALSE), "DNS")))), IF(Deltagarlista!$K$3=1,IF(ISBLANK(Deltagarlista!$C46),"",IF(ISBLANK(Arrangörslista!N$98),"",IFERROR(VLOOKUP($F22,Arrangörslista!N$98:$AG$135,16,FALSE), "DNS"))),""))</f>
        <v/>
      </c>
      <c r="AZ22" s="5" t="str">
        <f>IF(Deltagarlista!$K$3=2,
IF(ISBLANK(Deltagarlista!$C46),"",IF(ISBLANK(Arrangörslista!O$98),"",IF($GV22=AZ$64," DNS ",IFERROR(VLOOKUP($F22,Arrangörslista!O$98:$AG$135,16,FALSE), "DNS")))), IF(Deltagarlista!$K$3=1,IF(ISBLANK(Deltagarlista!$C46),"",IF(ISBLANK(Arrangörslista!O$98),"",IFERROR(VLOOKUP($F22,Arrangörslista!O$98:$AG$135,16,FALSE), "DNS"))),""))</f>
        <v/>
      </c>
      <c r="BA22" s="5" t="str">
        <f>IF(Deltagarlista!$K$3=2,
IF(ISBLANK(Deltagarlista!$C46),"",IF(ISBLANK(Arrangörslista!P$98),"",IF($GV22=BA$64," DNS ",IFERROR(VLOOKUP($F22,Arrangörslista!P$98:$AG$135,16,FALSE), "DNS")))), IF(Deltagarlista!$K$3=1,IF(ISBLANK(Deltagarlista!$C46),"",IF(ISBLANK(Arrangörslista!P$98),"",IFERROR(VLOOKUP($F22,Arrangörslista!P$98:$AG$135,16,FALSE), "DNS"))),""))</f>
        <v/>
      </c>
      <c r="BB22" s="5" t="str">
        <f>IF(Deltagarlista!$K$3=2,
IF(ISBLANK(Deltagarlista!$C46),"",IF(ISBLANK(Arrangörslista!Q$98),"",IF($GV22=BB$64," DNS ",IFERROR(VLOOKUP($F22,Arrangörslista!Q$98:$AG$135,16,FALSE), "DNS")))), IF(Deltagarlista!$K$3=1,IF(ISBLANK(Deltagarlista!$C46),"",IF(ISBLANK(Arrangörslista!Q$98),"",IFERROR(VLOOKUP($F22,Arrangörslista!Q$98:$AG$135,16,FALSE), "DNS"))),""))</f>
        <v/>
      </c>
      <c r="BC22" s="5" t="str">
        <f>IF(Deltagarlista!$K$3=2,
IF(ISBLANK(Deltagarlista!$C46),"",IF(ISBLANK(Arrangörslista!C$143),"",IF($GV22=BC$64," DNS ",IFERROR(VLOOKUP($F22,Arrangörslista!C$143:$AG$180,16,FALSE), "DNS")))), IF(Deltagarlista!$K$3=1,IF(ISBLANK(Deltagarlista!$C46),"",IF(ISBLANK(Arrangörslista!C$143),"",IFERROR(VLOOKUP($F22,Arrangörslista!C$143:$AG$180,16,FALSE), "DNS"))),""))</f>
        <v/>
      </c>
      <c r="BD22" s="5" t="str">
        <f>IF(Deltagarlista!$K$3=2,
IF(ISBLANK(Deltagarlista!$C46),"",IF(ISBLANK(Arrangörslista!D$143),"",IF($GV22=BD$64," DNS ",IFERROR(VLOOKUP($F22,Arrangörslista!D$143:$AG$180,16,FALSE), "DNS")))), IF(Deltagarlista!$K$3=1,IF(ISBLANK(Deltagarlista!$C46),"",IF(ISBLANK(Arrangörslista!D$143),"",IFERROR(VLOOKUP($F22,Arrangörslista!D$143:$AG$180,16,FALSE), "DNS"))),""))</f>
        <v/>
      </c>
      <c r="BE22" s="5" t="str">
        <f>IF(Deltagarlista!$K$3=2,
IF(ISBLANK(Deltagarlista!$C46),"",IF(ISBLANK(Arrangörslista!E$143),"",IF($GV22=BE$64," DNS ",IFERROR(VLOOKUP($F22,Arrangörslista!E$143:$AG$180,16,FALSE), "DNS")))), IF(Deltagarlista!$K$3=1,IF(ISBLANK(Deltagarlista!$C46),"",IF(ISBLANK(Arrangörslista!E$143),"",IFERROR(VLOOKUP($F22,Arrangörslista!E$143:$AG$180,16,FALSE), "DNS"))),""))</f>
        <v/>
      </c>
      <c r="BF22" s="5" t="str">
        <f>IF(Deltagarlista!$K$3=2,
IF(ISBLANK(Deltagarlista!$C46),"",IF(ISBLANK(Arrangörslista!F$143),"",IF($GV22=BF$64," DNS ",IFERROR(VLOOKUP($F22,Arrangörslista!F$143:$AG$180,16,FALSE), "DNS")))), IF(Deltagarlista!$K$3=1,IF(ISBLANK(Deltagarlista!$C46),"",IF(ISBLANK(Arrangörslista!F$143),"",IFERROR(VLOOKUP($F22,Arrangörslista!F$143:$AG$180,16,FALSE), "DNS"))),""))</f>
        <v/>
      </c>
      <c r="BG22" s="5" t="str">
        <f>IF(Deltagarlista!$K$3=2,
IF(ISBLANK(Deltagarlista!$C46),"",IF(ISBLANK(Arrangörslista!G$143),"",IF($GV22=BG$64," DNS ",IFERROR(VLOOKUP($F22,Arrangörslista!G$143:$AG$180,16,FALSE), "DNS")))), IF(Deltagarlista!$K$3=1,IF(ISBLANK(Deltagarlista!$C46),"",IF(ISBLANK(Arrangörslista!G$143),"",IFERROR(VLOOKUP($F22,Arrangörslista!G$143:$AG$180,16,FALSE), "DNS"))),""))</f>
        <v/>
      </c>
      <c r="BH22" s="5" t="str">
        <f>IF(Deltagarlista!$K$3=2,
IF(ISBLANK(Deltagarlista!$C46),"",IF(ISBLANK(Arrangörslista!H$143),"",IF($GV22=BH$64," DNS ",IFERROR(VLOOKUP($F22,Arrangörslista!H$143:$AG$180,16,FALSE), "DNS")))), IF(Deltagarlista!$K$3=1,IF(ISBLANK(Deltagarlista!$C46),"",IF(ISBLANK(Arrangörslista!H$143),"",IFERROR(VLOOKUP($F22,Arrangörslista!H$143:$AG$180,16,FALSE), "DNS"))),""))</f>
        <v/>
      </c>
      <c r="BI22" s="5" t="str">
        <f>IF(Deltagarlista!$K$3=2,
IF(ISBLANK(Deltagarlista!$C46),"",IF(ISBLANK(Arrangörslista!I$143),"",IF($GV22=BI$64," DNS ",IFERROR(VLOOKUP($F22,Arrangörslista!I$143:$AG$180,16,FALSE), "DNS")))), IF(Deltagarlista!$K$3=1,IF(ISBLANK(Deltagarlista!$C46),"",IF(ISBLANK(Arrangörslista!I$143),"",IFERROR(VLOOKUP($F22,Arrangörslista!I$143:$AG$180,16,FALSE), "DNS"))),""))</f>
        <v/>
      </c>
      <c r="BJ22" s="5" t="str">
        <f>IF(Deltagarlista!$K$3=2,
IF(ISBLANK(Deltagarlista!$C46),"",IF(ISBLANK(Arrangörslista!J$143),"",IF($GV22=BJ$64," DNS ",IFERROR(VLOOKUP($F22,Arrangörslista!J$143:$AG$180,16,FALSE), "DNS")))), IF(Deltagarlista!$K$3=1,IF(ISBLANK(Deltagarlista!$C46),"",IF(ISBLANK(Arrangörslista!J$143),"",IFERROR(VLOOKUP($F22,Arrangörslista!J$143:$AG$180,16,FALSE), "DNS"))),""))</f>
        <v/>
      </c>
      <c r="BK22" s="5" t="str">
        <f>IF(Deltagarlista!$K$3=2,
IF(ISBLANK(Deltagarlista!$C46),"",IF(ISBLANK(Arrangörslista!K$143),"",IF($GV22=BK$64," DNS ",IFERROR(VLOOKUP($F22,Arrangörslista!K$143:$AG$180,16,FALSE), "DNS")))), IF(Deltagarlista!$K$3=1,IF(ISBLANK(Deltagarlista!$C46),"",IF(ISBLANK(Arrangörslista!K$143),"",IFERROR(VLOOKUP($F22,Arrangörslista!K$143:$AG$180,16,FALSE), "DNS"))),""))</f>
        <v/>
      </c>
      <c r="BL22" s="5" t="str">
        <f>IF(Deltagarlista!$K$3=2,
IF(ISBLANK(Deltagarlista!$C46),"",IF(ISBLANK(Arrangörslista!L$143),"",IF($GV22=BL$64," DNS ",IFERROR(VLOOKUP($F22,Arrangörslista!L$143:$AG$180,16,FALSE), "DNS")))), IF(Deltagarlista!$K$3=1,IF(ISBLANK(Deltagarlista!$C46),"",IF(ISBLANK(Arrangörslista!L$143),"",IFERROR(VLOOKUP($F22,Arrangörslista!L$143:$AG$180,16,FALSE), "DNS"))),""))</f>
        <v/>
      </c>
      <c r="BM22" s="5" t="str">
        <f>IF(Deltagarlista!$K$3=2,
IF(ISBLANK(Deltagarlista!$C46),"",IF(ISBLANK(Arrangörslista!M$143),"",IF($GV22=BM$64," DNS ",IFERROR(VLOOKUP($F22,Arrangörslista!M$143:$AG$180,16,FALSE), "DNS")))), IF(Deltagarlista!$K$3=1,IF(ISBLANK(Deltagarlista!$C46),"",IF(ISBLANK(Arrangörslista!M$143),"",IFERROR(VLOOKUP($F22,Arrangörslista!M$143:$AG$180,16,FALSE), "DNS"))),""))</f>
        <v/>
      </c>
      <c r="BN22" s="5" t="str">
        <f>IF(Deltagarlista!$K$3=2,
IF(ISBLANK(Deltagarlista!$C46),"",IF(ISBLANK(Arrangörslista!N$143),"",IF($GV22=BN$64," DNS ",IFERROR(VLOOKUP($F22,Arrangörslista!N$143:$AG$180,16,FALSE), "DNS")))), IF(Deltagarlista!$K$3=1,IF(ISBLANK(Deltagarlista!$C46),"",IF(ISBLANK(Arrangörslista!N$143),"",IFERROR(VLOOKUP($F22,Arrangörslista!N$143:$AG$180,16,FALSE), "DNS"))),""))</f>
        <v/>
      </c>
      <c r="BO22" s="5" t="str">
        <f>IF(Deltagarlista!$K$3=2,
IF(ISBLANK(Deltagarlista!$C46),"",IF(ISBLANK(Arrangörslista!O$143),"",IF($GV22=BO$64," DNS ",IFERROR(VLOOKUP($F22,Arrangörslista!O$143:$AG$180,16,FALSE), "DNS")))), IF(Deltagarlista!$K$3=1,IF(ISBLANK(Deltagarlista!$C46),"",IF(ISBLANK(Arrangörslista!O$143),"",IFERROR(VLOOKUP($F22,Arrangörslista!O$143:$AG$180,16,FALSE), "DNS"))),""))</f>
        <v/>
      </c>
      <c r="BP22" s="5" t="str">
        <f>IF(Deltagarlista!$K$3=2,
IF(ISBLANK(Deltagarlista!$C46),"",IF(ISBLANK(Arrangörslista!P$143),"",IF($GV22=BP$64," DNS ",IFERROR(VLOOKUP($F22,Arrangörslista!P$143:$AG$180,16,FALSE), "DNS")))), IF(Deltagarlista!$K$3=1,IF(ISBLANK(Deltagarlista!$C46),"",IF(ISBLANK(Arrangörslista!P$143),"",IFERROR(VLOOKUP($F22,Arrangörslista!P$143:$AG$180,16,FALSE), "DNS"))),""))</f>
        <v/>
      </c>
      <c r="BQ22" s="80" t="str">
        <f>IF(Deltagarlista!$K$3=2,
IF(ISBLANK(Deltagarlista!$C46),"",IF(ISBLANK(Arrangörslista!Q$143),"",IF($GV22=BQ$64," DNS ",IFERROR(VLOOKUP($F22,Arrangörslista!Q$143:$AG$180,16,FALSE), "DNS")))), IF(Deltagarlista!$K$3=1,IF(ISBLANK(Deltagarlista!$C46),"",IF(ISBLANK(Arrangörslista!Q$143),"",IFERROR(VLOOKUP($F22,Arrangörslista!Q$143:$AG$180,16,FALSE), "DNS"))),""))</f>
        <v/>
      </c>
      <c r="BR22" s="48"/>
      <c r="BS22" s="50" t="str">
        <f t="shared" si="0"/>
        <v>2</v>
      </c>
      <c r="BU22" s="71">
        <f t="shared" si="1"/>
        <v>0</v>
      </c>
      <c r="BV22" s="61">
        <f t="shared" si="2"/>
        <v>0</v>
      </c>
      <c r="BW22" s="61">
        <f t="shared" si="3"/>
        <v>0</v>
      </c>
      <c r="BX22" s="61">
        <f t="shared" si="4"/>
        <v>0</v>
      </c>
      <c r="BY22" s="61">
        <f t="shared" si="5"/>
        <v>0</v>
      </c>
      <c r="BZ22" s="61">
        <f t="shared" si="6"/>
        <v>0</v>
      </c>
      <c r="CA22" s="61">
        <f t="shared" si="7"/>
        <v>0</v>
      </c>
      <c r="CB22" s="61">
        <f t="shared" si="8"/>
        <v>0</v>
      </c>
      <c r="CC22" s="61">
        <f t="shared" si="9"/>
        <v>0</v>
      </c>
      <c r="CD22" s="61">
        <f t="shared" si="10"/>
        <v>0</v>
      </c>
      <c r="CE22" s="61">
        <f t="shared" si="11"/>
        <v>0</v>
      </c>
      <c r="CF22" s="61">
        <f t="shared" si="12"/>
        <v>0</v>
      </c>
      <c r="CG22" s="61">
        <f t="shared" si="13"/>
        <v>0</v>
      </c>
      <c r="CH22" s="61">
        <f t="shared" si="14"/>
        <v>0</v>
      </c>
      <c r="CI22" s="61">
        <f t="shared" si="15"/>
        <v>0</v>
      </c>
      <c r="CJ22" s="61">
        <f t="shared" si="16"/>
        <v>0</v>
      </c>
      <c r="CK22" s="61">
        <f t="shared" si="17"/>
        <v>0</v>
      </c>
      <c r="CL22" s="61">
        <f t="shared" si="18"/>
        <v>0</v>
      </c>
      <c r="CM22" s="61">
        <f t="shared" si="19"/>
        <v>0</v>
      </c>
      <c r="CN22" s="61">
        <f t="shared" si="20"/>
        <v>0</v>
      </c>
      <c r="CO22" s="61">
        <f t="shared" si="21"/>
        <v>0</v>
      </c>
      <c r="CP22" s="61">
        <f t="shared" si="22"/>
        <v>0</v>
      </c>
      <c r="CQ22" s="61">
        <f t="shared" si="23"/>
        <v>0</v>
      </c>
      <c r="CR22" s="61">
        <f t="shared" si="24"/>
        <v>0</v>
      </c>
      <c r="CS22" s="61">
        <f t="shared" si="25"/>
        <v>0</v>
      </c>
      <c r="CT22" s="61">
        <f t="shared" si="26"/>
        <v>0</v>
      </c>
      <c r="CU22" s="61">
        <f t="shared" si="27"/>
        <v>0</v>
      </c>
      <c r="CV22" s="61">
        <f t="shared" si="28"/>
        <v>0</v>
      </c>
      <c r="CW22" s="61">
        <f t="shared" si="29"/>
        <v>0</v>
      </c>
      <c r="CX22" s="61">
        <f t="shared" si="30"/>
        <v>0</v>
      </c>
      <c r="CY22" s="61">
        <f t="shared" si="31"/>
        <v>0</v>
      </c>
      <c r="CZ22" s="61">
        <f t="shared" si="32"/>
        <v>0</v>
      </c>
      <c r="DA22" s="61">
        <f t="shared" si="33"/>
        <v>0</v>
      </c>
      <c r="DB22" s="61">
        <f t="shared" si="34"/>
        <v>0</v>
      </c>
      <c r="DC22" s="61">
        <f t="shared" si="35"/>
        <v>0</v>
      </c>
      <c r="DD22" s="61">
        <f t="shared" si="36"/>
        <v>0</v>
      </c>
      <c r="DE22" s="61">
        <f t="shared" si="37"/>
        <v>0</v>
      </c>
      <c r="DF22" s="61">
        <f t="shared" si="38"/>
        <v>0</v>
      </c>
      <c r="DG22" s="61">
        <f t="shared" si="39"/>
        <v>0</v>
      </c>
      <c r="DH22" s="61">
        <f t="shared" si="40"/>
        <v>0</v>
      </c>
      <c r="DI22" s="61">
        <f t="shared" si="41"/>
        <v>0</v>
      </c>
      <c r="DJ22" s="61">
        <f t="shared" si="42"/>
        <v>0</v>
      </c>
      <c r="DK22" s="61">
        <f t="shared" si="43"/>
        <v>0</v>
      </c>
      <c r="DL22" s="61">
        <f t="shared" si="44"/>
        <v>0</v>
      </c>
      <c r="DM22" s="61">
        <f t="shared" si="45"/>
        <v>0</v>
      </c>
      <c r="DN22" s="61">
        <f t="shared" si="46"/>
        <v>0</v>
      </c>
      <c r="DO22" s="61">
        <f t="shared" si="47"/>
        <v>0</v>
      </c>
      <c r="DP22" s="61">
        <f t="shared" si="48"/>
        <v>0</v>
      </c>
      <c r="DQ22" s="61">
        <f t="shared" si="49"/>
        <v>0</v>
      </c>
      <c r="DR22" s="61">
        <f t="shared" si="50"/>
        <v>0</v>
      </c>
      <c r="DS22" s="61">
        <f t="shared" si="51"/>
        <v>0</v>
      </c>
      <c r="DT22" s="61">
        <f t="shared" si="52"/>
        <v>0</v>
      </c>
      <c r="DU22" s="61">
        <f t="shared" si="53"/>
        <v>0</v>
      </c>
      <c r="DV22" s="61">
        <f t="shared" si="54"/>
        <v>0</v>
      </c>
      <c r="DW22" s="61">
        <f t="shared" si="55"/>
        <v>0</v>
      </c>
      <c r="DX22" s="61">
        <f t="shared" si="56"/>
        <v>0</v>
      </c>
      <c r="DY22" s="61">
        <f t="shared" si="57"/>
        <v>0</v>
      </c>
      <c r="DZ22" s="61">
        <f t="shared" si="58"/>
        <v>0</v>
      </c>
      <c r="EA22" s="61">
        <f t="shared" si="59"/>
        <v>0</v>
      </c>
      <c r="EB22" s="61">
        <f t="shared" si="60"/>
        <v>0</v>
      </c>
      <c r="EC22" s="61">
        <f t="shared" si="61"/>
        <v>0</v>
      </c>
      <c r="EE22" s="61">
        <f xml:space="preserve">
IF(OR(Deltagarlista!$K$3=3,Deltagarlista!$K$3=4),
IF(Arrangörslista!$U$5&lt;8,0,
IF(Arrangörslista!$U$5&lt;16,SUM(LARGE(BV22:CJ22,1)),
IF(Arrangörslista!$U$5&lt;24,SUM(LARGE(BV22:CR22,{1;2})),
IF(Arrangörslista!$U$5&lt;32,SUM(LARGE(BV22:CZ22,{1;2;3})),
IF(Arrangörslista!$U$5&lt;40,SUM(LARGE(BV22:DH22,{1;2;3;4})),
IF(Arrangörslista!$U$5&lt;48,SUM(LARGE(BV22:DP22,{1;2;3;4;5})),
IF(Arrangörslista!$U$5&lt;56,SUM(LARGE(BV22:DX22,{1;2;3;4;5;6})),
IF(Arrangörslista!$U$5&lt;64,SUM(LARGE(BV22:EC22,{1;2;3;4;5;6;7})),0)))))))),
IF(Deltagarlista!$K$3=2,
IF(Arrangörslista!$U$5&lt;4,LARGE(BV22:BX22,1),
IF(Arrangörslista!$U$5&lt;7,SUM(LARGE(BV22:CA22,{1;2;3})),
IF(Arrangörslista!$U$5&lt;10,SUM(LARGE(BV22:CD22,{1;2;3;4})),
IF(Arrangörslista!$U$5&lt;13,SUM(LARGE(BV22:CG22,{1;2;3;4;5;6})),
IF(Arrangörslista!$U$5&lt;16,SUM(LARGE(BV22:CJ22,{1;2;3;4;5;6;7})),
IF(Arrangörslista!$U$5&lt;19,SUM(LARGE(BV22:CM22,{1;2;3;4;5;6;7;8;9})),
IF(Arrangörslista!$U$5&lt;22,SUM(LARGE(BV22:CP22,{1;2;3;4;5;6;7;8;9;10})),
IF(Arrangörslista!$U$5&lt;25,SUM(LARGE(BV22:CS22,{1;2;3;4;5;6;7;8;9;10;11;12})),
IF(Arrangörslista!$U$5&lt;28,SUM(LARGE(BV22:CV22,{1;2;3;4;5;6;7;8;9;10;11;12;13})),
IF(Arrangörslista!$U$5&lt;31,SUM(LARGE(BV22:CY22,{1;2;3;4;5;6;7;8;9;10;11;12;13;14;15})),
IF(Arrangörslista!$U$5&lt;34,SUM(LARGE(BV22:DB22,{1;2;3;4;5;6;7;8;9;10;11;12;13;14;15;16})),
IF(Arrangörslista!$U$5&lt;37,SUM(LARGE(BV22:DE22,{1;2;3;4;5;6;7;8;9;10;11;12;13;14;15;16;17;18})),
IF(Arrangörslista!$U$5&lt;40,SUM(LARGE(BV22:DH22,{1;2;3;4;5;6;7;8;9;10;11;12;13;14;15;16;17;18;19})),
IF(Arrangörslista!$U$5&lt;43,SUM(LARGE(BV22:DK22,{1;2;3;4;5;6;7;8;9;10;11;12;13;14;15;16;17;18;19;20;21})),
IF(Arrangörslista!$U$5&lt;46,SUM(LARGE(BV22:DN22,{1;2;3;4;5;6;7;8;9;10;11;12;13;14;15;16;17;18;19;20;21;22})),
IF(Arrangörslista!$U$5&lt;49,SUM(LARGE(BV22:DQ22,{1;2;3;4;5;6;7;8;9;10;11;12;13;14;15;16;17;18;19;20;21;22;23;24})),
IF(Arrangörslista!$U$5&lt;52,SUM(LARGE(BV22:DT22,{1;2;3;4;5;6;7;8;9;10;11;12;13;14;15;16;17;18;19;20;21;22;23;24;25})),
IF(Arrangörslista!$U$5&lt;55,SUM(LARGE(BV22:DW22,{1;2;3;4;5;6;7;8;9;10;11;12;13;14;15;16;17;18;19;20;21;22;23;24;25;26;27})),
IF(Arrangörslista!$U$5&lt;58,SUM(LARGE(BV22:DZ22,{1;2;3;4;5;6;7;8;9;10;11;12;13;14;15;16;17;18;19;20;21;22;23;24;25;26;27;28})),
IF(Arrangörslista!$U$5&lt;61,SUM(LARGE(BV22:EC22,{1;2;3;4;5;6;7;8;9;10;11;12;13;14;15;16;17;18;19;20;21;22;23;24;25;26;27;28;29;30})),0)))))))))))))))))))),
IF(Arrangörslista!$U$5&lt;4,0,
IF(Arrangörslista!$U$5&lt;8,SUM(LARGE(BV22:CB22,1)),
IF(Arrangörslista!$U$5&lt;12,SUM(LARGE(BV22:CF22,{1;2})),
IF(Arrangörslista!$U$5&lt;16,SUM(LARGE(BV22:CJ22,{1;2;3})),
IF(Arrangörslista!$U$5&lt;20,SUM(LARGE(BV22:CN22,{1;2;3;4})),
IF(Arrangörslista!$U$5&lt;24,SUM(LARGE(BV22:CR22,{1;2;3;4;5})),
IF(Arrangörslista!$U$5&lt;28,SUM(LARGE(BV22:CV22,{1;2;3;4;5;6})),
IF(Arrangörslista!$U$5&lt;32,SUM(LARGE(BV22:CZ22,{1;2;3;4;5;6;7})),
IF(Arrangörslista!$U$5&lt;36,SUM(LARGE(BV22:DD22,{1;2;3;4;5;6;7;8})),
IF(Arrangörslista!$U$5&lt;40,SUM(LARGE(BV22:DH22,{1;2;3;4;5;6;7;8;9})),
IF(Arrangörslista!$U$5&lt;44,SUM(LARGE(BV22:DL22,{1;2;3;4;5;6;7;8;9;10})),
IF(Arrangörslista!$U$5&lt;48,SUM(LARGE(BV22:DP22,{1;2;3;4;5;6;7;8;9;10;11})),
IF(Arrangörslista!$U$5&lt;52,SUM(LARGE(BV22:DT22,{1;2;3;4;5;6;7;8;9;10;11;12})),
IF(Arrangörslista!$U$5&lt;56,SUM(LARGE(BV22:DX22,{1;2;3;4;5;6;7;8;9;10;11;12;13})),
IF(Arrangörslista!$U$5&lt;60,SUM(LARGE(BV22:EB22,{1;2;3;4;5;6;7;8;9;10;11;12;13;14})),
IF(Arrangörslista!$U$5=60,SUM(LARGE(BV22:EC22,{1;2;3;4;5;6;7;8;9;10;11;12;13;14;15})),0))))))))))))))))))</f>
        <v>0</v>
      </c>
      <c r="EG22" s="67">
        <f t="shared" si="62"/>
        <v>0</v>
      </c>
      <c r="EH22" s="61"/>
      <c r="EI22" s="61"/>
      <c r="EK22" s="62">
        <f t="shared" si="63"/>
        <v>61</v>
      </c>
      <c r="EL22" s="62">
        <f t="shared" si="64"/>
        <v>61</v>
      </c>
      <c r="EM22" s="62">
        <f t="shared" si="65"/>
        <v>61</v>
      </c>
      <c r="EN22" s="62">
        <f t="shared" si="66"/>
        <v>61</v>
      </c>
      <c r="EO22" s="62">
        <f t="shared" si="67"/>
        <v>61</v>
      </c>
      <c r="EP22" s="62">
        <f t="shared" si="68"/>
        <v>61</v>
      </c>
      <c r="EQ22" s="62">
        <f t="shared" si="69"/>
        <v>61</v>
      </c>
      <c r="ER22" s="62">
        <f t="shared" si="70"/>
        <v>61</v>
      </c>
      <c r="ES22" s="62">
        <f t="shared" si="71"/>
        <v>61</v>
      </c>
      <c r="ET22" s="62">
        <f t="shared" si="72"/>
        <v>61</v>
      </c>
      <c r="EU22" s="62">
        <f t="shared" si="73"/>
        <v>61</v>
      </c>
      <c r="EV22" s="62">
        <f t="shared" si="74"/>
        <v>61</v>
      </c>
      <c r="EW22" s="62">
        <f t="shared" si="75"/>
        <v>61</v>
      </c>
      <c r="EX22" s="62">
        <f t="shared" si="76"/>
        <v>61</v>
      </c>
      <c r="EY22" s="62">
        <f t="shared" si="77"/>
        <v>61</v>
      </c>
      <c r="EZ22" s="62">
        <f t="shared" si="78"/>
        <v>61</v>
      </c>
      <c r="FA22" s="62">
        <f t="shared" si="79"/>
        <v>61</v>
      </c>
      <c r="FB22" s="62">
        <f t="shared" si="80"/>
        <v>61</v>
      </c>
      <c r="FC22" s="62">
        <f t="shared" si="81"/>
        <v>61</v>
      </c>
      <c r="FD22" s="62">
        <f t="shared" si="82"/>
        <v>61</v>
      </c>
      <c r="FE22" s="62">
        <f t="shared" si="83"/>
        <v>61</v>
      </c>
      <c r="FF22" s="62">
        <f t="shared" si="84"/>
        <v>61</v>
      </c>
      <c r="FG22" s="62">
        <f t="shared" si="85"/>
        <v>61</v>
      </c>
      <c r="FH22" s="62">
        <f t="shared" si="86"/>
        <v>61</v>
      </c>
      <c r="FI22" s="62">
        <f t="shared" si="87"/>
        <v>61</v>
      </c>
      <c r="FJ22" s="62">
        <f t="shared" si="88"/>
        <v>61</v>
      </c>
      <c r="FK22" s="62">
        <f t="shared" si="89"/>
        <v>61</v>
      </c>
      <c r="FL22" s="62">
        <f t="shared" si="90"/>
        <v>61</v>
      </c>
      <c r="FM22" s="62">
        <f t="shared" si="91"/>
        <v>61</v>
      </c>
      <c r="FN22" s="62">
        <f t="shared" si="92"/>
        <v>61</v>
      </c>
      <c r="FO22" s="62">
        <f t="shared" si="93"/>
        <v>61</v>
      </c>
      <c r="FP22" s="62">
        <f t="shared" si="94"/>
        <v>61</v>
      </c>
      <c r="FQ22" s="62">
        <f t="shared" si="95"/>
        <v>61</v>
      </c>
      <c r="FR22" s="62">
        <f t="shared" si="96"/>
        <v>61</v>
      </c>
      <c r="FS22" s="62">
        <f t="shared" si="97"/>
        <v>61</v>
      </c>
      <c r="FT22" s="62">
        <f t="shared" si="98"/>
        <v>61</v>
      </c>
      <c r="FU22" s="62">
        <f t="shared" si="99"/>
        <v>61</v>
      </c>
      <c r="FV22" s="62">
        <f t="shared" si="100"/>
        <v>61</v>
      </c>
      <c r="FW22" s="62">
        <f t="shared" si="101"/>
        <v>61</v>
      </c>
      <c r="FX22" s="62">
        <f t="shared" si="102"/>
        <v>61</v>
      </c>
      <c r="FY22" s="62">
        <f t="shared" si="103"/>
        <v>61</v>
      </c>
      <c r="FZ22" s="62">
        <f t="shared" si="104"/>
        <v>61</v>
      </c>
      <c r="GA22" s="62">
        <f t="shared" si="105"/>
        <v>61</v>
      </c>
      <c r="GB22" s="62">
        <f t="shared" si="106"/>
        <v>61</v>
      </c>
      <c r="GC22" s="62">
        <f t="shared" si="107"/>
        <v>61</v>
      </c>
      <c r="GD22" s="62">
        <f t="shared" si="108"/>
        <v>61</v>
      </c>
      <c r="GE22" s="62">
        <f t="shared" si="109"/>
        <v>61</v>
      </c>
      <c r="GF22" s="62">
        <f t="shared" si="110"/>
        <v>61</v>
      </c>
      <c r="GG22" s="62">
        <f t="shared" si="111"/>
        <v>61</v>
      </c>
      <c r="GH22" s="62">
        <f t="shared" si="112"/>
        <v>61</v>
      </c>
      <c r="GI22" s="62">
        <f t="shared" si="113"/>
        <v>61</v>
      </c>
      <c r="GJ22" s="62">
        <f t="shared" si="114"/>
        <v>61</v>
      </c>
      <c r="GK22" s="62">
        <f t="shared" si="115"/>
        <v>61</v>
      </c>
      <c r="GL22" s="62">
        <f t="shared" si="116"/>
        <v>61</v>
      </c>
      <c r="GM22" s="62">
        <f t="shared" si="117"/>
        <v>61</v>
      </c>
      <c r="GN22" s="62">
        <f t="shared" si="118"/>
        <v>61</v>
      </c>
      <c r="GO22" s="62">
        <f t="shared" si="119"/>
        <v>61</v>
      </c>
      <c r="GP22" s="62">
        <f t="shared" si="120"/>
        <v>61</v>
      </c>
      <c r="GQ22" s="62">
        <f t="shared" si="121"/>
        <v>61</v>
      </c>
      <c r="GR22" s="62">
        <f t="shared" si="122"/>
        <v>61</v>
      </c>
      <c r="GT22" s="62">
        <f>IF(Deltagarlista!$K$3=2,
IF(GW22="1",
      IF(Arrangörslista!$U$5=1,J85,
IF(Arrangörslista!$U$5=2,K85,
IF(Arrangörslista!$U$5=3,L85,
IF(Arrangörslista!$U$5=4,M85,
IF(Arrangörslista!$U$5=5,N85,
IF(Arrangörslista!$U$5=6,O85,
IF(Arrangörslista!$U$5=7,P85,
IF(Arrangörslista!$U$5=8,Q85,
IF(Arrangörslista!$U$5=9,R85,
IF(Arrangörslista!$U$5=10,S85,
IF(Arrangörslista!$U$5=11,T85,
IF(Arrangörslista!$U$5=12,U85,
IF(Arrangörslista!$U$5=13,V85,
IF(Arrangörslista!$U$5=14,W85,
IF(Arrangörslista!$U$5=15,X85,
IF(Arrangörslista!$U$5=16,Y85,IF(Arrangörslista!$U$5=17,Z85,IF(Arrangörslista!$U$5=18,AA85,IF(Arrangörslista!$U$5=19,AB85,IF(Arrangörslista!$U$5=20,AC85,IF(Arrangörslista!$U$5=21,AD85,IF(Arrangörslista!$U$5=22,AE85,IF(Arrangörslista!$U$5=23,AF85, IF(Arrangörslista!$U$5=24,AG85, IF(Arrangörslista!$U$5=25,AH85, IF(Arrangörslista!$U$5=26,AI85, IF(Arrangörslista!$U$5=27,AJ85, IF(Arrangörslista!$U$5=28,AK85, IF(Arrangörslista!$U$5=29,AL85, IF(Arrangörslista!$U$5=30,AM85, IF(Arrangörslista!$U$5=31,AN85, IF(Arrangörslista!$U$5=32,AO85, IF(Arrangörslista!$U$5=33,AP85, IF(Arrangörslista!$U$5=34,AQ85, IF(Arrangörslista!$U$5=35,AR85, IF(Arrangörslista!$U$5=36,AS85, IF(Arrangörslista!$U$5=37,AT85, IF(Arrangörslista!$U$5=38,AU85, IF(Arrangörslista!$U$5=39,AV85, IF(Arrangörslista!$U$5=40,AW85, IF(Arrangörslista!$U$5=41,AX85, IF(Arrangörslista!$U$5=42,AY85, IF(Arrangörslista!$U$5=43,AZ85, IF(Arrangörslista!$U$5=44,BA85, IF(Arrangörslista!$U$5=45,BB85, IF(Arrangörslista!$U$5=46,BC85, IF(Arrangörslista!$U$5=47,BD85, IF(Arrangörslista!$U$5=48,BE85, IF(Arrangörslista!$U$5=49,BF85, IF(Arrangörslista!$U$5=50,BG85, IF(Arrangörslista!$U$5=51,BH85, IF(Arrangörslista!$U$5=52,BI85, IF(Arrangörslista!$U$5=53,BJ85, IF(Arrangörslista!$U$5=54,BK85, IF(Arrangörslista!$U$5=55,BL85, IF(Arrangörslista!$U$5=56,BM85, IF(Arrangörslista!$U$5=57,BN85, IF(Arrangörslista!$U$5=58,BO85, IF(Arrangörslista!$U$5=59,BP85, IF(Arrangörslista!$U$5=60,BQ85,0))))))))))))))))))))))))))))))))))))))))))))))))))))))))))))),IF(Deltagarlista!$K$3=4, IF(Arrangörslista!$U$5=1,J85,
IF(Arrangörslista!$U$5=2,J85,
IF(Arrangörslista!$U$5=3,K85,
IF(Arrangörslista!$U$5=4,K85,
IF(Arrangörslista!$U$5=5,L85,
IF(Arrangörslista!$U$5=6,L85,
IF(Arrangörslista!$U$5=7,M85,
IF(Arrangörslista!$U$5=8,M85,
IF(Arrangörslista!$U$5=9,N85,
IF(Arrangörslista!$U$5=10,N85,
IF(Arrangörslista!$U$5=11,O85,
IF(Arrangörslista!$U$5=12,O85,
IF(Arrangörslista!$U$5=13,P85,
IF(Arrangörslista!$U$5=14,P85,
IF(Arrangörslista!$U$5=15,Q85,
IF(Arrangörslista!$U$5=16,Q85,
IF(Arrangörslista!$U$5=17,R85,
IF(Arrangörslista!$U$5=18,R85,
IF(Arrangörslista!$U$5=19,S85,
IF(Arrangörslista!$U$5=20,S85,
IF(Arrangörslista!$U$5=21,T85,
IF(Arrangörslista!$U$5=22,T85,IF(Arrangörslista!$U$5=23,U85, IF(Arrangörslista!$U$5=24,U85, IF(Arrangörslista!$U$5=25,V85, IF(Arrangörslista!$U$5=26,V85, IF(Arrangörslista!$U$5=27,W85, IF(Arrangörslista!$U$5=28,W85, IF(Arrangörslista!$U$5=29,X85, IF(Arrangörslista!$U$5=30,X85, IF(Arrangörslista!$U$5=31,X85, IF(Arrangörslista!$U$5=32,Y85, IF(Arrangörslista!$U$5=33,AO85, IF(Arrangörslista!$U$5=34,Y85, IF(Arrangörslista!$U$5=35,Z85, IF(Arrangörslista!$U$5=36,AR85, IF(Arrangörslista!$U$5=37,Z85, IF(Arrangörslista!$U$5=38,AA85, IF(Arrangörslista!$U$5=39,AU85, IF(Arrangörslista!$U$5=40,AA85, IF(Arrangörslista!$U$5=41,AB85, IF(Arrangörslista!$U$5=42,AX85, IF(Arrangörslista!$U$5=43,AB85, IF(Arrangörslista!$U$5=44,AC85, IF(Arrangörslista!$U$5=45,BA85, IF(Arrangörslista!$U$5=46,AC85, IF(Arrangörslista!$U$5=47,AD85, IF(Arrangörslista!$U$5=48,BD85, IF(Arrangörslista!$U$5=49,AD85, IF(Arrangörslista!$U$5=50,AE85, IF(Arrangörslista!$U$5=51,BG85, IF(Arrangörslista!$U$5=52,AE85, IF(Arrangörslista!$U$5=53,AF85, IF(Arrangörslista!$U$5=54,BJ85, IF(Arrangörslista!$U$5=55,AF85, IF(Arrangörslista!$U$5=56,AG85, IF(Arrangörslista!$U$5=57,BM85, IF(Arrangörslista!$U$5=58,AG85, IF(Arrangörslista!$U$5=59,AH85, IF(Arrangörslista!$U$5=60,AH85,0)))))))))))))))))))))))))))))))))))))))))))))))))))))))))))),IF(Arrangörslista!$U$5=1,J85,
IF(Arrangörslista!$U$5=2,K85,
IF(Arrangörslista!$U$5=3,L85,
IF(Arrangörslista!$U$5=4,M85,
IF(Arrangörslista!$U$5=5,N85,
IF(Arrangörslista!$U$5=6,O85,
IF(Arrangörslista!$U$5=7,P85,
IF(Arrangörslista!$U$5=8,Q85,
IF(Arrangörslista!$U$5=9,R85,
IF(Arrangörslista!$U$5=10,S85,
IF(Arrangörslista!$U$5=11,T85,
IF(Arrangörslista!$U$5=12,U85,
IF(Arrangörslista!$U$5=13,V85,
IF(Arrangörslista!$U$5=14,W85,
IF(Arrangörslista!$U$5=15,X85,
IF(Arrangörslista!$U$5=16,Y85,IF(Arrangörslista!$U$5=17,Z85,IF(Arrangörslista!$U$5=18,AA85,IF(Arrangörslista!$U$5=19,AB85,IF(Arrangörslista!$U$5=20,AC85,IF(Arrangörslista!$U$5=21,AD85,IF(Arrangörslista!$U$5=22,AE85,IF(Arrangörslista!$U$5=23,AF85, IF(Arrangörslista!$U$5=24,AG85, IF(Arrangörslista!$U$5=25,AH85, IF(Arrangörslista!$U$5=26,AI85, IF(Arrangörslista!$U$5=27,AJ85, IF(Arrangörslista!$U$5=28,AK85, IF(Arrangörslista!$U$5=29,AL85, IF(Arrangörslista!$U$5=30,AM85, IF(Arrangörslista!$U$5=31,AN85, IF(Arrangörslista!$U$5=32,AO85, IF(Arrangörslista!$U$5=33,AP85, IF(Arrangörslista!$U$5=34,AQ85, IF(Arrangörslista!$U$5=35,AR85, IF(Arrangörslista!$U$5=36,AS85, IF(Arrangörslista!$U$5=37,AT85, IF(Arrangörslista!$U$5=38,AU85, IF(Arrangörslista!$U$5=39,AV85, IF(Arrangörslista!$U$5=40,AW85, IF(Arrangörslista!$U$5=41,AX85, IF(Arrangörslista!$U$5=42,AY85, IF(Arrangörslista!$U$5=43,AZ85, IF(Arrangörslista!$U$5=44,BA85, IF(Arrangörslista!$U$5=45,BB85, IF(Arrangörslista!$U$5=46,BC85, IF(Arrangörslista!$U$5=47,BD85, IF(Arrangörslista!$U$5=48,BE85, IF(Arrangörslista!$U$5=49,BF85, IF(Arrangörslista!$U$5=50,BG85, IF(Arrangörslista!$U$5=51,BH85, IF(Arrangörslista!$U$5=52,BI85, IF(Arrangörslista!$U$5=53,BJ85, IF(Arrangörslista!$U$5=54,BK85, IF(Arrangörslista!$U$5=55,BL85, IF(Arrangörslista!$U$5=56,BM85, IF(Arrangörslista!$U$5=57,BN85, IF(Arrangörslista!$U$5=58,BO85, IF(Arrangörslista!$U$5=59,BP85, IF(Arrangörslista!$U$5=60,BQ85,0))))))))))))))))))))))))))))))))))))))))))))))))))))))))))))
))</f>
        <v>0</v>
      </c>
      <c r="GV22" s="65" t="str">
        <f>IFERROR(IF(VLOOKUP(F22,Deltagarlista!$E$5:$I$64,5,FALSE)="Grön","Gr",IF(VLOOKUP(F22,Deltagarlista!$E$5:$I$64,5,FALSE)="Röd","R",IF(VLOOKUP(F22,Deltagarlista!$E$5:$I$64,5,FALSE)="Blå","B","Gu"))),"")</f>
        <v/>
      </c>
      <c r="GW22" s="62" t="str">
        <f t="shared" si="124"/>
        <v/>
      </c>
    </row>
    <row r="23" spans="2:205" x14ac:dyDescent="0.3">
      <c r="B23" s="23" t="str">
        <f>IF((COUNTIF(Deltagarlista!$H$5:$H$64,"GM"))&gt;19,20,"")</f>
        <v/>
      </c>
      <c r="C23" s="92" t="str">
        <f>IF(ISBLANK(Deltagarlista!C47),"",Deltagarlista!C47)</f>
        <v/>
      </c>
      <c r="D23" s="109" t="str">
        <f>CONCATENATE(IF(Deltagarlista!H47="GM","GM   ",""), IF(OR(Deltagarlista!$K$3=4,Deltagarlista!$K$3=2),Deltagarlista!I47,""))</f>
        <v/>
      </c>
      <c r="E23" s="8" t="str">
        <f>IF(ISBLANK(Deltagarlista!D47),"",Deltagarlista!D47)</f>
        <v/>
      </c>
      <c r="F23" s="8" t="str">
        <f>IF(ISBLANK(Deltagarlista!E47),"",Deltagarlista!E47)</f>
        <v/>
      </c>
      <c r="G23" s="95" t="str">
        <f>IF(ISBLANK(Deltagarlista!F47),"",Deltagarlista!F47)</f>
        <v/>
      </c>
      <c r="H23" s="72" t="str">
        <f>IF(ISBLANK(Deltagarlista!C47),"",BU23-EE23)</f>
        <v/>
      </c>
      <c r="I23" s="13" t="str">
        <f>IF(ISBLANK(Deltagarlista!C47),"",IF(AND(Deltagarlista!$K$3=2,Deltagarlista!$L$3&lt;37),SUM(SUM(BV23:EC23)-(ROUNDDOWN(Arrangörslista!$U$5/3,1))*($BW$3+1)),SUM(BV23:EC23)))</f>
        <v/>
      </c>
      <c r="J23" s="79" t="str">
        <f>IF(Deltagarlista!$K$3=4,IF(ISBLANK(Deltagarlista!$C47),"",IF(ISBLANK(Arrangörslista!C$8),"",IFERROR(VLOOKUP($F23,Arrangörslista!C$8:$AG$45,16,FALSE),IF(ISBLANK(Deltagarlista!$C47),"",IF(ISBLANK(Arrangörslista!C$8),"",IFERROR(VLOOKUP($F23,Arrangörslista!D$8:$AG$45,16,FALSE),"DNS")))))),IF(Deltagarlista!$K$3=2,
IF(ISBLANK(Deltagarlista!$C47),"",IF(ISBLANK(Arrangörslista!C$8),"",IF($GV23=J$64," DNS ",IFERROR(VLOOKUP($F23,Arrangörslista!C$8:$AG$45,16,FALSE),"DNS")))),IF(ISBLANK(Deltagarlista!$C47),"",IF(ISBLANK(Arrangörslista!C$8),"",IFERROR(VLOOKUP($F23,Arrangörslista!C$8:$AG$45,16,FALSE),"DNS")))))</f>
        <v/>
      </c>
      <c r="K23" s="5" t="str">
        <f>IF(Deltagarlista!$K$3=4,IF(ISBLANK(Deltagarlista!$C47),"",IF(ISBLANK(Arrangörslista!E$8),"",IFERROR(VLOOKUP($F23,Arrangörslista!E$8:$AG$45,16,FALSE),IF(ISBLANK(Deltagarlista!$C47),"",IF(ISBLANK(Arrangörslista!E$8),"",IFERROR(VLOOKUP($F23,Arrangörslista!F$8:$AG$45,16,FALSE),"DNS")))))),IF(Deltagarlista!$K$3=2,
IF(ISBLANK(Deltagarlista!$C47),"",IF(ISBLANK(Arrangörslista!D$8),"",IF($GV23=K$64," DNS ",IFERROR(VLOOKUP($F23,Arrangörslista!D$8:$AG$45,16,FALSE),"DNS")))),IF(ISBLANK(Deltagarlista!$C47),"",IF(ISBLANK(Arrangörslista!D$8),"",IFERROR(VLOOKUP($F23,Arrangörslista!D$8:$AG$45,16,FALSE),"DNS")))))</f>
        <v/>
      </c>
      <c r="L23" s="5" t="str">
        <f>IF(Deltagarlista!$K$3=4,IF(ISBLANK(Deltagarlista!$C47),"",IF(ISBLANK(Arrangörslista!G$8),"",IFERROR(VLOOKUP($F23,Arrangörslista!G$8:$AG$45,16,FALSE),IF(ISBLANK(Deltagarlista!$C47),"",IF(ISBLANK(Arrangörslista!G$8),"",IFERROR(VLOOKUP($F23,Arrangörslista!H$8:$AG$45,16,FALSE),"DNS")))))),IF(Deltagarlista!$K$3=2,
IF(ISBLANK(Deltagarlista!$C47),"",IF(ISBLANK(Arrangörslista!E$8),"",IF($GV23=L$64," DNS ",IFERROR(VLOOKUP($F23,Arrangörslista!E$8:$AG$45,16,FALSE),"DNS")))),IF(ISBLANK(Deltagarlista!$C47),"",IF(ISBLANK(Arrangörslista!E$8),"",IFERROR(VLOOKUP($F23,Arrangörslista!E$8:$AG$45,16,FALSE),"DNS")))))</f>
        <v/>
      </c>
      <c r="M23" s="5" t="str">
        <f>IF(Deltagarlista!$K$3=4,IF(ISBLANK(Deltagarlista!$C47),"",IF(ISBLANK(Arrangörslista!I$8),"",IFERROR(VLOOKUP($F23,Arrangörslista!I$8:$AG$45,16,FALSE),IF(ISBLANK(Deltagarlista!$C47),"",IF(ISBLANK(Arrangörslista!I$8),"",IFERROR(VLOOKUP($F23,Arrangörslista!J$8:$AG$45,16,FALSE),"DNS")))))),IF(Deltagarlista!$K$3=2,
IF(ISBLANK(Deltagarlista!$C47),"",IF(ISBLANK(Arrangörslista!F$8),"",IF($GV23=M$64," DNS ",IFERROR(VLOOKUP($F23,Arrangörslista!F$8:$AG$45,16,FALSE),"DNS")))),IF(ISBLANK(Deltagarlista!$C47),"",IF(ISBLANK(Arrangörslista!F$8),"",IFERROR(VLOOKUP($F23,Arrangörslista!F$8:$AG$45,16,FALSE),"DNS")))))</f>
        <v/>
      </c>
      <c r="N23" s="5" t="str">
        <f>IF(Deltagarlista!$K$3=4,IF(ISBLANK(Deltagarlista!$C47),"",IF(ISBLANK(Arrangörslista!K$8),"",IFERROR(VLOOKUP($F23,Arrangörslista!K$8:$AG$45,16,FALSE),IF(ISBLANK(Deltagarlista!$C47),"",IF(ISBLANK(Arrangörslista!K$8),"",IFERROR(VLOOKUP($F23,Arrangörslista!L$8:$AG$45,16,FALSE),"DNS")))))),IF(Deltagarlista!$K$3=2,
IF(ISBLANK(Deltagarlista!$C47),"",IF(ISBLANK(Arrangörslista!G$8),"",IF($GV23=N$64," DNS ",IFERROR(VLOOKUP($F23,Arrangörslista!G$8:$AG$45,16,FALSE),"DNS")))),IF(ISBLANK(Deltagarlista!$C47),"",IF(ISBLANK(Arrangörslista!G$8),"",IFERROR(VLOOKUP($F23,Arrangörslista!G$8:$AG$45,16,FALSE),"DNS")))))</f>
        <v/>
      </c>
      <c r="O23" s="5" t="str">
        <f>IF(Deltagarlista!$K$3=4,IF(ISBLANK(Deltagarlista!$C47),"",IF(ISBLANK(Arrangörslista!M$8),"",IFERROR(VLOOKUP($F23,Arrangörslista!M$8:$AG$45,16,FALSE),IF(ISBLANK(Deltagarlista!$C47),"",IF(ISBLANK(Arrangörslista!M$8),"",IFERROR(VLOOKUP($F23,Arrangörslista!N$8:$AG$45,16,FALSE),"DNS")))))),IF(Deltagarlista!$K$3=2,
IF(ISBLANK(Deltagarlista!$C47),"",IF(ISBLANK(Arrangörslista!H$8),"",IF($GV23=O$64," DNS ",IFERROR(VLOOKUP($F23,Arrangörslista!H$8:$AG$45,16,FALSE),"DNS")))),IF(ISBLANK(Deltagarlista!$C47),"",IF(ISBLANK(Arrangörslista!H$8),"",IFERROR(VLOOKUP($F23,Arrangörslista!H$8:$AG$45,16,FALSE),"DNS")))))</f>
        <v/>
      </c>
      <c r="P23" s="5" t="str">
        <f>IF(Deltagarlista!$K$3=4,IF(ISBLANK(Deltagarlista!$C47),"",IF(ISBLANK(Arrangörslista!O$8),"",IFERROR(VLOOKUP($F23,Arrangörslista!O$8:$AG$45,16,FALSE),IF(ISBLANK(Deltagarlista!$C47),"",IF(ISBLANK(Arrangörslista!O$8),"",IFERROR(VLOOKUP($F23,Arrangörslista!P$8:$AG$45,16,FALSE),"DNS")))))),IF(Deltagarlista!$K$3=2,
IF(ISBLANK(Deltagarlista!$C47),"",IF(ISBLANK(Arrangörslista!I$8),"",IF($GV23=P$64," DNS ",IFERROR(VLOOKUP($F23,Arrangörslista!I$8:$AG$45,16,FALSE),"DNS")))),IF(ISBLANK(Deltagarlista!$C47),"",IF(ISBLANK(Arrangörslista!I$8),"",IFERROR(VLOOKUP($F23,Arrangörslista!I$8:$AG$45,16,FALSE),"DNS")))))</f>
        <v/>
      </c>
      <c r="Q23" s="5" t="str">
        <f>IF(Deltagarlista!$K$3=4,IF(ISBLANK(Deltagarlista!$C47),"",IF(ISBLANK(Arrangörslista!Q$8),"",IFERROR(VLOOKUP($F23,Arrangörslista!Q$8:$AG$45,16,FALSE),IF(ISBLANK(Deltagarlista!$C47),"",IF(ISBLANK(Arrangörslista!Q$8),"",IFERROR(VLOOKUP($F23,Arrangörslista!C$53:$AG$90,16,FALSE),"DNS")))))),IF(Deltagarlista!$K$3=2,
IF(ISBLANK(Deltagarlista!$C47),"",IF(ISBLANK(Arrangörslista!J$8),"",IF($GV23=Q$64," DNS ",IFERROR(VLOOKUP($F23,Arrangörslista!J$8:$AG$45,16,FALSE),"DNS")))),IF(ISBLANK(Deltagarlista!$C47),"",IF(ISBLANK(Arrangörslista!J$8),"",IFERROR(VLOOKUP($F23,Arrangörslista!J$8:$AG$45,16,FALSE),"DNS")))))</f>
        <v/>
      </c>
      <c r="R23" s="5" t="str">
        <f>IF(Deltagarlista!$K$3=4,IF(ISBLANK(Deltagarlista!$C47),"",IF(ISBLANK(Arrangörslista!D$53),"",IFERROR(VLOOKUP($F23,Arrangörslista!D$53:$AG$90,16,FALSE),IF(ISBLANK(Deltagarlista!$C47),"",IF(ISBLANK(Arrangörslista!D$53),"",IFERROR(VLOOKUP($F23,Arrangörslista!E$53:$AG$90,16,FALSE),"DNS")))))),IF(Deltagarlista!$K$3=2,
IF(ISBLANK(Deltagarlista!$C47),"",IF(ISBLANK(Arrangörslista!K$8),"",IF($GV23=R$64," DNS ",IFERROR(VLOOKUP($F23,Arrangörslista!K$8:$AG$45,16,FALSE),"DNS")))),IF(ISBLANK(Deltagarlista!$C47),"",IF(ISBLANK(Arrangörslista!K$8),"",IFERROR(VLOOKUP($F23,Arrangörslista!K$8:$AG$45,16,FALSE),"DNS")))))</f>
        <v/>
      </c>
      <c r="S23" s="5" t="str">
        <f>IF(Deltagarlista!$K$3=4,IF(ISBLANK(Deltagarlista!$C47),"",IF(ISBLANK(Arrangörslista!F$53),"",IFERROR(VLOOKUP($F23,Arrangörslista!F$53:$AG$90,16,FALSE),IF(ISBLANK(Deltagarlista!$C47),"",IF(ISBLANK(Arrangörslista!F$53),"",IFERROR(VLOOKUP($F23,Arrangörslista!G$53:$AG$90,16,FALSE),"DNS")))))),IF(Deltagarlista!$K$3=2,
IF(ISBLANK(Deltagarlista!$C47),"",IF(ISBLANK(Arrangörslista!L$8),"",IF($GV23=S$64," DNS ",IFERROR(VLOOKUP($F23,Arrangörslista!L$8:$AG$45,16,FALSE),"DNS")))),IF(ISBLANK(Deltagarlista!$C47),"",IF(ISBLANK(Arrangörslista!L$8),"",IFERROR(VLOOKUP($F23,Arrangörslista!L$8:$AG$45,16,FALSE),"DNS")))))</f>
        <v/>
      </c>
      <c r="T23" s="5" t="str">
        <f>IF(Deltagarlista!$K$3=4,IF(ISBLANK(Deltagarlista!$C47),"",IF(ISBLANK(Arrangörslista!H$53),"",IFERROR(VLOOKUP($F23,Arrangörslista!H$53:$AG$90,16,FALSE),IF(ISBLANK(Deltagarlista!$C47),"",IF(ISBLANK(Arrangörslista!H$53),"",IFERROR(VLOOKUP($F23,Arrangörslista!I$53:$AG$90,16,FALSE),"DNS")))))),IF(Deltagarlista!$K$3=2,
IF(ISBLANK(Deltagarlista!$C47),"",IF(ISBLANK(Arrangörslista!M$8),"",IF($GV23=T$64," DNS ",IFERROR(VLOOKUP($F23,Arrangörslista!M$8:$AG$45,16,FALSE),"DNS")))),IF(ISBLANK(Deltagarlista!$C47),"",IF(ISBLANK(Arrangörslista!M$8),"",IFERROR(VLOOKUP($F23,Arrangörslista!M$8:$AG$45,16,FALSE),"DNS")))))</f>
        <v/>
      </c>
      <c r="U23" s="5" t="str">
        <f>IF(Deltagarlista!$K$3=4,IF(ISBLANK(Deltagarlista!$C47),"",IF(ISBLANK(Arrangörslista!J$53),"",IFERROR(VLOOKUP($F23,Arrangörslista!J$53:$AG$90,16,FALSE),IF(ISBLANK(Deltagarlista!$C47),"",IF(ISBLANK(Arrangörslista!J$53),"",IFERROR(VLOOKUP($F23,Arrangörslista!K$53:$AG$90,16,FALSE),"DNS")))))),IF(Deltagarlista!$K$3=2,
IF(ISBLANK(Deltagarlista!$C47),"",IF(ISBLANK(Arrangörslista!N$8),"",IF($GV23=U$64," DNS ",IFERROR(VLOOKUP($F23,Arrangörslista!N$8:$AG$45,16,FALSE),"DNS")))),IF(ISBLANK(Deltagarlista!$C47),"",IF(ISBLANK(Arrangörslista!N$8),"",IFERROR(VLOOKUP($F23,Arrangörslista!N$8:$AG$45,16,FALSE),"DNS")))))</f>
        <v/>
      </c>
      <c r="V23" s="5" t="str">
        <f>IF(Deltagarlista!$K$3=4,IF(ISBLANK(Deltagarlista!$C47),"",IF(ISBLANK(Arrangörslista!L$53),"",IFERROR(VLOOKUP($F23,Arrangörslista!L$53:$AG$90,16,FALSE),IF(ISBLANK(Deltagarlista!$C47),"",IF(ISBLANK(Arrangörslista!L$53),"",IFERROR(VLOOKUP($F23,Arrangörslista!M$53:$AG$90,16,FALSE),"DNS")))))),IF(Deltagarlista!$K$3=2,
IF(ISBLANK(Deltagarlista!$C47),"",IF(ISBLANK(Arrangörslista!O$8),"",IF($GV23=V$64," DNS ",IFERROR(VLOOKUP($F23,Arrangörslista!O$8:$AG$45,16,FALSE),"DNS")))),IF(ISBLANK(Deltagarlista!$C47),"",IF(ISBLANK(Arrangörslista!O$8),"",IFERROR(VLOOKUP($F23,Arrangörslista!O$8:$AG$45,16,FALSE),"DNS")))))</f>
        <v/>
      </c>
      <c r="W23" s="5" t="str">
        <f>IF(Deltagarlista!$K$3=4,IF(ISBLANK(Deltagarlista!$C47),"",IF(ISBLANK(Arrangörslista!N$53),"",IFERROR(VLOOKUP($F23,Arrangörslista!N$53:$AG$90,16,FALSE),IF(ISBLANK(Deltagarlista!$C47),"",IF(ISBLANK(Arrangörslista!N$53),"",IFERROR(VLOOKUP($F23,Arrangörslista!O$53:$AG$90,16,FALSE),"DNS")))))),IF(Deltagarlista!$K$3=2,
IF(ISBLANK(Deltagarlista!$C47),"",IF(ISBLANK(Arrangörslista!P$8),"",IF($GV23=W$64," DNS ",IFERROR(VLOOKUP($F23,Arrangörslista!P$8:$AG$45,16,FALSE),"DNS")))),IF(ISBLANK(Deltagarlista!$C47),"",IF(ISBLANK(Arrangörslista!P$8),"",IFERROR(VLOOKUP($F23,Arrangörslista!P$8:$AG$45,16,FALSE),"DNS")))))</f>
        <v/>
      </c>
      <c r="X23" s="5" t="str">
        <f>IF(Deltagarlista!$K$3=4,IF(ISBLANK(Deltagarlista!$C47),"",IF(ISBLANK(Arrangörslista!P$53),"",IFERROR(VLOOKUP($F23,Arrangörslista!P$53:$AG$90,16,FALSE),IF(ISBLANK(Deltagarlista!$C47),"",IF(ISBLANK(Arrangörslista!P$53),"",IFERROR(VLOOKUP($F23,Arrangörslista!Q$53:$AG$90,16,FALSE),"DNS")))))),IF(Deltagarlista!$K$3=2,
IF(ISBLANK(Deltagarlista!$C47),"",IF(ISBLANK(Arrangörslista!Q$8),"",IF($GV23=X$64," DNS ",IFERROR(VLOOKUP($F23,Arrangörslista!Q$8:$AG$45,16,FALSE),"DNS")))),IF(ISBLANK(Deltagarlista!$C47),"",IF(ISBLANK(Arrangörslista!Q$8),"",IFERROR(VLOOKUP($F23,Arrangörslista!Q$8:$AG$45,16,FALSE),"DNS")))))</f>
        <v/>
      </c>
      <c r="Y23" s="5" t="str">
        <f>IF(Deltagarlista!$K$3=4,IF(ISBLANK(Deltagarlista!$C47),"",IF(ISBLANK(Arrangörslista!C$98),"",IFERROR(VLOOKUP($F23,Arrangörslista!C$98:$AG$135,16,FALSE),IF(ISBLANK(Deltagarlista!$C47),"",IF(ISBLANK(Arrangörslista!C$98),"",IFERROR(VLOOKUP($F23,Arrangörslista!D$98:$AG$135,16,FALSE),"DNS")))))),IF(Deltagarlista!$K$3=2,
IF(ISBLANK(Deltagarlista!$C47),"",IF(ISBLANK(Arrangörslista!C$53),"",IF($GV23=Y$64," DNS ",IFERROR(VLOOKUP($F23,Arrangörslista!C$53:$AG$90,16,FALSE),"DNS")))),IF(ISBLANK(Deltagarlista!$C47),"",IF(ISBLANK(Arrangörslista!C$53),"",IFERROR(VLOOKUP($F23,Arrangörslista!C$53:$AG$90,16,FALSE),"DNS")))))</f>
        <v/>
      </c>
      <c r="Z23" s="5" t="str">
        <f>IF(Deltagarlista!$K$3=4,IF(ISBLANK(Deltagarlista!$C47),"",IF(ISBLANK(Arrangörslista!E$98),"",IFERROR(VLOOKUP($F23,Arrangörslista!E$98:$AG$135,16,FALSE),IF(ISBLANK(Deltagarlista!$C47),"",IF(ISBLANK(Arrangörslista!E$98),"",IFERROR(VLOOKUP($F23,Arrangörslista!F$98:$AG$135,16,FALSE),"DNS")))))),IF(Deltagarlista!$K$3=2,
IF(ISBLANK(Deltagarlista!$C47),"",IF(ISBLANK(Arrangörslista!D$53),"",IF($GV23=Z$64," DNS ",IFERROR(VLOOKUP($F23,Arrangörslista!D$53:$AG$90,16,FALSE),"DNS")))),IF(ISBLANK(Deltagarlista!$C47),"",IF(ISBLANK(Arrangörslista!D$53),"",IFERROR(VLOOKUP($F23,Arrangörslista!D$53:$AG$90,16,FALSE),"DNS")))))</f>
        <v/>
      </c>
      <c r="AA23" s="5" t="str">
        <f>IF(Deltagarlista!$K$3=4,IF(ISBLANK(Deltagarlista!$C47),"",IF(ISBLANK(Arrangörslista!G$98),"",IFERROR(VLOOKUP($F23,Arrangörslista!G$98:$AG$135,16,FALSE),IF(ISBLANK(Deltagarlista!$C47),"",IF(ISBLANK(Arrangörslista!G$98),"",IFERROR(VLOOKUP($F23,Arrangörslista!H$98:$AG$135,16,FALSE),"DNS")))))),IF(Deltagarlista!$K$3=2,
IF(ISBLANK(Deltagarlista!$C47),"",IF(ISBLANK(Arrangörslista!E$53),"",IF($GV23=AA$64," DNS ",IFERROR(VLOOKUP($F23,Arrangörslista!E$53:$AG$90,16,FALSE),"DNS")))),IF(ISBLANK(Deltagarlista!$C47),"",IF(ISBLANK(Arrangörslista!E$53),"",IFERROR(VLOOKUP($F23,Arrangörslista!E$53:$AG$90,16,FALSE),"DNS")))))</f>
        <v/>
      </c>
      <c r="AB23" s="5" t="str">
        <f>IF(Deltagarlista!$K$3=4,IF(ISBLANK(Deltagarlista!$C47),"",IF(ISBLANK(Arrangörslista!I$98),"",IFERROR(VLOOKUP($F23,Arrangörslista!I$98:$AG$135,16,FALSE),IF(ISBLANK(Deltagarlista!$C47),"",IF(ISBLANK(Arrangörslista!I$98),"",IFERROR(VLOOKUP($F23,Arrangörslista!J$98:$AG$135,16,FALSE),"DNS")))))),IF(Deltagarlista!$K$3=2,
IF(ISBLANK(Deltagarlista!$C47),"",IF(ISBLANK(Arrangörslista!F$53),"",IF($GV23=AB$64," DNS ",IFERROR(VLOOKUP($F23,Arrangörslista!F$53:$AG$90,16,FALSE),"DNS")))),IF(ISBLANK(Deltagarlista!$C47),"",IF(ISBLANK(Arrangörslista!F$53),"",IFERROR(VLOOKUP($F23,Arrangörslista!F$53:$AG$90,16,FALSE),"DNS")))))</f>
        <v/>
      </c>
      <c r="AC23" s="5" t="str">
        <f>IF(Deltagarlista!$K$3=4,IF(ISBLANK(Deltagarlista!$C47),"",IF(ISBLANK(Arrangörslista!K$98),"",IFERROR(VLOOKUP($F23,Arrangörslista!K$98:$AG$135,16,FALSE),IF(ISBLANK(Deltagarlista!$C47),"",IF(ISBLANK(Arrangörslista!K$98),"",IFERROR(VLOOKUP($F23,Arrangörslista!L$98:$AG$135,16,FALSE),"DNS")))))),IF(Deltagarlista!$K$3=2,
IF(ISBLANK(Deltagarlista!$C47),"",IF(ISBLANK(Arrangörslista!G$53),"",IF($GV23=AC$64," DNS ",IFERROR(VLOOKUP($F23,Arrangörslista!G$53:$AG$90,16,FALSE),"DNS")))),IF(ISBLANK(Deltagarlista!$C47),"",IF(ISBLANK(Arrangörslista!G$53),"",IFERROR(VLOOKUP($F23,Arrangörslista!G$53:$AG$90,16,FALSE),"DNS")))))</f>
        <v/>
      </c>
      <c r="AD23" s="5" t="str">
        <f>IF(Deltagarlista!$K$3=4,IF(ISBLANK(Deltagarlista!$C47),"",IF(ISBLANK(Arrangörslista!M$98),"",IFERROR(VLOOKUP($F23,Arrangörslista!M$98:$AG$135,16,FALSE),IF(ISBLANK(Deltagarlista!$C47),"",IF(ISBLANK(Arrangörslista!M$98),"",IFERROR(VLOOKUP($F23,Arrangörslista!N$98:$AG$135,16,FALSE),"DNS")))))),IF(Deltagarlista!$K$3=2,
IF(ISBLANK(Deltagarlista!$C47),"",IF(ISBLANK(Arrangörslista!H$53),"",IF($GV23=AD$64," DNS ",IFERROR(VLOOKUP($F23,Arrangörslista!H$53:$AG$90,16,FALSE),"DNS")))),IF(ISBLANK(Deltagarlista!$C47),"",IF(ISBLANK(Arrangörslista!H$53),"",IFERROR(VLOOKUP($F23,Arrangörslista!H$53:$AG$90,16,FALSE),"DNS")))))</f>
        <v/>
      </c>
      <c r="AE23" s="5" t="str">
        <f>IF(Deltagarlista!$K$3=4,IF(ISBLANK(Deltagarlista!$C47),"",IF(ISBLANK(Arrangörslista!O$98),"",IFERROR(VLOOKUP($F23,Arrangörslista!O$98:$AG$135,16,FALSE),IF(ISBLANK(Deltagarlista!$C47),"",IF(ISBLANK(Arrangörslista!O$98),"",IFERROR(VLOOKUP($F23,Arrangörslista!P$98:$AG$135,16,FALSE),"DNS")))))),IF(Deltagarlista!$K$3=2,
IF(ISBLANK(Deltagarlista!$C47),"",IF(ISBLANK(Arrangörslista!I$53),"",IF($GV23=AE$64," DNS ",IFERROR(VLOOKUP($F23,Arrangörslista!I$53:$AG$90,16,FALSE),"DNS")))),IF(ISBLANK(Deltagarlista!$C47),"",IF(ISBLANK(Arrangörslista!I$53),"",IFERROR(VLOOKUP($F23,Arrangörslista!I$53:$AG$90,16,FALSE),"DNS")))))</f>
        <v/>
      </c>
      <c r="AF23" s="5" t="str">
        <f>IF(Deltagarlista!$K$3=4,IF(ISBLANK(Deltagarlista!$C47),"",IF(ISBLANK(Arrangörslista!Q$98),"",IFERROR(VLOOKUP($F23,Arrangörslista!Q$98:$AG$135,16,FALSE),IF(ISBLANK(Deltagarlista!$C47),"",IF(ISBLANK(Arrangörslista!Q$98),"",IFERROR(VLOOKUP($F23,Arrangörslista!C$143:$AG$180,16,FALSE),"DNS")))))),IF(Deltagarlista!$K$3=2,
IF(ISBLANK(Deltagarlista!$C47),"",IF(ISBLANK(Arrangörslista!J$53),"",IF($GV23=AF$64," DNS ",IFERROR(VLOOKUP($F23,Arrangörslista!J$53:$AG$90,16,FALSE),"DNS")))),IF(ISBLANK(Deltagarlista!$C47),"",IF(ISBLANK(Arrangörslista!J$53),"",IFERROR(VLOOKUP($F23,Arrangörslista!J$53:$AG$90,16,FALSE),"DNS")))))</f>
        <v/>
      </c>
      <c r="AG23" s="5" t="str">
        <f>IF(Deltagarlista!$K$3=4,IF(ISBLANK(Deltagarlista!$C47),"",IF(ISBLANK(Arrangörslista!D$143),"",IFERROR(VLOOKUP($F23,Arrangörslista!D$143:$AG$180,16,FALSE),IF(ISBLANK(Deltagarlista!$C47),"",IF(ISBLANK(Arrangörslista!D$143),"",IFERROR(VLOOKUP($F23,Arrangörslista!E$143:$AG$180,16,FALSE),"DNS")))))),IF(Deltagarlista!$K$3=2,
IF(ISBLANK(Deltagarlista!$C47),"",IF(ISBLANK(Arrangörslista!K$53),"",IF($GV23=AG$64," DNS ",IFERROR(VLOOKUP($F23,Arrangörslista!K$53:$AG$90,16,FALSE),"DNS")))),IF(ISBLANK(Deltagarlista!$C47),"",IF(ISBLANK(Arrangörslista!K$53),"",IFERROR(VLOOKUP($F23,Arrangörslista!K$53:$AG$90,16,FALSE),"DNS")))))</f>
        <v/>
      </c>
      <c r="AH23" s="5" t="str">
        <f>IF(Deltagarlista!$K$3=4,IF(ISBLANK(Deltagarlista!$C47),"",IF(ISBLANK(Arrangörslista!F$143),"",IFERROR(VLOOKUP($F23,Arrangörslista!F$143:$AG$180,16,FALSE),IF(ISBLANK(Deltagarlista!$C47),"",IF(ISBLANK(Arrangörslista!F$143),"",IFERROR(VLOOKUP($F23,Arrangörslista!G$143:$AG$180,16,FALSE),"DNS")))))),IF(Deltagarlista!$K$3=2,
IF(ISBLANK(Deltagarlista!$C47),"",IF(ISBLANK(Arrangörslista!L$53),"",IF($GV23=AH$64," DNS ",IFERROR(VLOOKUP($F23,Arrangörslista!L$53:$AG$90,16,FALSE),"DNS")))),IF(ISBLANK(Deltagarlista!$C47),"",IF(ISBLANK(Arrangörslista!L$53),"",IFERROR(VLOOKUP($F23,Arrangörslista!L$53:$AG$90,16,FALSE),"DNS")))))</f>
        <v/>
      </c>
      <c r="AI23" s="5" t="str">
        <f>IF(Deltagarlista!$K$3=4,IF(ISBLANK(Deltagarlista!$C47),"",IF(ISBLANK(Arrangörslista!H$143),"",IFERROR(VLOOKUP($F23,Arrangörslista!H$143:$AG$180,16,FALSE),IF(ISBLANK(Deltagarlista!$C47),"",IF(ISBLANK(Arrangörslista!H$143),"",IFERROR(VLOOKUP($F23,Arrangörslista!I$143:$AG$180,16,FALSE),"DNS")))))),IF(Deltagarlista!$K$3=2,
IF(ISBLANK(Deltagarlista!$C47),"",IF(ISBLANK(Arrangörslista!M$53),"",IF($GV23=AI$64," DNS ",IFERROR(VLOOKUP($F23,Arrangörslista!M$53:$AG$90,16,FALSE),"DNS")))),IF(ISBLANK(Deltagarlista!$C47),"",IF(ISBLANK(Arrangörslista!M$53),"",IFERROR(VLOOKUP($F23,Arrangörslista!M$53:$AG$90,16,FALSE),"DNS")))))</f>
        <v/>
      </c>
      <c r="AJ23" s="5" t="str">
        <f>IF(Deltagarlista!$K$3=4,IF(ISBLANK(Deltagarlista!$C47),"",IF(ISBLANK(Arrangörslista!J$143),"",IFERROR(VLOOKUP($F23,Arrangörslista!J$143:$AG$180,16,FALSE),IF(ISBLANK(Deltagarlista!$C47),"",IF(ISBLANK(Arrangörslista!J$143),"",IFERROR(VLOOKUP($F23,Arrangörslista!K$143:$AG$180,16,FALSE),"DNS")))))),IF(Deltagarlista!$K$3=2,
IF(ISBLANK(Deltagarlista!$C47),"",IF(ISBLANK(Arrangörslista!N$53),"",IF($GV23=AJ$64," DNS ",IFERROR(VLOOKUP($F23,Arrangörslista!N$53:$AG$90,16,FALSE),"DNS")))),IF(ISBLANK(Deltagarlista!$C47),"",IF(ISBLANK(Arrangörslista!N$53),"",IFERROR(VLOOKUP($F23,Arrangörslista!N$53:$AG$90,16,FALSE),"DNS")))))</f>
        <v/>
      </c>
      <c r="AK23" s="5" t="str">
        <f>IF(Deltagarlista!$K$3=4,IF(ISBLANK(Deltagarlista!$C47),"",IF(ISBLANK(Arrangörslista!L$143),"",IFERROR(VLOOKUP($F23,Arrangörslista!L$143:$AG$180,16,FALSE),IF(ISBLANK(Deltagarlista!$C47),"",IF(ISBLANK(Arrangörslista!L$143),"",IFERROR(VLOOKUP($F23,Arrangörslista!M$143:$AG$180,16,FALSE),"DNS")))))),IF(Deltagarlista!$K$3=2,
IF(ISBLANK(Deltagarlista!$C47),"",IF(ISBLANK(Arrangörslista!O$53),"",IF($GV23=AK$64," DNS ",IFERROR(VLOOKUP($F23,Arrangörslista!O$53:$AG$90,16,FALSE),"DNS")))),IF(ISBLANK(Deltagarlista!$C47),"",IF(ISBLANK(Arrangörslista!O$53),"",IFERROR(VLOOKUP($F23,Arrangörslista!O$53:$AG$90,16,FALSE),"DNS")))))</f>
        <v/>
      </c>
      <c r="AL23" s="5" t="str">
        <f>IF(Deltagarlista!$K$3=4,IF(ISBLANK(Deltagarlista!$C47),"",IF(ISBLANK(Arrangörslista!N$143),"",IFERROR(VLOOKUP($F23,Arrangörslista!N$143:$AG$180,16,FALSE),IF(ISBLANK(Deltagarlista!$C47),"",IF(ISBLANK(Arrangörslista!N$143),"",IFERROR(VLOOKUP($F23,Arrangörslista!O$143:$AG$180,16,FALSE),"DNS")))))),IF(Deltagarlista!$K$3=2,
IF(ISBLANK(Deltagarlista!$C47),"",IF(ISBLANK(Arrangörslista!P$53),"",IF($GV23=AL$64," DNS ",IFERROR(VLOOKUP($F23,Arrangörslista!P$53:$AG$90,16,FALSE),"DNS")))),IF(ISBLANK(Deltagarlista!$C47),"",IF(ISBLANK(Arrangörslista!P$53),"",IFERROR(VLOOKUP($F23,Arrangörslista!P$53:$AG$90,16,FALSE),"DNS")))))</f>
        <v/>
      </c>
      <c r="AM23" s="5" t="str">
        <f>IF(Deltagarlista!$K$3=4,IF(ISBLANK(Deltagarlista!$C47),"",IF(ISBLANK(Arrangörslista!P$143),"",IFERROR(VLOOKUP($F23,Arrangörslista!P$143:$AG$180,16,FALSE),IF(ISBLANK(Deltagarlista!$C47),"",IF(ISBLANK(Arrangörslista!P$143),"",IFERROR(VLOOKUP($F23,Arrangörslista!Q$143:$AG$180,16,FALSE),"DNS")))))),IF(Deltagarlista!$K$3=2,
IF(ISBLANK(Deltagarlista!$C47),"",IF(ISBLANK(Arrangörslista!Q$53),"",IF($GV23=AM$64," DNS ",IFERROR(VLOOKUP($F23,Arrangörslista!Q$53:$AG$90,16,FALSE),"DNS")))),IF(ISBLANK(Deltagarlista!$C47),"",IF(ISBLANK(Arrangörslista!Q$53),"",IFERROR(VLOOKUP($F23,Arrangörslista!Q$53:$AG$90,16,FALSE),"DNS")))))</f>
        <v/>
      </c>
      <c r="AN23" s="5" t="str">
        <f>IF(Deltagarlista!$K$3=2,
IF(ISBLANK(Deltagarlista!$C47),"",IF(ISBLANK(Arrangörslista!C$98),"",IF($GV23=AN$64," DNS ",IFERROR(VLOOKUP($F23,Arrangörslista!C$98:$AG$135,16,FALSE), "DNS")))), IF(Deltagarlista!$K$3=1,IF(ISBLANK(Deltagarlista!$C47),"",IF(ISBLANK(Arrangörslista!C$98),"",IFERROR(VLOOKUP($F23,Arrangörslista!C$98:$AG$135,16,FALSE), "DNS"))),""))</f>
        <v/>
      </c>
      <c r="AO23" s="5" t="str">
        <f>IF(Deltagarlista!$K$3=2,
IF(ISBLANK(Deltagarlista!$C47),"",IF(ISBLANK(Arrangörslista!D$98),"",IF($GV23=AO$64," DNS ",IFERROR(VLOOKUP($F23,Arrangörslista!D$98:$AG$135,16,FALSE), "DNS")))), IF(Deltagarlista!$K$3=1,IF(ISBLANK(Deltagarlista!$C47),"",IF(ISBLANK(Arrangörslista!D$98),"",IFERROR(VLOOKUP($F23,Arrangörslista!D$98:$AG$135,16,FALSE), "DNS"))),""))</f>
        <v/>
      </c>
      <c r="AP23" s="5" t="str">
        <f>IF(Deltagarlista!$K$3=2,
IF(ISBLANK(Deltagarlista!$C47),"",IF(ISBLANK(Arrangörslista!E$98),"",IF($GV23=AP$64," DNS ",IFERROR(VLOOKUP($F23,Arrangörslista!E$98:$AG$135,16,FALSE), "DNS")))), IF(Deltagarlista!$K$3=1,IF(ISBLANK(Deltagarlista!$C47),"",IF(ISBLANK(Arrangörslista!E$98),"",IFERROR(VLOOKUP($F23,Arrangörslista!E$98:$AG$135,16,FALSE), "DNS"))),""))</f>
        <v/>
      </c>
      <c r="AQ23" s="5" t="str">
        <f>IF(Deltagarlista!$K$3=2,
IF(ISBLANK(Deltagarlista!$C47),"",IF(ISBLANK(Arrangörslista!F$98),"",IF($GV23=AQ$64," DNS ",IFERROR(VLOOKUP($F23,Arrangörslista!F$98:$AG$135,16,FALSE), "DNS")))), IF(Deltagarlista!$K$3=1,IF(ISBLANK(Deltagarlista!$C47),"",IF(ISBLANK(Arrangörslista!F$98),"",IFERROR(VLOOKUP($F23,Arrangörslista!F$98:$AG$135,16,FALSE), "DNS"))),""))</f>
        <v/>
      </c>
      <c r="AR23" s="5" t="str">
        <f>IF(Deltagarlista!$K$3=2,
IF(ISBLANK(Deltagarlista!$C47),"",IF(ISBLANK(Arrangörslista!G$98),"",IF($GV23=AR$64," DNS ",IFERROR(VLOOKUP($F23,Arrangörslista!G$98:$AG$135,16,FALSE), "DNS")))), IF(Deltagarlista!$K$3=1,IF(ISBLANK(Deltagarlista!$C47),"",IF(ISBLANK(Arrangörslista!G$98),"",IFERROR(VLOOKUP($F23,Arrangörslista!G$98:$AG$135,16,FALSE), "DNS"))),""))</f>
        <v/>
      </c>
      <c r="AS23" s="5" t="str">
        <f>IF(Deltagarlista!$K$3=2,
IF(ISBLANK(Deltagarlista!$C47),"",IF(ISBLANK(Arrangörslista!H$98),"",IF($GV23=AS$64," DNS ",IFERROR(VLOOKUP($F23,Arrangörslista!H$98:$AG$135,16,FALSE), "DNS")))), IF(Deltagarlista!$K$3=1,IF(ISBLANK(Deltagarlista!$C47),"",IF(ISBLANK(Arrangörslista!H$98),"",IFERROR(VLOOKUP($F23,Arrangörslista!H$98:$AG$135,16,FALSE), "DNS"))),""))</f>
        <v/>
      </c>
      <c r="AT23" s="5" t="str">
        <f>IF(Deltagarlista!$K$3=2,
IF(ISBLANK(Deltagarlista!$C47),"",IF(ISBLANK(Arrangörslista!I$98),"",IF($GV23=AT$64," DNS ",IFERROR(VLOOKUP($F23,Arrangörslista!I$98:$AG$135,16,FALSE), "DNS")))), IF(Deltagarlista!$K$3=1,IF(ISBLANK(Deltagarlista!$C47),"",IF(ISBLANK(Arrangörslista!I$98),"",IFERROR(VLOOKUP($F23,Arrangörslista!I$98:$AG$135,16,FALSE), "DNS"))),""))</f>
        <v/>
      </c>
      <c r="AU23" s="5" t="str">
        <f>IF(Deltagarlista!$K$3=2,
IF(ISBLANK(Deltagarlista!$C47),"",IF(ISBLANK(Arrangörslista!J$98),"",IF($GV23=AU$64," DNS ",IFERROR(VLOOKUP($F23,Arrangörslista!J$98:$AG$135,16,FALSE), "DNS")))), IF(Deltagarlista!$K$3=1,IF(ISBLANK(Deltagarlista!$C47),"",IF(ISBLANK(Arrangörslista!J$98),"",IFERROR(VLOOKUP($F23,Arrangörslista!J$98:$AG$135,16,FALSE), "DNS"))),""))</f>
        <v/>
      </c>
      <c r="AV23" s="5" t="str">
        <f>IF(Deltagarlista!$K$3=2,
IF(ISBLANK(Deltagarlista!$C47),"",IF(ISBLANK(Arrangörslista!K$98),"",IF($GV23=AV$64," DNS ",IFERROR(VLOOKUP($F23,Arrangörslista!K$98:$AG$135,16,FALSE), "DNS")))), IF(Deltagarlista!$K$3=1,IF(ISBLANK(Deltagarlista!$C47),"",IF(ISBLANK(Arrangörslista!K$98),"",IFERROR(VLOOKUP($F23,Arrangörslista!K$98:$AG$135,16,FALSE), "DNS"))),""))</f>
        <v/>
      </c>
      <c r="AW23" s="5" t="str">
        <f>IF(Deltagarlista!$K$3=2,
IF(ISBLANK(Deltagarlista!$C47),"",IF(ISBLANK(Arrangörslista!L$98),"",IF($GV23=AW$64," DNS ",IFERROR(VLOOKUP($F23,Arrangörslista!L$98:$AG$135,16,FALSE), "DNS")))), IF(Deltagarlista!$K$3=1,IF(ISBLANK(Deltagarlista!$C47),"",IF(ISBLANK(Arrangörslista!L$98),"",IFERROR(VLOOKUP($F23,Arrangörslista!L$98:$AG$135,16,FALSE), "DNS"))),""))</f>
        <v/>
      </c>
      <c r="AX23" s="5" t="str">
        <f>IF(Deltagarlista!$K$3=2,
IF(ISBLANK(Deltagarlista!$C47),"",IF(ISBLANK(Arrangörslista!M$98),"",IF($GV23=AX$64," DNS ",IFERROR(VLOOKUP($F23,Arrangörslista!M$98:$AG$135,16,FALSE), "DNS")))), IF(Deltagarlista!$K$3=1,IF(ISBLANK(Deltagarlista!$C47),"",IF(ISBLANK(Arrangörslista!M$98),"",IFERROR(VLOOKUP($F23,Arrangörslista!M$98:$AG$135,16,FALSE), "DNS"))),""))</f>
        <v/>
      </c>
      <c r="AY23" s="5" t="str">
        <f>IF(Deltagarlista!$K$3=2,
IF(ISBLANK(Deltagarlista!$C47),"",IF(ISBLANK(Arrangörslista!N$98),"",IF($GV23=AY$64," DNS ",IFERROR(VLOOKUP($F23,Arrangörslista!N$98:$AG$135,16,FALSE), "DNS")))), IF(Deltagarlista!$K$3=1,IF(ISBLANK(Deltagarlista!$C47),"",IF(ISBLANK(Arrangörslista!N$98),"",IFERROR(VLOOKUP($F23,Arrangörslista!N$98:$AG$135,16,FALSE), "DNS"))),""))</f>
        <v/>
      </c>
      <c r="AZ23" s="5" t="str">
        <f>IF(Deltagarlista!$K$3=2,
IF(ISBLANK(Deltagarlista!$C47),"",IF(ISBLANK(Arrangörslista!O$98),"",IF($GV23=AZ$64," DNS ",IFERROR(VLOOKUP($F23,Arrangörslista!O$98:$AG$135,16,FALSE), "DNS")))), IF(Deltagarlista!$K$3=1,IF(ISBLANK(Deltagarlista!$C47),"",IF(ISBLANK(Arrangörslista!O$98),"",IFERROR(VLOOKUP($F23,Arrangörslista!O$98:$AG$135,16,FALSE), "DNS"))),""))</f>
        <v/>
      </c>
      <c r="BA23" s="5" t="str">
        <f>IF(Deltagarlista!$K$3=2,
IF(ISBLANK(Deltagarlista!$C47),"",IF(ISBLANK(Arrangörslista!P$98),"",IF($GV23=BA$64," DNS ",IFERROR(VLOOKUP($F23,Arrangörslista!P$98:$AG$135,16,FALSE), "DNS")))), IF(Deltagarlista!$K$3=1,IF(ISBLANK(Deltagarlista!$C47),"",IF(ISBLANK(Arrangörslista!P$98),"",IFERROR(VLOOKUP($F23,Arrangörslista!P$98:$AG$135,16,FALSE), "DNS"))),""))</f>
        <v/>
      </c>
      <c r="BB23" s="5" t="str">
        <f>IF(Deltagarlista!$K$3=2,
IF(ISBLANK(Deltagarlista!$C47),"",IF(ISBLANK(Arrangörslista!Q$98),"",IF($GV23=BB$64," DNS ",IFERROR(VLOOKUP($F23,Arrangörslista!Q$98:$AG$135,16,FALSE), "DNS")))), IF(Deltagarlista!$K$3=1,IF(ISBLANK(Deltagarlista!$C47),"",IF(ISBLANK(Arrangörslista!Q$98),"",IFERROR(VLOOKUP($F23,Arrangörslista!Q$98:$AG$135,16,FALSE), "DNS"))),""))</f>
        <v/>
      </c>
      <c r="BC23" s="5" t="str">
        <f>IF(Deltagarlista!$K$3=2,
IF(ISBLANK(Deltagarlista!$C47),"",IF(ISBLANK(Arrangörslista!C$143),"",IF($GV23=BC$64," DNS ",IFERROR(VLOOKUP($F23,Arrangörslista!C$143:$AG$180,16,FALSE), "DNS")))), IF(Deltagarlista!$K$3=1,IF(ISBLANK(Deltagarlista!$C47),"",IF(ISBLANK(Arrangörslista!C$143),"",IFERROR(VLOOKUP($F23,Arrangörslista!C$143:$AG$180,16,FALSE), "DNS"))),""))</f>
        <v/>
      </c>
      <c r="BD23" s="5" t="str">
        <f>IF(Deltagarlista!$K$3=2,
IF(ISBLANK(Deltagarlista!$C47),"",IF(ISBLANK(Arrangörslista!D$143),"",IF($GV23=BD$64," DNS ",IFERROR(VLOOKUP($F23,Arrangörslista!D$143:$AG$180,16,FALSE), "DNS")))), IF(Deltagarlista!$K$3=1,IF(ISBLANK(Deltagarlista!$C47),"",IF(ISBLANK(Arrangörslista!D$143),"",IFERROR(VLOOKUP($F23,Arrangörslista!D$143:$AG$180,16,FALSE), "DNS"))),""))</f>
        <v/>
      </c>
      <c r="BE23" s="5" t="str">
        <f>IF(Deltagarlista!$K$3=2,
IF(ISBLANK(Deltagarlista!$C47),"",IF(ISBLANK(Arrangörslista!E$143),"",IF($GV23=BE$64," DNS ",IFERROR(VLOOKUP($F23,Arrangörslista!E$143:$AG$180,16,FALSE), "DNS")))), IF(Deltagarlista!$K$3=1,IF(ISBLANK(Deltagarlista!$C47),"",IF(ISBLANK(Arrangörslista!E$143),"",IFERROR(VLOOKUP($F23,Arrangörslista!E$143:$AG$180,16,FALSE), "DNS"))),""))</f>
        <v/>
      </c>
      <c r="BF23" s="5" t="str">
        <f>IF(Deltagarlista!$K$3=2,
IF(ISBLANK(Deltagarlista!$C47),"",IF(ISBLANK(Arrangörslista!F$143),"",IF($GV23=BF$64," DNS ",IFERROR(VLOOKUP($F23,Arrangörslista!F$143:$AG$180,16,FALSE), "DNS")))), IF(Deltagarlista!$K$3=1,IF(ISBLANK(Deltagarlista!$C47),"",IF(ISBLANK(Arrangörslista!F$143),"",IFERROR(VLOOKUP($F23,Arrangörslista!F$143:$AG$180,16,FALSE), "DNS"))),""))</f>
        <v/>
      </c>
      <c r="BG23" s="5" t="str">
        <f>IF(Deltagarlista!$K$3=2,
IF(ISBLANK(Deltagarlista!$C47),"",IF(ISBLANK(Arrangörslista!G$143),"",IF($GV23=BG$64," DNS ",IFERROR(VLOOKUP($F23,Arrangörslista!G$143:$AG$180,16,FALSE), "DNS")))), IF(Deltagarlista!$K$3=1,IF(ISBLANK(Deltagarlista!$C47),"",IF(ISBLANK(Arrangörslista!G$143),"",IFERROR(VLOOKUP($F23,Arrangörslista!G$143:$AG$180,16,FALSE), "DNS"))),""))</f>
        <v/>
      </c>
      <c r="BH23" s="5" t="str">
        <f>IF(Deltagarlista!$K$3=2,
IF(ISBLANK(Deltagarlista!$C47),"",IF(ISBLANK(Arrangörslista!H$143),"",IF($GV23=BH$64," DNS ",IFERROR(VLOOKUP($F23,Arrangörslista!H$143:$AG$180,16,FALSE), "DNS")))), IF(Deltagarlista!$K$3=1,IF(ISBLANK(Deltagarlista!$C47),"",IF(ISBLANK(Arrangörslista!H$143),"",IFERROR(VLOOKUP($F23,Arrangörslista!H$143:$AG$180,16,FALSE), "DNS"))),""))</f>
        <v/>
      </c>
      <c r="BI23" s="5" t="str">
        <f>IF(Deltagarlista!$K$3=2,
IF(ISBLANK(Deltagarlista!$C47),"",IF(ISBLANK(Arrangörslista!I$143),"",IF($GV23=BI$64," DNS ",IFERROR(VLOOKUP($F23,Arrangörslista!I$143:$AG$180,16,FALSE), "DNS")))), IF(Deltagarlista!$K$3=1,IF(ISBLANK(Deltagarlista!$C47),"",IF(ISBLANK(Arrangörslista!I$143),"",IFERROR(VLOOKUP($F23,Arrangörslista!I$143:$AG$180,16,FALSE), "DNS"))),""))</f>
        <v/>
      </c>
      <c r="BJ23" s="5" t="str">
        <f>IF(Deltagarlista!$K$3=2,
IF(ISBLANK(Deltagarlista!$C47),"",IF(ISBLANK(Arrangörslista!J$143),"",IF($GV23=BJ$64," DNS ",IFERROR(VLOOKUP($F23,Arrangörslista!J$143:$AG$180,16,FALSE), "DNS")))), IF(Deltagarlista!$K$3=1,IF(ISBLANK(Deltagarlista!$C47),"",IF(ISBLANK(Arrangörslista!J$143),"",IFERROR(VLOOKUP($F23,Arrangörslista!J$143:$AG$180,16,FALSE), "DNS"))),""))</f>
        <v/>
      </c>
      <c r="BK23" s="5" t="str">
        <f>IF(Deltagarlista!$K$3=2,
IF(ISBLANK(Deltagarlista!$C47),"",IF(ISBLANK(Arrangörslista!K$143),"",IF($GV23=BK$64," DNS ",IFERROR(VLOOKUP($F23,Arrangörslista!K$143:$AG$180,16,FALSE), "DNS")))), IF(Deltagarlista!$K$3=1,IF(ISBLANK(Deltagarlista!$C47),"",IF(ISBLANK(Arrangörslista!K$143),"",IFERROR(VLOOKUP($F23,Arrangörslista!K$143:$AG$180,16,FALSE), "DNS"))),""))</f>
        <v/>
      </c>
      <c r="BL23" s="5" t="str">
        <f>IF(Deltagarlista!$K$3=2,
IF(ISBLANK(Deltagarlista!$C47),"",IF(ISBLANK(Arrangörslista!L$143),"",IF($GV23=BL$64," DNS ",IFERROR(VLOOKUP($F23,Arrangörslista!L$143:$AG$180,16,FALSE), "DNS")))), IF(Deltagarlista!$K$3=1,IF(ISBLANK(Deltagarlista!$C47),"",IF(ISBLANK(Arrangörslista!L$143),"",IFERROR(VLOOKUP($F23,Arrangörslista!L$143:$AG$180,16,FALSE), "DNS"))),""))</f>
        <v/>
      </c>
      <c r="BM23" s="5" t="str">
        <f>IF(Deltagarlista!$K$3=2,
IF(ISBLANK(Deltagarlista!$C47),"",IF(ISBLANK(Arrangörslista!M$143),"",IF($GV23=BM$64," DNS ",IFERROR(VLOOKUP($F23,Arrangörslista!M$143:$AG$180,16,FALSE), "DNS")))), IF(Deltagarlista!$K$3=1,IF(ISBLANK(Deltagarlista!$C47),"",IF(ISBLANK(Arrangörslista!M$143),"",IFERROR(VLOOKUP($F23,Arrangörslista!M$143:$AG$180,16,FALSE), "DNS"))),""))</f>
        <v/>
      </c>
      <c r="BN23" s="5" t="str">
        <f>IF(Deltagarlista!$K$3=2,
IF(ISBLANK(Deltagarlista!$C47),"",IF(ISBLANK(Arrangörslista!N$143),"",IF($GV23=BN$64," DNS ",IFERROR(VLOOKUP($F23,Arrangörslista!N$143:$AG$180,16,FALSE), "DNS")))), IF(Deltagarlista!$K$3=1,IF(ISBLANK(Deltagarlista!$C47),"",IF(ISBLANK(Arrangörslista!N$143),"",IFERROR(VLOOKUP($F23,Arrangörslista!N$143:$AG$180,16,FALSE), "DNS"))),""))</f>
        <v/>
      </c>
      <c r="BO23" s="5" t="str">
        <f>IF(Deltagarlista!$K$3=2,
IF(ISBLANK(Deltagarlista!$C47),"",IF(ISBLANK(Arrangörslista!O$143),"",IF($GV23=BO$64," DNS ",IFERROR(VLOOKUP($F23,Arrangörslista!O$143:$AG$180,16,FALSE), "DNS")))), IF(Deltagarlista!$K$3=1,IF(ISBLANK(Deltagarlista!$C47),"",IF(ISBLANK(Arrangörslista!O$143),"",IFERROR(VLOOKUP($F23,Arrangörslista!O$143:$AG$180,16,FALSE), "DNS"))),""))</f>
        <v/>
      </c>
      <c r="BP23" s="5" t="str">
        <f>IF(Deltagarlista!$K$3=2,
IF(ISBLANK(Deltagarlista!$C47),"",IF(ISBLANK(Arrangörslista!P$143),"",IF($GV23=BP$64," DNS ",IFERROR(VLOOKUP($F23,Arrangörslista!P$143:$AG$180,16,FALSE), "DNS")))), IF(Deltagarlista!$K$3=1,IF(ISBLANK(Deltagarlista!$C47),"",IF(ISBLANK(Arrangörslista!P$143),"",IFERROR(VLOOKUP($F23,Arrangörslista!P$143:$AG$180,16,FALSE), "DNS"))),""))</f>
        <v/>
      </c>
      <c r="BQ23" s="80" t="str">
        <f>IF(Deltagarlista!$K$3=2,
IF(ISBLANK(Deltagarlista!$C47),"",IF(ISBLANK(Arrangörslista!Q$143),"",IF($GV23=BQ$64," DNS ",IFERROR(VLOOKUP($F23,Arrangörslista!Q$143:$AG$180,16,FALSE), "DNS")))), IF(Deltagarlista!$K$3=1,IF(ISBLANK(Deltagarlista!$C47),"",IF(ISBLANK(Arrangörslista!Q$143),"",IFERROR(VLOOKUP($F23,Arrangörslista!Q$143:$AG$180,16,FALSE), "DNS"))),""))</f>
        <v/>
      </c>
      <c r="BR23" s="48"/>
      <c r="BS23" s="50" t="str">
        <f t="shared" si="0"/>
        <v>2</v>
      </c>
      <c r="BU23" s="71">
        <f t="shared" si="1"/>
        <v>0</v>
      </c>
      <c r="BV23" s="61">
        <f t="shared" si="2"/>
        <v>0</v>
      </c>
      <c r="BW23" s="61">
        <f t="shared" si="3"/>
        <v>0</v>
      </c>
      <c r="BX23" s="61">
        <f t="shared" si="4"/>
        <v>0</v>
      </c>
      <c r="BY23" s="61">
        <f t="shared" si="5"/>
        <v>0</v>
      </c>
      <c r="BZ23" s="61">
        <f t="shared" si="6"/>
        <v>0</v>
      </c>
      <c r="CA23" s="61">
        <f t="shared" si="7"/>
        <v>0</v>
      </c>
      <c r="CB23" s="61">
        <f t="shared" si="8"/>
        <v>0</v>
      </c>
      <c r="CC23" s="61">
        <f t="shared" si="9"/>
        <v>0</v>
      </c>
      <c r="CD23" s="61">
        <f t="shared" si="10"/>
        <v>0</v>
      </c>
      <c r="CE23" s="61">
        <f t="shared" si="11"/>
        <v>0</v>
      </c>
      <c r="CF23" s="61">
        <f t="shared" si="12"/>
        <v>0</v>
      </c>
      <c r="CG23" s="61">
        <f t="shared" si="13"/>
        <v>0</v>
      </c>
      <c r="CH23" s="61">
        <f t="shared" si="14"/>
        <v>0</v>
      </c>
      <c r="CI23" s="61">
        <f t="shared" si="15"/>
        <v>0</v>
      </c>
      <c r="CJ23" s="61">
        <f t="shared" si="16"/>
        <v>0</v>
      </c>
      <c r="CK23" s="61">
        <f t="shared" si="17"/>
        <v>0</v>
      </c>
      <c r="CL23" s="61">
        <f t="shared" si="18"/>
        <v>0</v>
      </c>
      <c r="CM23" s="61">
        <f t="shared" si="19"/>
        <v>0</v>
      </c>
      <c r="CN23" s="61">
        <f t="shared" si="20"/>
        <v>0</v>
      </c>
      <c r="CO23" s="61">
        <f t="shared" si="21"/>
        <v>0</v>
      </c>
      <c r="CP23" s="61">
        <f t="shared" si="22"/>
        <v>0</v>
      </c>
      <c r="CQ23" s="61">
        <f t="shared" si="23"/>
        <v>0</v>
      </c>
      <c r="CR23" s="61">
        <f t="shared" si="24"/>
        <v>0</v>
      </c>
      <c r="CS23" s="61">
        <f t="shared" si="25"/>
        <v>0</v>
      </c>
      <c r="CT23" s="61">
        <f t="shared" si="26"/>
        <v>0</v>
      </c>
      <c r="CU23" s="61">
        <f t="shared" si="27"/>
        <v>0</v>
      </c>
      <c r="CV23" s="61">
        <f t="shared" si="28"/>
        <v>0</v>
      </c>
      <c r="CW23" s="61">
        <f t="shared" si="29"/>
        <v>0</v>
      </c>
      <c r="CX23" s="61">
        <f t="shared" si="30"/>
        <v>0</v>
      </c>
      <c r="CY23" s="61">
        <f t="shared" si="31"/>
        <v>0</v>
      </c>
      <c r="CZ23" s="61">
        <f t="shared" si="32"/>
        <v>0</v>
      </c>
      <c r="DA23" s="61">
        <f t="shared" si="33"/>
        <v>0</v>
      </c>
      <c r="DB23" s="61">
        <f t="shared" si="34"/>
        <v>0</v>
      </c>
      <c r="DC23" s="61">
        <f t="shared" si="35"/>
        <v>0</v>
      </c>
      <c r="DD23" s="61">
        <f t="shared" si="36"/>
        <v>0</v>
      </c>
      <c r="DE23" s="61">
        <f t="shared" si="37"/>
        <v>0</v>
      </c>
      <c r="DF23" s="61">
        <f t="shared" si="38"/>
        <v>0</v>
      </c>
      <c r="DG23" s="61">
        <f t="shared" si="39"/>
        <v>0</v>
      </c>
      <c r="DH23" s="61">
        <f t="shared" si="40"/>
        <v>0</v>
      </c>
      <c r="DI23" s="61">
        <f t="shared" si="41"/>
        <v>0</v>
      </c>
      <c r="DJ23" s="61">
        <f t="shared" si="42"/>
        <v>0</v>
      </c>
      <c r="DK23" s="61">
        <f t="shared" si="43"/>
        <v>0</v>
      </c>
      <c r="DL23" s="61">
        <f t="shared" si="44"/>
        <v>0</v>
      </c>
      <c r="DM23" s="61">
        <f t="shared" si="45"/>
        <v>0</v>
      </c>
      <c r="DN23" s="61">
        <f t="shared" si="46"/>
        <v>0</v>
      </c>
      <c r="DO23" s="61">
        <f t="shared" si="47"/>
        <v>0</v>
      </c>
      <c r="DP23" s="61">
        <f t="shared" si="48"/>
        <v>0</v>
      </c>
      <c r="DQ23" s="61">
        <f t="shared" si="49"/>
        <v>0</v>
      </c>
      <c r="DR23" s="61">
        <f t="shared" si="50"/>
        <v>0</v>
      </c>
      <c r="DS23" s="61">
        <f t="shared" si="51"/>
        <v>0</v>
      </c>
      <c r="DT23" s="61">
        <f t="shared" si="52"/>
        <v>0</v>
      </c>
      <c r="DU23" s="61">
        <f t="shared" si="53"/>
        <v>0</v>
      </c>
      <c r="DV23" s="61">
        <f t="shared" si="54"/>
        <v>0</v>
      </c>
      <c r="DW23" s="61">
        <f t="shared" si="55"/>
        <v>0</v>
      </c>
      <c r="DX23" s="61">
        <f t="shared" si="56"/>
        <v>0</v>
      </c>
      <c r="DY23" s="61">
        <f t="shared" si="57"/>
        <v>0</v>
      </c>
      <c r="DZ23" s="61">
        <f t="shared" si="58"/>
        <v>0</v>
      </c>
      <c r="EA23" s="61">
        <f t="shared" si="59"/>
        <v>0</v>
      </c>
      <c r="EB23" s="61">
        <f t="shared" si="60"/>
        <v>0</v>
      </c>
      <c r="EC23" s="61">
        <f t="shared" si="61"/>
        <v>0</v>
      </c>
      <c r="EE23" s="61">
        <f xml:space="preserve">
IF(OR(Deltagarlista!$K$3=3,Deltagarlista!$K$3=4),
IF(Arrangörslista!$U$5&lt;8,0,
IF(Arrangörslista!$U$5&lt;16,SUM(LARGE(BV23:CJ23,1)),
IF(Arrangörslista!$U$5&lt;24,SUM(LARGE(BV23:CR23,{1;2})),
IF(Arrangörslista!$U$5&lt;32,SUM(LARGE(BV23:CZ23,{1;2;3})),
IF(Arrangörslista!$U$5&lt;40,SUM(LARGE(BV23:DH23,{1;2;3;4})),
IF(Arrangörslista!$U$5&lt;48,SUM(LARGE(BV23:DP23,{1;2;3;4;5})),
IF(Arrangörslista!$U$5&lt;56,SUM(LARGE(BV23:DX23,{1;2;3;4;5;6})),
IF(Arrangörslista!$U$5&lt;64,SUM(LARGE(BV23:EC23,{1;2;3;4;5;6;7})),0)))))))),
IF(Deltagarlista!$K$3=2,
IF(Arrangörslista!$U$5&lt;4,LARGE(BV23:BX23,1),
IF(Arrangörslista!$U$5&lt;7,SUM(LARGE(BV23:CA23,{1;2;3})),
IF(Arrangörslista!$U$5&lt;10,SUM(LARGE(BV23:CD23,{1;2;3;4})),
IF(Arrangörslista!$U$5&lt;13,SUM(LARGE(BV23:CG23,{1;2;3;4;5;6})),
IF(Arrangörslista!$U$5&lt;16,SUM(LARGE(BV23:CJ23,{1;2;3;4;5;6;7})),
IF(Arrangörslista!$U$5&lt;19,SUM(LARGE(BV23:CM23,{1;2;3;4;5;6;7;8;9})),
IF(Arrangörslista!$U$5&lt;22,SUM(LARGE(BV23:CP23,{1;2;3;4;5;6;7;8;9;10})),
IF(Arrangörslista!$U$5&lt;25,SUM(LARGE(BV23:CS23,{1;2;3;4;5;6;7;8;9;10;11;12})),
IF(Arrangörslista!$U$5&lt;28,SUM(LARGE(BV23:CV23,{1;2;3;4;5;6;7;8;9;10;11;12;13})),
IF(Arrangörslista!$U$5&lt;31,SUM(LARGE(BV23:CY23,{1;2;3;4;5;6;7;8;9;10;11;12;13;14;15})),
IF(Arrangörslista!$U$5&lt;34,SUM(LARGE(BV23:DB23,{1;2;3;4;5;6;7;8;9;10;11;12;13;14;15;16})),
IF(Arrangörslista!$U$5&lt;37,SUM(LARGE(BV23:DE23,{1;2;3;4;5;6;7;8;9;10;11;12;13;14;15;16;17;18})),
IF(Arrangörslista!$U$5&lt;40,SUM(LARGE(BV23:DH23,{1;2;3;4;5;6;7;8;9;10;11;12;13;14;15;16;17;18;19})),
IF(Arrangörslista!$U$5&lt;43,SUM(LARGE(BV23:DK23,{1;2;3;4;5;6;7;8;9;10;11;12;13;14;15;16;17;18;19;20;21})),
IF(Arrangörslista!$U$5&lt;46,SUM(LARGE(BV23:DN23,{1;2;3;4;5;6;7;8;9;10;11;12;13;14;15;16;17;18;19;20;21;22})),
IF(Arrangörslista!$U$5&lt;49,SUM(LARGE(BV23:DQ23,{1;2;3;4;5;6;7;8;9;10;11;12;13;14;15;16;17;18;19;20;21;22;23;24})),
IF(Arrangörslista!$U$5&lt;52,SUM(LARGE(BV23:DT23,{1;2;3;4;5;6;7;8;9;10;11;12;13;14;15;16;17;18;19;20;21;22;23;24;25})),
IF(Arrangörslista!$U$5&lt;55,SUM(LARGE(BV23:DW23,{1;2;3;4;5;6;7;8;9;10;11;12;13;14;15;16;17;18;19;20;21;22;23;24;25;26;27})),
IF(Arrangörslista!$U$5&lt;58,SUM(LARGE(BV23:DZ23,{1;2;3;4;5;6;7;8;9;10;11;12;13;14;15;16;17;18;19;20;21;22;23;24;25;26;27;28})),
IF(Arrangörslista!$U$5&lt;61,SUM(LARGE(BV23:EC23,{1;2;3;4;5;6;7;8;9;10;11;12;13;14;15;16;17;18;19;20;21;22;23;24;25;26;27;28;29;30})),0)))))))))))))))))))),
IF(Arrangörslista!$U$5&lt;4,0,
IF(Arrangörslista!$U$5&lt;8,SUM(LARGE(BV23:CB23,1)),
IF(Arrangörslista!$U$5&lt;12,SUM(LARGE(BV23:CF23,{1;2})),
IF(Arrangörslista!$U$5&lt;16,SUM(LARGE(BV23:CJ23,{1;2;3})),
IF(Arrangörslista!$U$5&lt;20,SUM(LARGE(BV23:CN23,{1;2;3;4})),
IF(Arrangörslista!$U$5&lt;24,SUM(LARGE(BV23:CR23,{1;2;3;4;5})),
IF(Arrangörslista!$U$5&lt;28,SUM(LARGE(BV23:CV23,{1;2;3;4;5;6})),
IF(Arrangörslista!$U$5&lt;32,SUM(LARGE(BV23:CZ23,{1;2;3;4;5;6;7})),
IF(Arrangörslista!$U$5&lt;36,SUM(LARGE(BV23:DD23,{1;2;3;4;5;6;7;8})),
IF(Arrangörslista!$U$5&lt;40,SUM(LARGE(BV23:DH23,{1;2;3;4;5;6;7;8;9})),
IF(Arrangörslista!$U$5&lt;44,SUM(LARGE(BV23:DL23,{1;2;3;4;5;6;7;8;9;10})),
IF(Arrangörslista!$U$5&lt;48,SUM(LARGE(BV23:DP23,{1;2;3;4;5;6;7;8;9;10;11})),
IF(Arrangörslista!$U$5&lt;52,SUM(LARGE(BV23:DT23,{1;2;3;4;5;6;7;8;9;10;11;12})),
IF(Arrangörslista!$U$5&lt;56,SUM(LARGE(BV23:DX23,{1;2;3;4;5;6;7;8;9;10;11;12;13})),
IF(Arrangörslista!$U$5&lt;60,SUM(LARGE(BV23:EB23,{1;2;3;4;5;6;7;8;9;10;11;12;13;14})),
IF(Arrangörslista!$U$5=60,SUM(LARGE(BV23:EC23,{1;2;3;4;5;6;7;8;9;10;11;12;13;14;15})),0))))))))))))))))))</f>
        <v>0</v>
      </c>
      <c r="EG23" s="67">
        <f t="shared" si="62"/>
        <v>0</v>
      </c>
      <c r="EH23" s="61"/>
      <c r="EI23" s="61"/>
      <c r="EK23" s="62">
        <f t="shared" si="63"/>
        <v>61</v>
      </c>
      <c r="EL23" s="62">
        <f t="shared" si="64"/>
        <v>61</v>
      </c>
      <c r="EM23" s="62">
        <f t="shared" si="65"/>
        <v>61</v>
      </c>
      <c r="EN23" s="62">
        <f t="shared" si="66"/>
        <v>61</v>
      </c>
      <c r="EO23" s="62">
        <f t="shared" si="67"/>
        <v>61</v>
      </c>
      <c r="EP23" s="62">
        <f t="shared" si="68"/>
        <v>61</v>
      </c>
      <c r="EQ23" s="62">
        <f t="shared" si="69"/>
        <v>61</v>
      </c>
      <c r="ER23" s="62">
        <f t="shared" si="70"/>
        <v>61</v>
      </c>
      <c r="ES23" s="62">
        <f t="shared" si="71"/>
        <v>61</v>
      </c>
      <c r="ET23" s="62">
        <f t="shared" si="72"/>
        <v>61</v>
      </c>
      <c r="EU23" s="62">
        <f t="shared" si="73"/>
        <v>61</v>
      </c>
      <c r="EV23" s="62">
        <f t="shared" si="74"/>
        <v>61</v>
      </c>
      <c r="EW23" s="62">
        <f t="shared" si="75"/>
        <v>61</v>
      </c>
      <c r="EX23" s="62">
        <f t="shared" si="76"/>
        <v>61</v>
      </c>
      <c r="EY23" s="62">
        <f t="shared" si="77"/>
        <v>61</v>
      </c>
      <c r="EZ23" s="62">
        <f t="shared" si="78"/>
        <v>61</v>
      </c>
      <c r="FA23" s="62">
        <f t="shared" si="79"/>
        <v>61</v>
      </c>
      <c r="FB23" s="62">
        <f t="shared" si="80"/>
        <v>61</v>
      </c>
      <c r="FC23" s="62">
        <f t="shared" si="81"/>
        <v>61</v>
      </c>
      <c r="FD23" s="62">
        <f t="shared" si="82"/>
        <v>61</v>
      </c>
      <c r="FE23" s="62">
        <f t="shared" si="83"/>
        <v>61</v>
      </c>
      <c r="FF23" s="62">
        <f t="shared" si="84"/>
        <v>61</v>
      </c>
      <c r="FG23" s="62">
        <f t="shared" si="85"/>
        <v>61</v>
      </c>
      <c r="FH23" s="62">
        <f t="shared" si="86"/>
        <v>61</v>
      </c>
      <c r="FI23" s="62">
        <f t="shared" si="87"/>
        <v>61</v>
      </c>
      <c r="FJ23" s="62">
        <f t="shared" si="88"/>
        <v>61</v>
      </c>
      <c r="FK23" s="62">
        <f t="shared" si="89"/>
        <v>61</v>
      </c>
      <c r="FL23" s="62">
        <f t="shared" si="90"/>
        <v>61</v>
      </c>
      <c r="FM23" s="62">
        <f t="shared" si="91"/>
        <v>61</v>
      </c>
      <c r="FN23" s="62">
        <f t="shared" si="92"/>
        <v>61</v>
      </c>
      <c r="FO23" s="62">
        <f t="shared" si="93"/>
        <v>61</v>
      </c>
      <c r="FP23" s="62">
        <f t="shared" si="94"/>
        <v>61</v>
      </c>
      <c r="FQ23" s="62">
        <f t="shared" si="95"/>
        <v>61</v>
      </c>
      <c r="FR23" s="62">
        <f t="shared" si="96"/>
        <v>61</v>
      </c>
      <c r="FS23" s="62">
        <f t="shared" si="97"/>
        <v>61</v>
      </c>
      <c r="FT23" s="62">
        <f t="shared" si="98"/>
        <v>61</v>
      </c>
      <c r="FU23" s="62">
        <f t="shared" si="99"/>
        <v>61</v>
      </c>
      <c r="FV23" s="62">
        <f t="shared" si="100"/>
        <v>61</v>
      </c>
      <c r="FW23" s="62">
        <f t="shared" si="101"/>
        <v>61</v>
      </c>
      <c r="FX23" s="62">
        <f t="shared" si="102"/>
        <v>61</v>
      </c>
      <c r="FY23" s="62">
        <f t="shared" si="103"/>
        <v>61</v>
      </c>
      <c r="FZ23" s="62">
        <f t="shared" si="104"/>
        <v>61</v>
      </c>
      <c r="GA23" s="62">
        <f t="shared" si="105"/>
        <v>61</v>
      </c>
      <c r="GB23" s="62">
        <f t="shared" si="106"/>
        <v>61</v>
      </c>
      <c r="GC23" s="62">
        <f t="shared" si="107"/>
        <v>61</v>
      </c>
      <c r="GD23" s="62">
        <f t="shared" si="108"/>
        <v>61</v>
      </c>
      <c r="GE23" s="62">
        <f t="shared" si="109"/>
        <v>61</v>
      </c>
      <c r="GF23" s="62">
        <f t="shared" si="110"/>
        <v>61</v>
      </c>
      <c r="GG23" s="62">
        <f t="shared" si="111"/>
        <v>61</v>
      </c>
      <c r="GH23" s="62">
        <f t="shared" si="112"/>
        <v>61</v>
      </c>
      <c r="GI23" s="62">
        <f t="shared" si="113"/>
        <v>61</v>
      </c>
      <c r="GJ23" s="62">
        <f t="shared" si="114"/>
        <v>61</v>
      </c>
      <c r="GK23" s="62">
        <f t="shared" si="115"/>
        <v>61</v>
      </c>
      <c r="GL23" s="62">
        <f t="shared" si="116"/>
        <v>61</v>
      </c>
      <c r="GM23" s="62">
        <f t="shared" si="117"/>
        <v>61</v>
      </c>
      <c r="GN23" s="62">
        <f t="shared" si="118"/>
        <v>61</v>
      </c>
      <c r="GO23" s="62">
        <f t="shared" si="119"/>
        <v>61</v>
      </c>
      <c r="GP23" s="62">
        <f t="shared" si="120"/>
        <v>61</v>
      </c>
      <c r="GQ23" s="62">
        <f t="shared" si="121"/>
        <v>61</v>
      </c>
      <c r="GR23" s="62">
        <f t="shared" si="122"/>
        <v>61</v>
      </c>
      <c r="GT23" s="62">
        <f>IF(Deltagarlista!$K$3=2,
IF(GW23="1",
      IF(Arrangörslista!$U$5=1,J86,
IF(Arrangörslista!$U$5=2,K86,
IF(Arrangörslista!$U$5=3,L86,
IF(Arrangörslista!$U$5=4,M86,
IF(Arrangörslista!$U$5=5,N86,
IF(Arrangörslista!$U$5=6,O86,
IF(Arrangörslista!$U$5=7,P86,
IF(Arrangörslista!$U$5=8,Q86,
IF(Arrangörslista!$U$5=9,R86,
IF(Arrangörslista!$U$5=10,S86,
IF(Arrangörslista!$U$5=11,T86,
IF(Arrangörslista!$U$5=12,U86,
IF(Arrangörslista!$U$5=13,V86,
IF(Arrangörslista!$U$5=14,W86,
IF(Arrangörslista!$U$5=15,X86,
IF(Arrangörslista!$U$5=16,Y86,IF(Arrangörslista!$U$5=17,Z86,IF(Arrangörslista!$U$5=18,AA86,IF(Arrangörslista!$U$5=19,AB86,IF(Arrangörslista!$U$5=20,AC86,IF(Arrangörslista!$U$5=21,AD86,IF(Arrangörslista!$U$5=22,AE86,IF(Arrangörslista!$U$5=23,AF86, IF(Arrangörslista!$U$5=24,AG86, IF(Arrangörslista!$U$5=25,AH86, IF(Arrangörslista!$U$5=26,AI86, IF(Arrangörslista!$U$5=27,AJ86, IF(Arrangörslista!$U$5=28,AK86, IF(Arrangörslista!$U$5=29,AL86, IF(Arrangörslista!$U$5=30,AM86, IF(Arrangörslista!$U$5=31,AN86, IF(Arrangörslista!$U$5=32,AO86, IF(Arrangörslista!$U$5=33,AP86, IF(Arrangörslista!$U$5=34,AQ86, IF(Arrangörslista!$U$5=35,AR86, IF(Arrangörslista!$U$5=36,AS86, IF(Arrangörslista!$U$5=37,AT86, IF(Arrangörslista!$U$5=38,AU86, IF(Arrangörslista!$U$5=39,AV86, IF(Arrangörslista!$U$5=40,AW86, IF(Arrangörslista!$U$5=41,AX86, IF(Arrangörslista!$U$5=42,AY86, IF(Arrangörslista!$U$5=43,AZ86, IF(Arrangörslista!$U$5=44,BA86, IF(Arrangörslista!$U$5=45,BB86, IF(Arrangörslista!$U$5=46,BC86, IF(Arrangörslista!$U$5=47,BD86, IF(Arrangörslista!$U$5=48,BE86, IF(Arrangörslista!$U$5=49,BF86, IF(Arrangörslista!$U$5=50,BG86, IF(Arrangörslista!$U$5=51,BH86, IF(Arrangörslista!$U$5=52,BI86, IF(Arrangörslista!$U$5=53,BJ86, IF(Arrangörslista!$U$5=54,BK86, IF(Arrangörslista!$U$5=55,BL86, IF(Arrangörslista!$U$5=56,BM86, IF(Arrangörslista!$U$5=57,BN86, IF(Arrangörslista!$U$5=58,BO86, IF(Arrangörslista!$U$5=59,BP86, IF(Arrangörslista!$U$5=60,BQ86,0))))))))))))))))))))))))))))))))))))))))))))))))))))))))))))),IF(Deltagarlista!$K$3=4, IF(Arrangörslista!$U$5=1,J86,
IF(Arrangörslista!$U$5=2,J86,
IF(Arrangörslista!$U$5=3,K86,
IF(Arrangörslista!$U$5=4,K86,
IF(Arrangörslista!$U$5=5,L86,
IF(Arrangörslista!$U$5=6,L86,
IF(Arrangörslista!$U$5=7,M86,
IF(Arrangörslista!$U$5=8,M86,
IF(Arrangörslista!$U$5=9,N86,
IF(Arrangörslista!$U$5=10,N86,
IF(Arrangörslista!$U$5=11,O86,
IF(Arrangörslista!$U$5=12,O86,
IF(Arrangörslista!$U$5=13,P86,
IF(Arrangörslista!$U$5=14,P86,
IF(Arrangörslista!$U$5=15,Q86,
IF(Arrangörslista!$U$5=16,Q86,
IF(Arrangörslista!$U$5=17,R86,
IF(Arrangörslista!$U$5=18,R86,
IF(Arrangörslista!$U$5=19,S86,
IF(Arrangörslista!$U$5=20,S86,
IF(Arrangörslista!$U$5=21,T86,
IF(Arrangörslista!$U$5=22,T86,IF(Arrangörslista!$U$5=23,U86, IF(Arrangörslista!$U$5=24,U86, IF(Arrangörslista!$U$5=25,V86, IF(Arrangörslista!$U$5=26,V86, IF(Arrangörslista!$U$5=27,W86, IF(Arrangörslista!$U$5=28,W86, IF(Arrangörslista!$U$5=29,X86, IF(Arrangörslista!$U$5=30,X86, IF(Arrangörslista!$U$5=31,X86, IF(Arrangörslista!$U$5=32,Y86, IF(Arrangörslista!$U$5=33,AO86, IF(Arrangörslista!$U$5=34,Y86, IF(Arrangörslista!$U$5=35,Z86, IF(Arrangörslista!$U$5=36,AR86, IF(Arrangörslista!$U$5=37,Z86, IF(Arrangörslista!$U$5=38,AA86, IF(Arrangörslista!$U$5=39,AU86, IF(Arrangörslista!$U$5=40,AA86, IF(Arrangörslista!$U$5=41,AB86, IF(Arrangörslista!$U$5=42,AX86, IF(Arrangörslista!$U$5=43,AB86, IF(Arrangörslista!$U$5=44,AC86, IF(Arrangörslista!$U$5=45,BA86, IF(Arrangörslista!$U$5=46,AC86, IF(Arrangörslista!$U$5=47,AD86, IF(Arrangörslista!$U$5=48,BD86, IF(Arrangörslista!$U$5=49,AD86, IF(Arrangörslista!$U$5=50,AE86, IF(Arrangörslista!$U$5=51,BG86, IF(Arrangörslista!$U$5=52,AE86, IF(Arrangörslista!$U$5=53,AF86, IF(Arrangörslista!$U$5=54,BJ86, IF(Arrangörslista!$U$5=55,AF86, IF(Arrangörslista!$U$5=56,AG86, IF(Arrangörslista!$U$5=57,BM86, IF(Arrangörslista!$U$5=58,AG86, IF(Arrangörslista!$U$5=59,AH86, IF(Arrangörslista!$U$5=60,AH86,0)))))))))))))))))))))))))))))))))))))))))))))))))))))))))))),IF(Arrangörslista!$U$5=1,J86,
IF(Arrangörslista!$U$5=2,K86,
IF(Arrangörslista!$U$5=3,L86,
IF(Arrangörslista!$U$5=4,M86,
IF(Arrangörslista!$U$5=5,N86,
IF(Arrangörslista!$U$5=6,O86,
IF(Arrangörslista!$U$5=7,P86,
IF(Arrangörslista!$U$5=8,Q86,
IF(Arrangörslista!$U$5=9,R86,
IF(Arrangörslista!$U$5=10,S86,
IF(Arrangörslista!$U$5=11,T86,
IF(Arrangörslista!$U$5=12,U86,
IF(Arrangörslista!$U$5=13,V86,
IF(Arrangörslista!$U$5=14,W86,
IF(Arrangörslista!$U$5=15,X86,
IF(Arrangörslista!$U$5=16,Y86,IF(Arrangörslista!$U$5=17,Z86,IF(Arrangörslista!$U$5=18,AA86,IF(Arrangörslista!$U$5=19,AB86,IF(Arrangörslista!$U$5=20,AC86,IF(Arrangörslista!$U$5=21,AD86,IF(Arrangörslista!$U$5=22,AE86,IF(Arrangörslista!$U$5=23,AF86, IF(Arrangörslista!$U$5=24,AG86, IF(Arrangörslista!$U$5=25,AH86, IF(Arrangörslista!$U$5=26,AI86, IF(Arrangörslista!$U$5=27,AJ86, IF(Arrangörslista!$U$5=28,AK86, IF(Arrangörslista!$U$5=29,AL86, IF(Arrangörslista!$U$5=30,AM86, IF(Arrangörslista!$U$5=31,AN86, IF(Arrangörslista!$U$5=32,AO86, IF(Arrangörslista!$U$5=33,AP86, IF(Arrangörslista!$U$5=34,AQ86, IF(Arrangörslista!$U$5=35,AR86, IF(Arrangörslista!$U$5=36,AS86, IF(Arrangörslista!$U$5=37,AT86, IF(Arrangörslista!$U$5=38,AU86, IF(Arrangörslista!$U$5=39,AV86, IF(Arrangörslista!$U$5=40,AW86, IF(Arrangörslista!$U$5=41,AX86, IF(Arrangörslista!$U$5=42,AY86, IF(Arrangörslista!$U$5=43,AZ86, IF(Arrangörslista!$U$5=44,BA86, IF(Arrangörslista!$U$5=45,BB86, IF(Arrangörslista!$U$5=46,BC86, IF(Arrangörslista!$U$5=47,BD86, IF(Arrangörslista!$U$5=48,BE86, IF(Arrangörslista!$U$5=49,BF86, IF(Arrangörslista!$U$5=50,BG86, IF(Arrangörslista!$U$5=51,BH86, IF(Arrangörslista!$U$5=52,BI86, IF(Arrangörslista!$U$5=53,BJ86, IF(Arrangörslista!$U$5=54,BK86, IF(Arrangörslista!$U$5=55,BL86, IF(Arrangörslista!$U$5=56,BM86, IF(Arrangörslista!$U$5=57,BN86, IF(Arrangörslista!$U$5=58,BO86, IF(Arrangörslista!$U$5=59,BP86, IF(Arrangörslista!$U$5=60,BQ86,0))))))))))))))))))))))))))))))))))))))))))))))))))))))))))))
))</f>
        <v>0</v>
      </c>
      <c r="GV23" s="65" t="str">
        <f>IFERROR(IF(VLOOKUP(F23,Deltagarlista!$E$5:$I$64,5,FALSE)="Grön","Gr",IF(VLOOKUP(F23,Deltagarlista!$E$5:$I$64,5,FALSE)="Röd","R",IF(VLOOKUP(F23,Deltagarlista!$E$5:$I$64,5,FALSE)="Blå","B","Gu"))),"")</f>
        <v/>
      </c>
      <c r="GW23" s="62" t="str">
        <f t="shared" si="124"/>
        <v/>
      </c>
    </row>
    <row r="24" spans="2:205" x14ac:dyDescent="0.3">
      <c r="B24" s="23" t="str">
        <f>IF((COUNTIF(Deltagarlista!$H$5:$H$64,"GM"))&gt;20,21,"")</f>
        <v/>
      </c>
      <c r="C24" s="92" t="str">
        <f>IF(ISBLANK(Deltagarlista!C49),"",Deltagarlista!C49)</f>
        <v/>
      </c>
      <c r="D24" s="109" t="str">
        <f>CONCATENATE(IF(Deltagarlista!H49="GM","GM   ",""), IF(OR(Deltagarlista!$K$3=4,Deltagarlista!$K$3=2),Deltagarlista!I49,""))</f>
        <v/>
      </c>
      <c r="E24" s="8" t="str">
        <f>IF(ISBLANK(Deltagarlista!D49),"",Deltagarlista!D49)</f>
        <v/>
      </c>
      <c r="F24" s="8" t="str">
        <f>IF(ISBLANK(Deltagarlista!E49),"",Deltagarlista!E49)</f>
        <v/>
      </c>
      <c r="G24" s="95" t="str">
        <f>IF(ISBLANK(Deltagarlista!F49),"",Deltagarlista!F49)</f>
        <v/>
      </c>
      <c r="H24" s="72" t="str">
        <f>IF(ISBLANK(Deltagarlista!C49),"",BU24-EE24)</f>
        <v/>
      </c>
      <c r="I24" s="13" t="str">
        <f>IF(ISBLANK(Deltagarlista!C49),"",IF(AND(Deltagarlista!$K$3=2,Deltagarlista!$L$3&lt;37),SUM(SUM(BV24:EC24)-(ROUNDDOWN(Arrangörslista!$U$5/3,1))*($BW$3+1)),SUM(BV24:EC24)))</f>
        <v/>
      </c>
      <c r="J24" s="79" t="str">
        <f>IF(Deltagarlista!$K$3=4,IF(ISBLANK(Deltagarlista!$C49),"",IF(ISBLANK(Arrangörslista!C$8),"",IFERROR(VLOOKUP($F24,Arrangörslista!C$8:$AG$45,16,FALSE),IF(ISBLANK(Deltagarlista!$C49),"",IF(ISBLANK(Arrangörslista!C$8),"",IFERROR(VLOOKUP($F24,Arrangörslista!D$8:$AG$45,16,FALSE),"DNS")))))),IF(Deltagarlista!$K$3=2,
IF(ISBLANK(Deltagarlista!$C49),"",IF(ISBLANK(Arrangörslista!C$8),"",IF($GV24=J$64," DNS ",IFERROR(VLOOKUP($F24,Arrangörslista!C$8:$AG$45,16,FALSE),"DNS")))),IF(ISBLANK(Deltagarlista!$C49),"",IF(ISBLANK(Arrangörslista!C$8),"",IFERROR(VLOOKUP($F24,Arrangörslista!C$8:$AG$45,16,FALSE),"DNS")))))</f>
        <v/>
      </c>
      <c r="K24" s="5" t="str">
        <f>IF(Deltagarlista!$K$3=4,IF(ISBLANK(Deltagarlista!$C49),"",IF(ISBLANK(Arrangörslista!E$8),"",IFERROR(VLOOKUP($F24,Arrangörslista!E$8:$AG$45,16,FALSE),IF(ISBLANK(Deltagarlista!$C49),"",IF(ISBLANK(Arrangörslista!E$8),"",IFERROR(VLOOKUP($F24,Arrangörslista!F$8:$AG$45,16,FALSE),"DNS")))))),IF(Deltagarlista!$K$3=2,
IF(ISBLANK(Deltagarlista!$C49),"",IF(ISBLANK(Arrangörslista!D$8),"",IF($GV24=K$64," DNS ",IFERROR(VLOOKUP($F24,Arrangörslista!D$8:$AG$45,16,FALSE),"DNS")))),IF(ISBLANK(Deltagarlista!$C49),"",IF(ISBLANK(Arrangörslista!D$8),"",IFERROR(VLOOKUP($F24,Arrangörslista!D$8:$AG$45,16,FALSE),"DNS")))))</f>
        <v/>
      </c>
      <c r="L24" s="5" t="str">
        <f>IF(Deltagarlista!$K$3=4,IF(ISBLANK(Deltagarlista!$C49),"",IF(ISBLANK(Arrangörslista!G$8),"",IFERROR(VLOOKUP($F24,Arrangörslista!G$8:$AG$45,16,FALSE),IF(ISBLANK(Deltagarlista!$C49),"",IF(ISBLANK(Arrangörslista!G$8),"",IFERROR(VLOOKUP($F24,Arrangörslista!H$8:$AG$45,16,FALSE),"DNS")))))),IF(Deltagarlista!$K$3=2,
IF(ISBLANK(Deltagarlista!$C49),"",IF(ISBLANK(Arrangörslista!E$8),"",IF($GV24=L$64," DNS ",IFERROR(VLOOKUP($F24,Arrangörslista!E$8:$AG$45,16,FALSE),"DNS")))),IF(ISBLANK(Deltagarlista!$C49),"",IF(ISBLANK(Arrangörslista!E$8),"",IFERROR(VLOOKUP($F24,Arrangörslista!E$8:$AG$45,16,FALSE),"DNS")))))</f>
        <v/>
      </c>
      <c r="M24" s="5" t="str">
        <f>IF(Deltagarlista!$K$3=4,IF(ISBLANK(Deltagarlista!$C49),"",IF(ISBLANK(Arrangörslista!I$8),"",IFERROR(VLOOKUP($F24,Arrangörslista!I$8:$AG$45,16,FALSE),IF(ISBLANK(Deltagarlista!$C49),"",IF(ISBLANK(Arrangörslista!I$8),"",IFERROR(VLOOKUP($F24,Arrangörslista!J$8:$AG$45,16,FALSE),"DNS")))))),IF(Deltagarlista!$K$3=2,
IF(ISBLANK(Deltagarlista!$C49),"",IF(ISBLANK(Arrangörslista!F$8),"",IF($GV24=M$64," DNS ",IFERROR(VLOOKUP($F24,Arrangörslista!F$8:$AG$45,16,FALSE),"DNS")))),IF(ISBLANK(Deltagarlista!$C49),"",IF(ISBLANK(Arrangörslista!F$8),"",IFERROR(VLOOKUP($F24,Arrangörslista!F$8:$AG$45,16,FALSE),"DNS")))))</f>
        <v/>
      </c>
      <c r="N24" s="5" t="str">
        <f>IF(Deltagarlista!$K$3=4,IF(ISBLANK(Deltagarlista!$C49),"",IF(ISBLANK(Arrangörslista!K$8),"",IFERROR(VLOOKUP($F24,Arrangörslista!K$8:$AG$45,16,FALSE),IF(ISBLANK(Deltagarlista!$C49),"",IF(ISBLANK(Arrangörslista!K$8),"",IFERROR(VLOOKUP($F24,Arrangörslista!L$8:$AG$45,16,FALSE),"DNS")))))),IF(Deltagarlista!$K$3=2,
IF(ISBLANK(Deltagarlista!$C49),"",IF(ISBLANK(Arrangörslista!G$8),"",IF($GV24=N$64," DNS ",IFERROR(VLOOKUP($F24,Arrangörslista!G$8:$AG$45,16,FALSE),"DNS")))),IF(ISBLANK(Deltagarlista!$C49),"",IF(ISBLANK(Arrangörslista!G$8),"",IFERROR(VLOOKUP($F24,Arrangörslista!G$8:$AG$45,16,FALSE),"DNS")))))</f>
        <v/>
      </c>
      <c r="O24" s="5" t="str">
        <f>IF(Deltagarlista!$K$3=4,IF(ISBLANK(Deltagarlista!$C49),"",IF(ISBLANK(Arrangörslista!M$8),"",IFERROR(VLOOKUP($F24,Arrangörslista!M$8:$AG$45,16,FALSE),IF(ISBLANK(Deltagarlista!$C49),"",IF(ISBLANK(Arrangörslista!M$8),"",IFERROR(VLOOKUP($F24,Arrangörslista!N$8:$AG$45,16,FALSE),"DNS")))))),IF(Deltagarlista!$K$3=2,
IF(ISBLANK(Deltagarlista!$C49),"",IF(ISBLANK(Arrangörslista!H$8),"",IF($GV24=O$64," DNS ",IFERROR(VLOOKUP($F24,Arrangörslista!H$8:$AG$45,16,FALSE),"DNS")))),IF(ISBLANK(Deltagarlista!$C49),"",IF(ISBLANK(Arrangörslista!H$8),"",IFERROR(VLOOKUP($F24,Arrangörslista!H$8:$AG$45,16,FALSE),"DNS")))))</f>
        <v/>
      </c>
      <c r="P24" s="5" t="str">
        <f>IF(Deltagarlista!$K$3=4,IF(ISBLANK(Deltagarlista!$C49),"",IF(ISBLANK(Arrangörslista!O$8),"",IFERROR(VLOOKUP($F24,Arrangörslista!O$8:$AG$45,16,FALSE),IF(ISBLANK(Deltagarlista!$C49),"",IF(ISBLANK(Arrangörslista!O$8),"",IFERROR(VLOOKUP($F24,Arrangörslista!P$8:$AG$45,16,FALSE),"DNS")))))),IF(Deltagarlista!$K$3=2,
IF(ISBLANK(Deltagarlista!$C49),"",IF(ISBLANK(Arrangörslista!I$8),"",IF($GV24=P$64," DNS ",IFERROR(VLOOKUP($F24,Arrangörslista!I$8:$AG$45,16,FALSE),"DNS")))),IF(ISBLANK(Deltagarlista!$C49),"",IF(ISBLANK(Arrangörslista!I$8),"",IFERROR(VLOOKUP($F24,Arrangörslista!I$8:$AG$45,16,FALSE),"DNS")))))</f>
        <v/>
      </c>
      <c r="Q24" s="5" t="str">
        <f>IF(Deltagarlista!$K$3=4,IF(ISBLANK(Deltagarlista!$C49),"",IF(ISBLANK(Arrangörslista!Q$8),"",IFERROR(VLOOKUP($F24,Arrangörslista!Q$8:$AG$45,16,FALSE),IF(ISBLANK(Deltagarlista!$C49),"",IF(ISBLANK(Arrangörslista!Q$8),"",IFERROR(VLOOKUP($F24,Arrangörslista!C$53:$AG$90,16,FALSE),"DNS")))))),IF(Deltagarlista!$K$3=2,
IF(ISBLANK(Deltagarlista!$C49),"",IF(ISBLANK(Arrangörslista!J$8),"",IF($GV24=Q$64," DNS ",IFERROR(VLOOKUP($F24,Arrangörslista!J$8:$AG$45,16,FALSE),"DNS")))),IF(ISBLANK(Deltagarlista!$C49),"",IF(ISBLANK(Arrangörslista!J$8),"",IFERROR(VLOOKUP($F24,Arrangörslista!J$8:$AG$45,16,FALSE),"DNS")))))</f>
        <v/>
      </c>
      <c r="R24" s="5" t="str">
        <f>IF(Deltagarlista!$K$3=4,IF(ISBLANK(Deltagarlista!$C49),"",IF(ISBLANK(Arrangörslista!D$53),"",IFERROR(VLOOKUP($F24,Arrangörslista!D$53:$AG$90,16,FALSE),IF(ISBLANK(Deltagarlista!$C49),"",IF(ISBLANK(Arrangörslista!D$53),"",IFERROR(VLOOKUP($F24,Arrangörslista!E$53:$AG$90,16,FALSE),"DNS")))))),IF(Deltagarlista!$K$3=2,
IF(ISBLANK(Deltagarlista!$C49),"",IF(ISBLANK(Arrangörslista!K$8),"",IF($GV24=R$64," DNS ",IFERROR(VLOOKUP($F24,Arrangörslista!K$8:$AG$45,16,FALSE),"DNS")))),IF(ISBLANK(Deltagarlista!$C49),"",IF(ISBLANK(Arrangörslista!K$8),"",IFERROR(VLOOKUP($F24,Arrangörslista!K$8:$AG$45,16,FALSE),"DNS")))))</f>
        <v/>
      </c>
      <c r="S24" s="5" t="str">
        <f>IF(Deltagarlista!$K$3=4,IF(ISBLANK(Deltagarlista!$C49),"",IF(ISBLANK(Arrangörslista!F$53),"",IFERROR(VLOOKUP($F24,Arrangörslista!F$53:$AG$90,16,FALSE),IF(ISBLANK(Deltagarlista!$C49),"",IF(ISBLANK(Arrangörslista!F$53),"",IFERROR(VLOOKUP($F24,Arrangörslista!G$53:$AG$90,16,FALSE),"DNS")))))),IF(Deltagarlista!$K$3=2,
IF(ISBLANK(Deltagarlista!$C49),"",IF(ISBLANK(Arrangörslista!L$8),"",IF($GV24=S$64," DNS ",IFERROR(VLOOKUP($F24,Arrangörslista!L$8:$AG$45,16,FALSE),"DNS")))),IF(ISBLANK(Deltagarlista!$C49),"",IF(ISBLANK(Arrangörslista!L$8),"",IFERROR(VLOOKUP($F24,Arrangörslista!L$8:$AG$45,16,FALSE),"DNS")))))</f>
        <v/>
      </c>
      <c r="T24" s="5" t="str">
        <f>IF(Deltagarlista!$K$3=4,IF(ISBLANK(Deltagarlista!$C49),"",IF(ISBLANK(Arrangörslista!H$53),"",IFERROR(VLOOKUP($F24,Arrangörslista!H$53:$AG$90,16,FALSE),IF(ISBLANK(Deltagarlista!$C49),"",IF(ISBLANK(Arrangörslista!H$53),"",IFERROR(VLOOKUP($F24,Arrangörslista!I$53:$AG$90,16,FALSE),"DNS")))))),IF(Deltagarlista!$K$3=2,
IF(ISBLANK(Deltagarlista!$C49),"",IF(ISBLANK(Arrangörslista!M$8),"",IF($GV24=T$64," DNS ",IFERROR(VLOOKUP($F24,Arrangörslista!M$8:$AG$45,16,FALSE),"DNS")))),IF(ISBLANK(Deltagarlista!$C49),"",IF(ISBLANK(Arrangörslista!M$8),"",IFERROR(VLOOKUP($F24,Arrangörslista!M$8:$AG$45,16,FALSE),"DNS")))))</f>
        <v/>
      </c>
      <c r="U24" s="5" t="str">
        <f>IF(Deltagarlista!$K$3=4,IF(ISBLANK(Deltagarlista!$C49),"",IF(ISBLANK(Arrangörslista!J$53),"",IFERROR(VLOOKUP($F24,Arrangörslista!J$53:$AG$90,16,FALSE),IF(ISBLANK(Deltagarlista!$C49),"",IF(ISBLANK(Arrangörslista!J$53),"",IFERROR(VLOOKUP($F24,Arrangörslista!K$53:$AG$90,16,FALSE),"DNS")))))),IF(Deltagarlista!$K$3=2,
IF(ISBLANK(Deltagarlista!$C49),"",IF(ISBLANK(Arrangörslista!N$8),"",IF($GV24=U$64," DNS ",IFERROR(VLOOKUP($F24,Arrangörslista!N$8:$AG$45,16,FALSE),"DNS")))),IF(ISBLANK(Deltagarlista!$C49),"",IF(ISBLANK(Arrangörslista!N$8),"",IFERROR(VLOOKUP($F24,Arrangörslista!N$8:$AG$45,16,FALSE),"DNS")))))</f>
        <v/>
      </c>
      <c r="V24" s="5" t="str">
        <f>IF(Deltagarlista!$K$3=4,IF(ISBLANK(Deltagarlista!$C49),"",IF(ISBLANK(Arrangörslista!L$53),"",IFERROR(VLOOKUP($F24,Arrangörslista!L$53:$AG$90,16,FALSE),IF(ISBLANK(Deltagarlista!$C49),"",IF(ISBLANK(Arrangörslista!L$53),"",IFERROR(VLOOKUP($F24,Arrangörslista!M$53:$AG$90,16,FALSE),"DNS")))))),IF(Deltagarlista!$K$3=2,
IF(ISBLANK(Deltagarlista!$C49),"",IF(ISBLANK(Arrangörslista!O$8),"",IF($GV24=V$64," DNS ",IFERROR(VLOOKUP($F24,Arrangörslista!O$8:$AG$45,16,FALSE),"DNS")))),IF(ISBLANK(Deltagarlista!$C49),"",IF(ISBLANK(Arrangörslista!O$8),"",IFERROR(VLOOKUP($F24,Arrangörslista!O$8:$AG$45,16,FALSE),"DNS")))))</f>
        <v/>
      </c>
      <c r="W24" s="5" t="str">
        <f>IF(Deltagarlista!$K$3=4,IF(ISBLANK(Deltagarlista!$C49),"",IF(ISBLANK(Arrangörslista!N$53),"",IFERROR(VLOOKUP($F24,Arrangörslista!N$53:$AG$90,16,FALSE),IF(ISBLANK(Deltagarlista!$C49),"",IF(ISBLANK(Arrangörslista!N$53),"",IFERROR(VLOOKUP($F24,Arrangörslista!O$53:$AG$90,16,FALSE),"DNS")))))),IF(Deltagarlista!$K$3=2,
IF(ISBLANK(Deltagarlista!$C49),"",IF(ISBLANK(Arrangörslista!P$8),"",IF($GV24=W$64," DNS ",IFERROR(VLOOKUP($F24,Arrangörslista!P$8:$AG$45,16,FALSE),"DNS")))),IF(ISBLANK(Deltagarlista!$C49),"",IF(ISBLANK(Arrangörslista!P$8),"",IFERROR(VLOOKUP($F24,Arrangörslista!P$8:$AG$45,16,FALSE),"DNS")))))</f>
        <v/>
      </c>
      <c r="X24" s="5" t="str">
        <f>IF(Deltagarlista!$K$3=4,IF(ISBLANK(Deltagarlista!$C49),"",IF(ISBLANK(Arrangörslista!P$53),"",IFERROR(VLOOKUP($F24,Arrangörslista!P$53:$AG$90,16,FALSE),IF(ISBLANK(Deltagarlista!$C49),"",IF(ISBLANK(Arrangörslista!P$53),"",IFERROR(VLOOKUP($F24,Arrangörslista!Q$53:$AG$90,16,FALSE),"DNS")))))),IF(Deltagarlista!$K$3=2,
IF(ISBLANK(Deltagarlista!$C49),"",IF(ISBLANK(Arrangörslista!Q$8),"",IF($GV24=X$64," DNS ",IFERROR(VLOOKUP($F24,Arrangörslista!Q$8:$AG$45,16,FALSE),"DNS")))),IF(ISBLANK(Deltagarlista!$C49),"",IF(ISBLANK(Arrangörslista!Q$8),"",IFERROR(VLOOKUP($F24,Arrangörslista!Q$8:$AG$45,16,FALSE),"DNS")))))</f>
        <v/>
      </c>
      <c r="Y24" s="5" t="str">
        <f>IF(Deltagarlista!$K$3=4,IF(ISBLANK(Deltagarlista!$C49),"",IF(ISBLANK(Arrangörslista!C$98),"",IFERROR(VLOOKUP($F24,Arrangörslista!C$98:$AG$135,16,FALSE),IF(ISBLANK(Deltagarlista!$C49),"",IF(ISBLANK(Arrangörslista!C$98),"",IFERROR(VLOOKUP($F24,Arrangörslista!D$98:$AG$135,16,FALSE),"DNS")))))),IF(Deltagarlista!$K$3=2,
IF(ISBLANK(Deltagarlista!$C49),"",IF(ISBLANK(Arrangörslista!C$53),"",IF($GV24=Y$64," DNS ",IFERROR(VLOOKUP($F24,Arrangörslista!C$53:$AG$90,16,FALSE),"DNS")))),IF(ISBLANK(Deltagarlista!$C49),"",IF(ISBLANK(Arrangörslista!C$53),"",IFERROR(VLOOKUP($F24,Arrangörslista!C$53:$AG$90,16,FALSE),"DNS")))))</f>
        <v/>
      </c>
      <c r="Z24" s="5" t="str">
        <f>IF(Deltagarlista!$K$3=4,IF(ISBLANK(Deltagarlista!$C49),"",IF(ISBLANK(Arrangörslista!E$98),"",IFERROR(VLOOKUP($F24,Arrangörslista!E$98:$AG$135,16,FALSE),IF(ISBLANK(Deltagarlista!$C49),"",IF(ISBLANK(Arrangörslista!E$98),"",IFERROR(VLOOKUP($F24,Arrangörslista!F$98:$AG$135,16,FALSE),"DNS")))))),IF(Deltagarlista!$K$3=2,
IF(ISBLANK(Deltagarlista!$C49),"",IF(ISBLANK(Arrangörslista!D$53),"",IF($GV24=Z$64," DNS ",IFERROR(VLOOKUP($F24,Arrangörslista!D$53:$AG$90,16,FALSE),"DNS")))),IF(ISBLANK(Deltagarlista!$C49),"",IF(ISBLANK(Arrangörslista!D$53),"",IFERROR(VLOOKUP($F24,Arrangörslista!D$53:$AG$90,16,FALSE),"DNS")))))</f>
        <v/>
      </c>
      <c r="AA24" s="5" t="str">
        <f>IF(Deltagarlista!$K$3=4,IF(ISBLANK(Deltagarlista!$C49),"",IF(ISBLANK(Arrangörslista!G$98),"",IFERROR(VLOOKUP($F24,Arrangörslista!G$98:$AG$135,16,FALSE),IF(ISBLANK(Deltagarlista!$C49),"",IF(ISBLANK(Arrangörslista!G$98),"",IFERROR(VLOOKUP($F24,Arrangörslista!H$98:$AG$135,16,FALSE),"DNS")))))),IF(Deltagarlista!$K$3=2,
IF(ISBLANK(Deltagarlista!$C49),"",IF(ISBLANK(Arrangörslista!E$53),"",IF($GV24=AA$64," DNS ",IFERROR(VLOOKUP($F24,Arrangörslista!E$53:$AG$90,16,FALSE),"DNS")))),IF(ISBLANK(Deltagarlista!$C49),"",IF(ISBLANK(Arrangörslista!E$53),"",IFERROR(VLOOKUP($F24,Arrangörslista!E$53:$AG$90,16,FALSE),"DNS")))))</f>
        <v/>
      </c>
      <c r="AB24" s="5" t="str">
        <f>IF(Deltagarlista!$K$3=4,IF(ISBLANK(Deltagarlista!$C49),"",IF(ISBLANK(Arrangörslista!I$98),"",IFERROR(VLOOKUP($F24,Arrangörslista!I$98:$AG$135,16,FALSE),IF(ISBLANK(Deltagarlista!$C49),"",IF(ISBLANK(Arrangörslista!I$98),"",IFERROR(VLOOKUP($F24,Arrangörslista!J$98:$AG$135,16,FALSE),"DNS")))))),IF(Deltagarlista!$K$3=2,
IF(ISBLANK(Deltagarlista!$C49),"",IF(ISBLANK(Arrangörslista!F$53),"",IF($GV24=AB$64," DNS ",IFERROR(VLOOKUP($F24,Arrangörslista!F$53:$AG$90,16,FALSE),"DNS")))),IF(ISBLANK(Deltagarlista!$C49),"",IF(ISBLANK(Arrangörslista!F$53),"",IFERROR(VLOOKUP($F24,Arrangörslista!F$53:$AG$90,16,FALSE),"DNS")))))</f>
        <v/>
      </c>
      <c r="AC24" s="5" t="str">
        <f>IF(Deltagarlista!$K$3=4,IF(ISBLANK(Deltagarlista!$C49),"",IF(ISBLANK(Arrangörslista!K$98),"",IFERROR(VLOOKUP($F24,Arrangörslista!K$98:$AG$135,16,FALSE),IF(ISBLANK(Deltagarlista!$C49),"",IF(ISBLANK(Arrangörslista!K$98),"",IFERROR(VLOOKUP($F24,Arrangörslista!L$98:$AG$135,16,FALSE),"DNS")))))),IF(Deltagarlista!$K$3=2,
IF(ISBLANK(Deltagarlista!$C49),"",IF(ISBLANK(Arrangörslista!G$53),"",IF($GV24=AC$64," DNS ",IFERROR(VLOOKUP($F24,Arrangörslista!G$53:$AG$90,16,FALSE),"DNS")))),IF(ISBLANK(Deltagarlista!$C49),"",IF(ISBLANK(Arrangörslista!G$53),"",IFERROR(VLOOKUP($F24,Arrangörslista!G$53:$AG$90,16,FALSE),"DNS")))))</f>
        <v/>
      </c>
      <c r="AD24" s="5" t="str">
        <f>IF(Deltagarlista!$K$3=4,IF(ISBLANK(Deltagarlista!$C49),"",IF(ISBLANK(Arrangörslista!M$98),"",IFERROR(VLOOKUP($F24,Arrangörslista!M$98:$AG$135,16,FALSE),IF(ISBLANK(Deltagarlista!$C49),"",IF(ISBLANK(Arrangörslista!M$98),"",IFERROR(VLOOKUP($F24,Arrangörslista!N$98:$AG$135,16,FALSE),"DNS")))))),IF(Deltagarlista!$K$3=2,
IF(ISBLANK(Deltagarlista!$C49),"",IF(ISBLANK(Arrangörslista!H$53),"",IF($GV24=AD$64," DNS ",IFERROR(VLOOKUP($F24,Arrangörslista!H$53:$AG$90,16,FALSE),"DNS")))),IF(ISBLANK(Deltagarlista!$C49),"",IF(ISBLANK(Arrangörslista!H$53),"",IFERROR(VLOOKUP($F24,Arrangörslista!H$53:$AG$90,16,FALSE),"DNS")))))</f>
        <v/>
      </c>
      <c r="AE24" s="5" t="str">
        <f>IF(Deltagarlista!$K$3=4,IF(ISBLANK(Deltagarlista!$C49),"",IF(ISBLANK(Arrangörslista!O$98),"",IFERROR(VLOOKUP($F24,Arrangörslista!O$98:$AG$135,16,FALSE),IF(ISBLANK(Deltagarlista!$C49),"",IF(ISBLANK(Arrangörslista!O$98),"",IFERROR(VLOOKUP($F24,Arrangörslista!P$98:$AG$135,16,FALSE),"DNS")))))),IF(Deltagarlista!$K$3=2,
IF(ISBLANK(Deltagarlista!$C49),"",IF(ISBLANK(Arrangörslista!I$53),"",IF($GV24=AE$64," DNS ",IFERROR(VLOOKUP($F24,Arrangörslista!I$53:$AG$90,16,FALSE),"DNS")))),IF(ISBLANK(Deltagarlista!$C49),"",IF(ISBLANK(Arrangörslista!I$53),"",IFERROR(VLOOKUP($F24,Arrangörslista!I$53:$AG$90,16,FALSE),"DNS")))))</f>
        <v/>
      </c>
      <c r="AF24" s="5" t="str">
        <f>IF(Deltagarlista!$K$3=4,IF(ISBLANK(Deltagarlista!$C49),"",IF(ISBLANK(Arrangörslista!Q$98),"",IFERROR(VLOOKUP($F24,Arrangörslista!Q$98:$AG$135,16,FALSE),IF(ISBLANK(Deltagarlista!$C49),"",IF(ISBLANK(Arrangörslista!Q$98),"",IFERROR(VLOOKUP($F24,Arrangörslista!C$143:$AG$180,16,FALSE),"DNS")))))),IF(Deltagarlista!$K$3=2,
IF(ISBLANK(Deltagarlista!$C49),"",IF(ISBLANK(Arrangörslista!J$53),"",IF($GV24=AF$64," DNS ",IFERROR(VLOOKUP($F24,Arrangörslista!J$53:$AG$90,16,FALSE),"DNS")))),IF(ISBLANK(Deltagarlista!$C49),"",IF(ISBLANK(Arrangörslista!J$53),"",IFERROR(VLOOKUP($F24,Arrangörslista!J$53:$AG$90,16,FALSE),"DNS")))))</f>
        <v/>
      </c>
      <c r="AG24" s="5" t="str">
        <f>IF(Deltagarlista!$K$3=4,IF(ISBLANK(Deltagarlista!$C49),"",IF(ISBLANK(Arrangörslista!D$143),"",IFERROR(VLOOKUP($F24,Arrangörslista!D$143:$AG$180,16,FALSE),IF(ISBLANK(Deltagarlista!$C49),"",IF(ISBLANK(Arrangörslista!D$143),"",IFERROR(VLOOKUP($F24,Arrangörslista!E$143:$AG$180,16,FALSE),"DNS")))))),IF(Deltagarlista!$K$3=2,
IF(ISBLANK(Deltagarlista!$C49),"",IF(ISBLANK(Arrangörslista!K$53),"",IF($GV24=AG$64," DNS ",IFERROR(VLOOKUP($F24,Arrangörslista!K$53:$AG$90,16,FALSE),"DNS")))),IF(ISBLANK(Deltagarlista!$C49),"",IF(ISBLANK(Arrangörslista!K$53),"",IFERROR(VLOOKUP($F24,Arrangörslista!K$53:$AG$90,16,FALSE),"DNS")))))</f>
        <v/>
      </c>
      <c r="AH24" s="5" t="str">
        <f>IF(Deltagarlista!$K$3=4,IF(ISBLANK(Deltagarlista!$C49),"",IF(ISBLANK(Arrangörslista!F$143),"",IFERROR(VLOOKUP($F24,Arrangörslista!F$143:$AG$180,16,FALSE),IF(ISBLANK(Deltagarlista!$C49),"",IF(ISBLANK(Arrangörslista!F$143),"",IFERROR(VLOOKUP($F24,Arrangörslista!G$143:$AG$180,16,FALSE),"DNS")))))),IF(Deltagarlista!$K$3=2,
IF(ISBLANK(Deltagarlista!$C49),"",IF(ISBLANK(Arrangörslista!L$53),"",IF($GV24=AH$64," DNS ",IFERROR(VLOOKUP($F24,Arrangörslista!L$53:$AG$90,16,FALSE),"DNS")))),IF(ISBLANK(Deltagarlista!$C49),"",IF(ISBLANK(Arrangörslista!L$53),"",IFERROR(VLOOKUP($F24,Arrangörslista!L$53:$AG$90,16,FALSE),"DNS")))))</f>
        <v/>
      </c>
      <c r="AI24" s="5" t="str">
        <f>IF(Deltagarlista!$K$3=4,IF(ISBLANK(Deltagarlista!$C49),"",IF(ISBLANK(Arrangörslista!H$143),"",IFERROR(VLOOKUP($F24,Arrangörslista!H$143:$AG$180,16,FALSE),IF(ISBLANK(Deltagarlista!$C49),"",IF(ISBLANK(Arrangörslista!H$143),"",IFERROR(VLOOKUP($F24,Arrangörslista!I$143:$AG$180,16,FALSE),"DNS")))))),IF(Deltagarlista!$K$3=2,
IF(ISBLANK(Deltagarlista!$C49),"",IF(ISBLANK(Arrangörslista!M$53),"",IF($GV24=AI$64," DNS ",IFERROR(VLOOKUP($F24,Arrangörslista!M$53:$AG$90,16,FALSE),"DNS")))),IF(ISBLANK(Deltagarlista!$C49),"",IF(ISBLANK(Arrangörslista!M$53),"",IFERROR(VLOOKUP($F24,Arrangörslista!M$53:$AG$90,16,FALSE),"DNS")))))</f>
        <v/>
      </c>
      <c r="AJ24" s="5" t="str">
        <f>IF(Deltagarlista!$K$3=4,IF(ISBLANK(Deltagarlista!$C49),"",IF(ISBLANK(Arrangörslista!J$143),"",IFERROR(VLOOKUP($F24,Arrangörslista!J$143:$AG$180,16,FALSE),IF(ISBLANK(Deltagarlista!$C49),"",IF(ISBLANK(Arrangörslista!J$143),"",IFERROR(VLOOKUP($F24,Arrangörslista!K$143:$AG$180,16,FALSE),"DNS")))))),IF(Deltagarlista!$K$3=2,
IF(ISBLANK(Deltagarlista!$C49),"",IF(ISBLANK(Arrangörslista!N$53),"",IF($GV24=AJ$64," DNS ",IFERROR(VLOOKUP($F24,Arrangörslista!N$53:$AG$90,16,FALSE),"DNS")))),IF(ISBLANK(Deltagarlista!$C49),"",IF(ISBLANK(Arrangörslista!N$53),"",IFERROR(VLOOKUP($F24,Arrangörslista!N$53:$AG$90,16,FALSE),"DNS")))))</f>
        <v/>
      </c>
      <c r="AK24" s="5" t="str">
        <f>IF(Deltagarlista!$K$3=4,IF(ISBLANK(Deltagarlista!$C49),"",IF(ISBLANK(Arrangörslista!L$143),"",IFERROR(VLOOKUP($F24,Arrangörslista!L$143:$AG$180,16,FALSE),IF(ISBLANK(Deltagarlista!$C49),"",IF(ISBLANK(Arrangörslista!L$143),"",IFERROR(VLOOKUP($F24,Arrangörslista!M$143:$AG$180,16,FALSE),"DNS")))))),IF(Deltagarlista!$K$3=2,
IF(ISBLANK(Deltagarlista!$C49),"",IF(ISBLANK(Arrangörslista!O$53),"",IF($GV24=AK$64," DNS ",IFERROR(VLOOKUP($F24,Arrangörslista!O$53:$AG$90,16,FALSE),"DNS")))),IF(ISBLANK(Deltagarlista!$C49),"",IF(ISBLANK(Arrangörslista!O$53),"",IFERROR(VLOOKUP($F24,Arrangörslista!O$53:$AG$90,16,FALSE),"DNS")))))</f>
        <v/>
      </c>
      <c r="AL24" s="5" t="str">
        <f>IF(Deltagarlista!$K$3=4,IF(ISBLANK(Deltagarlista!$C49),"",IF(ISBLANK(Arrangörslista!N$143),"",IFERROR(VLOOKUP($F24,Arrangörslista!N$143:$AG$180,16,FALSE),IF(ISBLANK(Deltagarlista!$C49),"",IF(ISBLANK(Arrangörslista!N$143),"",IFERROR(VLOOKUP($F24,Arrangörslista!O$143:$AG$180,16,FALSE),"DNS")))))),IF(Deltagarlista!$K$3=2,
IF(ISBLANK(Deltagarlista!$C49),"",IF(ISBLANK(Arrangörslista!P$53),"",IF($GV24=AL$64," DNS ",IFERROR(VLOOKUP($F24,Arrangörslista!P$53:$AG$90,16,FALSE),"DNS")))),IF(ISBLANK(Deltagarlista!$C49),"",IF(ISBLANK(Arrangörslista!P$53),"",IFERROR(VLOOKUP($F24,Arrangörslista!P$53:$AG$90,16,FALSE),"DNS")))))</f>
        <v/>
      </c>
      <c r="AM24" s="5" t="str">
        <f>IF(Deltagarlista!$K$3=4,IF(ISBLANK(Deltagarlista!$C49),"",IF(ISBLANK(Arrangörslista!P$143),"",IFERROR(VLOOKUP($F24,Arrangörslista!P$143:$AG$180,16,FALSE),IF(ISBLANK(Deltagarlista!$C49),"",IF(ISBLANK(Arrangörslista!P$143),"",IFERROR(VLOOKUP($F24,Arrangörslista!Q$143:$AG$180,16,FALSE),"DNS")))))),IF(Deltagarlista!$K$3=2,
IF(ISBLANK(Deltagarlista!$C49),"",IF(ISBLANK(Arrangörslista!Q$53),"",IF($GV24=AM$64," DNS ",IFERROR(VLOOKUP($F24,Arrangörslista!Q$53:$AG$90,16,FALSE),"DNS")))),IF(ISBLANK(Deltagarlista!$C49),"",IF(ISBLANK(Arrangörslista!Q$53),"",IFERROR(VLOOKUP($F24,Arrangörslista!Q$53:$AG$90,16,FALSE),"DNS")))))</f>
        <v/>
      </c>
      <c r="AN24" s="5" t="str">
        <f>IF(Deltagarlista!$K$3=2,
IF(ISBLANK(Deltagarlista!$C49),"",IF(ISBLANK(Arrangörslista!C$98),"",IF($GV24=AN$64," DNS ",IFERROR(VLOOKUP($F24,Arrangörslista!C$98:$AG$135,16,FALSE), "DNS")))), IF(Deltagarlista!$K$3=1,IF(ISBLANK(Deltagarlista!$C49),"",IF(ISBLANK(Arrangörslista!C$98),"",IFERROR(VLOOKUP($F24,Arrangörslista!C$98:$AG$135,16,FALSE), "DNS"))),""))</f>
        <v/>
      </c>
      <c r="AO24" s="5" t="str">
        <f>IF(Deltagarlista!$K$3=2,
IF(ISBLANK(Deltagarlista!$C49),"",IF(ISBLANK(Arrangörslista!D$98),"",IF($GV24=AO$64," DNS ",IFERROR(VLOOKUP($F24,Arrangörslista!D$98:$AG$135,16,FALSE), "DNS")))), IF(Deltagarlista!$K$3=1,IF(ISBLANK(Deltagarlista!$C49),"",IF(ISBLANK(Arrangörslista!D$98),"",IFERROR(VLOOKUP($F24,Arrangörslista!D$98:$AG$135,16,FALSE), "DNS"))),""))</f>
        <v/>
      </c>
      <c r="AP24" s="5" t="str">
        <f>IF(Deltagarlista!$K$3=2,
IF(ISBLANK(Deltagarlista!$C49),"",IF(ISBLANK(Arrangörslista!E$98),"",IF($GV24=AP$64," DNS ",IFERROR(VLOOKUP($F24,Arrangörslista!E$98:$AG$135,16,FALSE), "DNS")))), IF(Deltagarlista!$K$3=1,IF(ISBLANK(Deltagarlista!$C49),"",IF(ISBLANK(Arrangörslista!E$98),"",IFERROR(VLOOKUP($F24,Arrangörslista!E$98:$AG$135,16,FALSE), "DNS"))),""))</f>
        <v/>
      </c>
      <c r="AQ24" s="5" t="str">
        <f>IF(Deltagarlista!$K$3=2,
IF(ISBLANK(Deltagarlista!$C49),"",IF(ISBLANK(Arrangörslista!F$98),"",IF($GV24=AQ$64," DNS ",IFERROR(VLOOKUP($F24,Arrangörslista!F$98:$AG$135,16,FALSE), "DNS")))), IF(Deltagarlista!$K$3=1,IF(ISBLANK(Deltagarlista!$C49),"",IF(ISBLANK(Arrangörslista!F$98),"",IFERROR(VLOOKUP($F24,Arrangörslista!F$98:$AG$135,16,FALSE), "DNS"))),""))</f>
        <v/>
      </c>
      <c r="AR24" s="5" t="str">
        <f>IF(Deltagarlista!$K$3=2,
IF(ISBLANK(Deltagarlista!$C49),"",IF(ISBLANK(Arrangörslista!G$98),"",IF($GV24=AR$64," DNS ",IFERROR(VLOOKUP($F24,Arrangörslista!G$98:$AG$135,16,FALSE), "DNS")))), IF(Deltagarlista!$K$3=1,IF(ISBLANK(Deltagarlista!$C49),"",IF(ISBLANK(Arrangörslista!G$98),"",IFERROR(VLOOKUP($F24,Arrangörslista!G$98:$AG$135,16,FALSE), "DNS"))),""))</f>
        <v/>
      </c>
      <c r="AS24" s="5" t="str">
        <f>IF(Deltagarlista!$K$3=2,
IF(ISBLANK(Deltagarlista!$C49),"",IF(ISBLANK(Arrangörslista!H$98),"",IF($GV24=AS$64," DNS ",IFERROR(VLOOKUP($F24,Arrangörslista!H$98:$AG$135,16,FALSE), "DNS")))), IF(Deltagarlista!$K$3=1,IF(ISBLANK(Deltagarlista!$C49),"",IF(ISBLANK(Arrangörslista!H$98),"",IFERROR(VLOOKUP($F24,Arrangörslista!H$98:$AG$135,16,FALSE), "DNS"))),""))</f>
        <v/>
      </c>
      <c r="AT24" s="5" t="str">
        <f>IF(Deltagarlista!$K$3=2,
IF(ISBLANK(Deltagarlista!$C49),"",IF(ISBLANK(Arrangörslista!I$98),"",IF($GV24=AT$64," DNS ",IFERROR(VLOOKUP($F24,Arrangörslista!I$98:$AG$135,16,FALSE), "DNS")))), IF(Deltagarlista!$K$3=1,IF(ISBLANK(Deltagarlista!$C49),"",IF(ISBLANK(Arrangörslista!I$98),"",IFERROR(VLOOKUP($F24,Arrangörslista!I$98:$AG$135,16,FALSE), "DNS"))),""))</f>
        <v/>
      </c>
      <c r="AU24" s="5" t="str">
        <f>IF(Deltagarlista!$K$3=2,
IF(ISBLANK(Deltagarlista!$C49),"",IF(ISBLANK(Arrangörslista!J$98),"",IF($GV24=AU$64," DNS ",IFERROR(VLOOKUP($F24,Arrangörslista!J$98:$AG$135,16,FALSE), "DNS")))), IF(Deltagarlista!$K$3=1,IF(ISBLANK(Deltagarlista!$C49),"",IF(ISBLANK(Arrangörslista!J$98),"",IFERROR(VLOOKUP($F24,Arrangörslista!J$98:$AG$135,16,FALSE), "DNS"))),""))</f>
        <v/>
      </c>
      <c r="AV24" s="5" t="str">
        <f>IF(Deltagarlista!$K$3=2,
IF(ISBLANK(Deltagarlista!$C49),"",IF(ISBLANK(Arrangörslista!K$98),"",IF($GV24=AV$64," DNS ",IFERROR(VLOOKUP($F24,Arrangörslista!K$98:$AG$135,16,FALSE), "DNS")))), IF(Deltagarlista!$K$3=1,IF(ISBLANK(Deltagarlista!$C49),"",IF(ISBLANK(Arrangörslista!K$98),"",IFERROR(VLOOKUP($F24,Arrangörslista!K$98:$AG$135,16,FALSE), "DNS"))),""))</f>
        <v/>
      </c>
      <c r="AW24" s="5" t="str">
        <f>IF(Deltagarlista!$K$3=2,
IF(ISBLANK(Deltagarlista!$C49),"",IF(ISBLANK(Arrangörslista!L$98),"",IF($GV24=AW$64," DNS ",IFERROR(VLOOKUP($F24,Arrangörslista!L$98:$AG$135,16,FALSE), "DNS")))), IF(Deltagarlista!$K$3=1,IF(ISBLANK(Deltagarlista!$C49),"",IF(ISBLANK(Arrangörslista!L$98),"",IFERROR(VLOOKUP($F24,Arrangörslista!L$98:$AG$135,16,FALSE), "DNS"))),""))</f>
        <v/>
      </c>
      <c r="AX24" s="5" t="str">
        <f>IF(Deltagarlista!$K$3=2,
IF(ISBLANK(Deltagarlista!$C49),"",IF(ISBLANK(Arrangörslista!M$98),"",IF($GV24=AX$64," DNS ",IFERROR(VLOOKUP($F24,Arrangörslista!M$98:$AG$135,16,FALSE), "DNS")))), IF(Deltagarlista!$K$3=1,IF(ISBLANK(Deltagarlista!$C49),"",IF(ISBLANK(Arrangörslista!M$98),"",IFERROR(VLOOKUP($F24,Arrangörslista!M$98:$AG$135,16,FALSE), "DNS"))),""))</f>
        <v/>
      </c>
      <c r="AY24" s="5" t="str">
        <f>IF(Deltagarlista!$K$3=2,
IF(ISBLANK(Deltagarlista!$C49),"",IF(ISBLANK(Arrangörslista!N$98),"",IF($GV24=AY$64," DNS ",IFERROR(VLOOKUP($F24,Arrangörslista!N$98:$AG$135,16,FALSE), "DNS")))), IF(Deltagarlista!$K$3=1,IF(ISBLANK(Deltagarlista!$C49),"",IF(ISBLANK(Arrangörslista!N$98),"",IFERROR(VLOOKUP($F24,Arrangörslista!N$98:$AG$135,16,FALSE), "DNS"))),""))</f>
        <v/>
      </c>
      <c r="AZ24" s="5" t="str">
        <f>IF(Deltagarlista!$K$3=2,
IF(ISBLANK(Deltagarlista!$C49),"",IF(ISBLANK(Arrangörslista!O$98),"",IF($GV24=AZ$64," DNS ",IFERROR(VLOOKUP($F24,Arrangörslista!O$98:$AG$135,16,FALSE), "DNS")))), IF(Deltagarlista!$K$3=1,IF(ISBLANK(Deltagarlista!$C49),"",IF(ISBLANK(Arrangörslista!O$98),"",IFERROR(VLOOKUP($F24,Arrangörslista!O$98:$AG$135,16,FALSE), "DNS"))),""))</f>
        <v/>
      </c>
      <c r="BA24" s="5" t="str">
        <f>IF(Deltagarlista!$K$3=2,
IF(ISBLANK(Deltagarlista!$C49),"",IF(ISBLANK(Arrangörslista!P$98),"",IF($GV24=BA$64," DNS ",IFERROR(VLOOKUP($F24,Arrangörslista!P$98:$AG$135,16,FALSE), "DNS")))), IF(Deltagarlista!$K$3=1,IF(ISBLANK(Deltagarlista!$C49),"",IF(ISBLANK(Arrangörslista!P$98),"",IFERROR(VLOOKUP($F24,Arrangörslista!P$98:$AG$135,16,FALSE), "DNS"))),""))</f>
        <v/>
      </c>
      <c r="BB24" s="5" t="str">
        <f>IF(Deltagarlista!$K$3=2,
IF(ISBLANK(Deltagarlista!$C49),"",IF(ISBLANK(Arrangörslista!Q$98),"",IF($GV24=BB$64," DNS ",IFERROR(VLOOKUP($F24,Arrangörslista!Q$98:$AG$135,16,FALSE), "DNS")))), IF(Deltagarlista!$K$3=1,IF(ISBLANK(Deltagarlista!$C49),"",IF(ISBLANK(Arrangörslista!Q$98),"",IFERROR(VLOOKUP($F24,Arrangörslista!Q$98:$AG$135,16,FALSE), "DNS"))),""))</f>
        <v/>
      </c>
      <c r="BC24" s="5" t="str">
        <f>IF(Deltagarlista!$K$3=2,
IF(ISBLANK(Deltagarlista!$C49),"",IF(ISBLANK(Arrangörslista!C$143),"",IF($GV24=BC$64," DNS ",IFERROR(VLOOKUP($F24,Arrangörslista!C$143:$AG$180,16,FALSE), "DNS")))), IF(Deltagarlista!$K$3=1,IF(ISBLANK(Deltagarlista!$C49),"",IF(ISBLANK(Arrangörslista!C$143),"",IFERROR(VLOOKUP($F24,Arrangörslista!C$143:$AG$180,16,FALSE), "DNS"))),""))</f>
        <v/>
      </c>
      <c r="BD24" s="5" t="str">
        <f>IF(Deltagarlista!$K$3=2,
IF(ISBLANK(Deltagarlista!$C49),"",IF(ISBLANK(Arrangörslista!D$143),"",IF($GV24=BD$64," DNS ",IFERROR(VLOOKUP($F24,Arrangörslista!D$143:$AG$180,16,FALSE), "DNS")))), IF(Deltagarlista!$K$3=1,IF(ISBLANK(Deltagarlista!$C49),"",IF(ISBLANK(Arrangörslista!D$143),"",IFERROR(VLOOKUP($F24,Arrangörslista!D$143:$AG$180,16,FALSE), "DNS"))),""))</f>
        <v/>
      </c>
      <c r="BE24" s="5" t="str">
        <f>IF(Deltagarlista!$K$3=2,
IF(ISBLANK(Deltagarlista!$C49),"",IF(ISBLANK(Arrangörslista!E$143),"",IF($GV24=BE$64," DNS ",IFERROR(VLOOKUP($F24,Arrangörslista!E$143:$AG$180,16,FALSE), "DNS")))), IF(Deltagarlista!$K$3=1,IF(ISBLANK(Deltagarlista!$C49),"",IF(ISBLANK(Arrangörslista!E$143),"",IFERROR(VLOOKUP($F24,Arrangörslista!E$143:$AG$180,16,FALSE), "DNS"))),""))</f>
        <v/>
      </c>
      <c r="BF24" s="5" t="str">
        <f>IF(Deltagarlista!$K$3=2,
IF(ISBLANK(Deltagarlista!$C49),"",IF(ISBLANK(Arrangörslista!F$143),"",IF($GV24=BF$64," DNS ",IFERROR(VLOOKUP($F24,Arrangörslista!F$143:$AG$180,16,FALSE), "DNS")))), IF(Deltagarlista!$K$3=1,IF(ISBLANK(Deltagarlista!$C49),"",IF(ISBLANK(Arrangörslista!F$143),"",IFERROR(VLOOKUP($F24,Arrangörslista!F$143:$AG$180,16,FALSE), "DNS"))),""))</f>
        <v/>
      </c>
      <c r="BG24" s="5" t="str">
        <f>IF(Deltagarlista!$K$3=2,
IF(ISBLANK(Deltagarlista!$C49),"",IF(ISBLANK(Arrangörslista!G$143),"",IF($GV24=BG$64," DNS ",IFERROR(VLOOKUP($F24,Arrangörslista!G$143:$AG$180,16,FALSE), "DNS")))), IF(Deltagarlista!$K$3=1,IF(ISBLANK(Deltagarlista!$C49),"",IF(ISBLANK(Arrangörslista!G$143),"",IFERROR(VLOOKUP($F24,Arrangörslista!G$143:$AG$180,16,FALSE), "DNS"))),""))</f>
        <v/>
      </c>
      <c r="BH24" s="5" t="str">
        <f>IF(Deltagarlista!$K$3=2,
IF(ISBLANK(Deltagarlista!$C49),"",IF(ISBLANK(Arrangörslista!H$143),"",IF($GV24=BH$64," DNS ",IFERROR(VLOOKUP($F24,Arrangörslista!H$143:$AG$180,16,FALSE), "DNS")))), IF(Deltagarlista!$K$3=1,IF(ISBLANK(Deltagarlista!$C49),"",IF(ISBLANK(Arrangörslista!H$143),"",IFERROR(VLOOKUP($F24,Arrangörslista!H$143:$AG$180,16,FALSE), "DNS"))),""))</f>
        <v/>
      </c>
      <c r="BI24" s="5" t="str">
        <f>IF(Deltagarlista!$K$3=2,
IF(ISBLANK(Deltagarlista!$C49),"",IF(ISBLANK(Arrangörslista!I$143),"",IF($GV24=BI$64," DNS ",IFERROR(VLOOKUP($F24,Arrangörslista!I$143:$AG$180,16,FALSE), "DNS")))), IF(Deltagarlista!$K$3=1,IF(ISBLANK(Deltagarlista!$C49),"",IF(ISBLANK(Arrangörslista!I$143),"",IFERROR(VLOOKUP($F24,Arrangörslista!I$143:$AG$180,16,FALSE), "DNS"))),""))</f>
        <v/>
      </c>
      <c r="BJ24" s="5" t="str">
        <f>IF(Deltagarlista!$K$3=2,
IF(ISBLANK(Deltagarlista!$C49),"",IF(ISBLANK(Arrangörslista!J$143),"",IF($GV24=BJ$64," DNS ",IFERROR(VLOOKUP($F24,Arrangörslista!J$143:$AG$180,16,FALSE), "DNS")))), IF(Deltagarlista!$K$3=1,IF(ISBLANK(Deltagarlista!$C49),"",IF(ISBLANK(Arrangörslista!J$143),"",IFERROR(VLOOKUP($F24,Arrangörslista!J$143:$AG$180,16,FALSE), "DNS"))),""))</f>
        <v/>
      </c>
      <c r="BK24" s="5" t="str">
        <f>IF(Deltagarlista!$K$3=2,
IF(ISBLANK(Deltagarlista!$C49),"",IF(ISBLANK(Arrangörslista!K$143),"",IF($GV24=BK$64," DNS ",IFERROR(VLOOKUP($F24,Arrangörslista!K$143:$AG$180,16,FALSE), "DNS")))), IF(Deltagarlista!$K$3=1,IF(ISBLANK(Deltagarlista!$C49),"",IF(ISBLANK(Arrangörslista!K$143),"",IFERROR(VLOOKUP($F24,Arrangörslista!K$143:$AG$180,16,FALSE), "DNS"))),""))</f>
        <v/>
      </c>
      <c r="BL24" s="5" t="str">
        <f>IF(Deltagarlista!$K$3=2,
IF(ISBLANK(Deltagarlista!$C49),"",IF(ISBLANK(Arrangörslista!L$143),"",IF($GV24=BL$64," DNS ",IFERROR(VLOOKUP($F24,Arrangörslista!L$143:$AG$180,16,FALSE), "DNS")))), IF(Deltagarlista!$K$3=1,IF(ISBLANK(Deltagarlista!$C49),"",IF(ISBLANK(Arrangörslista!L$143),"",IFERROR(VLOOKUP($F24,Arrangörslista!L$143:$AG$180,16,FALSE), "DNS"))),""))</f>
        <v/>
      </c>
      <c r="BM24" s="5" t="str">
        <f>IF(Deltagarlista!$K$3=2,
IF(ISBLANK(Deltagarlista!$C49),"",IF(ISBLANK(Arrangörslista!M$143),"",IF($GV24=BM$64," DNS ",IFERROR(VLOOKUP($F24,Arrangörslista!M$143:$AG$180,16,FALSE), "DNS")))), IF(Deltagarlista!$K$3=1,IF(ISBLANK(Deltagarlista!$C49),"",IF(ISBLANK(Arrangörslista!M$143),"",IFERROR(VLOOKUP($F24,Arrangörslista!M$143:$AG$180,16,FALSE), "DNS"))),""))</f>
        <v/>
      </c>
      <c r="BN24" s="5" t="str">
        <f>IF(Deltagarlista!$K$3=2,
IF(ISBLANK(Deltagarlista!$C49),"",IF(ISBLANK(Arrangörslista!N$143),"",IF($GV24=BN$64," DNS ",IFERROR(VLOOKUP($F24,Arrangörslista!N$143:$AG$180,16,FALSE), "DNS")))), IF(Deltagarlista!$K$3=1,IF(ISBLANK(Deltagarlista!$C49),"",IF(ISBLANK(Arrangörslista!N$143),"",IFERROR(VLOOKUP($F24,Arrangörslista!N$143:$AG$180,16,FALSE), "DNS"))),""))</f>
        <v/>
      </c>
      <c r="BO24" s="5" t="str">
        <f>IF(Deltagarlista!$K$3=2,
IF(ISBLANK(Deltagarlista!$C49),"",IF(ISBLANK(Arrangörslista!O$143),"",IF($GV24=BO$64," DNS ",IFERROR(VLOOKUP($F24,Arrangörslista!O$143:$AG$180,16,FALSE), "DNS")))), IF(Deltagarlista!$K$3=1,IF(ISBLANK(Deltagarlista!$C49),"",IF(ISBLANK(Arrangörslista!O$143),"",IFERROR(VLOOKUP($F24,Arrangörslista!O$143:$AG$180,16,FALSE), "DNS"))),""))</f>
        <v/>
      </c>
      <c r="BP24" s="5" t="str">
        <f>IF(Deltagarlista!$K$3=2,
IF(ISBLANK(Deltagarlista!$C49),"",IF(ISBLANK(Arrangörslista!P$143),"",IF($GV24=BP$64," DNS ",IFERROR(VLOOKUP($F24,Arrangörslista!P$143:$AG$180,16,FALSE), "DNS")))), IF(Deltagarlista!$K$3=1,IF(ISBLANK(Deltagarlista!$C49),"",IF(ISBLANK(Arrangörslista!P$143),"",IFERROR(VLOOKUP($F24,Arrangörslista!P$143:$AG$180,16,FALSE), "DNS"))),""))</f>
        <v/>
      </c>
      <c r="BQ24" s="80" t="str">
        <f>IF(Deltagarlista!$K$3=2,
IF(ISBLANK(Deltagarlista!$C49),"",IF(ISBLANK(Arrangörslista!Q$143),"",IF($GV24=BQ$64," DNS ",IFERROR(VLOOKUP($F24,Arrangörslista!Q$143:$AG$180,16,FALSE), "DNS")))), IF(Deltagarlista!$K$3=1,IF(ISBLANK(Deltagarlista!$C49),"",IF(ISBLANK(Arrangörslista!Q$143),"",IFERROR(VLOOKUP($F24,Arrangörslista!Q$143:$AG$180,16,FALSE), "DNS"))),""))</f>
        <v/>
      </c>
      <c r="BR24" s="48"/>
      <c r="BS24" s="50" t="str">
        <f t="shared" si="0"/>
        <v>2</v>
      </c>
      <c r="BU24" s="71">
        <f t="shared" si="1"/>
        <v>0</v>
      </c>
      <c r="BV24" s="61">
        <f t="shared" si="2"/>
        <v>0</v>
      </c>
      <c r="BW24" s="61">
        <f t="shared" si="3"/>
        <v>0</v>
      </c>
      <c r="BX24" s="61">
        <f t="shared" si="4"/>
        <v>0</v>
      </c>
      <c r="BY24" s="61">
        <f t="shared" si="5"/>
        <v>0</v>
      </c>
      <c r="BZ24" s="61">
        <f t="shared" si="6"/>
        <v>0</v>
      </c>
      <c r="CA24" s="61">
        <f t="shared" si="7"/>
        <v>0</v>
      </c>
      <c r="CB24" s="61">
        <f t="shared" si="8"/>
        <v>0</v>
      </c>
      <c r="CC24" s="61">
        <f t="shared" si="9"/>
        <v>0</v>
      </c>
      <c r="CD24" s="61">
        <f t="shared" si="10"/>
        <v>0</v>
      </c>
      <c r="CE24" s="61">
        <f t="shared" si="11"/>
        <v>0</v>
      </c>
      <c r="CF24" s="61">
        <f t="shared" si="12"/>
        <v>0</v>
      </c>
      <c r="CG24" s="61">
        <f t="shared" si="13"/>
        <v>0</v>
      </c>
      <c r="CH24" s="61">
        <f t="shared" si="14"/>
        <v>0</v>
      </c>
      <c r="CI24" s="61">
        <f t="shared" si="15"/>
        <v>0</v>
      </c>
      <c r="CJ24" s="61">
        <f t="shared" si="16"/>
        <v>0</v>
      </c>
      <c r="CK24" s="61">
        <f t="shared" si="17"/>
        <v>0</v>
      </c>
      <c r="CL24" s="61">
        <f t="shared" si="18"/>
        <v>0</v>
      </c>
      <c r="CM24" s="61">
        <f t="shared" si="19"/>
        <v>0</v>
      </c>
      <c r="CN24" s="61">
        <f t="shared" si="20"/>
        <v>0</v>
      </c>
      <c r="CO24" s="61">
        <f t="shared" si="21"/>
        <v>0</v>
      </c>
      <c r="CP24" s="61">
        <f t="shared" si="22"/>
        <v>0</v>
      </c>
      <c r="CQ24" s="61">
        <f t="shared" si="23"/>
        <v>0</v>
      </c>
      <c r="CR24" s="61">
        <f t="shared" si="24"/>
        <v>0</v>
      </c>
      <c r="CS24" s="61">
        <f t="shared" si="25"/>
        <v>0</v>
      </c>
      <c r="CT24" s="61">
        <f t="shared" si="26"/>
        <v>0</v>
      </c>
      <c r="CU24" s="61">
        <f t="shared" si="27"/>
        <v>0</v>
      </c>
      <c r="CV24" s="61">
        <f t="shared" si="28"/>
        <v>0</v>
      </c>
      <c r="CW24" s="61">
        <f t="shared" si="29"/>
        <v>0</v>
      </c>
      <c r="CX24" s="61">
        <f t="shared" si="30"/>
        <v>0</v>
      </c>
      <c r="CY24" s="61">
        <f t="shared" si="31"/>
        <v>0</v>
      </c>
      <c r="CZ24" s="61">
        <f t="shared" si="32"/>
        <v>0</v>
      </c>
      <c r="DA24" s="61">
        <f t="shared" si="33"/>
        <v>0</v>
      </c>
      <c r="DB24" s="61">
        <f t="shared" si="34"/>
        <v>0</v>
      </c>
      <c r="DC24" s="61">
        <f t="shared" si="35"/>
        <v>0</v>
      </c>
      <c r="DD24" s="61">
        <f t="shared" si="36"/>
        <v>0</v>
      </c>
      <c r="DE24" s="61">
        <f t="shared" si="37"/>
        <v>0</v>
      </c>
      <c r="DF24" s="61">
        <f t="shared" si="38"/>
        <v>0</v>
      </c>
      <c r="DG24" s="61">
        <f t="shared" si="39"/>
        <v>0</v>
      </c>
      <c r="DH24" s="61">
        <f t="shared" si="40"/>
        <v>0</v>
      </c>
      <c r="DI24" s="61">
        <f t="shared" si="41"/>
        <v>0</v>
      </c>
      <c r="DJ24" s="61">
        <f t="shared" si="42"/>
        <v>0</v>
      </c>
      <c r="DK24" s="61">
        <f t="shared" si="43"/>
        <v>0</v>
      </c>
      <c r="DL24" s="61">
        <f t="shared" si="44"/>
        <v>0</v>
      </c>
      <c r="DM24" s="61">
        <f t="shared" si="45"/>
        <v>0</v>
      </c>
      <c r="DN24" s="61">
        <f t="shared" si="46"/>
        <v>0</v>
      </c>
      <c r="DO24" s="61">
        <f t="shared" si="47"/>
        <v>0</v>
      </c>
      <c r="DP24" s="61">
        <f t="shared" si="48"/>
        <v>0</v>
      </c>
      <c r="DQ24" s="61">
        <f t="shared" si="49"/>
        <v>0</v>
      </c>
      <c r="DR24" s="61">
        <f t="shared" si="50"/>
        <v>0</v>
      </c>
      <c r="DS24" s="61">
        <f t="shared" si="51"/>
        <v>0</v>
      </c>
      <c r="DT24" s="61">
        <f t="shared" si="52"/>
        <v>0</v>
      </c>
      <c r="DU24" s="61">
        <f t="shared" si="53"/>
        <v>0</v>
      </c>
      <c r="DV24" s="61">
        <f t="shared" si="54"/>
        <v>0</v>
      </c>
      <c r="DW24" s="61">
        <f t="shared" si="55"/>
        <v>0</v>
      </c>
      <c r="DX24" s="61">
        <f t="shared" si="56"/>
        <v>0</v>
      </c>
      <c r="DY24" s="61">
        <f t="shared" si="57"/>
        <v>0</v>
      </c>
      <c r="DZ24" s="61">
        <f t="shared" si="58"/>
        <v>0</v>
      </c>
      <c r="EA24" s="61">
        <f t="shared" si="59"/>
        <v>0</v>
      </c>
      <c r="EB24" s="61">
        <f t="shared" si="60"/>
        <v>0</v>
      </c>
      <c r="EC24" s="61">
        <f t="shared" si="61"/>
        <v>0</v>
      </c>
      <c r="EE24" s="61">
        <f xml:space="preserve">
IF(OR(Deltagarlista!$K$3=3,Deltagarlista!$K$3=4),
IF(Arrangörslista!$U$5&lt;8,0,
IF(Arrangörslista!$U$5&lt;16,SUM(LARGE(BV24:CJ24,1)),
IF(Arrangörslista!$U$5&lt;24,SUM(LARGE(BV24:CR24,{1;2})),
IF(Arrangörslista!$U$5&lt;32,SUM(LARGE(BV24:CZ24,{1;2;3})),
IF(Arrangörslista!$U$5&lt;40,SUM(LARGE(BV24:DH24,{1;2;3;4})),
IF(Arrangörslista!$U$5&lt;48,SUM(LARGE(BV24:DP24,{1;2;3;4;5})),
IF(Arrangörslista!$U$5&lt;56,SUM(LARGE(BV24:DX24,{1;2;3;4;5;6})),
IF(Arrangörslista!$U$5&lt;64,SUM(LARGE(BV24:EC24,{1;2;3;4;5;6;7})),0)))))))),
IF(Deltagarlista!$K$3=2,
IF(Arrangörslista!$U$5&lt;4,LARGE(BV24:BX24,1),
IF(Arrangörslista!$U$5&lt;7,SUM(LARGE(BV24:CA24,{1;2;3})),
IF(Arrangörslista!$U$5&lt;10,SUM(LARGE(BV24:CD24,{1;2;3;4})),
IF(Arrangörslista!$U$5&lt;13,SUM(LARGE(BV24:CG24,{1;2;3;4;5;6})),
IF(Arrangörslista!$U$5&lt;16,SUM(LARGE(BV24:CJ24,{1;2;3;4;5;6;7})),
IF(Arrangörslista!$U$5&lt;19,SUM(LARGE(BV24:CM24,{1;2;3;4;5;6;7;8;9})),
IF(Arrangörslista!$U$5&lt;22,SUM(LARGE(BV24:CP24,{1;2;3;4;5;6;7;8;9;10})),
IF(Arrangörslista!$U$5&lt;25,SUM(LARGE(BV24:CS24,{1;2;3;4;5;6;7;8;9;10;11;12})),
IF(Arrangörslista!$U$5&lt;28,SUM(LARGE(BV24:CV24,{1;2;3;4;5;6;7;8;9;10;11;12;13})),
IF(Arrangörslista!$U$5&lt;31,SUM(LARGE(BV24:CY24,{1;2;3;4;5;6;7;8;9;10;11;12;13;14;15})),
IF(Arrangörslista!$U$5&lt;34,SUM(LARGE(BV24:DB24,{1;2;3;4;5;6;7;8;9;10;11;12;13;14;15;16})),
IF(Arrangörslista!$U$5&lt;37,SUM(LARGE(BV24:DE24,{1;2;3;4;5;6;7;8;9;10;11;12;13;14;15;16;17;18})),
IF(Arrangörslista!$U$5&lt;40,SUM(LARGE(BV24:DH24,{1;2;3;4;5;6;7;8;9;10;11;12;13;14;15;16;17;18;19})),
IF(Arrangörslista!$U$5&lt;43,SUM(LARGE(BV24:DK24,{1;2;3;4;5;6;7;8;9;10;11;12;13;14;15;16;17;18;19;20;21})),
IF(Arrangörslista!$U$5&lt;46,SUM(LARGE(BV24:DN24,{1;2;3;4;5;6;7;8;9;10;11;12;13;14;15;16;17;18;19;20;21;22})),
IF(Arrangörslista!$U$5&lt;49,SUM(LARGE(BV24:DQ24,{1;2;3;4;5;6;7;8;9;10;11;12;13;14;15;16;17;18;19;20;21;22;23;24})),
IF(Arrangörslista!$U$5&lt;52,SUM(LARGE(BV24:DT24,{1;2;3;4;5;6;7;8;9;10;11;12;13;14;15;16;17;18;19;20;21;22;23;24;25})),
IF(Arrangörslista!$U$5&lt;55,SUM(LARGE(BV24:DW24,{1;2;3;4;5;6;7;8;9;10;11;12;13;14;15;16;17;18;19;20;21;22;23;24;25;26;27})),
IF(Arrangörslista!$U$5&lt;58,SUM(LARGE(BV24:DZ24,{1;2;3;4;5;6;7;8;9;10;11;12;13;14;15;16;17;18;19;20;21;22;23;24;25;26;27;28})),
IF(Arrangörslista!$U$5&lt;61,SUM(LARGE(BV24:EC24,{1;2;3;4;5;6;7;8;9;10;11;12;13;14;15;16;17;18;19;20;21;22;23;24;25;26;27;28;29;30})),0)))))))))))))))))))),
IF(Arrangörslista!$U$5&lt;4,0,
IF(Arrangörslista!$U$5&lt;8,SUM(LARGE(BV24:CB24,1)),
IF(Arrangörslista!$U$5&lt;12,SUM(LARGE(BV24:CF24,{1;2})),
IF(Arrangörslista!$U$5&lt;16,SUM(LARGE(BV24:CJ24,{1;2;3})),
IF(Arrangörslista!$U$5&lt;20,SUM(LARGE(BV24:CN24,{1;2;3;4})),
IF(Arrangörslista!$U$5&lt;24,SUM(LARGE(BV24:CR24,{1;2;3;4;5})),
IF(Arrangörslista!$U$5&lt;28,SUM(LARGE(BV24:CV24,{1;2;3;4;5;6})),
IF(Arrangörslista!$U$5&lt;32,SUM(LARGE(BV24:CZ24,{1;2;3;4;5;6;7})),
IF(Arrangörslista!$U$5&lt;36,SUM(LARGE(BV24:DD24,{1;2;3;4;5;6;7;8})),
IF(Arrangörslista!$U$5&lt;40,SUM(LARGE(BV24:DH24,{1;2;3;4;5;6;7;8;9})),
IF(Arrangörslista!$U$5&lt;44,SUM(LARGE(BV24:DL24,{1;2;3;4;5;6;7;8;9;10})),
IF(Arrangörslista!$U$5&lt;48,SUM(LARGE(BV24:DP24,{1;2;3;4;5;6;7;8;9;10;11})),
IF(Arrangörslista!$U$5&lt;52,SUM(LARGE(BV24:DT24,{1;2;3;4;5;6;7;8;9;10;11;12})),
IF(Arrangörslista!$U$5&lt;56,SUM(LARGE(BV24:DX24,{1;2;3;4;5;6;7;8;9;10;11;12;13})),
IF(Arrangörslista!$U$5&lt;60,SUM(LARGE(BV24:EB24,{1;2;3;4;5;6;7;8;9;10;11;12;13;14})),
IF(Arrangörslista!$U$5=60,SUM(LARGE(BV24:EC24,{1;2;3;4;5;6;7;8;9;10;11;12;13;14;15})),0))))))))))))))))))</f>
        <v>0</v>
      </c>
      <c r="EG24" s="67">
        <f t="shared" si="62"/>
        <v>0</v>
      </c>
      <c r="EH24" s="61"/>
      <c r="EI24" s="61"/>
      <c r="EK24" s="62">
        <f t="shared" si="63"/>
        <v>61</v>
      </c>
      <c r="EL24" s="62">
        <f t="shared" si="64"/>
        <v>61</v>
      </c>
      <c r="EM24" s="62">
        <f t="shared" si="65"/>
        <v>61</v>
      </c>
      <c r="EN24" s="62">
        <f t="shared" si="66"/>
        <v>61</v>
      </c>
      <c r="EO24" s="62">
        <f t="shared" si="67"/>
        <v>61</v>
      </c>
      <c r="EP24" s="62">
        <f t="shared" si="68"/>
        <v>61</v>
      </c>
      <c r="EQ24" s="62">
        <f t="shared" si="69"/>
        <v>61</v>
      </c>
      <c r="ER24" s="62">
        <f t="shared" si="70"/>
        <v>61</v>
      </c>
      <c r="ES24" s="62">
        <f t="shared" si="71"/>
        <v>61</v>
      </c>
      <c r="ET24" s="62">
        <f t="shared" si="72"/>
        <v>61</v>
      </c>
      <c r="EU24" s="62">
        <f t="shared" si="73"/>
        <v>61</v>
      </c>
      <c r="EV24" s="62">
        <f t="shared" si="74"/>
        <v>61</v>
      </c>
      <c r="EW24" s="62">
        <f t="shared" si="75"/>
        <v>61</v>
      </c>
      <c r="EX24" s="62">
        <f t="shared" si="76"/>
        <v>61</v>
      </c>
      <c r="EY24" s="62">
        <f t="shared" si="77"/>
        <v>61</v>
      </c>
      <c r="EZ24" s="62">
        <f t="shared" si="78"/>
        <v>61</v>
      </c>
      <c r="FA24" s="62">
        <f t="shared" si="79"/>
        <v>61</v>
      </c>
      <c r="FB24" s="62">
        <f t="shared" si="80"/>
        <v>61</v>
      </c>
      <c r="FC24" s="62">
        <f t="shared" si="81"/>
        <v>61</v>
      </c>
      <c r="FD24" s="62">
        <f t="shared" si="82"/>
        <v>61</v>
      </c>
      <c r="FE24" s="62">
        <f t="shared" si="83"/>
        <v>61</v>
      </c>
      <c r="FF24" s="62">
        <f t="shared" si="84"/>
        <v>61</v>
      </c>
      <c r="FG24" s="62">
        <f t="shared" si="85"/>
        <v>61</v>
      </c>
      <c r="FH24" s="62">
        <f t="shared" si="86"/>
        <v>61</v>
      </c>
      <c r="FI24" s="62">
        <f t="shared" si="87"/>
        <v>61</v>
      </c>
      <c r="FJ24" s="62">
        <f t="shared" si="88"/>
        <v>61</v>
      </c>
      <c r="FK24" s="62">
        <f t="shared" si="89"/>
        <v>61</v>
      </c>
      <c r="FL24" s="62">
        <f t="shared" si="90"/>
        <v>61</v>
      </c>
      <c r="FM24" s="62">
        <f t="shared" si="91"/>
        <v>61</v>
      </c>
      <c r="FN24" s="62">
        <f t="shared" si="92"/>
        <v>61</v>
      </c>
      <c r="FO24" s="62">
        <f t="shared" si="93"/>
        <v>61</v>
      </c>
      <c r="FP24" s="62">
        <f t="shared" si="94"/>
        <v>61</v>
      </c>
      <c r="FQ24" s="62">
        <f t="shared" si="95"/>
        <v>61</v>
      </c>
      <c r="FR24" s="62">
        <f t="shared" si="96"/>
        <v>61</v>
      </c>
      <c r="FS24" s="62">
        <f t="shared" si="97"/>
        <v>61</v>
      </c>
      <c r="FT24" s="62">
        <f t="shared" si="98"/>
        <v>61</v>
      </c>
      <c r="FU24" s="62">
        <f t="shared" si="99"/>
        <v>61</v>
      </c>
      <c r="FV24" s="62">
        <f t="shared" si="100"/>
        <v>61</v>
      </c>
      <c r="FW24" s="62">
        <f t="shared" si="101"/>
        <v>61</v>
      </c>
      <c r="FX24" s="62">
        <f t="shared" si="102"/>
        <v>61</v>
      </c>
      <c r="FY24" s="62">
        <f t="shared" si="103"/>
        <v>61</v>
      </c>
      <c r="FZ24" s="62">
        <f t="shared" si="104"/>
        <v>61</v>
      </c>
      <c r="GA24" s="62">
        <f t="shared" si="105"/>
        <v>61</v>
      </c>
      <c r="GB24" s="62">
        <f t="shared" si="106"/>
        <v>61</v>
      </c>
      <c r="GC24" s="62">
        <f t="shared" si="107"/>
        <v>61</v>
      </c>
      <c r="GD24" s="62">
        <f t="shared" si="108"/>
        <v>61</v>
      </c>
      <c r="GE24" s="62">
        <f t="shared" si="109"/>
        <v>61</v>
      </c>
      <c r="GF24" s="62">
        <f t="shared" si="110"/>
        <v>61</v>
      </c>
      <c r="GG24" s="62">
        <f t="shared" si="111"/>
        <v>61</v>
      </c>
      <c r="GH24" s="62">
        <f t="shared" si="112"/>
        <v>61</v>
      </c>
      <c r="GI24" s="62">
        <f t="shared" si="113"/>
        <v>61</v>
      </c>
      <c r="GJ24" s="62">
        <f t="shared" si="114"/>
        <v>61</v>
      </c>
      <c r="GK24" s="62">
        <f t="shared" si="115"/>
        <v>61</v>
      </c>
      <c r="GL24" s="62">
        <f t="shared" si="116"/>
        <v>61</v>
      </c>
      <c r="GM24" s="62">
        <f t="shared" si="117"/>
        <v>61</v>
      </c>
      <c r="GN24" s="62">
        <f t="shared" si="118"/>
        <v>61</v>
      </c>
      <c r="GO24" s="62">
        <f t="shared" si="119"/>
        <v>61</v>
      </c>
      <c r="GP24" s="62">
        <f t="shared" si="120"/>
        <v>61</v>
      </c>
      <c r="GQ24" s="62">
        <f t="shared" si="121"/>
        <v>61</v>
      </c>
      <c r="GR24" s="62">
        <f t="shared" si="122"/>
        <v>61</v>
      </c>
      <c r="GT24" s="62">
        <f>IF(Deltagarlista!$K$3=2,
IF(GW24="1",
      IF(Arrangörslista!$U$5=1,J87,
IF(Arrangörslista!$U$5=2,K87,
IF(Arrangörslista!$U$5=3,L87,
IF(Arrangörslista!$U$5=4,M87,
IF(Arrangörslista!$U$5=5,N87,
IF(Arrangörslista!$U$5=6,O87,
IF(Arrangörslista!$U$5=7,P87,
IF(Arrangörslista!$U$5=8,Q87,
IF(Arrangörslista!$U$5=9,R87,
IF(Arrangörslista!$U$5=10,S87,
IF(Arrangörslista!$U$5=11,T87,
IF(Arrangörslista!$U$5=12,U87,
IF(Arrangörslista!$U$5=13,V87,
IF(Arrangörslista!$U$5=14,W87,
IF(Arrangörslista!$U$5=15,X87,
IF(Arrangörslista!$U$5=16,Y87,IF(Arrangörslista!$U$5=17,Z87,IF(Arrangörslista!$U$5=18,AA87,IF(Arrangörslista!$U$5=19,AB87,IF(Arrangörslista!$U$5=20,AC87,IF(Arrangörslista!$U$5=21,AD87,IF(Arrangörslista!$U$5=22,AE87,IF(Arrangörslista!$U$5=23,AF87, IF(Arrangörslista!$U$5=24,AG87, IF(Arrangörslista!$U$5=25,AH87, IF(Arrangörslista!$U$5=26,AI87, IF(Arrangörslista!$U$5=27,AJ87, IF(Arrangörslista!$U$5=28,AK87, IF(Arrangörslista!$U$5=29,AL87, IF(Arrangörslista!$U$5=30,AM87, IF(Arrangörslista!$U$5=31,AN87, IF(Arrangörslista!$U$5=32,AO87, IF(Arrangörslista!$U$5=33,AP87, IF(Arrangörslista!$U$5=34,AQ87, IF(Arrangörslista!$U$5=35,AR87, IF(Arrangörslista!$U$5=36,AS87, IF(Arrangörslista!$U$5=37,AT87, IF(Arrangörslista!$U$5=38,AU87, IF(Arrangörslista!$U$5=39,AV87, IF(Arrangörslista!$U$5=40,AW87, IF(Arrangörslista!$U$5=41,AX87, IF(Arrangörslista!$U$5=42,AY87, IF(Arrangörslista!$U$5=43,AZ87, IF(Arrangörslista!$U$5=44,BA87, IF(Arrangörslista!$U$5=45,BB87, IF(Arrangörslista!$U$5=46,BC87, IF(Arrangörslista!$U$5=47,BD87, IF(Arrangörslista!$U$5=48,BE87, IF(Arrangörslista!$U$5=49,BF87, IF(Arrangörslista!$U$5=50,BG87, IF(Arrangörslista!$U$5=51,BH87, IF(Arrangörslista!$U$5=52,BI87, IF(Arrangörslista!$U$5=53,BJ87, IF(Arrangörslista!$U$5=54,BK87, IF(Arrangörslista!$U$5=55,BL87, IF(Arrangörslista!$U$5=56,BM87, IF(Arrangörslista!$U$5=57,BN87, IF(Arrangörslista!$U$5=58,BO87, IF(Arrangörslista!$U$5=59,BP87, IF(Arrangörslista!$U$5=60,BQ87,0))))))))))))))))))))))))))))))))))))))))))))))))))))))))))))),IF(Deltagarlista!$K$3=4, IF(Arrangörslista!$U$5=1,J87,
IF(Arrangörslista!$U$5=2,J87,
IF(Arrangörslista!$U$5=3,K87,
IF(Arrangörslista!$U$5=4,K87,
IF(Arrangörslista!$U$5=5,L87,
IF(Arrangörslista!$U$5=6,L87,
IF(Arrangörslista!$U$5=7,M87,
IF(Arrangörslista!$U$5=8,M87,
IF(Arrangörslista!$U$5=9,N87,
IF(Arrangörslista!$U$5=10,N87,
IF(Arrangörslista!$U$5=11,O87,
IF(Arrangörslista!$U$5=12,O87,
IF(Arrangörslista!$U$5=13,P87,
IF(Arrangörslista!$U$5=14,P87,
IF(Arrangörslista!$U$5=15,Q87,
IF(Arrangörslista!$U$5=16,Q87,
IF(Arrangörslista!$U$5=17,R87,
IF(Arrangörslista!$U$5=18,R87,
IF(Arrangörslista!$U$5=19,S87,
IF(Arrangörslista!$U$5=20,S87,
IF(Arrangörslista!$U$5=21,T87,
IF(Arrangörslista!$U$5=22,T87,IF(Arrangörslista!$U$5=23,U87, IF(Arrangörslista!$U$5=24,U87, IF(Arrangörslista!$U$5=25,V87, IF(Arrangörslista!$U$5=26,V87, IF(Arrangörslista!$U$5=27,W87, IF(Arrangörslista!$U$5=28,W87, IF(Arrangörslista!$U$5=29,X87, IF(Arrangörslista!$U$5=30,X87, IF(Arrangörslista!$U$5=31,X87, IF(Arrangörslista!$U$5=32,Y87, IF(Arrangörslista!$U$5=33,AO87, IF(Arrangörslista!$U$5=34,Y87, IF(Arrangörslista!$U$5=35,Z87, IF(Arrangörslista!$U$5=36,AR87, IF(Arrangörslista!$U$5=37,Z87, IF(Arrangörslista!$U$5=38,AA87, IF(Arrangörslista!$U$5=39,AU87, IF(Arrangörslista!$U$5=40,AA87, IF(Arrangörslista!$U$5=41,AB87, IF(Arrangörslista!$U$5=42,AX87, IF(Arrangörslista!$U$5=43,AB87, IF(Arrangörslista!$U$5=44,AC87, IF(Arrangörslista!$U$5=45,BA87, IF(Arrangörslista!$U$5=46,AC87, IF(Arrangörslista!$U$5=47,AD87, IF(Arrangörslista!$U$5=48,BD87, IF(Arrangörslista!$U$5=49,AD87, IF(Arrangörslista!$U$5=50,AE87, IF(Arrangörslista!$U$5=51,BG87, IF(Arrangörslista!$U$5=52,AE87, IF(Arrangörslista!$U$5=53,AF87, IF(Arrangörslista!$U$5=54,BJ87, IF(Arrangörslista!$U$5=55,AF87, IF(Arrangörslista!$U$5=56,AG87, IF(Arrangörslista!$U$5=57,BM87, IF(Arrangörslista!$U$5=58,AG87, IF(Arrangörslista!$U$5=59,AH87, IF(Arrangörslista!$U$5=60,AH87,0)))))))))))))))))))))))))))))))))))))))))))))))))))))))))))),IF(Arrangörslista!$U$5=1,J87,
IF(Arrangörslista!$U$5=2,K87,
IF(Arrangörslista!$U$5=3,L87,
IF(Arrangörslista!$U$5=4,M87,
IF(Arrangörslista!$U$5=5,N87,
IF(Arrangörslista!$U$5=6,O87,
IF(Arrangörslista!$U$5=7,P87,
IF(Arrangörslista!$U$5=8,Q87,
IF(Arrangörslista!$U$5=9,R87,
IF(Arrangörslista!$U$5=10,S87,
IF(Arrangörslista!$U$5=11,T87,
IF(Arrangörslista!$U$5=12,U87,
IF(Arrangörslista!$U$5=13,V87,
IF(Arrangörslista!$U$5=14,W87,
IF(Arrangörslista!$U$5=15,X87,
IF(Arrangörslista!$U$5=16,Y87,IF(Arrangörslista!$U$5=17,Z87,IF(Arrangörslista!$U$5=18,AA87,IF(Arrangörslista!$U$5=19,AB87,IF(Arrangörslista!$U$5=20,AC87,IF(Arrangörslista!$U$5=21,AD87,IF(Arrangörslista!$U$5=22,AE87,IF(Arrangörslista!$U$5=23,AF87, IF(Arrangörslista!$U$5=24,AG87, IF(Arrangörslista!$U$5=25,AH87, IF(Arrangörslista!$U$5=26,AI87, IF(Arrangörslista!$U$5=27,AJ87, IF(Arrangörslista!$U$5=28,AK87, IF(Arrangörslista!$U$5=29,AL87, IF(Arrangörslista!$U$5=30,AM87, IF(Arrangörslista!$U$5=31,AN87, IF(Arrangörslista!$U$5=32,AO87, IF(Arrangörslista!$U$5=33,AP87, IF(Arrangörslista!$U$5=34,AQ87, IF(Arrangörslista!$U$5=35,AR87, IF(Arrangörslista!$U$5=36,AS87, IF(Arrangörslista!$U$5=37,AT87, IF(Arrangörslista!$U$5=38,AU87, IF(Arrangörslista!$U$5=39,AV87, IF(Arrangörslista!$U$5=40,AW87, IF(Arrangörslista!$U$5=41,AX87, IF(Arrangörslista!$U$5=42,AY87, IF(Arrangörslista!$U$5=43,AZ87, IF(Arrangörslista!$U$5=44,BA87, IF(Arrangörslista!$U$5=45,BB87, IF(Arrangörslista!$U$5=46,BC87, IF(Arrangörslista!$U$5=47,BD87, IF(Arrangörslista!$U$5=48,BE87, IF(Arrangörslista!$U$5=49,BF87, IF(Arrangörslista!$U$5=50,BG87, IF(Arrangörslista!$U$5=51,BH87, IF(Arrangörslista!$U$5=52,BI87, IF(Arrangörslista!$U$5=53,BJ87, IF(Arrangörslista!$U$5=54,BK87, IF(Arrangörslista!$U$5=55,BL87, IF(Arrangörslista!$U$5=56,BM87, IF(Arrangörslista!$U$5=57,BN87, IF(Arrangörslista!$U$5=58,BO87, IF(Arrangörslista!$U$5=59,BP87, IF(Arrangörslista!$U$5=60,BQ87,0))))))))))))))))))))))))))))))))))))))))))))))))))))))))))))
))</f>
        <v>0</v>
      </c>
      <c r="GV24" s="65" t="str">
        <f>IFERROR(IF(VLOOKUP(F24,Deltagarlista!$E$5:$I$64,5,FALSE)="Grön","Gr",IF(VLOOKUP(F24,Deltagarlista!$E$5:$I$64,5,FALSE)="Röd","R",IF(VLOOKUP(F24,Deltagarlista!$E$5:$I$64,5,FALSE)="Blå","B","Gu"))),"")</f>
        <v/>
      </c>
      <c r="GW24" s="62" t="str">
        <f t="shared" si="124"/>
        <v/>
      </c>
    </row>
    <row r="25" spans="2:205" x14ac:dyDescent="0.3">
      <c r="B25" s="23" t="str">
        <f>IF((COUNTIF(Deltagarlista!$H$5:$H$64,"GM"))&gt;21,22,"")</f>
        <v/>
      </c>
      <c r="C25" s="92" t="str">
        <f>IF(ISBLANK(Deltagarlista!C50),"",Deltagarlista!C50)</f>
        <v/>
      </c>
      <c r="D25" s="109" t="str">
        <f>CONCATENATE(IF(Deltagarlista!H50="GM","GM   ",""), IF(OR(Deltagarlista!$K$3=4,Deltagarlista!$K$3=2),Deltagarlista!I50,""))</f>
        <v/>
      </c>
      <c r="E25" s="8" t="str">
        <f>IF(ISBLANK(Deltagarlista!D50),"",Deltagarlista!D50)</f>
        <v/>
      </c>
      <c r="F25" s="8" t="str">
        <f>IF(ISBLANK(Deltagarlista!E50),"",Deltagarlista!E50)</f>
        <v/>
      </c>
      <c r="G25" s="95" t="str">
        <f>IF(ISBLANK(Deltagarlista!F50),"",Deltagarlista!F50)</f>
        <v/>
      </c>
      <c r="H25" s="72" t="str">
        <f>IF(ISBLANK(Deltagarlista!C50),"",BU25-EE25)</f>
        <v/>
      </c>
      <c r="I25" s="13" t="str">
        <f>IF(ISBLANK(Deltagarlista!C50),"",IF(AND(Deltagarlista!$K$3=2,Deltagarlista!$L$3&lt;37),SUM(SUM(BV25:EC25)-(ROUNDDOWN(Arrangörslista!$U$5/3,1))*($BW$3+1)),SUM(BV25:EC25)))</f>
        <v/>
      </c>
      <c r="J25" s="79" t="str">
        <f>IF(Deltagarlista!$K$3=4,IF(ISBLANK(Deltagarlista!$C50),"",IF(ISBLANK(Arrangörslista!C$8),"",IFERROR(VLOOKUP($F25,Arrangörslista!C$8:$AG$45,16,FALSE),IF(ISBLANK(Deltagarlista!$C50),"",IF(ISBLANK(Arrangörslista!C$8),"",IFERROR(VLOOKUP($F25,Arrangörslista!D$8:$AG$45,16,FALSE),"DNS")))))),IF(Deltagarlista!$K$3=2,
IF(ISBLANK(Deltagarlista!$C50),"",IF(ISBLANK(Arrangörslista!C$8),"",IF($GV25=J$64," DNS ",IFERROR(VLOOKUP($F25,Arrangörslista!C$8:$AG$45,16,FALSE),"DNS")))),IF(ISBLANK(Deltagarlista!$C50),"",IF(ISBLANK(Arrangörslista!C$8),"",IFERROR(VLOOKUP($F25,Arrangörslista!C$8:$AG$45,16,FALSE),"DNS")))))</f>
        <v/>
      </c>
      <c r="K25" s="5" t="str">
        <f>IF(Deltagarlista!$K$3=4,IF(ISBLANK(Deltagarlista!$C50),"",IF(ISBLANK(Arrangörslista!E$8),"",IFERROR(VLOOKUP($F25,Arrangörslista!E$8:$AG$45,16,FALSE),IF(ISBLANK(Deltagarlista!$C50),"",IF(ISBLANK(Arrangörslista!E$8),"",IFERROR(VLOOKUP($F25,Arrangörslista!F$8:$AG$45,16,FALSE),"DNS")))))),IF(Deltagarlista!$K$3=2,
IF(ISBLANK(Deltagarlista!$C50),"",IF(ISBLANK(Arrangörslista!D$8),"",IF($GV25=K$64," DNS ",IFERROR(VLOOKUP($F25,Arrangörslista!D$8:$AG$45,16,FALSE),"DNS")))),IF(ISBLANK(Deltagarlista!$C50),"",IF(ISBLANK(Arrangörslista!D$8),"",IFERROR(VLOOKUP($F25,Arrangörslista!D$8:$AG$45,16,FALSE),"DNS")))))</f>
        <v/>
      </c>
      <c r="L25" s="5" t="str">
        <f>IF(Deltagarlista!$K$3=4,IF(ISBLANK(Deltagarlista!$C50),"",IF(ISBLANK(Arrangörslista!G$8),"",IFERROR(VLOOKUP($F25,Arrangörslista!G$8:$AG$45,16,FALSE),IF(ISBLANK(Deltagarlista!$C50),"",IF(ISBLANK(Arrangörslista!G$8),"",IFERROR(VLOOKUP($F25,Arrangörslista!H$8:$AG$45,16,FALSE),"DNS")))))),IF(Deltagarlista!$K$3=2,
IF(ISBLANK(Deltagarlista!$C50),"",IF(ISBLANK(Arrangörslista!E$8),"",IF($GV25=L$64," DNS ",IFERROR(VLOOKUP($F25,Arrangörslista!E$8:$AG$45,16,FALSE),"DNS")))),IF(ISBLANK(Deltagarlista!$C50),"",IF(ISBLANK(Arrangörslista!E$8),"",IFERROR(VLOOKUP($F25,Arrangörslista!E$8:$AG$45,16,FALSE),"DNS")))))</f>
        <v/>
      </c>
      <c r="M25" s="5" t="str">
        <f>IF(Deltagarlista!$K$3=4,IF(ISBLANK(Deltagarlista!$C50),"",IF(ISBLANK(Arrangörslista!I$8),"",IFERROR(VLOOKUP($F25,Arrangörslista!I$8:$AG$45,16,FALSE),IF(ISBLANK(Deltagarlista!$C50),"",IF(ISBLANK(Arrangörslista!I$8),"",IFERROR(VLOOKUP($F25,Arrangörslista!J$8:$AG$45,16,FALSE),"DNS")))))),IF(Deltagarlista!$K$3=2,
IF(ISBLANK(Deltagarlista!$C50),"",IF(ISBLANK(Arrangörslista!F$8),"",IF($GV25=M$64," DNS ",IFERROR(VLOOKUP($F25,Arrangörslista!F$8:$AG$45,16,FALSE),"DNS")))),IF(ISBLANK(Deltagarlista!$C50),"",IF(ISBLANK(Arrangörslista!F$8),"",IFERROR(VLOOKUP($F25,Arrangörslista!F$8:$AG$45,16,FALSE),"DNS")))))</f>
        <v/>
      </c>
      <c r="N25" s="5" t="str">
        <f>IF(Deltagarlista!$K$3=4,IF(ISBLANK(Deltagarlista!$C50),"",IF(ISBLANK(Arrangörslista!K$8),"",IFERROR(VLOOKUP($F25,Arrangörslista!K$8:$AG$45,16,FALSE),IF(ISBLANK(Deltagarlista!$C50),"",IF(ISBLANK(Arrangörslista!K$8),"",IFERROR(VLOOKUP($F25,Arrangörslista!L$8:$AG$45,16,FALSE),"DNS")))))),IF(Deltagarlista!$K$3=2,
IF(ISBLANK(Deltagarlista!$C50),"",IF(ISBLANK(Arrangörslista!G$8),"",IF($GV25=N$64," DNS ",IFERROR(VLOOKUP($F25,Arrangörslista!G$8:$AG$45,16,FALSE),"DNS")))),IF(ISBLANK(Deltagarlista!$C50),"",IF(ISBLANK(Arrangörslista!G$8),"",IFERROR(VLOOKUP($F25,Arrangörslista!G$8:$AG$45,16,FALSE),"DNS")))))</f>
        <v/>
      </c>
      <c r="O25" s="5" t="str">
        <f>IF(Deltagarlista!$K$3=4,IF(ISBLANK(Deltagarlista!$C50),"",IF(ISBLANK(Arrangörslista!M$8),"",IFERROR(VLOOKUP($F25,Arrangörslista!M$8:$AG$45,16,FALSE),IF(ISBLANK(Deltagarlista!$C50),"",IF(ISBLANK(Arrangörslista!M$8),"",IFERROR(VLOOKUP($F25,Arrangörslista!N$8:$AG$45,16,FALSE),"DNS")))))),IF(Deltagarlista!$K$3=2,
IF(ISBLANK(Deltagarlista!$C50),"",IF(ISBLANK(Arrangörslista!H$8),"",IF($GV25=O$64," DNS ",IFERROR(VLOOKUP($F25,Arrangörslista!H$8:$AG$45,16,FALSE),"DNS")))),IF(ISBLANK(Deltagarlista!$C50),"",IF(ISBLANK(Arrangörslista!H$8),"",IFERROR(VLOOKUP($F25,Arrangörslista!H$8:$AG$45,16,FALSE),"DNS")))))</f>
        <v/>
      </c>
      <c r="P25" s="5" t="str">
        <f>IF(Deltagarlista!$K$3=4,IF(ISBLANK(Deltagarlista!$C50),"",IF(ISBLANK(Arrangörslista!O$8),"",IFERROR(VLOOKUP($F25,Arrangörslista!O$8:$AG$45,16,FALSE),IF(ISBLANK(Deltagarlista!$C50),"",IF(ISBLANK(Arrangörslista!O$8),"",IFERROR(VLOOKUP($F25,Arrangörslista!P$8:$AG$45,16,FALSE),"DNS")))))),IF(Deltagarlista!$K$3=2,
IF(ISBLANK(Deltagarlista!$C50),"",IF(ISBLANK(Arrangörslista!I$8),"",IF($GV25=P$64," DNS ",IFERROR(VLOOKUP($F25,Arrangörslista!I$8:$AG$45,16,FALSE),"DNS")))),IF(ISBLANK(Deltagarlista!$C50),"",IF(ISBLANK(Arrangörslista!I$8),"",IFERROR(VLOOKUP($F25,Arrangörslista!I$8:$AG$45,16,FALSE),"DNS")))))</f>
        <v/>
      </c>
      <c r="Q25" s="5" t="str">
        <f>IF(Deltagarlista!$K$3=4,IF(ISBLANK(Deltagarlista!$C50),"",IF(ISBLANK(Arrangörslista!Q$8),"",IFERROR(VLOOKUP($F25,Arrangörslista!Q$8:$AG$45,16,FALSE),IF(ISBLANK(Deltagarlista!$C50),"",IF(ISBLANK(Arrangörslista!Q$8),"",IFERROR(VLOOKUP($F25,Arrangörslista!C$53:$AG$90,16,FALSE),"DNS")))))),IF(Deltagarlista!$K$3=2,
IF(ISBLANK(Deltagarlista!$C50),"",IF(ISBLANK(Arrangörslista!J$8),"",IF($GV25=Q$64," DNS ",IFERROR(VLOOKUP($F25,Arrangörslista!J$8:$AG$45,16,FALSE),"DNS")))),IF(ISBLANK(Deltagarlista!$C50),"",IF(ISBLANK(Arrangörslista!J$8),"",IFERROR(VLOOKUP($F25,Arrangörslista!J$8:$AG$45,16,FALSE),"DNS")))))</f>
        <v/>
      </c>
      <c r="R25" s="5" t="str">
        <f>IF(Deltagarlista!$K$3=4,IF(ISBLANK(Deltagarlista!$C50),"",IF(ISBLANK(Arrangörslista!D$53),"",IFERROR(VLOOKUP($F25,Arrangörslista!D$53:$AG$90,16,FALSE),IF(ISBLANK(Deltagarlista!$C50),"",IF(ISBLANK(Arrangörslista!D$53),"",IFERROR(VLOOKUP($F25,Arrangörslista!E$53:$AG$90,16,FALSE),"DNS")))))),IF(Deltagarlista!$K$3=2,
IF(ISBLANK(Deltagarlista!$C50),"",IF(ISBLANK(Arrangörslista!K$8),"",IF($GV25=R$64," DNS ",IFERROR(VLOOKUP($F25,Arrangörslista!K$8:$AG$45,16,FALSE),"DNS")))),IF(ISBLANK(Deltagarlista!$C50),"",IF(ISBLANK(Arrangörslista!K$8),"",IFERROR(VLOOKUP($F25,Arrangörslista!K$8:$AG$45,16,FALSE),"DNS")))))</f>
        <v/>
      </c>
      <c r="S25" s="5" t="str">
        <f>IF(Deltagarlista!$K$3=4,IF(ISBLANK(Deltagarlista!$C50),"",IF(ISBLANK(Arrangörslista!F$53),"",IFERROR(VLOOKUP($F25,Arrangörslista!F$53:$AG$90,16,FALSE),IF(ISBLANK(Deltagarlista!$C50),"",IF(ISBLANK(Arrangörslista!F$53),"",IFERROR(VLOOKUP($F25,Arrangörslista!G$53:$AG$90,16,FALSE),"DNS")))))),IF(Deltagarlista!$K$3=2,
IF(ISBLANK(Deltagarlista!$C50),"",IF(ISBLANK(Arrangörslista!L$8),"",IF($GV25=S$64," DNS ",IFERROR(VLOOKUP($F25,Arrangörslista!L$8:$AG$45,16,FALSE),"DNS")))),IF(ISBLANK(Deltagarlista!$C50),"",IF(ISBLANK(Arrangörslista!L$8),"",IFERROR(VLOOKUP($F25,Arrangörslista!L$8:$AG$45,16,FALSE),"DNS")))))</f>
        <v/>
      </c>
      <c r="T25" s="5" t="str">
        <f>IF(Deltagarlista!$K$3=4,IF(ISBLANK(Deltagarlista!$C50),"",IF(ISBLANK(Arrangörslista!H$53),"",IFERROR(VLOOKUP($F25,Arrangörslista!H$53:$AG$90,16,FALSE),IF(ISBLANK(Deltagarlista!$C50),"",IF(ISBLANK(Arrangörslista!H$53),"",IFERROR(VLOOKUP($F25,Arrangörslista!I$53:$AG$90,16,FALSE),"DNS")))))),IF(Deltagarlista!$K$3=2,
IF(ISBLANK(Deltagarlista!$C50),"",IF(ISBLANK(Arrangörslista!M$8),"",IF($GV25=T$64," DNS ",IFERROR(VLOOKUP($F25,Arrangörslista!M$8:$AG$45,16,FALSE),"DNS")))),IF(ISBLANK(Deltagarlista!$C50),"",IF(ISBLANK(Arrangörslista!M$8),"",IFERROR(VLOOKUP($F25,Arrangörslista!M$8:$AG$45,16,FALSE),"DNS")))))</f>
        <v/>
      </c>
      <c r="U25" s="5" t="str">
        <f>IF(Deltagarlista!$K$3=4,IF(ISBLANK(Deltagarlista!$C50),"",IF(ISBLANK(Arrangörslista!J$53),"",IFERROR(VLOOKUP($F25,Arrangörslista!J$53:$AG$90,16,FALSE),IF(ISBLANK(Deltagarlista!$C50),"",IF(ISBLANK(Arrangörslista!J$53),"",IFERROR(VLOOKUP($F25,Arrangörslista!K$53:$AG$90,16,FALSE),"DNS")))))),IF(Deltagarlista!$K$3=2,
IF(ISBLANK(Deltagarlista!$C50),"",IF(ISBLANK(Arrangörslista!N$8),"",IF($GV25=U$64," DNS ",IFERROR(VLOOKUP($F25,Arrangörslista!N$8:$AG$45,16,FALSE),"DNS")))),IF(ISBLANK(Deltagarlista!$C50),"",IF(ISBLANK(Arrangörslista!N$8),"",IFERROR(VLOOKUP($F25,Arrangörslista!N$8:$AG$45,16,FALSE),"DNS")))))</f>
        <v/>
      </c>
      <c r="V25" s="5" t="str">
        <f>IF(Deltagarlista!$K$3=4,IF(ISBLANK(Deltagarlista!$C50),"",IF(ISBLANK(Arrangörslista!L$53),"",IFERROR(VLOOKUP($F25,Arrangörslista!L$53:$AG$90,16,FALSE),IF(ISBLANK(Deltagarlista!$C50),"",IF(ISBLANK(Arrangörslista!L$53),"",IFERROR(VLOOKUP($F25,Arrangörslista!M$53:$AG$90,16,FALSE),"DNS")))))),IF(Deltagarlista!$K$3=2,
IF(ISBLANK(Deltagarlista!$C50),"",IF(ISBLANK(Arrangörslista!O$8),"",IF($GV25=V$64," DNS ",IFERROR(VLOOKUP($F25,Arrangörslista!O$8:$AG$45,16,FALSE),"DNS")))),IF(ISBLANK(Deltagarlista!$C50),"",IF(ISBLANK(Arrangörslista!O$8),"",IFERROR(VLOOKUP($F25,Arrangörslista!O$8:$AG$45,16,FALSE),"DNS")))))</f>
        <v/>
      </c>
      <c r="W25" s="5" t="str">
        <f>IF(Deltagarlista!$K$3=4,IF(ISBLANK(Deltagarlista!$C50),"",IF(ISBLANK(Arrangörslista!N$53),"",IFERROR(VLOOKUP($F25,Arrangörslista!N$53:$AG$90,16,FALSE),IF(ISBLANK(Deltagarlista!$C50),"",IF(ISBLANK(Arrangörslista!N$53),"",IFERROR(VLOOKUP($F25,Arrangörslista!O$53:$AG$90,16,FALSE),"DNS")))))),IF(Deltagarlista!$K$3=2,
IF(ISBLANK(Deltagarlista!$C50),"",IF(ISBLANK(Arrangörslista!P$8),"",IF($GV25=W$64," DNS ",IFERROR(VLOOKUP($F25,Arrangörslista!P$8:$AG$45,16,FALSE),"DNS")))),IF(ISBLANK(Deltagarlista!$C50),"",IF(ISBLANK(Arrangörslista!P$8),"",IFERROR(VLOOKUP($F25,Arrangörslista!P$8:$AG$45,16,FALSE),"DNS")))))</f>
        <v/>
      </c>
      <c r="X25" s="5" t="str">
        <f>IF(Deltagarlista!$K$3=4,IF(ISBLANK(Deltagarlista!$C50),"",IF(ISBLANK(Arrangörslista!P$53),"",IFERROR(VLOOKUP($F25,Arrangörslista!P$53:$AG$90,16,FALSE),IF(ISBLANK(Deltagarlista!$C50),"",IF(ISBLANK(Arrangörslista!P$53),"",IFERROR(VLOOKUP($F25,Arrangörslista!Q$53:$AG$90,16,FALSE),"DNS")))))),IF(Deltagarlista!$K$3=2,
IF(ISBLANK(Deltagarlista!$C50),"",IF(ISBLANK(Arrangörslista!Q$8),"",IF($GV25=X$64," DNS ",IFERROR(VLOOKUP($F25,Arrangörslista!Q$8:$AG$45,16,FALSE),"DNS")))),IF(ISBLANK(Deltagarlista!$C50),"",IF(ISBLANK(Arrangörslista!Q$8),"",IFERROR(VLOOKUP($F25,Arrangörslista!Q$8:$AG$45,16,FALSE),"DNS")))))</f>
        <v/>
      </c>
      <c r="Y25" s="5" t="str">
        <f>IF(Deltagarlista!$K$3=4,IF(ISBLANK(Deltagarlista!$C50),"",IF(ISBLANK(Arrangörslista!C$98),"",IFERROR(VLOOKUP($F25,Arrangörslista!C$98:$AG$135,16,FALSE),IF(ISBLANK(Deltagarlista!$C50),"",IF(ISBLANK(Arrangörslista!C$98),"",IFERROR(VLOOKUP($F25,Arrangörslista!D$98:$AG$135,16,FALSE),"DNS")))))),IF(Deltagarlista!$K$3=2,
IF(ISBLANK(Deltagarlista!$C50),"",IF(ISBLANK(Arrangörslista!C$53),"",IF($GV25=Y$64," DNS ",IFERROR(VLOOKUP($F25,Arrangörslista!C$53:$AG$90,16,FALSE),"DNS")))),IF(ISBLANK(Deltagarlista!$C50),"",IF(ISBLANK(Arrangörslista!C$53),"",IFERROR(VLOOKUP($F25,Arrangörslista!C$53:$AG$90,16,FALSE),"DNS")))))</f>
        <v/>
      </c>
      <c r="Z25" s="5" t="str">
        <f>IF(Deltagarlista!$K$3=4,IF(ISBLANK(Deltagarlista!$C50),"",IF(ISBLANK(Arrangörslista!E$98),"",IFERROR(VLOOKUP($F25,Arrangörslista!E$98:$AG$135,16,FALSE),IF(ISBLANK(Deltagarlista!$C50),"",IF(ISBLANK(Arrangörslista!E$98),"",IFERROR(VLOOKUP($F25,Arrangörslista!F$98:$AG$135,16,FALSE),"DNS")))))),IF(Deltagarlista!$K$3=2,
IF(ISBLANK(Deltagarlista!$C50),"",IF(ISBLANK(Arrangörslista!D$53),"",IF($GV25=Z$64," DNS ",IFERROR(VLOOKUP($F25,Arrangörslista!D$53:$AG$90,16,FALSE),"DNS")))),IF(ISBLANK(Deltagarlista!$C50),"",IF(ISBLANK(Arrangörslista!D$53),"",IFERROR(VLOOKUP($F25,Arrangörslista!D$53:$AG$90,16,FALSE),"DNS")))))</f>
        <v/>
      </c>
      <c r="AA25" s="5" t="str">
        <f>IF(Deltagarlista!$K$3=4,IF(ISBLANK(Deltagarlista!$C50),"",IF(ISBLANK(Arrangörslista!G$98),"",IFERROR(VLOOKUP($F25,Arrangörslista!G$98:$AG$135,16,FALSE),IF(ISBLANK(Deltagarlista!$C50),"",IF(ISBLANK(Arrangörslista!G$98),"",IFERROR(VLOOKUP($F25,Arrangörslista!H$98:$AG$135,16,FALSE),"DNS")))))),IF(Deltagarlista!$K$3=2,
IF(ISBLANK(Deltagarlista!$C50),"",IF(ISBLANK(Arrangörslista!E$53),"",IF($GV25=AA$64," DNS ",IFERROR(VLOOKUP($F25,Arrangörslista!E$53:$AG$90,16,FALSE),"DNS")))),IF(ISBLANK(Deltagarlista!$C50),"",IF(ISBLANK(Arrangörslista!E$53),"",IFERROR(VLOOKUP($F25,Arrangörslista!E$53:$AG$90,16,FALSE),"DNS")))))</f>
        <v/>
      </c>
      <c r="AB25" s="5" t="str">
        <f>IF(Deltagarlista!$K$3=4,IF(ISBLANK(Deltagarlista!$C50),"",IF(ISBLANK(Arrangörslista!I$98),"",IFERROR(VLOOKUP($F25,Arrangörslista!I$98:$AG$135,16,FALSE),IF(ISBLANK(Deltagarlista!$C50),"",IF(ISBLANK(Arrangörslista!I$98),"",IFERROR(VLOOKUP($F25,Arrangörslista!J$98:$AG$135,16,FALSE),"DNS")))))),IF(Deltagarlista!$K$3=2,
IF(ISBLANK(Deltagarlista!$C50),"",IF(ISBLANK(Arrangörslista!F$53),"",IF($GV25=AB$64," DNS ",IFERROR(VLOOKUP($F25,Arrangörslista!F$53:$AG$90,16,FALSE),"DNS")))),IF(ISBLANK(Deltagarlista!$C50),"",IF(ISBLANK(Arrangörslista!F$53),"",IFERROR(VLOOKUP($F25,Arrangörslista!F$53:$AG$90,16,FALSE),"DNS")))))</f>
        <v/>
      </c>
      <c r="AC25" s="5" t="str">
        <f>IF(Deltagarlista!$K$3=4,IF(ISBLANK(Deltagarlista!$C50),"",IF(ISBLANK(Arrangörslista!K$98),"",IFERROR(VLOOKUP($F25,Arrangörslista!K$98:$AG$135,16,FALSE),IF(ISBLANK(Deltagarlista!$C50),"",IF(ISBLANK(Arrangörslista!K$98),"",IFERROR(VLOOKUP($F25,Arrangörslista!L$98:$AG$135,16,FALSE),"DNS")))))),IF(Deltagarlista!$K$3=2,
IF(ISBLANK(Deltagarlista!$C50),"",IF(ISBLANK(Arrangörslista!G$53),"",IF($GV25=AC$64," DNS ",IFERROR(VLOOKUP($F25,Arrangörslista!G$53:$AG$90,16,FALSE),"DNS")))),IF(ISBLANK(Deltagarlista!$C50),"",IF(ISBLANK(Arrangörslista!G$53),"",IFERROR(VLOOKUP($F25,Arrangörslista!G$53:$AG$90,16,FALSE),"DNS")))))</f>
        <v/>
      </c>
      <c r="AD25" s="5" t="str">
        <f>IF(Deltagarlista!$K$3=4,IF(ISBLANK(Deltagarlista!$C50),"",IF(ISBLANK(Arrangörslista!M$98),"",IFERROR(VLOOKUP($F25,Arrangörslista!M$98:$AG$135,16,FALSE),IF(ISBLANK(Deltagarlista!$C50),"",IF(ISBLANK(Arrangörslista!M$98),"",IFERROR(VLOOKUP($F25,Arrangörslista!N$98:$AG$135,16,FALSE),"DNS")))))),IF(Deltagarlista!$K$3=2,
IF(ISBLANK(Deltagarlista!$C50),"",IF(ISBLANK(Arrangörslista!H$53),"",IF($GV25=AD$64," DNS ",IFERROR(VLOOKUP($F25,Arrangörslista!H$53:$AG$90,16,FALSE),"DNS")))),IF(ISBLANK(Deltagarlista!$C50),"",IF(ISBLANK(Arrangörslista!H$53),"",IFERROR(VLOOKUP($F25,Arrangörslista!H$53:$AG$90,16,FALSE),"DNS")))))</f>
        <v/>
      </c>
      <c r="AE25" s="5" t="str">
        <f>IF(Deltagarlista!$K$3=4,IF(ISBLANK(Deltagarlista!$C50),"",IF(ISBLANK(Arrangörslista!O$98),"",IFERROR(VLOOKUP($F25,Arrangörslista!O$98:$AG$135,16,FALSE),IF(ISBLANK(Deltagarlista!$C50),"",IF(ISBLANK(Arrangörslista!O$98),"",IFERROR(VLOOKUP($F25,Arrangörslista!P$98:$AG$135,16,FALSE),"DNS")))))),IF(Deltagarlista!$K$3=2,
IF(ISBLANK(Deltagarlista!$C50),"",IF(ISBLANK(Arrangörslista!I$53),"",IF($GV25=AE$64," DNS ",IFERROR(VLOOKUP($F25,Arrangörslista!I$53:$AG$90,16,FALSE),"DNS")))),IF(ISBLANK(Deltagarlista!$C50),"",IF(ISBLANK(Arrangörslista!I$53),"",IFERROR(VLOOKUP($F25,Arrangörslista!I$53:$AG$90,16,FALSE),"DNS")))))</f>
        <v/>
      </c>
      <c r="AF25" s="5" t="str">
        <f>IF(Deltagarlista!$K$3=4,IF(ISBLANK(Deltagarlista!$C50),"",IF(ISBLANK(Arrangörslista!Q$98),"",IFERROR(VLOOKUP($F25,Arrangörslista!Q$98:$AG$135,16,FALSE),IF(ISBLANK(Deltagarlista!$C50),"",IF(ISBLANK(Arrangörslista!Q$98),"",IFERROR(VLOOKUP($F25,Arrangörslista!C$143:$AG$180,16,FALSE),"DNS")))))),IF(Deltagarlista!$K$3=2,
IF(ISBLANK(Deltagarlista!$C50),"",IF(ISBLANK(Arrangörslista!J$53),"",IF($GV25=AF$64," DNS ",IFERROR(VLOOKUP($F25,Arrangörslista!J$53:$AG$90,16,FALSE),"DNS")))),IF(ISBLANK(Deltagarlista!$C50),"",IF(ISBLANK(Arrangörslista!J$53),"",IFERROR(VLOOKUP($F25,Arrangörslista!J$53:$AG$90,16,FALSE),"DNS")))))</f>
        <v/>
      </c>
      <c r="AG25" s="5" t="str">
        <f>IF(Deltagarlista!$K$3=4,IF(ISBLANK(Deltagarlista!$C50),"",IF(ISBLANK(Arrangörslista!D$143),"",IFERROR(VLOOKUP($F25,Arrangörslista!D$143:$AG$180,16,FALSE),IF(ISBLANK(Deltagarlista!$C50),"",IF(ISBLANK(Arrangörslista!D$143),"",IFERROR(VLOOKUP($F25,Arrangörslista!E$143:$AG$180,16,FALSE),"DNS")))))),IF(Deltagarlista!$K$3=2,
IF(ISBLANK(Deltagarlista!$C50),"",IF(ISBLANK(Arrangörslista!K$53),"",IF($GV25=AG$64," DNS ",IFERROR(VLOOKUP($F25,Arrangörslista!K$53:$AG$90,16,FALSE),"DNS")))),IF(ISBLANK(Deltagarlista!$C50),"",IF(ISBLANK(Arrangörslista!K$53),"",IFERROR(VLOOKUP($F25,Arrangörslista!K$53:$AG$90,16,FALSE),"DNS")))))</f>
        <v/>
      </c>
      <c r="AH25" s="5" t="str">
        <f>IF(Deltagarlista!$K$3=4,IF(ISBLANK(Deltagarlista!$C50),"",IF(ISBLANK(Arrangörslista!F$143),"",IFERROR(VLOOKUP($F25,Arrangörslista!F$143:$AG$180,16,FALSE),IF(ISBLANK(Deltagarlista!$C50),"",IF(ISBLANK(Arrangörslista!F$143),"",IFERROR(VLOOKUP($F25,Arrangörslista!G$143:$AG$180,16,FALSE),"DNS")))))),IF(Deltagarlista!$K$3=2,
IF(ISBLANK(Deltagarlista!$C50),"",IF(ISBLANK(Arrangörslista!L$53),"",IF($GV25=AH$64," DNS ",IFERROR(VLOOKUP($F25,Arrangörslista!L$53:$AG$90,16,FALSE),"DNS")))),IF(ISBLANK(Deltagarlista!$C50),"",IF(ISBLANK(Arrangörslista!L$53),"",IFERROR(VLOOKUP($F25,Arrangörslista!L$53:$AG$90,16,FALSE),"DNS")))))</f>
        <v/>
      </c>
      <c r="AI25" s="5" t="str">
        <f>IF(Deltagarlista!$K$3=4,IF(ISBLANK(Deltagarlista!$C50),"",IF(ISBLANK(Arrangörslista!H$143),"",IFERROR(VLOOKUP($F25,Arrangörslista!H$143:$AG$180,16,FALSE),IF(ISBLANK(Deltagarlista!$C50),"",IF(ISBLANK(Arrangörslista!H$143),"",IFERROR(VLOOKUP($F25,Arrangörslista!I$143:$AG$180,16,FALSE),"DNS")))))),IF(Deltagarlista!$K$3=2,
IF(ISBLANK(Deltagarlista!$C50),"",IF(ISBLANK(Arrangörslista!M$53),"",IF($GV25=AI$64," DNS ",IFERROR(VLOOKUP($F25,Arrangörslista!M$53:$AG$90,16,FALSE),"DNS")))),IF(ISBLANK(Deltagarlista!$C50),"",IF(ISBLANK(Arrangörslista!M$53),"",IFERROR(VLOOKUP($F25,Arrangörslista!M$53:$AG$90,16,FALSE),"DNS")))))</f>
        <v/>
      </c>
      <c r="AJ25" s="5" t="str">
        <f>IF(Deltagarlista!$K$3=4,IF(ISBLANK(Deltagarlista!$C50),"",IF(ISBLANK(Arrangörslista!J$143),"",IFERROR(VLOOKUP($F25,Arrangörslista!J$143:$AG$180,16,FALSE),IF(ISBLANK(Deltagarlista!$C50),"",IF(ISBLANK(Arrangörslista!J$143),"",IFERROR(VLOOKUP($F25,Arrangörslista!K$143:$AG$180,16,FALSE),"DNS")))))),IF(Deltagarlista!$K$3=2,
IF(ISBLANK(Deltagarlista!$C50),"",IF(ISBLANK(Arrangörslista!N$53),"",IF($GV25=AJ$64," DNS ",IFERROR(VLOOKUP($F25,Arrangörslista!N$53:$AG$90,16,FALSE),"DNS")))),IF(ISBLANK(Deltagarlista!$C50),"",IF(ISBLANK(Arrangörslista!N$53),"",IFERROR(VLOOKUP($F25,Arrangörslista!N$53:$AG$90,16,FALSE),"DNS")))))</f>
        <v/>
      </c>
      <c r="AK25" s="5" t="str">
        <f>IF(Deltagarlista!$K$3=4,IF(ISBLANK(Deltagarlista!$C50),"",IF(ISBLANK(Arrangörslista!L$143),"",IFERROR(VLOOKUP($F25,Arrangörslista!L$143:$AG$180,16,FALSE),IF(ISBLANK(Deltagarlista!$C50),"",IF(ISBLANK(Arrangörslista!L$143),"",IFERROR(VLOOKUP($F25,Arrangörslista!M$143:$AG$180,16,FALSE),"DNS")))))),IF(Deltagarlista!$K$3=2,
IF(ISBLANK(Deltagarlista!$C50),"",IF(ISBLANK(Arrangörslista!O$53),"",IF($GV25=AK$64," DNS ",IFERROR(VLOOKUP($F25,Arrangörslista!O$53:$AG$90,16,FALSE),"DNS")))),IF(ISBLANK(Deltagarlista!$C50),"",IF(ISBLANK(Arrangörslista!O$53),"",IFERROR(VLOOKUP($F25,Arrangörslista!O$53:$AG$90,16,FALSE),"DNS")))))</f>
        <v/>
      </c>
      <c r="AL25" s="5" t="str">
        <f>IF(Deltagarlista!$K$3=4,IF(ISBLANK(Deltagarlista!$C50),"",IF(ISBLANK(Arrangörslista!N$143),"",IFERROR(VLOOKUP($F25,Arrangörslista!N$143:$AG$180,16,FALSE),IF(ISBLANK(Deltagarlista!$C50),"",IF(ISBLANK(Arrangörslista!N$143),"",IFERROR(VLOOKUP($F25,Arrangörslista!O$143:$AG$180,16,FALSE),"DNS")))))),IF(Deltagarlista!$K$3=2,
IF(ISBLANK(Deltagarlista!$C50),"",IF(ISBLANK(Arrangörslista!P$53),"",IF($GV25=AL$64," DNS ",IFERROR(VLOOKUP($F25,Arrangörslista!P$53:$AG$90,16,FALSE),"DNS")))),IF(ISBLANK(Deltagarlista!$C50),"",IF(ISBLANK(Arrangörslista!P$53),"",IFERROR(VLOOKUP($F25,Arrangörslista!P$53:$AG$90,16,FALSE),"DNS")))))</f>
        <v/>
      </c>
      <c r="AM25" s="5" t="str">
        <f>IF(Deltagarlista!$K$3=4,IF(ISBLANK(Deltagarlista!$C50),"",IF(ISBLANK(Arrangörslista!P$143),"",IFERROR(VLOOKUP($F25,Arrangörslista!P$143:$AG$180,16,FALSE),IF(ISBLANK(Deltagarlista!$C50),"",IF(ISBLANK(Arrangörslista!P$143),"",IFERROR(VLOOKUP($F25,Arrangörslista!Q$143:$AG$180,16,FALSE),"DNS")))))),IF(Deltagarlista!$K$3=2,
IF(ISBLANK(Deltagarlista!$C50),"",IF(ISBLANK(Arrangörslista!Q$53),"",IF($GV25=AM$64," DNS ",IFERROR(VLOOKUP($F25,Arrangörslista!Q$53:$AG$90,16,FALSE),"DNS")))),IF(ISBLANK(Deltagarlista!$C50),"",IF(ISBLANK(Arrangörslista!Q$53),"",IFERROR(VLOOKUP($F25,Arrangörslista!Q$53:$AG$90,16,FALSE),"DNS")))))</f>
        <v/>
      </c>
      <c r="AN25" s="5" t="str">
        <f>IF(Deltagarlista!$K$3=2,
IF(ISBLANK(Deltagarlista!$C50),"",IF(ISBLANK(Arrangörslista!C$98),"",IF($GV25=AN$64," DNS ",IFERROR(VLOOKUP($F25,Arrangörslista!C$98:$AG$135,16,FALSE), "DNS")))), IF(Deltagarlista!$K$3=1,IF(ISBLANK(Deltagarlista!$C50),"",IF(ISBLANK(Arrangörslista!C$98),"",IFERROR(VLOOKUP($F25,Arrangörslista!C$98:$AG$135,16,FALSE), "DNS"))),""))</f>
        <v/>
      </c>
      <c r="AO25" s="5" t="str">
        <f>IF(Deltagarlista!$K$3=2,
IF(ISBLANK(Deltagarlista!$C50),"",IF(ISBLANK(Arrangörslista!D$98),"",IF($GV25=AO$64," DNS ",IFERROR(VLOOKUP($F25,Arrangörslista!D$98:$AG$135,16,FALSE), "DNS")))), IF(Deltagarlista!$K$3=1,IF(ISBLANK(Deltagarlista!$C50),"",IF(ISBLANK(Arrangörslista!D$98),"",IFERROR(VLOOKUP($F25,Arrangörslista!D$98:$AG$135,16,FALSE), "DNS"))),""))</f>
        <v/>
      </c>
      <c r="AP25" s="5" t="str">
        <f>IF(Deltagarlista!$K$3=2,
IF(ISBLANK(Deltagarlista!$C50),"",IF(ISBLANK(Arrangörslista!E$98),"",IF($GV25=AP$64," DNS ",IFERROR(VLOOKUP($F25,Arrangörslista!E$98:$AG$135,16,FALSE), "DNS")))), IF(Deltagarlista!$K$3=1,IF(ISBLANK(Deltagarlista!$C50),"",IF(ISBLANK(Arrangörslista!E$98),"",IFERROR(VLOOKUP($F25,Arrangörslista!E$98:$AG$135,16,FALSE), "DNS"))),""))</f>
        <v/>
      </c>
      <c r="AQ25" s="5" t="str">
        <f>IF(Deltagarlista!$K$3=2,
IF(ISBLANK(Deltagarlista!$C50),"",IF(ISBLANK(Arrangörslista!F$98),"",IF($GV25=AQ$64," DNS ",IFERROR(VLOOKUP($F25,Arrangörslista!F$98:$AG$135,16,FALSE), "DNS")))), IF(Deltagarlista!$K$3=1,IF(ISBLANK(Deltagarlista!$C50),"",IF(ISBLANK(Arrangörslista!F$98),"",IFERROR(VLOOKUP($F25,Arrangörslista!F$98:$AG$135,16,FALSE), "DNS"))),""))</f>
        <v/>
      </c>
      <c r="AR25" s="5" t="str">
        <f>IF(Deltagarlista!$K$3=2,
IF(ISBLANK(Deltagarlista!$C50),"",IF(ISBLANK(Arrangörslista!G$98),"",IF($GV25=AR$64," DNS ",IFERROR(VLOOKUP($F25,Arrangörslista!G$98:$AG$135,16,FALSE), "DNS")))), IF(Deltagarlista!$K$3=1,IF(ISBLANK(Deltagarlista!$C50),"",IF(ISBLANK(Arrangörslista!G$98),"",IFERROR(VLOOKUP($F25,Arrangörslista!G$98:$AG$135,16,FALSE), "DNS"))),""))</f>
        <v/>
      </c>
      <c r="AS25" s="5" t="str">
        <f>IF(Deltagarlista!$K$3=2,
IF(ISBLANK(Deltagarlista!$C50),"",IF(ISBLANK(Arrangörslista!H$98),"",IF($GV25=AS$64," DNS ",IFERROR(VLOOKUP($F25,Arrangörslista!H$98:$AG$135,16,FALSE), "DNS")))), IF(Deltagarlista!$K$3=1,IF(ISBLANK(Deltagarlista!$C50),"",IF(ISBLANK(Arrangörslista!H$98),"",IFERROR(VLOOKUP($F25,Arrangörslista!H$98:$AG$135,16,FALSE), "DNS"))),""))</f>
        <v/>
      </c>
      <c r="AT25" s="5" t="str">
        <f>IF(Deltagarlista!$K$3=2,
IF(ISBLANK(Deltagarlista!$C50),"",IF(ISBLANK(Arrangörslista!I$98),"",IF($GV25=AT$64," DNS ",IFERROR(VLOOKUP($F25,Arrangörslista!I$98:$AG$135,16,FALSE), "DNS")))), IF(Deltagarlista!$K$3=1,IF(ISBLANK(Deltagarlista!$C50),"",IF(ISBLANK(Arrangörslista!I$98),"",IFERROR(VLOOKUP($F25,Arrangörslista!I$98:$AG$135,16,FALSE), "DNS"))),""))</f>
        <v/>
      </c>
      <c r="AU25" s="5" t="str">
        <f>IF(Deltagarlista!$K$3=2,
IF(ISBLANK(Deltagarlista!$C50),"",IF(ISBLANK(Arrangörslista!J$98),"",IF($GV25=AU$64," DNS ",IFERROR(VLOOKUP($F25,Arrangörslista!J$98:$AG$135,16,FALSE), "DNS")))), IF(Deltagarlista!$K$3=1,IF(ISBLANK(Deltagarlista!$C50),"",IF(ISBLANK(Arrangörslista!J$98),"",IFERROR(VLOOKUP($F25,Arrangörslista!J$98:$AG$135,16,FALSE), "DNS"))),""))</f>
        <v/>
      </c>
      <c r="AV25" s="5" t="str">
        <f>IF(Deltagarlista!$K$3=2,
IF(ISBLANK(Deltagarlista!$C50),"",IF(ISBLANK(Arrangörslista!K$98),"",IF($GV25=AV$64," DNS ",IFERROR(VLOOKUP($F25,Arrangörslista!K$98:$AG$135,16,FALSE), "DNS")))), IF(Deltagarlista!$K$3=1,IF(ISBLANK(Deltagarlista!$C50),"",IF(ISBLANK(Arrangörslista!K$98),"",IFERROR(VLOOKUP($F25,Arrangörslista!K$98:$AG$135,16,FALSE), "DNS"))),""))</f>
        <v/>
      </c>
      <c r="AW25" s="5" t="str">
        <f>IF(Deltagarlista!$K$3=2,
IF(ISBLANK(Deltagarlista!$C50),"",IF(ISBLANK(Arrangörslista!L$98),"",IF($GV25=AW$64," DNS ",IFERROR(VLOOKUP($F25,Arrangörslista!L$98:$AG$135,16,FALSE), "DNS")))), IF(Deltagarlista!$K$3=1,IF(ISBLANK(Deltagarlista!$C50),"",IF(ISBLANK(Arrangörslista!L$98),"",IFERROR(VLOOKUP($F25,Arrangörslista!L$98:$AG$135,16,FALSE), "DNS"))),""))</f>
        <v/>
      </c>
      <c r="AX25" s="5" t="str">
        <f>IF(Deltagarlista!$K$3=2,
IF(ISBLANK(Deltagarlista!$C50),"",IF(ISBLANK(Arrangörslista!M$98),"",IF($GV25=AX$64," DNS ",IFERROR(VLOOKUP($F25,Arrangörslista!M$98:$AG$135,16,FALSE), "DNS")))), IF(Deltagarlista!$K$3=1,IF(ISBLANK(Deltagarlista!$C50),"",IF(ISBLANK(Arrangörslista!M$98),"",IFERROR(VLOOKUP($F25,Arrangörslista!M$98:$AG$135,16,FALSE), "DNS"))),""))</f>
        <v/>
      </c>
      <c r="AY25" s="5" t="str">
        <f>IF(Deltagarlista!$K$3=2,
IF(ISBLANK(Deltagarlista!$C50),"",IF(ISBLANK(Arrangörslista!N$98),"",IF($GV25=AY$64," DNS ",IFERROR(VLOOKUP($F25,Arrangörslista!N$98:$AG$135,16,FALSE), "DNS")))), IF(Deltagarlista!$K$3=1,IF(ISBLANK(Deltagarlista!$C50),"",IF(ISBLANK(Arrangörslista!N$98),"",IFERROR(VLOOKUP($F25,Arrangörslista!N$98:$AG$135,16,FALSE), "DNS"))),""))</f>
        <v/>
      </c>
      <c r="AZ25" s="5" t="str">
        <f>IF(Deltagarlista!$K$3=2,
IF(ISBLANK(Deltagarlista!$C50),"",IF(ISBLANK(Arrangörslista!O$98),"",IF($GV25=AZ$64," DNS ",IFERROR(VLOOKUP($F25,Arrangörslista!O$98:$AG$135,16,FALSE), "DNS")))), IF(Deltagarlista!$K$3=1,IF(ISBLANK(Deltagarlista!$C50),"",IF(ISBLANK(Arrangörslista!O$98),"",IFERROR(VLOOKUP($F25,Arrangörslista!O$98:$AG$135,16,FALSE), "DNS"))),""))</f>
        <v/>
      </c>
      <c r="BA25" s="5" t="str">
        <f>IF(Deltagarlista!$K$3=2,
IF(ISBLANK(Deltagarlista!$C50),"",IF(ISBLANK(Arrangörslista!P$98),"",IF($GV25=BA$64," DNS ",IFERROR(VLOOKUP($F25,Arrangörslista!P$98:$AG$135,16,FALSE), "DNS")))), IF(Deltagarlista!$K$3=1,IF(ISBLANK(Deltagarlista!$C50),"",IF(ISBLANK(Arrangörslista!P$98),"",IFERROR(VLOOKUP($F25,Arrangörslista!P$98:$AG$135,16,FALSE), "DNS"))),""))</f>
        <v/>
      </c>
      <c r="BB25" s="5" t="str">
        <f>IF(Deltagarlista!$K$3=2,
IF(ISBLANK(Deltagarlista!$C50),"",IF(ISBLANK(Arrangörslista!Q$98),"",IF($GV25=BB$64," DNS ",IFERROR(VLOOKUP($F25,Arrangörslista!Q$98:$AG$135,16,FALSE), "DNS")))), IF(Deltagarlista!$K$3=1,IF(ISBLANK(Deltagarlista!$C50),"",IF(ISBLANK(Arrangörslista!Q$98),"",IFERROR(VLOOKUP($F25,Arrangörslista!Q$98:$AG$135,16,FALSE), "DNS"))),""))</f>
        <v/>
      </c>
      <c r="BC25" s="5" t="str">
        <f>IF(Deltagarlista!$K$3=2,
IF(ISBLANK(Deltagarlista!$C50),"",IF(ISBLANK(Arrangörslista!C$143),"",IF($GV25=BC$64," DNS ",IFERROR(VLOOKUP($F25,Arrangörslista!C$143:$AG$180,16,FALSE), "DNS")))), IF(Deltagarlista!$K$3=1,IF(ISBLANK(Deltagarlista!$C50),"",IF(ISBLANK(Arrangörslista!C$143),"",IFERROR(VLOOKUP($F25,Arrangörslista!C$143:$AG$180,16,FALSE), "DNS"))),""))</f>
        <v/>
      </c>
      <c r="BD25" s="5" t="str">
        <f>IF(Deltagarlista!$K$3=2,
IF(ISBLANK(Deltagarlista!$C50),"",IF(ISBLANK(Arrangörslista!D$143),"",IF($GV25=BD$64," DNS ",IFERROR(VLOOKUP($F25,Arrangörslista!D$143:$AG$180,16,FALSE), "DNS")))), IF(Deltagarlista!$K$3=1,IF(ISBLANK(Deltagarlista!$C50),"",IF(ISBLANK(Arrangörslista!D$143),"",IFERROR(VLOOKUP($F25,Arrangörslista!D$143:$AG$180,16,FALSE), "DNS"))),""))</f>
        <v/>
      </c>
      <c r="BE25" s="5" t="str">
        <f>IF(Deltagarlista!$K$3=2,
IF(ISBLANK(Deltagarlista!$C50),"",IF(ISBLANK(Arrangörslista!E$143),"",IF($GV25=BE$64," DNS ",IFERROR(VLOOKUP($F25,Arrangörslista!E$143:$AG$180,16,FALSE), "DNS")))), IF(Deltagarlista!$K$3=1,IF(ISBLANK(Deltagarlista!$C50),"",IF(ISBLANK(Arrangörslista!E$143),"",IFERROR(VLOOKUP($F25,Arrangörslista!E$143:$AG$180,16,FALSE), "DNS"))),""))</f>
        <v/>
      </c>
      <c r="BF25" s="5" t="str">
        <f>IF(Deltagarlista!$K$3=2,
IF(ISBLANK(Deltagarlista!$C50),"",IF(ISBLANK(Arrangörslista!F$143),"",IF($GV25=BF$64," DNS ",IFERROR(VLOOKUP($F25,Arrangörslista!F$143:$AG$180,16,FALSE), "DNS")))), IF(Deltagarlista!$K$3=1,IF(ISBLANK(Deltagarlista!$C50),"",IF(ISBLANK(Arrangörslista!F$143),"",IFERROR(VLOOKUP($F25,Arrangörslista!F$143:$AG$180,16,FALSE), "DNS"))),""))</f>
        <v/>
      </c>
      <c r="BG25" s="5" t="str">
        <f>IF(Deltagarlista!$K$3=2,
IF(ISBLANK(Deltagarlista!$C50),"",IF(ISBLANK(Arrangörslista!G$143),"",IF($GV25=BG$64," DNS ",IFERROR(VLOOKUP($F25,Arrangörslista!G$143:$AG$180,16,FALSE), "DNS")))), IF(Deltagarlista!$K$3=1,IF(ISBLANK(Deltagarlista!$C50),"",IF(ISBLANK(Arrangörslista!G$143),"",IFERROR(VLOOKUP($F25,Arrangörslista!G$143:$AG$180,16,FALSE), "DNS"))),""))</f>
        <v/>
      </c>
      <c r="BH25" s="5" t="str">
        <f>IF(Deltagarlista!$K$3=2,
IF(ISBLANK(Deltagarlista!$C50),"",IF(ISBLANK(Arrangörslista!H$143),"",IF($GV25=BH$64," DNS ",IFERROR(VLOOKUP($F25,Arrangörslista!H$143:$AG$180,16,FALSE), "DNS")))), IF(Deltagarlista!$K$3=1,IF(ISBLANK(Deltagarlista!$C50),"",IF(ISBLANK(Arrangörslista!H$143),"",IFERROR(VLOOKUP($F25,Arrangörslista!H$143:$AG$180,16,FALSE), "DNS"))),""))</f>
        <v/>
      </c>
      <c r="BI25" s="5" t="str">
        <f>IF(Deltagarlista!$K$3=2,
IF(ISBLANK(Deltagarlista!$C50),"",IF(ISBLANK(Arrangörslista!I$143),"",IF($GV25=BI$64," DNS ",IFERROR(VLOOKUP($F25,Arrangörslista!I$143:$AG$180,16,FALSE), "DNS")))), IF(Deltagarlista!$K$3=1,IF(ISBLANK(Deltagarlista!$C50),"",IF(ISBLANK(Arrangörslista!I$143),"",IFERROR(VLOOKUP($F25,Arrangörslista!I$143:$AG$180,16,FALSE), "DNS"))),""))</f>
        <v/>
      </c>
      <c r="BJ25" s="5" t="str">
        <f>IF(Deltagarlista!$K$3=2,
IF(ISBLANK(Deltagarlista!$C50),"",IF(ISBLANK(Arrangörslista!J$143),"",IF($GV25=BJ$64," DNS ",IFERROR(VLOOKUP($F25,Arrangörslista!J$143:$AG$180,16,FALSE), "DNS")))), IF(Deltagarlista!$K$3=1,IF(ISBLANK(Deltagarlista!$C50),"",IF(ISBLANK(Arrangörslista!J$143),"",IFERROR(VLOOKUP($F25,Arrangörslista!J$143:$AG$180,16,FALSE), "DNS"))),""))</f>
        <v/>
      </c>
      <c r="BK25" s="5" t="str">
        <f>IF(Deltagarlista!$K$3=2,
IF(ISBLANK(Deltagarlista!$C50),"",IF(ISBLANK(Arrangörslista!K$143),"",IF($GV25=BK$64," DNS ",IFERROR(VLOOKUP($F25,Arrangörslista!K$143:$AG$180,16,FALSE), "DNS")))), IF(Deltagarlista!$K$3=1,IF(ISBLANK(Deltagarlista!$C50),"",IF(ISBLANK(Arrangörslista!K$143),"",IFERROR(VLOOKUP($F25,Arrangörslista!K$143:$AG$180,16,FALSE), "DNS"))),""))</f>
        <v/>
      </c>
      <c r="BL25" s="5" t="str">
        <f>IF(Deltagarlista!$K$3=2,
IF(ISBLANK(Deltagarlista!$C50),"",IF(ISBLANK(Arrangörslista!L$143),"",IF($GV25=BL$64," DNS ",IFERROR(VLOOKUP($F25,Arrangörslista!L$143:$AG$180,16,FALSE), "DNS")))), IF(Deltagarlista!$K$3=1,IF(ISBLANK(Deltagarlista!$C50),"",IF(ISBLANK(Arrangörslista!L$143),"",IFERROR(VLOOKUP($F25,Arrangörslista!L$143:$AG$180,16,FALSE), "DNS"))),""))</f>
        <v/>
      </c>
      <c r="BM25" s="5" t="str">
        <f>IF(Deltagarlista!$K$3=2,
IF(ISBLANK(Deltagarlista!$C50),"",IF(ISBLANK(Arrangörslista!M$143),"",IF($GV25=BM$64," DNS ",IFERROR(VLOOKUP($F25,Arrangörslista!M$143:$AG$180,16,FALSE), "DNS")))), IF(Deltagarlista!$K$3=1,IF(ISBLANK(Deltagarlista!$C50),"",IF(ISBLANK(Arrangörslista!M$143),"",IFERROR(VLOOKUP($F25,Arrangörslista!M$143:$AG$180,16,FALSE), "DNS"))),""))</f>
        <v/>
      </c>
      <c r="BN25" s="5" t="str">
        <f>IF(Deltagarlista!$K$3=2,
IF(ISBLANK(Deltagarlista!$C50),"",IF(ISBLANK(Arrangörslista!N$143),"",IF($GV25=BN$64," DNS ",IFERROR(VLOOKUP($F25,Arrangörslista!N$143:$AG$180,16,FALSE), "DNS")))), IF(Deltagarlista!$K$3=1,IF(ISBLANK(Deltagarlista!$C50),"",IF(ISBLANK(Arrangörslista!N$143),"",IFERROR(VLOOKUP($F25,Arrangörslista!N$143:$AG$180,16,FALSE), "DNS"))),""))</f>
        <v/>
      </c>
      <c r="BO25" s="5" t="str">
        <f>IF(Deltagarlista!$K$3=2,
IF(ISBLANK(Deltagarlista!$C50),"",IF(ISBLANK(Arrangörslista!O$143),"",IF($GV25=BO$64," DNS ",IFERROR(VLOOKUP($F25,Arrangörslista!O$143:$AG$180,16,FALSE), "DNS")))), IF(Deltagarlista!$K$3=1,IF(ISBLANK(Deltagarlista!$C50),"",IF(ISBLANK(Arrangörslista!O$143),"",IFERROR(VLOOKUP($F25,Arrangörslista!O$143:$AG$180,16,FALSE), "DNS"))),""))</f>
        <v/>
      </c>
      <c r="BP25" s="5" t="str">
        <f>IF(Deltagarlista!$K$3=2,
IF(ISBLANK(Deltagarlista!$C50),"",IF(ISBLANK(Arrangörslista!P$143),"",IF($GV25=BP$64," DNS ",IFERROR(VLOOKUP($F25,Arrangörslista!P$143:$AG$180,16,FALSE), "DNS")))), IF(Deltagarlista!$K$3=1,IF(ISBLANK(Deltagarlista!$C50),"",IF(ISBLANK(Arrangörslista!P$143),"",IFERROR(VLOOKUP($F25,Arrangörslista!P$143:$AG$180,16,FALSE), "DNS"))),""))</f>
        <v/>
      </c>
      <c r="BQ25" s="80" t="str">
        <f>IF(Deltagarlista!$K$3=2,
IF(ISBLANK(Deltagarlista!$C50),"",IF(ISBLANK(Arrangörslista!Q$143),"",IF($GV25=BQ$64," DNS ",IFERROR(VLOOKUP($F25,Arrangörslista!Q$143:$AG$180,16,FALSE), "DNS")))), IF(Deltagarlista!$K$3=1,IF(ISBLANK(Deltagarlista!$C50),"",IF(ISBLANK(Arrangörslista!Q$143),"",IFERROR(VLOOKUP($F25,Arrangörslista!Q$143:$AG$180,16,FALSE), "DNS"))),""))</f>
        <v/>
      </c>
      <c r="BR25" s="48"/>
      <c r="BS25" s="50" t="str">
        <f t="shared" si="0"/>
        <v>2</v>
      </c>
      <c r="BU25" s="71">
        <f t="shared" si="1"/>
        <v>0</v>
      </c>
      <c r="BV25" s="61">
        <f t="shared" si="2"/>
        <v>0</v>
      </c>
      <c r="BW25" s="61">
        <f t="shared" si="3"/>
        <v>0</v>
      </c>
      <c r="BX25" s="61">
        <f t="shared" si="4"/>
        <v>0</v>
      </c>
      <c r="BY25" s="61">
        <f t="shared" si="5"/>
        <v>0</v>
      </c>
      <c r="BZ25" s="61">
        <f t="shared" si="6"/>
        <v>0</v>
      </c>
      <c r="CA25" s="61">
        <f t="shared" si="7"/>
        <v>0</v>
      </c>
      <c r="CB25" s="61">
        <f t="shared" si="8"/>
        <v>0</v>
      </c>
      <c r="CC25" s="61">
        <f t="shared" si="9"/>
        <v>0</v>
      </c>
      <c r="CD25" s="61">
        <f t="shared" si="10"/>
        <v>0</v>
      </c>
      <c r="CE25" s="61">
        <f t="shared" si="11"/>
        <v>0</v>
      </c>
      <c r="CF25" s="61">
        <f t="shared" si="12"/>
        <v>0</v>
      </c>
      <c r="CG25" s="61">
        <f t="shared" si="13"/>
        <v>0</v>
      </c>
      <c r="CH25" s="61">
        <f t="shared" si="14"/>
        <v>0</v>
      </c>
      <c r="CI25" s="61">
        <f t="shared" si="15"/>
        <v>0</v>
      </c>
      <c r="CJ25" s="61">
        <f t="shared" si="16"/>
        <v>0</v>
      </c>
      <c r="CK25" s="61">
        <f t="shared" si="17"/>
        <v>0</v>
      </c>
      <c r="CL25" s="61">
        <f t="shared" si="18"/>
        <v>0</v>
      </c>
      <c r="CM25" s="61">
        <f t="shared" si="19"/>
        <v>0</v>
      </c>
      <c r="CN25" s="61">
        <f t="shared" si="20"/>
        <v>0</v>
      </c>
      <c r="CO25" s="61">
        <f t="shared" si="21"/>
        <v>0</v>
      </c>
      <c r="CP25" s="61">
        <f t="shared" si="22"/>
        <v>0</v>
      </c>
      <c r="CQ25" s="61">
        <f t="shared" si="23"/>
        <v>0</v>
      </c>
      <c r="CR25" s="61">
        <f t="shared" si="24"/>
        <v>0</v>
      </c>
      <c r="CS25" s="61">
        <f t="shared" si="25"/>
        <v>0</v>
      </c>
      <c r="CT25" s="61">
        <f t="shared" si="26"/>
        <v>0</v>
      </c>
      <c r="CU25" s="61">
        <f t="shared" si="27"/>
        <v>0</v>
      </c>
      <c r="CV25" s="61">
        <f t="shared" si="28"/>
        <v>0</v>
      </c>
      <c r="CW25" s="61">
        <f t="shared" si="29"/>
        <v>0</v>
      </c>
      <c r="CX25" s="61">
        <f t="shared" si="30"/>
        <v>0</v>
      </c>
      <c r="CY25" s="61">
        <f t="shared" si="31"/>
        <v>0</v>
      </c>
      <c r="CZ25" s="61">
        <f t="shared" si="32"/>
        <v>0</v>
      </c>
      <c r="DA25" s="61">
        <f t="shared" si="33"/>
        <v>0</v>
      </c>
      <c r="DB25" s="61">
        <f t="shared" si="34"/>
        <v>0</v>
      </c>
      <c r="DC25" s="61">
        <f t="shared" si="35"/>
        <v>0</v>
      </c>
      <c r="DD25" s="61">
        <f t="shared" si="36"/>
        <v>0</v>
      </c>
      <c r="DE25" s="61">
        <f t="shared" si="37"/>
        <v>0</v>
      </c>
      <c r="DF25" s="61">
        <f t="shared" si="38"/>
        <v>0</v>
      </c>
      <c r="DG25" s="61">
        <f t="shared" si="39"/>
        <v>0</v>
      </c>
      <c r="DH25" s="61">
        <f t="shared" si="40"/>
        <v>0</v>
      </c>
      <c r="DI25" s="61">
        <f t="shared" si="41"/>
        <v>0</v>
      </c>
      <c r="DJ25" s="61">
        <f t="shared" si="42"/>
        <v>0</v>
      </c>
      <c r="DK25" s="61">
        <f t="shared" si="43"/>
        <v>0</v>
      </c>
      <c r="DL25" s="61">
        <f t="shared" si="44"/>
        <v>0</v>
      </c>
      <c r="DM25" s="61">
        <f t="shared" si="45"/>
        <v>0</v>
      </c>
      <c r="DN25" s="61">
        <f t="shared" si="46"/>
        <v>0</v>
      </c>
      <c r="DO25" s="61">
        <f t="shared" si="47"/>
        <v>0</v>
      </c>
      <c r="DP25" s="61">
        <f t="shared" si="48"/>
        <v>0</v>
      </c>
      <c r="DQ25" s="61">
        <f t="shared" si="49"/>
        <v>0</v>
      </c>
      <c r="DR25" s="61">
        <f t="shared" si="50"/>
        <v>0</v>
      </c>
      <c r="DS25" s="61">
        <f t="shared" si="51"/>
        <v>0</v>
      </c>
      <c r="DT25" s="61">
        <f t="shared" si="52"/>
        <v>0</v>
      </c>
      <c r="DU25" s="61">
        <f t="shared" si="53"/>
        <v>0</v>
      </c>
      <c r="DV25" s="61">
        <f t="shared" si="54"/>
        <v>0</v>
      </c>
      <c r="DW25" s="61">
        <f t="shared" si="55"/>
        <v>0</v>
      </c>
      <c r="DX25" s="61">
        <f t="shared" si="56"/>
        <v>0</v>
      </c>
      <c r="DY25" s="61">
        <f t="shared" si="57"/>
        <v>0</v>
      </c>
      <c r="DZ25" s="61">
        <f t="shared" si="58"/>
        <v>0</v>
      </c>
      <c r="EA25" s="61">
        <f t="shared" si="59"/>
        <v>0</v>
      </c>
      <c r="EB25" s="61">
        <f t="shared" si="60"/>
        <v>0</v>
      </c>
      <c r="EC25" s="61">
        <f t="shared" si="61"/>
        <v>0</v>
      </c>
      <c r="EE25" s="61">
        <f xml:space="preserve">
IF(OR(Deltagarlista!$K$3=3,Deltagarlista!$K$3=4),
IF(Arrangörslista!$U$5&lt;8,0,
IF(Arrangörslista!$U$5&lt;16,SUM(LARGE(BV25:CJ25,1)),
IF(Arrangörslista!$U$5&lt;24,SUM(LARGE(BV25:CR25,{1;2})),
IF(Arrangörslista!$U$5&lt;32,SUM(LARGE(BV25:CZ25,{1;2;3})),
IF(Arrangörslista!$U$5&lt;40,SUM(LARGE(BV25:DH25,{1;2;3;4})),
IF(Arrangörslista!$U$5&lt;48,SUM(LARGE(BV25:DP25,{1;2;3;4;5})),
IF(Arrangörslista!$U$5&lt;56,SUM(LARGE(BV25:DX25,{1;2;3;4;5;6})),
IF(Arrangörslista!$U$5&lt;64,SUM(LARGE(BV25:EC25,{1;2;3;4;5;6;7})),0)))))))),
IF(Deltagarlista!$K$3=2,
IF(Arrangörslista!$U$5&lt;4,LARGE(BV25:BX25,1),
IF(Arrangörslista!$U$5&lt;7,SUM(LARGE(BV25:CA25,{1;2;3})),
IF(Arrangörslista!$U$5&lt;10,SUM(LARGE(BV25:CD25,{1;2;3;4})),
IF(Arrangörslista!$U$5&lt;13,SUM(LARGE(BV25:CG25,{1;2;3;4;5;6})),
IF(Arrangörslista!$U$5&lt;16,SUM(LARGE(BV25:CJ25,{1;2;3;4;5;6;7})),
IF(Arrangörslista!$U$5&lt;19,SUM(LARGE(BV25:CM25,{1;2;3;4;5;6;7;8;9})),
IF(Arrangörslista!$U$5&lt;22,SUM(LARGE(BV25:CP25,{1;2;3;4;5;6;7;8;9;10})),
IF(Arrangörslista!$U$5&lt;25,SUM(LARGE(BV25:CS25,{1;2;3;4;5;6;7;8;9;10;11;12})),
IF(Arrangörslista!$U$5&lt;28,SUM(LARGE(BV25:CV25,{1;2;3;4;5;6;7;8;9;10;11;12;13})),
IF(Arrangörslista!$U$5&lt;31,SUM(LARGE(BV25:CY25,{1;2;3;4;5;6;7;8;9;10;11;12;13;14;15})),
IF(Arrangörslista!$U$5&lt;34,SUM(LARGE(BV25:DB25,{1;2;3;4;5;6;7;8;9;10;11;12;13;14;15;16})),
IF(Arrangörslista!$U$5&lt;37,SUM(LARGE(BV25:DE25,{1;2;3;4;5;6;7;8;9;10;11;12;13;14;15;16;17;18})),
IF(Arrangörslista!$U$5&lt;40,SUM(LARGE(BV25:DH25,{1;2;3;4;5;6;7;8;9;10;11;12;13;14;15;16;17;18;19})),
IF(Arrangörslista!$U$5&lt;43,SUM(LARGE(BV25:DK25,{1;2;3;4;5;6;7;8;9;10;11;12;13;14;15;16;17;18;19;20;21})),
IF(Arrangörslista!$U$5&lt;46,SUM(LARGE(BV25:DN25,{1;2;3;4;5;6;7;8;9;10;11;12;13;14;15;16;17;18;19;20;21;22})),
IF(Arrangörslista!$U$5&lt;49,SUM(LARGE(BV25:DQ25,{1;2;3;4;5;6;7;8;9;10;11;12;13;14;15;16;17;18;19;20;21;22;23;24})),
IF(Arrangörslista!$U$5&lt;52,SUM(LARGE(BV25:DT25,{1;2;3;4;5;6;7;8;9;10;11;12;13;14;15;16;17;18;19;20;21;22;23;24;25})),
IF(Arrangörslista!$U$5&lt;55,SUM(LARGE(BV25:DW25,{1;2;3;4;5;6;7;8;9;10;11;12;13;14;15;16;17;18;19;20;21;22;23;24;25;26;27})),
IF(Arrangörslista!$U$5&lt;58,SUM(LARGE(BV25:DZ25,{1;2;3;4;5;6;7;8;9;10;11;12;13;14;15;16;17;18;19;20;21;22;23;24;25;26;27;28})),
IF(Arrangörslista!$U$5&lt;61,SUM(LARGE(BV25:EC25,{1;2;3;4;5;6;7;8;9;10;11;12;13;14;15;16;17;18;19;20;21;22;23;24;25;26;27;28;29;30})),0)))))))))))))))))))),
IF(Arrangörslista!$U$5&lt;4,0,
IF(Arrangörslista!$U$5&lt;8,SUM(LARGE(BV25:CB25,1)),
IF(Arrangörslista!$U$5&lt;12,SUM(LARGE(BV25:CF25,{1;2})),
IF(Arrangörslista!$U$5&lt;16,SUM(LARGE(BV25:CJ25,{1;2;3})),
IF(Arrangörslista!$U$5&lt;20,SUM(LARGE(BV25:CN25,{1;2;3;4})),
IF(Arrangörslista!$U$5&lt;24,SUM(LARGE(BV25:CR25,{1;2;3;4;5})),
IF(Arrangörslista!$U$5&lt;28,SUM(LARGE(BV25:CV25,{1;2;3;4;5;6})),
IF(Arrangörslista!$U$5&lt;32,SUM(LARGE(BV25:CZ25,{1;2;3;4;5;6;7})),
IF(Arrangörslista!$U$5&lt;36,SUM(LARGE(BV25:DD25,{1;2;3;4;5;6;7;8})),
IF(Arrangörslista!$U$5&lt;40,SUM(LARGE(BV25:DH25,{1;2;3;4;5;6;7;8;9})),
IF(Arrangörslista!$U$5&lt;44,SUM(LARGE(BV25:DL25,{1;2;3;4;5;6;7;8;9;10})),
IF(Arrangörslista!$U$5&lt;48,SUM(LARGE(BV25:DP25,{1;2;3;4;5;6;7;8;9;10;11})),
IF(Arrangörslista!$U$5&lt;52,SUM(LARGE(BV25:DT25,{1;2;3;4;5;6;7;8;9;10;11;12})),
IF(Arrangörslista!$U$5&lt;56,SUM(LARGE(BV25:DX25,{1;2;3;4;5;6;7;8;9;10;11;12;13})),
IF(Arrangörslista!$U$5&lt;60,SUM(LARGE(BV25:EB25,{1;2;3;4;5;6;7;8;9;10;11;12;13;14})),
IF(Arrangörslista!$U$5=60,SUM(LARGE(BV25:EC25,{1;2;3;4;5;6;7;8;9;10;11;12;13;14;15})),0))))))))))))))))))</f>
        <v>0</v>
      </c>
      <c r="EG25" s="67">
        <f t="shared" si="62"/>
        <v>0</v>
      </c>
      <c r="EH25" s="61"/>
      <c r="EI25" s="61"/>
      <c r="EK25" s="62">
        <f t="shared" si="63"/>
        <v>61</v>
      </c>
      <c r="EL25" s="62">
        <f t="shared" si="64"/>
        <v>61</v>
      </c>
      <c r="EM25" s="62">
        <f t="shared" si="65"/>
        <v>61</v>
      </c>
      <c r="EN25" s="62">
        <f t="shared" si="66"/>
        <v>61</v>
      </c>
      <c r="EO25" s="62">
        <f t="shared" si="67"/>
        <v>61</v>
      </c>
      <c r="EP25" s="62">
        <f t="shared" si="68"/>
        <v>61</v>
      </c>
      <c r="EQ25" s="62">
        <f t="shared" si="69"/>
        <v>61</v>
      </c>
      <c r="ER25" s="62">
        <f t="shared" si="70"/>
        <v>61</v>
      </c>
      <c r="ES25" s="62">
        <f t="shared" si="71"/>
        <v>61</v>
      </c>
      <c r="ET25" s="62">
        <f t="shared" si="72"/>
        <v>61</v>
      </c>
      <c r="EU25" s="62">
        <f t="shared" si="73"/>
        <v>61</v>
      </c>
      <c r="EV25" s="62">
        <f t="shared" si="74"/>
        <v>61</v>
      </c>
      <c r="EW25" s="62">
        <f t="shared" si="75"/>
        <v>61</v>
      </c>
      <c r="EX25" s="62">
        <f t="shared" si="76"/>
        <v>61</v>
      </c>
      <c r="EY25" s="62">
        <f t="shared" si="77"/>
        <v>61</v>
      </c>
      <c r="EZ25" s="62">
        <f t="shared" si="78"/>
        <v>61</v>
      </c>
      <c r="FA25" s="62">
        <f t="shared" si="79"/>
        <v>61</v>
      </c>
      <c r="FB25" s="62">
        <f t="shared" si="80"/>
        <v>61</v>
      </c>
      <c r="FC25" s="62">
        <f t="shared" si="81"/>
        <v>61</v>
      </c>
      <c r="FD25" s="62">
        <f t="shared" si="82"/>
        <v>61</v>
      </c>
      <c r="FE25" s="62">
        <f t="shared" si="83"/>
        <v>61</v>
      </c>
      <c r="FF25" s="62">
        <f t="shared" si="84"/>
        <v>61</v>
      </c>
      <c r="FG25" s="62">
        <f t="shared" si="85"/>
        <v>61</v>
      </c>
      <c r="FH25" s="62">
        <f t="shared" si="86"/>
        <v>61</v>
      </c>
      <c r="FI25" s="62">
        <f t="shared" si="87"/>
        <v>61</v>
      </c>
      <c r="FJ25" s="62">
        <f t="shared" si="88"/>
        <v>61</v>
      </c>
      <c r="FK25" s="62">
        <f t="shared" si="89"/>
        <v>61</v>
      </c>
      <c r="FL25" s="62">
        <f t="shared" si="90"/>
        <v>61</v>
      </c>
      <c r="FM25" s="62">
        <f t="shared" si="91"/>
        <v>61</v>
      </c>
      <c r="FN25" s="62">
        <f t="shared" si="92"/>
        <v>61</v>
      </c>
      <c r="FO25" s="62">
        <f t="shared" si="93"/>
        <v>61</v>
      </c>
      <c r="FP25" s="62">
        <f t="shared" si="94"/>
        <v>61</v>
      </c>
      <c r="FQ25" s="62">
        <f t="shared" si="95"/>
        <v>61</v>
      </c>
      <c r="FR25" s="62">
        <f t="shared" si="96"/>
        <v>61</v>
      </c>
      <c r="FS25" s="62">
        <f t="shared" si="97"/>
        <v>61</v>
      </c>
      <c r="FT25" s="62">
        <f t="shared" si="98"/>
        <v>61</v>
      </c>
      <c r="FU25" s="62">
        <f t="shared" si="99"/>
        <v>61</v>
      </c>
      <c r="FV25" s="62">
        <f t="shared" si="100"/>
        <v>61</v>
      </c>
      <c r="FW25" s="62">
        <f t="shared" si="101"/>
        <v>61</v>
      </c>
      <c r="FX25" s="62">
        <f t="shared" si="102"/>
        <v>61</v>
      </c>
      <c r="FY25" s="62">
        <f t="shared" si="103"/>
        <v>61</v>
      </c>
      <c r="FZ25" s="62">
        <f t="shared" si="104"/>
        <v>61</v>
      </c>
      <c r="GA25" s="62">
        <f t="shared" si="105"/>
        <v>61</v>
      </c>
      <c r="GB25" s="62">
        <f t="shared" si="106"/>
        <v>61</v>
      </c>
      <c r="GC25" s="62">
        <f t="shared" si="107"/>
        <v>61</v>
      </c>
      <c r="GD25" s="62">
        <f t="shared" si="108"/>
        <v>61</v>
      </c>
      <c r="GE25" s="62">
        <f t="shared" si="109"/>
        <v>61</v>
      </c>
      <c r="GF25" s="62">
        <f t="shared" si="110"/>
        <v>61</v>
      </c>
      <c r="GG25" s="62">
        <f t="shared" si="111"/>
        <v>61</v>
      </c>
      <c r="GH25" s="62">
        <f t="shared" si="112"/>
        <v>61</v>
      </c>
      <c r="GI25" s="62">
        <f t="shared" si="113"/>
        <v>61</v>
      </c>
      <c r="GJ25" s="62">
        <f t="shared" si="114"/>
        <v>61</v>
      </c>
      <c r="GK25" s="62">
        <f t="shared" si="115"/>
        <v>61</v>
      </c>
      <c r="GL25" s="62">
        <f t="shared" si="116"/>
        <v>61</v>
      </c>
      <c r="GM25" s="62">
        <f t="shared" si="117"/>
        <v>61</v>
      </c>
      <c r="GN25" s="62">
        <f t="shared" si="118"/>
        <v>61</v>
      </c>
      <c r="GO25" s="62">
        <f t="shared" si="119"/>
        <v>61</v>
      </c>
      <c r="GP25" s="62">
        <f t="shared" si="120"/>
        <v>61</v>
      </c>
      <c r="GQ25" s="62">
        <f t="shared" si="121"/>
        <v>61</v>
      </c>
      <c r="GR25" s="62">
        <f t="shared" si="122"/>
        <v>61</v>
      </c>
      <c r="GT25" s="62">
        <f>IF(Deltagarlista!$K$3=2,
IF(GW25="1",
      IF(Arrangörslista!$U$5=1,J88,
IF(Arrangörslista!$U$5=2,K88,
IF(Arrangörslista!$U$5=3,L88,
IF(Arrangörslista!$U$5=4,M88,
IF(Arrangörslista!$U$5=5,N88,
IF(Arrangörslista!$U$5=6,O88,
IF(Arrangörslista!$U$5=7,P88,
IF(Arrangörslista!$U$5=8,Q88,
IF(Arrangörslista!$U$5=9,R88,
IF(Arrangörslista!$U$5=10,S88,
IF(Arrangörslista!$U$5=11,T88,
IF(Arrangörslista!$U$5=12,U88,
IF(Arrangörslista!$U$5=13,V88,
IF(Arrangörslista!$U$5=14,W88,
IF(Arrangörslista!$U$5=15,X88,
IF(Arrangörslista!$U$5=16,Y88,IF(Arrangörslista!$U$5=17,Z88,IF(Arrangörslista!$U$5=18,AA88,IF(Arrangörslista!$U$5=19,AB88,IF(Arrangörslista!$U$5=20,AC88,IF(Arrangörslista!$U$5=21,AD88,IF(Arrangörslista!$U$5=22,AE88,IF(Arrangörslista!$U$5=23,AF88, IF(Arrangörslista!$U$5=24,AG88, IF(Arrangörslista!$U$5=25,AH88, IF(Arrangörslista!$U$5=26,AI88, IF(Arrangörslista!$U$5=27,AJ88, IF(Arrangörslista!$U$5=28,AK88, IF(Arrangörslista!$U$5=29,AL88, IF(Arrangörslista!$U$5=30,AM88, IF(Arrangörslista!$U$5=31,AN88, IF(Arrangörslista!$U$5=32,AO88, IF(Arrangörslista!$U$5=33,AP88, IF(Arrangörslista!$U$5=34,AQ88, IF(Arrangörslista!$U$5=35,AR88, IF(Arrangörslista!$U$5=36,AS88, IF(Arrangörslista!$U$5=37,AT88, IF(Arrangörslista!$U$5=38,AU88, IF(Arrangörslista!$U$5=39,AV88, IF(Arrangörslista!$U$5=40,AW88, IF(Arrangörslista!$U$5=41,AX88, IF(Arrangörslista!$U$5=42,AY88, IF(Arrangörslista!$U$5=43,AZ88, IF(Arrangörslista!$U$5=44,BA88, IF(Arrangörslista!$U$5=45,BB88, IF(Arrangörslista!$U$5=46,BC88, IF(Arrangörslista!$U$5=47,BD88, IF(Arrangörslista!$U$5=48,BE88, IF(Arrangörslista!$U$5=49,BF88, IF(Arrangörslista!$U$5=50,BG88, IF(Arrangörslista!$U$5=51,BH88, IF(Arrangörslista!$U$5=52,BI88, IF(Arrangörslista!$U$5=53,BJ88, IF(Arrangörslista!$U$5=54,BK88, IF(Arrangörslista!$U$5=55,BL88, IF(Arrangörslista!$U$5=56,BM88, IF(Arrangörslista!$U$5=57,BN88, IF(Arrangörslista!$U$5=58,BO88, IF(Arrangörslista!$U$5=59,BP88, IF(Arrangörslista!$U$5=60,BQ88,0))))))))))))))))))))))))))))))))))))))))))))))))))))))))))))),IF(Deltagarlista!$K$3=4, IF(Arrangörslista!$U$5=1,J88,
IF(Arrangörslista!$U$5=2,J88,
IF(Arrangörslista!$U$5=3,K88,
IF(Arrangörslista!$U$5=4,K88,
IF(Arrangörslista!$U$5=5,L88,
IF(Arrangörslista!$U$5=6,L88,
IF(Arrangörslista!$U$5=7,M88,
IF(Arrangörslista!$U$5=8,M88,
IF(Arrangörslista!$U$5=9,N88,
IF(Arrangörslista!$U$5=10,N88,
IF(Arrangörslista!$U$5=11,O88,
IF(Arrangörslista!$U$5=12,O88,
IF(Arrangörslista!$U$5=13,P88,
IF(Arrangörslista!$U$5=14,P88,
IF(Arrangörslista!$U$5=15,Q88,
IF(Arrangörslista!$U$5=16,Q88,
IF(Arrangörslista!$U$5=17,R88,
IF(Arrangörslista!$U$5=18,R88,
IF(Arrangörslista!$U$5=19,S88,
IF(Arrangörslista!$U$5=20,S88,
IF(Arrangörslista!$U$5=21,T88,
IF(Arrangörslista!$U$5=22,T88,IF(Arrangörslista!$U$5=23,U88, IF(Arrangörslista!$U$5=24,U88, IF(Arrangörslista!$U$5=25,V88, IF(Arrangörslista!$U$5=26,V88, IF(Arrangörslista!$U$5=27,W88, IF(Arrangörslista!$U$5=28,W88, IF(Arrangörslista!$U$5=29,X88, IF(Arrangörslista!$U$5=30,X88, IF(Arrangörslista!$U$5=31,X88, IF(Arrangörslista!$U$5=32,Y88, IF(Arrangörslista!$U$5=33,AO88, IF(Arrangörslista!$U$5=34,Y88, IF(Arrangörslista!$U$5=35,Z88, IF(Arrangörslista!$U$5=36,AR88, IF(Arrangörslista!$U$5=37,Z88, IF(Arrangörslista!$U$5=38,AA88, IF(Arrangörslista!$U$5=39,AU88, IF(Arrangörslista!$U$5=40,AA88, IF(Arrangörslista!$U$5=41,AB88, IF(Arrangörslista!$U$5=42,AX88, IF(Arrangörslista!$U$5=43,AB88, IF(Arrangörslista!$U$5=44,AC88, IF(Arrangörslista!$U$5=45,BA88, IF(Arrangörslista!$U$5=46,AC88, IF(Arrangörslista!$U$5=47,AD88, IF(Arrangörslista!$U$5=48,BD88, IF(Arrangörslista!$U$5=49,AD88, IF(Arrangörslista!$U$5=50,AE88, IF(Arrangörslista!$U$5=51,BG88, IF(Arrangörslista!$U$5=52,AE88, IF(Arrangörslista!$U$5=53,AF88, IF(Arrangörslista!$U$5=54,BJ88, IF(Arrangörslista!$U$5=55,AF88, IF(Arrangörslista!$U$5=56,AG88, IF(Arrangörslista!$U$5=57,BM88, IF(Arrangörslista!$U$5=58,AG88, IF(Arrangörslista!$U$5=59,AH88, IF(Arrangörslista!$U$5=60,AH88,0)))))))))))))))))))))))))))))))))))))))))))))))))))))))))))),IF(Arrangörslista!$U$5=1,J88,
IF(Arrangörslista!$U$5=2,K88,
IF(Arrangörslista!$U$5=3,L88,
IF(Arrangörslista!$U$5=4,M88,
IF(Arrangörslista!$U$5=5,N88,
IF(Arrangörslista!$U$5=6,O88,
IF(Arrangörslista!$U$5=7,P88,
IF(Arrangörslista!$U$5=8,Q88,
IF(Arrangörslista!$U$5=9,R88,
IF(Arrangörslista!$U$5=10,S88,
IF(Arrangörslista!$U$5=11,T88,
IF(Arrangörslista!$U$5=12,U88,
IF(Arrangörslista!$U$5=13,V88,
IF(Arrangörslista!$U$5=14,W88,
IF(Arrangörslista!$U$5=15,X88,
IF(Arrangörslista!$U$5=16,Y88,IF(Arrangörslista!$U$5=17,Z88,IF(Arrangörslista!$U$5=18,AA88,IF(Arrangörslista!$U$5=19,AB88,IF(Arrangörslista!$U$5=20,AC88,IF(Arrangörslista!$U$5=21,AD88,IF(Arrangörslista!$U$5=22,AE88,IF(Arrangörslista!$U$5=23,AF88, IF(Arrangörslista!$U$5=24,AG88, IF(Arrangörslista!$U$5=25,AH88, IF(Arrangörslista!$U$5=26,AI88, IF(Arrangörslista!$U$5=27,AJ88, IF(Arrangörslista!$U$5=28,AK88, IF(Arrangörslista!$U$5=29,AL88, IF(Arrangörslista!$U$5=30,AM88, IF(Arrangörslista!$U$5=31,AN88, IF(Arrangörslista!$U$5=32,AO88, IF(Arrangörslista!$U$5=33,AP88, IF(Arrangörslista!$U$5=34,AQ88, IF(Arrangörslista!$U$5=35,AR88, IF(Arrangörslista!$U$5=36,AS88, IF(Arrangörslista!$U$5=37,AT88, IF(Arrangörslista!$U$5=38,AU88, IF(Arrangörslista!$U$5=39,AV88, IF(Arrangörslista!$U$5=40,AW88, IF(Arrangörslista!$U$5=41,AX88, IF(Arrangörslista!$U$5=42,AY88, IF(Arrangörslista!$U$5=43,AZ88, IF(Arrangörslista!$U$5=44,BA88, IF(Arrangörslista!$U$5=45,BB88, IF(Arrangörslista!$U$5=46,BC88, IF(Arrangörslista!$U$5=47,BD88, IF(Arrangörslista!$U$5=48,BE88, IF(Arrangörslista!$U$5=49,BF88, IF(Arrangörslista!$U$5=50,BG88, IF(Arrangörslista!$U$5=51,BH88, IF(Arrangörslista!$U$5=52,BI88, IF(Arrangörslista!$U$5=53,BJ88, IF(Arrangörslista!$U$5=54,BK88, IF(Arrangörslista!$U$5=55,BL88, IF(Arrangörslista!$U$5=56,BM88, IF(Arrangörslista!$U$5=57,BN88, IF(Arrangörslista!$U$5=58,BO88, IF(Arrangörslista!$U$5=59,BP88, IF(Arrangörslista!$U$5=60,BQ88,0))))))))))))))))))))))))))))))))))))))))))))))))))))))))))))
))</f>
        <v>0</v>
      </c>
      <c r="GV25" s="65" t="str">
        <f>IFERROR(IF(VLOOKUP(F25,Deltagarlista!$E$5:$I$64,5,FALSE)="Grön","Gr",IF(VLOOKUP(F25,Deltagarlista!$E$5:$I$64,5,FALSE)="Röd","R",IF(VLOOKUP(F25,Deltagarlista!$E$5:$I$64,5,FALSE)="Blå","B","Gu"))),"")</f>
        <v/>
      </c>
      <c r="GW25" s="62" t="str">
        <f t="shared" si="124"/>
        <v/>
      </c>
    </row>
    <row r="26" spans="2:205" x14ac:dyDescent="0.3">
      <c r="B26" s="23" t="str">
        <f>IF((COUNTIF(Deltagarlista!$H$5:$H$64,"GM"))&gt;22,23,"")</f>
        <v/>
      </c>
      <c r="C26" s="92" t="str">
        <f>IF(ISBLANK(Deltagarlista!C52),"",Deltagarlista!C52)</f>
        <v/>
      </c>
      <c r="D26" s="109" t="str">
        <f>CONCATENATE(IF(Deltagarlista!H52="GM","GM   ",""), IF(OR(Deltagarlista!$K$3=4,Deltagarlista!$K$3=2),Deltagarlista!I52,""))</f>
        <v/>
      </c>
      <c r="E26" s="8" t="str">
        <f>IF(ISBLANK(Deltagarlista!D52),"",Deltagarlista!D52)</f>
        <v/>
      </c>
      <c r="F26" s="8" t="str">
        <f>IF(ISBLANK(Deltagarlista!E52),"",Deltagarlista!E52)</f>
        <v/>
      </c>
      <c r="G26" s="95" t="str">
        <f>IF(ISBLANK(Deltagarlista!F52),"",Deltagarlista!F52)</f>
        <v/>
      </c>
      <c r="H26" s="72" t="str">
        <f>IF(ISBLANK(Deltagarlista!C52),"",BU26-EE26)</f>
        <v/>
      </c>
      <c r="I26" s="13" t="str">
        <f>IF(ISBLANK(Deltagarlista!C52),"",IF(AND(Deltagarlista!$K$3=2,Deltagarlista!$L$3&lt;37),SUM(SUM(BV26:EC26)-(ROUNDDOWN(Arrangörslista!$U$5/3,1))*($BW$3+1)),SUM(BV26:EC26)))</f>
        <v/>
      </c>
      <c r="J26" s="79" t="str">
        <f>IF(Deltagarlista!$K$3=4,IF(ISBLANK(Deltagarlista!$C52),"",IF(ISBLANK(Arrangörslista!C$8),"",IFERROR(VLOOKUP($F26,Arrangörslista!C$8:$AG$45,16,FALSE),IF(ISBLANK(Deltagarlista!$C52),"",IF(ISBLANK(Arrangörslista!C$8),"",IFERROR(VLOOKUP($F26,Arrangörslista!D$8:$AG$45,16,FALSE),"DNS")))))),IF(Deltagarlista!$K$3=2,
IF(ISBLANK(Deltagarlista!$C52),"",IF(ISBLANK(Arrangörslista!C$8),"",IF($GV26=J$64," DNS ",IFERROR(VLOOKUP($F26,Arrangörslista!C$8:$AG$45,16,FALSE),"DNS")))),IF(ISBLANK(Deltagarlista!$C52),"",IF(ISBLANK(Arrangörslista!C$8),"",IFERROR(VLOOKUP($F26,Arrangörslista!C$8:$AG$45,16,FALSE),"DNS")))))</f>
        <v/>
      </c>
      <c r="K26" s="5" t="str">
        <f>IF(Deltagarlista!$K$3=4,IF(ISBLANK(Deltagarlista!$C52),"",IF(ISBLANK(Arrangörslista!E$8),"",IFERROR(VLOOKUP($F26,Arrangörslista!E$8:$AG$45,16,FALSE),IF(ISBLANK(Deltagarlista!$C52),"",IF(ISBLANK(Arrangörslista!E$8),"",IFERROR(VLOOKUP($F26,Arrangörslista!F$8:$AG$45,16,FALSE),"DNS")))))),IF(Deltagarlista!$K$3=2,
IF(ISBLANK(Deltagarlista!$C52),"",IF(ISBLANK(Arrangörslista!D$8),"",IF($GV26=K$64," DNS ",IFERROR(VLOOKUP($F26,Arrangörslista!D$8:$AG$45,16,FALSE),"DNS")))),IF(ISBLANK(Deltagarlista!$C52),"",IF(ISBLANK(Arrangörslista!D$8),"",IFERROR(VLOOKUP($F26,Arrangörslista!D$8:$AG$45,16,FALSE),"DNS")))))</f>
        <v/>
      </c>
      <c r="L26" s="5" t="str">
        <f>IF(Deltagarlista!$K$3=4,IF(ISBLANK(Deltagarlista!$C52),"",IF(ISBLANK(Arrangörslista!G$8),"",IFERROR(VLOOKUP($F26,Arrangörslista!G$8:$AG$45,16,FALSE),IF(ISBLANK(Deltagarlista!$C52),"",IF(ISBLANK(Arrangörslista!G$8),"",IFERROR(VLOOKUP($F26,Arrangörslista!H$8:$AG$45,16,FALSE),"DNS")))))),IF(Deltagarlista!$K$3=2,
IF(ISBLANK(Deltagarlista!$C52),"",IF(ISBLANK(Arrangörslista!E$8),"",IF($GV26=L$64," DNS ",IFERROR(VLOOKUP($F26,Arrangörslista!E$8:$AG$45,16,FALSE),"DNS")))),IF(ISBLANK(Deltagarlista!$C52),"",IF(ISBLANK(Arrangörslista!E$8),"",IFERROR(VLOOKUP($F26,Arrangörslista!E$8:$AG$45,16,FALSE),"DNS")))))</f>
        <v/>
      </c>
      <c r="M26" s="5" t="str">
        <f>IF(Deltagarlista!$K$3=4,IF(ISBLANK(Deltagarlista!$C52),"",IF(ISBLANK(Arrangörslista!I$8),"",IFERROR(VLOOKUP($F26,Arrangörslista!I$8:$AG$45,16,FALSE),IF(ISBLANK(Deltagarlista!$C52),"",IF(ISBLANK(Arrangörslista!I$8),"",IFERROR(VLOOKUP($F26,Arrangörslista!J$8:$AG$45,16,FALSE),"DNS")))))),IF(Deltagarlista!$K$3=2,
IF(ISBLANK(Deltagarlista!$C52),"",IF(ISBLANK(Arrangörslista!F$8),"",IF($GV26=M$64," DNS ",IFERROR(VLOOKUP($F26,Arrangörslista!F$8:$AG$45,16,FALSE),"DNS")))),IF(ISBLANK(Deltagarlista!$C52),"",IF(ISBLANK(Arrangörslista!F$8),"",IFERROR(VLOOKUP($F26,Arrangörslista!F$8:$AG$45,16,FALSE),"DNS")))))</f>
        <v/>
      </c>
      <c r="N26" s="5" t="str">
        <f>IF(Deltagarlista!$K$3=4,IF(ISBLANK(Deltagarlista!$C52),"",IF(ISBLANK(Arrangörslista!K$8),"",IFERROR(VLOOKUP($F26,Arrangörslista!K$8:$AG$45,16,FALSE),IF(ISBLANK(Deltagarlista!$C52),"",IF(ISBLANK(Arrangörslista!K$8),"",IFERROR(VLOOKUP($F26,Arrangörslista!L$8:$AG$45,16,FALSE),"DNS")))))),IF(Deltagarlista!$K$3=2,
IF(ISBLANK(Deltagarlista!$C52),"",IF(ISBLANK(Arrangörslista!G$8),"",IF($GV26=N$64," DNS ",IFERROR(VLOOKUP($F26,Arrangörslista!G$8:$AG$45,16,FALSE),"DNS")))),IF(ISBLANK(Deltagarlista!$C52),"",IF(ISBLANK(Arrangörslista!G$8),"",IFERROR(VLOOKUP($F26,Arrangörslista!G$8:$AG$45,16,FALSE),"DNS")))))</f>
        <v/>
      </c>
      <c r="O26" s="5" t="str">
        <f>IF(Deltagarlista!$K$3=4,IF(ISBLANK(Deltagarlista!$C52),"",IF(ISBLANK(Arrangörslista!M$8),"",IFERROR(VLOOKUP($F26,Arrangörslista!M$8:$AG$45,16,FALSE),IF(ISBLANK(Deltagarlista!$C52),"",IF(ISBLANK(Arrangörslista!M$8),"",IFERROR(VLOOKUP($F26,Arrangörslista!N$8:$AG$45,16,FALSE),"DNS")))))),IF(Deltagarlista!$K$3=2,
IF(ISBLANK(Deltagarlista!$C52),"",IF(ISBLANK(Arrangörslista!H$8),"",IF($GV26=O$64," DNS ",IFERROR(VLOOKUP($F26,Arrangörslista!H$8:$AG$45,16,FALSE),"DNS")))),IF(ISBLANK(Deltagarlista!$C52),"",IF(ISBLANK(Arrangörslista!H$8),"",IFERROR(VLOOKUP($F26,Arrangörslista!H$8:$AG$45,16,FALSE),"DNS")))))</f>
        <v/>
      </c>
      <c r="P26" s="5" t="str">
        <f>IF(Deltagarlista!$K$3=4,IF(ISBLANK(Deltagarlista!$C52),"",IF(ISBLANK(Arrangörslista!O$8),"",IFERROR(VLOOKUP($F26,Arrangörslista!O$8:$AG$45,16,FALSE),IF(ISBLANK(Deltagarlista!$C52),"",IF(ISBLANK(Arrangörslista!O$8),"",IFERROR(VLOOKUP($F26,Arrangörslista!P$8:$AG$45,16,FALSE),"DNS")))))),IF(Deltagarlista!$K$3=2,
IF(ISBLANK(Deltagarlista!$C52),"",IF(ISBLANK(Arrangörslista!I$8),"",IF($GV26=P$64," DNS ",IFERROR(VLOOKUP($F26,Arrangörslista!I$8:$AG$45,16,FALSE),"DNS")))),IF(ISBLANK(Deltagarlista!$C52),"",IF(ISBLANK(Arrangörslista!I$8),"",IFERROR(VLOOKUP($F26,Arrangörslista!I$8:$AG$45,16,FALSE),"DNS")))))</f>
        <v/>
      </c>
      <c r="Q26" s="5" t="str">
        <f>IF(Deltagarlista!$K$3=4,IF(ISBLANK(Deltagarlista!$C52),"",IF(ISBLANK(Arrangörslista!Q$8),"",IFERROR(VLOOKUP($F26,Arrangörslista!Q$8:$AG$45,16,FALSE),IF(ISBLANK(Deltagarlista!$C52),"",IF(ISBLANK(Arrangörslista!Q$8),"",IFERROR(VLOOKUP($F26,Arrangörslista!C$53:$AG$90,16,FALSE),"DNS")))))),IF(Deltagarlista!$K$3=2,
IF(ISBLANK(Deltagarlista!$C52),"",IF(ISBLANK(Arrangörslista!J$8),"",IF($GV26=Q$64," DNS ",IFERROR(VLOOKUP($F26,Arrangörslista!J$8:$AG$45,16,FALSE),"DNS")))),IF(ISBLANK(Deltagarlista!$C52),"",IF(ISBLANK(Arrangörslista!J$8),"",IFERROR(VLOOKUP($F26,Arrangörslista!J$8:$AG$45,16,FALSE),"DNS")))))</f>
        <v/>
      </c>
      <c r="R26" s="5" t="str">
        <f>IF(Deltagarlista!$K$3=4,IF(ISBLANK(Deltagarlista!$C52),"",IF(ISBLANK(Arrangörslista!D$53),"",IFERROR(VLOOKUP($F26,Arrangörslista!D$53:$AG$90,16,FALSE),IF(ISBLANK(Deltagarlista!$C52),"",IF(ISBLANK(Arrangörslista!D$53),"",IFERROR(VLOOKUP($F26,Arrangörslista!E$53:$AG$90,16,FALSE),"DNS")))))),IF(Deltagarlista!$K$3=2,
IF(ISBLANK(Deltagarlista!$C52),"",IF(ISBLANK(Arrangörslista!K$8),"",IF($GV26=R$64," DNS ",IFERROR(VLOOKUP($F26,Arrangörslista!K$8:$AG$45,16,FALSE),"DNS")))),IF(ISBLANK(Deltagarlista!$C52),"",IF(ISBLANK(Arrangörslista!K$8),"",IFERROR(VLOOKUP($F26,Arrangörslista!K$8:$AG$45,16,FALSE),"DNS")))))</f>
        <v/>
      </c>
      <c r="S26" s="5" t="str">
        <f>IF(Deltagarlista!$K$3=4,IF(ISBLANK(Deltagarlista!$C52),"",IF(ISBLANK(Arrangörslista!F$53),"",IFERROR(VLOOKUP($F26,Arrangörslista!F$53:$AG$90,16,FALSE),IF(ISBLANK(Deltagarlista!$C52),"",IF(ISBLANK(Arrangörslista!F$53),"",IFERROR(VLOOKUP($F26,Arrangörslista!G$53:$AG$90,16,FALSE),"DNS")))))),IF(Deltagarlista!$K$3=2,
IF(ISBLANK(Deltagarlista!$C52),"",IF(ISBLANK(Arrangörslista!L$8),"",IF($GV26=S$64," DNS ",IFERROR(VLOOKUP($F26,Arrangörslista!L$8:$AG$45,16,FALSE),"DNS")))),IF(ISBLANK(Deltagarlista!$C52),"",IF(ISBLANK(Arrangörslista!L$8),"",IFERROR(VLOOKUP($F26,Arrangörslista!L$8:$AG$45,16,FALSE),"DNS")))))</f>
        <v/>
      </c>
      <c r="T26" s="5" t="str">
        <f>IF(Deltagarlista!$K$3=4,IF(ISBLANK(Deltagarlista!$C52),"",IF(ISBLANK(Arrangörslista!H$53),"",IFERROR(VLOOKUP($F26,Arrangörslista!H$53:$AG$90,16,FALSE),IF(ISBLANK(Deltagarlista!$C52),"",IF(ISBLANK(Arrangörslista!H$53),"",IFERROR(VLOOKUP($F26,Arrangörslista!I$53:$AG$90,16,FALSE),"DNS")))))),IF(Deltagarlista!$K$3=2,
IF(ISBLANK(Deltagarlista!$C52),"",IF(ISBLANK(Arrangörslista!M$8),"",IF($GV26=T$64," DNS ",IFERROR(VLOOKUP($F26,Arrangörslista!M$8:$AG$45,16,FALSE),"DNS")))),IF(ISBLANK(Deltagarlista!$C52),"",IF(ISBLANK(Arrangörslista!M$8),"",IFERROR(VLOOKUP($F26,Arrangörslista!M$8:$AG$45,16,FALSE),"DNS")))))</f>
        <v/>
      </c>
      <c r="U26" s="5" t="str">
        <f>IF(Deltagarlista!$K$3=4,IF(ISBLANK(Deltagarlista!$C52),"",IF(ISBLANK(Arrangörslista!J$53),"",IFERROR(VLOOKUP($F26,Arrangörslista!J$53:$AG$90,16,FALSE),IF(ISBLANK(Deltagarlista!$C52),"",IF(ISBLANK(Arrangörslista!J$53),"",IFERROR(VLOOKUP($F26,Arrangörslista!K$53:$AG$90,16,FALSE),"DNS")))))),IF(Deltagarlista!$K$3=2,
IF(ISBLANK(Deltagarlista!$C52),"",IF(ISBLANK(Arrangörslista!N$8),"",IF($GV26=U$64," DNS ",IFERROR(VLOOKUP($F26,Arrangörslista!N$8:$AG$45,16,FALSE),"DNS")))),IF(ISBLANK(Deltagarlista!$C52),"",IF(ISBLANK(Arrangörslista!N$8),"",IFERROR(VLOOKUP($F26,Arrangörslista!N$8:$AG$45,16,FALSE),"DNS")))))</f>
        <v/>
      </c>
      <c r="V26" s="5" t="str">
        <f>IF(Deltagarlista!$K$3=4,IF(ISBLANK(Deltagarlista!$C52),"",IF(ISBLANK(Arrangörslista!L$53),"",IFERROR(VLOOKUP($F26,Arrangörslista!L$53:$AG$90,16,FALSE),IF(ISBLANK(Deltagarlista!$C52),"",IF(ISBLANK(Arrangörslista!L$53),"",IFERROR(VLOOKUP($F26,Arrangörslista!M$53:$AG$90,16,FALSE),"DNS")))))),IF(Deltagarlista!$K$3=2,
IF(ISBLANK(Deltagarlista!$C52),"",IF(ISBLANK(Arrangörslista!O$8),"",IF($GV26=V$64," DNS ",IFERROR(VLOOKUP($F26,Arrangörslista!O$8:$AG$45,16,FALSE),"DNS")))),IF(ISBLANK(Deltagarlista!$C52),"",IF(ISBLANK(Arrangörslista!O$8),"",IFERROR(VLOOKUP($F26,Arrangörslista!O$8:$AG$45,16,FALSE),"DNS")))))</f>
        <v/>
      </c>
      <c r="W26" s="5" t="str">
        <f>IF(Deltagarlista!$K$3=4,IF(ISBLANK(Deltagarlista!$C52),"",IF(ISBLANK(Arrangörslista!N$53),"",IFERROR(VLOOKUP($F26,Arrangörslista!N$53:$AG$90,16,FALSE),IF(ISBLANK(Deltagarlista!$C52),"",IF(ISBLANK(Arrangörslista!N$53),"",IFERROR(VLOOKUP($F26,Arrangörslista!O$53:$AG$90,16,FALSE),"DNS")))))),IF(Deltagarlista!$K$3=2,
IF(ISBLANK(Deltagarlista!$C52),"",IF(ISBLANK(Arrangörslista!P$8),"",IF($GV26=W$64," DNS ",IFERROR(VLOOKUP($F26,Arrangörslista!P$8:$AG$45,16,FALSE),"DNS")))),IF(ISBLANK(Deltagarlista!$C52),"",IF(ISBLANK(Arrangörslista!P$8),"",IFERROR(VLOOKUP($F26,Arrangörslista!P$8:$AG$45,16,FALSE),"DNS")))))</f>
        <v/>
      </c>
      <c r="X26" s="5" t="str">
        <f>IF(Deltagarlista!$K$3=4,IF(ISBLANK(Deltagarlista!$C52),"",IF(ISBLANK(Arrangörslista!P$53),"",IFERROR(VLOOKUP($F26,Arrangörslista!P$53:$AG$90,16,FALSE),IF(ISBLANK(Deltagarlista!$C52),"",IF(ISBLANK(Arrangörslista!P$53),"",IFERROR(VLOOKUP($F26,Arrangörslista!Q$53:$AG$90,16,FALSE),"DNS")))))),IF(Deltagarlista!$K$3=2,
IF(ISBLANK(Deltagarlista!$C52),"",IF(ISBLANK(Arrangörslista!Q$8),"",IF($GV26=X$64," DNS ",IFERROR(VLOOKUP($F26,Arrangörslista!Q$8:$AG$45,16,FALSE),"DNS")))),IF(ISBLANK(Deltagarlista!$C52),"",IF(ISBLANK(Arrangörslista!Q$8),"",IFERROR(VLOOKUP($F26,Arrangörslista!Q$8:$AG$45,16,FALSE),"DNS")))))</f>
        <v/>
      </c>
      <c r="Y26" s="5" t="str">
        <f>IF(Deltagarlista!$K$3=4,IF(ISBLANK(Deltagarlista!$C52),"",IF(ISBLANK(Arrangörslista!C$98),"",IFERROR(VLOOKUP($F26,Arrangörslista!C$98:$AG$135,16,FALSE),IF(ISBLANK(Deltagarlista!$C52),"",IF(ISBLANK(Arrangörslista!C$98),"",IFERROR(VLOOKUP($F26,Arrangörslista!D$98:$AG$135,16,FALSE),"DNS")))))),IF(Deltagarlista!$K$3=2,
IF(ISBLANK(Deltagarlista!$C52),"",IF(ISBLANK(Arrangörslista!C$53),"",IF($GV26=Y$64," DNS ",IFERROR(VLOOKUP($F26,Arrangörslista!C$53:$AG$90,16,FALSE),"DNS")))),IF(ISBLANK(Deltagarlista!$C52),"",IF(ISBLANK(Arrangörslista!C$53),"",IFERROR(VLOOKUP($F26,Arrangörslista!C$53:$AG$90,16,FALSE),"DNS")))))</f>
        <v/>
      </c>
      <c r="Z26" s="5" t="str">
        <f>IF(Deltagarlista!$K$3=4,IF(ISBLANK(Deltagarlista!$C52),"",IF(ISBLANK(Arrangörslista!E$98),"",IFERROR(VLOOKUP($F26,Arrangörslista!E$98:$AG$135,16,FALSE),IF(ISBLANK(Deltagarlista!$C52),"",IF(ISBLANK(Arrangörslista!E$98),"",IFERROR(VLOOKUP($F26,Arrangörslista!F$98:$AG$135,16,FALSE),"DNS")))))),IF(Deltagarlista!$K$3=2,
IF(ISBLANK(Deltagarlista!$C52),"",IF(ISBLANK(Arrangörslista!D$53),"",IF($GV26=Z$64," DNS ",IFERROR(VLOOKUP($F26,Arrangörslista!D$53:$AG$90,16,FALSE),"DNS")))),IF(ISBLANK(Deltagarlista!$C52),"",IF(ISBLANK(Arrangörslista!D$53),"",IFERROR(VLOOKUP($F26,Arrangörslista!D$53:$AG$90,16,FALSE),"DNS")))))</f>
        <v/>
      </c>
      <c r="AA26" s="5" t="str">
        <f>IF(Deltagarlista!$K$3=4,IF(ISBLANK(Deltagarlista!$C52),"",IF(ISBLANK(Arrangörslista!G$98),"",IFERROR(VLOOKUP($F26,Arrangörslista!G$98:$AG$135,16,FALSE),IF(ISBLANK(Deltagarlista!$C52),"",IF(ISBLANK(Arrangörslista!G$98),"",IFERROR(VLOOKUP($F26,Arrangörslista!H$98:$AG$135,16,FALSE),"DNS")))))),IF(Deltagarlista!$K$3=2,
IF(ISBLANK(Deltagarlista!$C52),"",IF(ISBLANK(Arrangörslista!E$53),"",IF($GV26=AA$64," DNS ",IFERROR(VLOOKUP($F26,Arrangörslista!E$53:$AG$90,16,FALSE),"DNS")))),IF(ISBLANK(Deltagarlista!$C52),"",IF(ISBLANK(Arrangörslista!E$53),"",IFERROR(VLOOKUP($F26,Arrangörslista!E$53:$AG$90,16,FALSE),"DNS")))))</f>
        <v/>
      </c>
      <c r="AB26" s="5" t="str">
        <f>IF(Deltagarlista!$K$3=4,IF(ISBLANK(Deltagarlista!$C52),"",IF(ISBLANK(Arrangörslista!I$98),"",IFERROR(VLOOKUP($F26,Arrangörslista!I$98:$AG$135,16,FALSE),IF(ISBLANK(Deltagarlista!$C52),"",IF(ISBLANK(Arrangörslista!I$98),"",IFERROR(VLOOKUP($F26,Arrangörslista!J$98:$AG$135,16,FALSE),"DNS")))))),IF(Deltagarlista!$K$3=2,
IF(ISBLANK(Deltagarlista!$C52),"",IF(ISBLANK(Arrangörslista!F$53),"",IF($GV26=AB$64," DNS ",IFERROR(VLOOKUP($F26,Arrangörslista!F$53:$AG$90,16,FALSE),"DNS")))),IF(ISBLANK(Deltagarlista!$C52),"",IF(ISBLANK(Arrangörslista!F$53),"",IFERROR(VLOOKUP($F26,Arrangörslista!F$53:$AG$90,16,FALSE),"DNS")))))</f>
        <v/>
      </c>
      <c r="AC26" s="5" t="str">
        <f>IF(Deltagarlista!$K$3=4,IF(ISBLANK(Deltagarlista!$C52),"",IF(ISBLANK(Arrangörslista!K$98),"",IFERROR(VLOOKUP($F26,Arrangörslista!K$98:$AG$135,16,FALSE),IF(ISBLANK(Deltagarlista!$C52),"",IF(ISBLANK(Arrangörslista!K$98),"",IFERROR(VLOOKUP($F26,Arrangörslista!L$98:$AG$135,16,FALSE),"DNS")))))),IF(Deltagarlista!$K$3=2,
IF(ISBLANK(Deltagarlista!$C52),"",IF(ISBLANK(Arrangörslista!G$53),"",IF($GV26=AC$64," DNS ",IFERROR(VLOOKUP($F26,Arrangörslista!G$53:$AG$90,16,FALSE),"DNS")))),IF(ISBLANK(Deltagarlista!$C52),"",IF(ISBLANK(Arrangörslista!G$53),"",IFERROR(VLOOKUP($F26,Arrangörslista!G$53:$AG$90,16,FALSE),"DNS")))))</f>
        <v/>
      </c>
      <c r="AD26" s="5" t="str">
        <f>IF(Deltagarlista!$K$3=4,IF(ISBLANK(Deltagarlista!$C52),"",IF(ISBLANK(Arrangörslista!M$98),"",IFERROR(VLOOKUP($F26,Arrangörslista!M$98:$AG$135,16,FALSE),IF(ISBLANK(Deltagarlista!$C52),"",IF(ISBLANK(Arrangörslista!M$98),"",IFERROR(VLOOKUP($F26,Arrangörslista!N$98:$AG$135,16,FALSE),"DNS")))))),IF(Deltagarlista!$K$3=2,
IF(ISBLANK(Deltagarlista!$C52),"",IF(ISBLANK(Arrangörslista!H$53),"",IF($GV26=AD$64," DNS ",IFERROR(VLOOKUP($F26,Arrangörslista!H$53:$AG$90,16,FALSE),"DNS")))),IF(ISBLANK(Deltagarlista!$C52),"",IF(ISBLANK(Arrangörslista!H$53),"",IFERROR(VLOOKUP($F26,Arrangörslista!H$53:$AG$90,16,FALSE),"DNS")))))</f>
        <v/>
      </c>
      <c r="AE26" s="5" t="str">
        <f>IF(Deltagarlista!$K$3=4,IF(ISBLANK(Deltagarlista!$C52),"",IF(ISBLANK(Arrangörslista!O$98),"",IFERROR(VLOOKUP($F26,Arrangörslista!O$98:$AG$135,16,FALSE),IF(ISBLANK(Deltagarlista!$C52),"",IF(ISBLANK(Arrangörslista!O$98),"",IFERROR(VLOOKUP($F26,Arrangörslista!P$98:$AG$135,16,FALSE),"DNS")))))),IF(Deltagarlista!$K$3=2,
IF(ISBLANK(Deltagarlista!$C52),"",IF(ISBLANK(Arrangörslista!I$53),"",IF($GV26=AE$64," DNS ",IFERROR(VLOOKUP($F26,Arrangörslista!I$53:$AG$90,16,FALSE),"DNS")))),IF(ISBLANK(Deltagarlista!$C52),"",IF(ISBLANK(Arrangörslista!I$53),"",IFERROR(VLOOKUP($F26,Arrangörslista!I$53:$AG$90,16,FALSE),"DNS")))))</f>
        <v/>
      </c>
      <c r="AF26" s="5" t="str">
        <f>IF(Deltagarlista!$K$3=4,IF(ISBLANK(Deltagarlista!$C52),"",IF(ISBLANK(Arrangörslista!Q$98),"",IFERROR(VLOOKUP($F26,Arrangörslista!Q$98:$AG$135,16,FALSE),IF(ISBLANK(Deltagarlista!$C52),"",IF(ISBLANK(Arrangörslista!Q$98),"",IFERROR(VLOOKUP($F26,Arrangörslista!C$143:$AG$180,16,FALSE),"DNS")))))),IF(Deltagarlista!$K$3=2,
IF(ISBLANK(Deltagarlista!$C52),"",IF(ISBLANK(Arrangörslista!J$53),"",IF($GV26=AF$64," DNS ",IFERROR(VLOOKUP($F26,Arrangörslista!J$53:$AG$90,16,FALSE),"DNS")))),IF(ISBLANK(Deltagarlista!$C52),"",IF(ISBLANK(Arrangörslista!J$53),"",IFERROR(VLOOKUP($F26,Arrangörslista!J$53:$AG$90,16,FALSE),"DNS")))))</f>
        <v/>
      </c>
      <c r="AG26" s="5" t="str">
        <f>IF(Deltagarlista!$K$3=4,IF(ISBLANK(Deltagarlista!$C52),"",IF(ISBLANK(Arrangörslista!D$143),"",IFERROR(VLOOKUP($F26,Arrangörslista!D$143:$AG$180,16,FALSE),IF(ISBLANK(Deltagarlista!$C52),"",IF(ISBLANK(Arrangörslista!D$143),"",IFERROR(VLOOKUP($F26,Arrangörslista!E$143:$AG$180,16,FALSE),"DNS")))))),IF(Deltagarlista!$K$3=2,
IF(ISBLANK(Deltagarlista!$C52),"",IF(ISBLANK(Arrangörslista!K$53),"",IF($GV26=AG$64," DNS ",IFERROR(VLOOKUP($F26,Arrangörslista!K$53:$AG$90,16,FALSE),"DNS")))),IF(ISBLANK(Deltagarlista!$C52),"",IF(ISBLANK(Arrangörslista!K$53),"",IFERROR(VLOOKUP($F26,Arrangörslista!K$53:$AG$90,16,FALSE),"DNS")))))</f>
        <v/>
      </c>
      <c r="AH26" s="5" t="str">
        <f>IF(Deltagarlista!$K$3=4,IF(ISBLANK(Deltagarlista!$C52),"",IF(ISBLANK(Arrangörslista!F$143),"",IFERROR(VLOOKUP($F26,Arrangörslista!F$143:$AG$180,16,FALSE),IF(ISBLANK(Deltagarlista!$C52),"",IF(ISBLANK(Arrangörslista!F$143),"",IFERROR(VLOOKUP($F26,Arrangörslista!G$143:$AG$180,16,FALSE),"DNS")))))),IF(Deltagarlista!$K$3=2,
IF(ISBLANK(Deltagarlista!$C52),"",IF(ISBLANK(Arrangörslista!L$53),"",IF($GV26=AH$64," DNS ",IFERROR(VLOOKUP($F26,Arrangörslista!L$53:$AG$90,16,FALSE),"DNS")))),IF(ISBLANK(Deltagarlista!$C52),"",IF(ISBLANK(Arrangörslista!L$53),"",IFERROR(VLOOKUP($F26,Arrangörslista!L$53:$AG$90,16,FALSE),"DNS")))))</f>
        <v/>
      </c>
      <c r="AI26" s="5" t="str">
        <f>IF(Deltagarlista!$K$3=4,IF(ISBLANK(Deltagarlista!$C52),"",IF(ISBLANK(Arrangörslista!H$143),"",IFERROR(VLOOKUP($F26,Arrangörslista!H$143:$AG$180,16,FALSE),IF(ISBLANK(Deltagarlista!$C52),"",IF(ISBLANK(Arrangörslista!H$143),"",IFERROR(VLOOKUP($F26,Arrangörslista!I$143:$AG$180,16,FALSE),"DNS")))))),IF(Deltagarlista!$K$3=2,
IF(ISBLANK(Deltagarlista!$C52),"",IF(ISBLANK(Arrangörslista!M$53),"",IF($GV26=AI$64," DNS ",IFERROR(VLOOKUP($F26,Arrangörslista!M$53:$AG$90,16,FALSE),"DNS")))),IF(ISBLANK(Deltagarlista!$C52),"",IF(ISBLANK(Arrangörslista!M$53),"",IFERROR(VLOOKUP($F26,Arrangörslista!M$53:$AG$90,16,FALSE),"DNS")))))</f>
        <v/>
      </c>
      <c r="AJ26" s="5" t="str">
        <f>IF(Deltagarlista!$K$3=4,IF(ISBLANK(Deltagarlista!$C52),"",IF(ISBLANK(Arrangörslista!J$143),"",IFERROR(VLOOKUP($F26,Arrangörslista!J$143:$AG$180,16,FALSE),IF(ISBLANK(Deltagarlista!$C52),"",IF(ISBLANK(Arrangörslista!J$143),"",IFERROR(VLOOKUP($F26,Arrangörslista!K$143:$AG$180,16,FALSE),"DNS")))))),IF(Deltagarlista!$K$3=2,
IF(ISBLANK(Deltagarlista!$C52),"",IF(ISBLANK(Arrangörslista!N$53),"",IF($GV26=AJ$64," DNS ",IFERROR(VLOOKUP($F26,Arrangörslista!N$53:$AG$90,16,FALSE),"DNS")))),IF(ISBLANK(Deltagarlista!$C52),"",IF(ISBLANK(Arrangörslista!N$53),"",IFERROR(VLOOKUP($F26,Arrangörslista!N$53:$AG$90,16,FALSE),"DNS")))))</f>
        <v/>
      </c>
      <c r="AK26" s="5" t="str">
        <f>IF(Deltagarlista!$K$3=4,IF(ISBLANK(Deltagarlista!$C52),"",IF(ISBLANK(Arrangörslista!L$143),"",IFERROR(VLOOKUP($F26,Arrangörslista!L$143:$AG$180,16,FALSE),IF(ISBLANK(Deltagarlista!$C52),"",IF(ISBLANK(Arrangörslista!L$143),"",IFERROR(VLOOKUP($F26,Arrangörslista!M$143:$AG$180,16,FALSE),"DNS")))))),IF(Deltagarlista!$K$3=2,
IF(ISBLANK(Deltagarlista!$C52),"",IF(ISBLANK(Arrangörslista!O$53),"",IF($GV26=AK$64," DNS ",IFERROR(VLOOKUP($F26,Arrangörslista!O$53:$AG$90,16,FALSE),"DNS")))),IF(ISBLANK(Deltagarlista!$C52),"",IF(ISBLANK(Arrangörslista!O$53),"",IFERROR(VLOOKUP($F26,Arrangörslista!O$53:$AG$90,16,FALSE),"DNS")))))</f>
        <v/>
      </c>
      <c r="AL26" s="5" t="str">
        <f>IF(Deltagarlista!$K$3=4,IF(ISBLANK(Deltagarlista!$C52),"",IF(ISBLANK(Arrangörslista!N$143),"",IFERROR(VLOOKUP($F26,Arrangörslista!N$143:$AG$180,16,FALSE),IF(ISBLANK(Deltagarlista!$C52),"",IF(ISBLANK(Arrangörslista!N$143),"",IFERROR(VLOOKUP($F26,Arrangörslista!O$143:$AG$180,16,FALSE),"DNS")))))),IF(Deltagarlista!$K$3=2,
IF(ISBLANK(Deltagarlista!$C52),"",IF(ISBLANK(Arrangörslista!P$53),"",IF($GV26=AL$64," DNS ",IFERROR(VLOOKUP($F26,Arrangörslista!P$53:$AG$90,16,FALSE),"DNS")))),IF(ISBLANK(Deltagarlista!$C52),"",IF(ISBLANK(Arrangörslista!P$53),"",IFERROR(VLOOKUP($F26,Arrangörslista!P$53:$AG$90,16,FALSE),"DNS")))))</f>
        <v/>
      </c>
      <c r="AM26" s="5" t="str">
        <f>IF(Deltagarlista!$K$3=4,IF(ISBLANK(Deltagarlista!$C52),"",IF(ISBLANK(Arrangörslista!P$143),"",IFERROR(VLOOKUP($F26,Arrangörslista!P$143:$AG$180,16,FALSE),IF(ISBLANK(Deltagarlista!$C52),"",IF(ISBLANK(Arrangörslista!P$143),"",IFERROR(VLOOKUP($F26,Arrangörslista!Q$143:$AG$180,16,FALSE),"DNS")))))),IF(Deltagarlista!$K$3=2,
IF(ISBLANK(Deltagarlista!$C52),"",IF(ISBLANK(Arrangörslista!Q$53),"",IF($GV26=AM$64," DNS ",IFERROR(VLOOKUP($F26,Arrangörslista!Q$53:$AG$90,16,FALSE),"DNS")))),IF(ISBLANK(Deltagarlista!$C52),"",IF(ISBLANK(Arrangörslista!Q$53),"",IFERROR(VLOOKUP($F26,Arrangörslista!Q$53:$AG$90,16,FALSE),"DNS")))))</f>
        <v/>
      </c>
      <c r="AN26" s="5" t="str">
        <f>IF(Deltagarlista!$K$3=2,
IF(ISBLANK(Deltagarlista!$C52),"",IF(ISBLANK(Arrangörslista!C$98),"",IF($GV26=AN$64," DNS ",IFERROR(VLOOKUP($F26,Arrangörslista!C$98:$AG$135,16,FALSE), "DNS")))), IF(Deltagarlista!$K$3=1,IF(ISBLANK(Deltagarlista!$C52),"",IF(ISBLANK(Arrangörslista!C$98),"",IFERROR(VLOOKUP($F26,Arrangörslista!C$98:$AG$135,16,FALSE), "DNS"))),""))</f>
        <v/>
      </c>
      <c r="AO26" s="5" t="str">
        <f>IF(Deltagarlista!$K$3=2,
IF(ISBLANK(Deltagarlista!$C52),"",IF(ISBLANK(Arrangörslista!D$98),"",IF($GV26=AO$64," DNS ",IFERROR(VLOOKUP($F26,Arrangörslista!D$98:$AG$135,16,FALSE), "DNS")))), IF(Deltagarlista!$K$3=1,IF(ISBLANK(Deltagarlista!$C52),"",IF(ISBLANK(Arrangörslista!D$98),"",IFERROR(VLOOKUP($F26,Arrangörslista!D$98:$AG$135,16,FALSE), "DNS"))),""))</f>
        <v/>
      </c>
      <c r="AP26" s="5" t="str">
        <f>IF(Deltagarlista!$K$3=2,
IF(ISBLANK(Deltagarlista!$C52),"",IF(ISBLANK(Arrangörslista!E$98),"",IF($GV26=AP$64," DNS ",IFERROR(VLOOKUP($F26,Arrangörslista!E$98:$AG$135,16,FALSE), "DNS")))), IF(Deltagarlista!$K$3=1,IF(ISBLANK(Deltagarlista!$C52),"",IF(ISBLANK(Arrangörslista!E$98),"",IFERROR(VLOOKUP($F26,Arrangörslista!E$98:$AG$135,16,FALSE), "DNS"))),""))</f>
        <v/>
      </c>
      <c r="AQ26" s="5" t="str">
        <f>IF(Deltagarlista!$K$3=2,
IF(ISBLANK(Deltagarlista!$C52),"",IF(ISBLANK(Arrangörslista!F$98),"",IF($GV26=AQ$64," DNS ",IFERROR(VLOOKUP($F26,Arrangörslista!F$98:$AG$135,16,FALSE), "DNS")))), IF(Deltagarlista!$K$3=1,IF(ISBLANK(Deltagarlista!$C52),"",IF(ISBLANK(Arrangörslista!F$98),"",IFERROR(VLOOKUP($F26,Arrangörslista!F$98:$AG$135,16,FALSE), "DNS"))),""))</f>
        <v/>
      </c>
      <c r="AR26" s="5" t="str">
        <f>IF(Deltagarlista!$K$3=2,
IF(ISBLANK(Deltagarlista!$C52),"",IF(ISBLANK(Arrangörslista!G$98),"",IF($GV26=AR$64," DNS ",IFERROR(VLOOKUP($F26,Arrangörslista!G$98:$AG$135,16,FALSE), "DNS")))), IF(Deltagarlista!$K$3=1,IF(ISBLANK(Deltagarlista!$C52),"",IF(ISBLANK(Arrangörslista!G$98),"",IFERROR(VLOOKUP($F26,Arrangörslista!G$98:$AG$135,16,FALSE), "DNS"))),""))</f>
        <v/>
      </c>
      <c r="AS26" s="5" t="str">
        <f>IF(Deltagarlista!$K$3=2,
IF(ISBLANK(Deltagarlista!$C52),"",IF(ISBLANK(Arrangörslista!H$98),"",IF($GV26=AS$64," DNS ",IFERROR(VLOOKUP($F26,Arrangörslista!H$98:$AG$135,16,FALSE), "DNS")))), IF(Deltagarlista!$K$3=1,IF(ISBLANK(Deltagarlista!$C52),"",IF(ISBLANK(Arrangörslista!H$98),"",IFERROR(VLOOKUP($F26,Arrangörslista!H$98:$AG$135,16,FALSE), "DNS"))),""))</f>
        <v/>
      </c>
      <c r="AT26" s="5" t="str">
        <f>IF(Deltagarlista!$K$3=2,
IF(ISBLANK(Deltagarlista!$C52),"",IF(ISBLANK(Arrangörslista!I$98),"",IF($GV26=AT$64," DNS ",IFERROR(VLOOKUP($F26,Arrangörslista!I$98:$AG$135,16,FALSE), "DNS")))), IF(Deltagarlista!$K$3=1,IF(ISBLANK(Deltagarlista!$C52),"",IF(ISBLANK(Arrangörslista!I$98),"",IFERROR(VLOOKUP($F26,Arrangörslista!I$98:$AG$135,16,FALSE), "DNS"))),""))</f>
        <v/>
      </c>
      <c r="AU26" s="5" t="str">
        <f>IF(Deltagarlista!$K$3=2,
IF(ISBLANK(Deltagarlista!$C52),"",IF(ISBLANK(Arrangörslista!J$98),"",IF($GV26=AU$64," DNS ",IFERROR(VLOOKUP($F26,Arrangörslista!J$98:$AG$135,16,FALSE), "DNS")))), IF(Deltagarlista!$K$3=1,IF(ISBLANK(Deltagarlista!$C52),"",IF(ISBLANK(Arrangörslista!J$98),"",IFERROR(VLOOKUP($F26,Arrangörslista!J$98:$AG$135,16,FALSE), "DNS"))),""))</f>
        <v/>
      </c>
      <c r="AV26" s="5" t="str">
        <f>IF(Deltagarlista!$K$3=2,
IF(ISBLANK(Deltagarlista!$C52),"",IF(ISBLANK(Arrangörslista!K$98),"",IF($GV26=AV$64," DNS ",IFERROR(VLOOKUP($F26,Arrangörslista!K$98:$AG$135,16,FALSE), "DNS")))), IF(Deltagarlista!$K$3=1,IF(ISBLANK(Deltagarlista!$C52),"",IF(ISBLANK(Arrangörslista!K$98),"",IFERROR(VLOOKUP($F26,Arrangörslista!K$98:$AG$135,16,FALSE), "DNS"))),""))</f>
        <v/>
      </c>
      <c r="AW26" s="5" t="str">
        <f>IF(Deltagarlista!$K$3=2,
IF(ISBLANK(Deltagarlista!$C52),"",IF(ISBLANK(Arrangörslista!L$98),"",IF($GV26=AW$64," DNS ",IFERROR(VLOOKUP($F26,Arrangörslista!L$98:$AG$135,16,FALSE), "DNS")))), IF(Deltagarlista!$K$3=1,IF(ISBLANK(Deltagarlista!$C52),"",IF(ISBLANK(Arrangörslista!L$98),"",IFERROR(VLOOKUP($F26,Arrangörslista!L$98:$AG$135,16,FALSE), "DNS"))),""))</f>
        <v/>
      </c>
      <c r="AX26" s="5" t="str">
        <f>IF(Deltagarlista!$K$3=2,
IF(ISBLANK(Deltagarlista!$C52),"",IF(ISBLANK(Arrangörslista!M$98),"",IF($GV26=AX$64," DNS ",IFERROR(VLOOKUP($F26,Arrangörslista!M$98:$AG$135,16,FALSE), "DNS")))), IF(Deltagarlista!$K$3=1,IF(ISBLANK(Deltagarlista!$C52),"",IF(ISBLANK(Arrangörslista!M$98),"",IFERROR(VLOOKUP($F26,Arrangörslista!M$98:$AG$135,16,FALSE), "DNS"))),""))</f>
        <v/>
      </c>
      <c r="AY26" s="5" t="str">
        <f>IF(Deltagarlista!$K$3=2,
IF(ISBLANK(Deltagarlista!$C52),"",IF(ISBLANK(Arrangörslista!N$98),"",IF($GV26=AY$64," DNS ",IFERROR(VLOOKUP($F26,Arrangörslista!N$98:$AG$135,16,FALSE), "DNS")))), IF(Deltagarlista!$K$3=1,IF(ISBLANK(Deltagarlista!$C52),"",IF(ISBLANK(Arrangörslista!N$98),"",IFERROR(VLOOKUP($F26,Arrangörslista!N$98:$AG$135,16,FALSE), "DNS"))),""))</f>
        <v/>
      </c>
      <c r="AZ26" s="5" t="str">
        <f>IF(Deltagarlista!$K$3=2,
IF(ISBLANK(Deltagarlista!$C52),"",IF(ISBLANK(Arrangörslista!O$98),"",IF($GV26=AZ$64," DNS ",IFERROR(VLOOKUP($F26,Arrangörslista!O$98:$AG$135,16,FALSE), "DNS")))), IF(Deltagarlista!$K$3=1,IF(ISBLANK(Deltagarlista!$C52),"",IF(ISBLANK(Arrangörslista!O$98),"",IFERROR(VLOOKUP($F26,Arrangörslista!O$98:$AG$135,16,FALSE), "DNS"))),""))</f>
        <v/>
      </c>
      <c r="BA26" s="5" t="str">
        <f>IF(Deltagarlista!$K$3=2,
IF(ISBLANK(Deltagarlista!$C52),"",IF(ISBLANK(Arrangörslista!P$98),"",IF($GV26=BA$64," DNS ",IFERROR(VLOOKUP($F26,Arrangörslista!P$98:$AG$135,16,FALSE), "DNS")))), IF(Deltagarlista!$K$3=1,IF(ISBLANK(Deltagarlista!$C52),"",IF(ISBLANK(Arrangörslista!P$98),"",IFERROR(VLOOKUP($F26,Arrangörslista!P$98:$AG$135,16,FALSE), "DNS"))),""))</f>
        <v/>
      </c>
      <c r="BB26" s="5" t="str">
        <f>IF(Deltagarlista!$K$3=2,
IF(ISBLANK(Deltagarlista!$C52),"",IF(ISBLANK(Arrangörslista!Q$98),"",IF($GV26=BB$64," DNS ",IFERROR(VLOOKUP($F26,Arrangörslista!Q$98:$AG$135,16,FALSE), "DNS")))), IF(Deltagarlista!$K$3=1,IF(ISBLANK(Deltagarlista!$C52),"",IF(ISBLANK(Arrangörslista!Q$98),"",IFERROR(VLOOKUP($F26,Arrangörslista!Q$98:$AG$135,16,FALSE), "DNS"))),""))</f>
        <v/>
      </c>
      <c r="BC26" s="5" t="str">
        <f>IF(Deltagarlista!$K$3=2,
IF(ISBLANK(Deltagarlista!$C52),"",IF(ISBLANK(Arrangörslista!C$143),"",IF($GV26=BC$64," DNS ",IFERROR(VLOOKUP($F26,Arrangörslista!C$143:$AG$180,16,FALSE), "DNS")))), IF(Deltagarlista!$K$3=1,IF(ISBLANK(Deltagarlista!$C52),"",IF(ISBLANK(Arrangörslista!C$143),"",IFERROR(VLOOKUP($F26,Arrangörslista!C$143:$AG$180,16,FALSE), "DNS"))),""))</f>
        <v/>
      </c>
      <c r="BD26" s="5" t="str">
        <f>IF(Deltagarlista!$K$3=2,
IF(ISBLANK(Deltagarlista!$C52),"",IF(ISBLANK(Arrangörslista!D$143),"",IF($GV26=BD$64," DNS ",IFERROR(VLOOKUP($F26,Arrangörslista!D$143:$AG$180,16,FALSE), "DNS")))), IF(Deltagarlista!$K$3=1,IF(ISBLANK(Deltagarlista!$C52),"",IF(ISBLANK(Arrangörslista!D$143),"",IFERROR(VLOOKUP($F26,Arrangörslista!D$143:$AG$180,16,FALSE), "DNS"))),""))</f>
        <v/>
      </c>
      <c r="BE26" s="5" t="str">
        <f>IF(Deltagarlista!$K$3=2,
IF(ISBLANK(Deltagarlista!$C52),"",IF(ISBLANK(Arrangörslista!E$143),"",IF($GV26=BE$64," DNS ",IFERROR(VLOOKUP($F26,Arrangörslista!E$143:$AG$180,16,FALSE), "DNS")))), IF(Deltagarlista!$K$3=1,IF(ISBLANK(Deltagarlista!$C52),"",IF(ISBLANK(Arrangörslista!E$143),"",IFERROR(VLOOKUP($F26,Arrangörslista!E$143:$AG$180,16,FALSE), "DNS"))),""))</f>
        <v/>
      </c>
      <c r="BF26" s="5" t="str">
        <f>IF(Deltagarlista!$K$3=2,
IF(ISBLANK(Deltagarlista!$C52),"",IF(ISBLANK(Arrangörslista!F$143),"",IF($GV26=BF$64," DNS ",IFERROR(VLOOKUP($F26,Arrangörslista!F$143:$AG$180,16,FALSE), "DNS")))), IF(Deltagarlista!$K$3=1,IF(ISBLANK(Deltagarlista!$C52),"",IF(ISBLANK(Arrangörslista!F$143),"",IFERROR(VLOOKUP($F26,Arrangörslista!F$143:$AG$180,16,FALSE), "DNS"))),""))</f>
        <v/>
      </c>
      <c r="BG26" s="5" t="str">
        <f>IF(Deltagarlista!$K$3=2,
IF(ISBLANK(Deltagarlista!$C52),"",IF(ISBLANK(Arrangörslista!G$143),"",IF($GV26=BG$64," DNS ",IFERROR(VLOOKUP($F26,Arrangörslista!G$143:$AG$180,16,FALSE), "DNS")))), IF(Deltagarlista!$K$3=1,IF(ISBLANK(Deltagarlista!$C52),"",IF(ISBLANK(Arrangörslista!G$143),"",IFERROR(VLOOKUP($F26,Arrangörslista!G$143:$AG$180,16,FALSE), "DNS"))),""))</f>
        <v/>
      </c>
      <c r="BH26" s="5" t="str">
        <f>IF(Deltagarlista!$K$3=2,
IF(ISBLANK(Deltagarlista!$C52),"",IF(ISBLANK(Arrangörslista!H$143),"",IF($GV26=BH$64," DNS ",IFERROR(VLOOKUP($F26,Arrangörslista!H$143:$AG$180,16,FALSE), "DNS")))), IF(Deltagarlista!$K$3=1,IF(ISBLANK(Deltagarlista!$C52),"",IF(ISBLANK(Arrangörslista!H$143),"",IFERROR(VLOOKUP($F26,Arrangörslista!H$143:$AG$180,16,FALSE), "DNS"))),""))</f>
        <v/>
      </c>
      <c r="BI26" s="5" t="str">
        <f>IF(Deltagarlista!$K$3=2,
IF(ISBLANK(Deltagarlista!$C52),"",IF(ISBLANK(Arrangörslista!I$143),"",IF($GV26=BI$64," DNS ",IFERROR(VLOOKUP($F26,Arrangörslista!I$143:$AG$180,16,FALSE), "DNS")))), IF(Deltagarlista!$K$3=1,IF(ISBLANK(Deltagarlista!$C52),"",IF(ISBLANK(Arrangörslista!I$143),"",IFERROR(VLOOKUP($F26,Arrangörslista!I$143:$AG$180,16,FALSE), "DNS"))),""))</f>
        <v/>
      </c>
      <c r="BJ26" s="5" t="str">
        <f>IF(Deltagarlista!$K$3=2,
IF(ISBLANK(Deltagarlista!$C52),"",IF(ISBLANK(Arrangörslista!J$143),"",IF($GV26=BJ$64," DNS ",IFERROR(VLOOKUP($F26,Arrangörslista!J$143:$AG$180,16,FALSE), "DNS")))), IF(Deltagarlista!$K$3=1,IF(ISBLANK(Deltagarlista!$C52),"",IF(ISBLANK(Arrangörslista!J$143),"",IFERROR(VLOOKUP($F26,Arrangörslista!J$143:$AG$180,16,FALSE), "DNS"))),""))</f>
        <v/>
      </c>
      <c r="BK26" s="5" t="str">
        <f>IF(Deltagarlista!$K$3=2,
IF(ISBLANK(Deltagarlista!$C52),"",IF(ISBLANK(Arrangörslista!K$143),"",IF($GV26=BK$64," DNS ",IFERROR(VLOOKUP($F26,Arrangörslista!K$143:$AG$180,16,FALSE), "DNS")))), IF(Deltagarlista!$K$3=1,IF(ISBLANK(Deltagarlista!$C52),"",IF(ISBLANK(Arrangörslista!K$143),"",IFERROR(VLOOKUP($F26,Arrangörslista!K$143:$AG$180,16,FALSE), "DNS"))),""))</f>
        <v/>
      </c>
      <c r="BL26" s="5" t="str">
        <f>IF(Deltagarlista!$K$3=2,
IF(ISBLANK(Deltagarlista!$C52),"",IF(ISBLANK(Arrangörslista!L$143),"",IF($GV26=BL$64," DNS ",IFERROR(VLOOKUP($F26,Arrangörslista!L$143:$AG$180,16,FALSE), "DNS")))), IF(Deltagarlista!$K$3=1,IF(ISBLANK(Deltagarlista!$C52),"",IF(ISBLANK(Arrangörslista!L$143),"",IFERROR(VLOOKUP($F26,Arrangörslista!L$143:$AG$180,16,FALSE), "DNS"))),""))</f>
        <v/>
      </c>
      <c r="BM26" s="5" t="str">
        <f>IF(Deltagarlista!$K$3=2,
IF(ISBLANK(Deltagarlista!$C52),"",IF(ISBLANK(Arrangörslista!M$143),"",IF($GV26=BM$64," DNS ",IFERROR(VLOOKUP($F26,Arrangörslista!M$143:$AG$180,16,FALSE), "DNS")))), IF(Deltagarlista!$K$3=1,IF(ISBLANK(Deltagarlista!$C52),"",IF(ISBLANK(Arrangörslista!M$143),"",IFERROR(VLOOKUP($F26,Arrangörslista!M$143:$AG$180,16,FALSE), "DNS"))),""))</f>
        <v/>
      </c>
      <c r="BN26" s="5" t="str">
        <f>IF(Deltagarlista!$K$3=2,
IF(ISBLANK(Deltagarlista!$C52),"",IF(ISBLANK(Arrangörslista!N$143),"",IF($GV26=BN$64," DNS ",IFERROR(VLOOKUP($F26,Arrangörslista!N$143:$AG$180,16,FALSE), "DNS")))), IF(Deltagarlista!$K$3=1,IF(ISBLANK(Deltagarlista!$C52),"",IF(ISBLANK(Arrangörslista!N$143),"",IFERROR(VLOOKUP($F26,Arrangörslista!N$143:$AG$180,16,FALSE), "DNS"))),""))</f>
        <v/>
      </c>
      <c r="BO26" s="5" t="str">
        <f>IF(Deltagarlista!$K$3=2,
IF(ISBLANK(Deltagarlista!$C52),"",IF(ISBLANK(Arrangörslista!O$143),"",IF($GV26=BO$64," DNS ",IFERROR(VLOOKUP($F26,Arrangörslista!O$143:$AG$180,16,FALSE), "DNS")))), IF(Deltagarlista!$K$3=1,IF(ISBLANK(Deltagarlista!$C52),"",IF(ISBLANK(Arrangörslista!O$143),"",IFERROR(VLOOKUP($F26,Arrangörslista!O$143:$AG$180,16,FALSE), "DNS"))),""))</f>
        <v/>
      </c>
      <c r="BP26" s="5" t="str">
        <f>IF(Deltagarlista!$K$3=2,
IF(ISBLANK(Deltagarlista!$C52),"",IF(ISBLANK(Arrangörslista!P$143),"",IF($GV26=BP$64," DNS ",IFERROR(VLOOKUP($F26,Arrangörslista!P$143:$AG$180,16,FALSE), "DNS")))), IF(Deltagarlista!$K$3=1,IF(ISBLANK(Deltagarlista!$C52),"",IF(ISBLANK(Arrangörslista!P$143),"",IFERROR(VLOOKUP($F26,Arrangörslista!P$143:$AG$180,16,FALSE), "DNS"))),""))</f>
        <v/>
      </c>
      <c r="BQ26" s="80" t="str">
        <f>IF(Deltagarlista!$K$3=2,
IF(ISBLANK(Deltagarlista!$C52),"",IF(ISBLANK(Arrangörslista!Q$143),"",IF($GV26=BQ$64," DNS ",IFERROR(VLOOKUP($F26,Arrangörslista!Q$143:$AG$180,16,FALSE), "DNS")))), IF(Deltagarlista!$K$3=1,IF(ISBLANK(Deltagarlista!$C52),"",IF(ISBLANK(Arrangörslista!Q$143),"",IFERROR(VLOOKUP($F26,Arrangörslista!Q$143:$AG$180,16,FALSE), "DNS"))),""))</f>
        <v/>
      </c>
      <c r="BR26" s="48"/>
      <c r="BS26" s="50" t="str">
        <f t="shared" si="0"/>
        <v>2</v>
      </c>
      <c r="BU26" s="71">
        <f t="shared" si="1"/>
        <v>0</v>
      </c>
      <c r="BV26" s="61">
        <f t="shared" si="2"/>
        <v>0</v>
      </c>
      <c r="BW26" s="61">
        <f t="shared" si="3"/>
        <v>0</v>
      </c>
      <c r="BX26" s="61">
        <f t="shared" si="4"/>
        <v>0</v>
      </c>
      <c r="BY26" s="61">
        <f t="shared" si="5"/>
        <v>0</v>
      </c>
      <c r="BZ26" s="61">
        <f t="shared" si="6"/>
        <v>0</v>
      </c>
      <c r="CA26" s="61">
        <f t="shared" si="7"/>
        <v>0</v>
      </c>
      <c r="CB26" s="61">
        <f t="shared" si="8"/>
        <v>0</v>
      </c>
      <c r="CC26" s="61">
        <f t="shared" si="9"/>
        <v>0</v>
      </c>
      <c r="CD26" s="61">
        <f t="shared" si="10"/>
        <v>0</v>
      </c>
      <c r="CE26" s="61">
        <f t="shared" si="11"/>
        <v>0</v>
      </c>
      <c r="CF26" s="61">
        <f t="shared" si="12"/>
        <v>0</v>
      </c>
      <c r="CG26" s="61">
        <f t="shared" si="13"/>
        <v>0</v>
      </c>
      <c r="CH26" s="61">
        <f t="shared" si="14"/>
        <v>0</v>
      </c>
      <c r="CI26" s="61">
        <f t="shared" si="15"/>
        <v>0</v>
      </c>
      <c r="CJ26" s="61">
        <f t="shared" si="16"/>
        <v>0</v>
      </c>
      <c r="CK26" s="61">
        <f t="shared" si="17"/>
        <v>0</v>
      </c>
      <c r="CL26" s="61">
        <f t="shared" si="18"/>
        <v>0</v>
      </c>
      <c r="CM26" s="61">
        <f t="shared" si="19"/>
        <v>0</v>
      </c>
      <c r="CN26" s="61">
        <f t="shared" si="20"/>
        <v>0</v>
      </c>
      <c r="CO26" s="61">
        <f t="shared" si="21"/>
        <v>0</v>
      </c>
      <c r="CP26" s="61">
        <f t="shared" si="22"/>
        <v>0</v>
      </c>
      <c r="CQ26" s="61">
        <f t="shared" si="23"/>
        <v>0</v>
      </c>
      <c r="CR26" s="61">
        <f t="shared" si="24"/>
        <v>0</v>
      </c>
      <c r="CS26" s="61">
        <f t="shared" si="25"/>
        <v>0</v>
      </c>
      <c r="CT26" s="61">
        <f t="shared" si="26"/>
        <v>0</v>
      </c>
      <c r="CU26" s="61">
        <f t="shared" si="27"/>
        <v>0</v>
      </c>
      <c r="CV26" s="61">
        <f t="shared" si="28"/>
        <v>0</v>
      </c>
      <c r="CW26" s="61">
        <f t="shared" si="29"/>
        <v>0</v>
      </c>
      <c r="CX26" s="61">
        <f t="shared" si="30"/>
        <v>0</v>
      </c>
      <c r="CY26" s="61">
        <f t="shared" si="31"/>
        <v>0</v>
      </c>
      <c r="CZ26" s="61">
        <f t="shared" si="32"/>
        <v>0</v>
      </c>
      <c r="DA26" s="61">
        <f t="shared" si="33"/>
        <v>0</v>
      </c>
      <c r="DB26" s="61">
        <f t="shared" si="34"/>
        <v>0</v>
      </c>
      <c r="DC26" s="61">
        <f t="shared" si="35"/>
        <v>0</v>
      </c>
      <c r="DD26" s="61">
        <f t="shared" si="36"/>
        <v>0</v>
      </c>
      <c r="DE26" s="61">
        <f t="shared" si="37"/>
        <v>0</v>
      </c>
      <c r="DF26" s="61">
        <f t="shared" si="38"/>
        <v>0</v>
      </c>
      <c r="DG26" s="61">
        <f t="shared" si="39"/>
        <v>0</v>
      </c>
      <c r="DH26" s="61">
        <f t="shared" si="40"/>
        <v>0</v>
      </c>
      <c r="DI26" s="61">
        <f t="shared" si="41"/>
        <v>0</v>
      </c>
      <c r="DJ26" s="61">
        <f t="shared" si="42"/>
        <v>0</v>
      </c>
      <c r="DK26" s="61">
        <f t="shared" si="43"/>
        <v>0</v>
      </c>
      <c r="DL26" s="61">
        <f t="shared" si="44"/>
        <v>0</v>
      </c>
      <c r="DM26" s="61">
        <f t="shared" si="45"/>
        <v>0</v>
      </c>
      <c r="DN26" s="61">
        <f t="shared" si="46"/>
        <v>0</v>
      </c>
      <c r="DO26" s="61">
        <f t="shared" si="47"/>
        <v>0</v>
      </c>
      <c r="DP26" s="61">
        <f t="shared" si="48"/>
        <v>0</v>
      </c>
      <c r="DQ26" s="61">
        <f t="shared" si="49"/>
        <v>0</v>
      </c>
      <c r="DR26" s="61">
        <f t="shared" si="50"/>
        <v>0</v>
      </c>
      <c r="DS26" s="61">
        <f t="shared" si="51"/>
        <v>0</v>
      </c>
      <c r="DT26" s="61">
        <f t="shared" si="52"/>
        <v>0</v>
      </c>
      <c r="DU26" s="61">
        <f t="shared" si="53"/>
        <v>0</v>
      </c>
      <c r="DV26" s="61">
        <f t="shared" si="54"/>
        <v>0</v>
      </c>
      <c r="DW26" s="61">
        <f t="shared" si="55"/>
        <v>0</v>
      </c>
      <c r="DX26" s="61">
        <f t="shared" si="56"/>
        <v>0</v>
      </c>
      <c r="DY26" s="61">
        <f t="shared" si="57"/>
        <v>0</v>
      </c>
      <c r="DZ26" s="61">
        <f t="shared" si="58"/>
        <v>0</v>
      </c>
      <c r="EA26" s="61">
        <f t="shared" si="59"/>
        <v>0</v>
      </c>
      <c r="EB26" s="61">
        <f t="shared" si="60"/>
        <v>0</v>
      </c>
      <c r="EC26" s="61">
        <f t="shared" si="61"/>
        <v>0</v>
      </c>
      <c r="EE26" s="61">
        <f xml:space="preserve">
IF(OR(Deltagarlista!$K$3=3,Deltagarlista!$K$3=4),
IF(Arrangörslista!$U$5&lt;8,0,
IF(Arrangörslista!$U$5&lt;16,SUM(LARGE(BV26:CJ26,1)),
IF(Arrangörslista!$U$5&lt;24,SUM(LARGE(BV26:CR26,{1;2})),
IF(Arrangörslista!$U$5&lt;32,SUM(LARGE(BV26:CZ26,{1;2;3})),
IF(Arrangörslista!$U$5&lt;40,SUM(LARGE(BV26:DH26,{1;2;3;4})),
IF(Arrangörslista!$U$5&lt;48,SUM(LARGE(BV26:DP26,{1;2;3;4;5})),
IF(Arrangörslista!$U$5&lt;56,SUM(LARGE(BV26:DX26,{1;2;3;4;5;6})),
IF(Arrangörslista!$U$5&lt;64,SUM(LARGE(BV26:EC26,{1;2;3;4;5;6;7})),0)))))))),
IF(Deltagarlista!$K$3=2,
IF(Arrangörslista!$U$5&lt;4,LARGE(BV26:BX26,1),
IF(Arrangörslista!$U$5&lt;7,SUM(LARGE(BV26:CA26,{1;2;3})),
IF(Arrangörslista!$U$5&lt;10,SUM(LARGE(BV26:CD26,{1;2;3;4})),
IF(Arrangörslista!$U$5&lt;13,SUM(LARGE(BV26:CG26,{1;2;3;4;5;6})),
IF(Arrangörslista!$U$5&lt;16,SUM(LARGE(BV26:CJ26,{1;2;3;4;5;6;7})),
IF(Arrangörslista!$U$5&lt;19,SUM(LARGE(BV26:CM26,{1;2;3;4;5;6;7;8;9})),
IF(Arrangörslista!$U$5&lt;22,SUM(LARGE(BV26:CP26,{1;2;3;4;5;6;7;8;9;10})),
IF(Arrangörslista!$U$5&lt;25,SUM(LARGE(BV26:CS26,{1;2;3;4;5;6;7;8;9;10;11;12})),
IF(Arrangörslista!$U$5&lt;28,SUM(LARGE(BV26:CV26,{1;2;3;4;5;6;7;8;9;10;11;12;13})),
IF(Arrangörslista!$U$5&lt;31,SUM(LARGE(BV26:CY26,{1;2;3;4;5;6;7;8;9;10;11;12;13;14;15})),
IF(Arrangörslista!$U$5&lt;34,SUM(LARGE(BV26:DB26,{1;2;3;4;5;6;7;8;9;10;11;12;13;14;15;16})),
IF(Arrangörslista!$U$5&lt;37,SUM(LARGE(BV26:DE26,{1;2;3;4;5;6;7;8;9;10;11;12;13;14;15;16;17;18})),
IF(Arrangörslista!$U$5&lt;40,SUM(LARGE(BV26:DH26,{1;2;3;4;5;6;7;8;9;10;11;12;13;14;15;16;17;18;19})),
IF(Arrangörslista!$U$5&lt;43,SUM(LARGE(BV26:DK26,{1;2;3;4;5;6;7;8;9;10;11;12;13;14;15;16;17;18;19;20;21})),
IF(Arrangörslista!$U$5&lt;46,SUM(LARGE(BV26:DN26,{1;2;3;4;5;6;7;8;9;10;11;12;13;14;15;16;17;18;19;20;21;22})),
IF(Arrangörslista!$U$5&lt;49,SUM(LARGE(BV26:DQ26,{1;2;3;4;5;6;7;8;9;10;11;12;13;14;15;16;17;18;19;20;21;22;23;24})),
IF(Arrangörslista!$U$5&lt;52,SUM(LARGE(BV26:DT26,{1;2;3;4;5;6;7;8;9;10;11;12;13;14;15;16;17;18;19;20;21;22;23;24;25})),
IF(Arrangörslista!$U$5&lt;55,SUM(LARGE(BV26:DW26,{1;2;3;4;5;6;7;8;9;10;11;12;13;14;15;16;17;18;19;20;21;22;23;24;25;26;27})),
IF(Arrangörslista!$U$5&lt;58,SUM(LARGE(BV26:DZ26,{1;2;3;4;5;6;7;8;9;10;11;12;13;14;15;16;17;18;19;20;21;22;23;24;25;26;27;28})),
IF(Arrangörslista!$U$5&lt;61,SUM(LARGE(BV26:EC26,{1;2;3;4;5;6;7;8;9;10;11;12;13;14;15;16;17;18;19;20;21;22;23;24;25;26;27;28;29;30})),0)))))))))))))))))))),
IF(Arrangörslista!$U$5&lt;4,0,
IF(Arrangörslista!$U$5&lt;8,SUM(LARGE(BV26:CB26,1)),
IF(Arrangörslista!$U$5&lt;12,SUM(LARGE(BV26:CF26,{1;2})),
IF(Arrangörslista!$U$5&lt;16,SUM(LARGE(BV26:CJ26,{1;2;3})),
IF(Arrangörslista!$U$5&lt;20,SUM(LARGE(BV26:CN26,{1;2;3;4})),
IF(Arrangörslista!$U$5&lt;24,SUM(LARGE(BV26:CR26,{1;2;3;4;5})),
IF(Arrangörslista!$U$5&lt;28,SUM(LARGE(BV26:CV26,{1;2;3;4;5;6})),
IF(Arrangörslista!$U$5&lt;32,SUM(LARGE(BV26:CZ26,{1;2;3;4;5;6;7})),
IF(Arrangörslista!$U$5&lt;36,SUM(LARGE(BV26:DD26,{1;2;3;4;5;6;7;8})),
IF(Arrangörslista!$U$5&lt;40,SUM(LARGE(BV26:DH26,{1;2;3;4;5;6;7;8;9})),
IF(Arrangörslista!$U$5&lt;44,SUM(LARGE(BV26:DL26,{1;2;3;4;5;6;7;8;9;10})),
IF(Arrangörslista!$U$5&lt;48,SUM(LARGE(BV26:DP26,{1;2;3;4;5;6;7;8;9;10;11})),
IF(Arrangörslista!$U$5&lt;52,SUM(LARGE(BV26:DT26,{1;2;3;4;5;6;7;8;9;10;11;12})),
IF(Arrangörslista!$U$5&lt;56,SUM(LARGE(BV26:DX26,{1;2;3;4;5;6;7;8;9;10;11;12;13})),
IF(Arrangörslista!$U$5&lt;60,SUM(LARGE(BV26:EB26,{1;2;3;4;5;6;7;8;9;10;11;12;13;14})),
IF(Arrangörslista!$U$5=60,SUM(LARGE(BV26:EC26,{1;2;3;4;5;6;7;8;9;10;11;12;13;14;15})),0))))))))))))))))))</f>
        <v>0</v>
      </c>
      <c r="EG26" s="67">
        <f t="shared" si="62"/>
        <v>0</v>
      </c>
      <c r="EH26" s="61"/>
      <c r="EI26" s="61"/>
      <c r="EK26" s="62">
        <f t="shared" si="63"/>
        <v>61</v>
      </c>
      <c r="EL26" s="62">
        <f t="shared" si="64"/>
        <v>61</v>
      </c>
      <c r="EM26" s="62">
        <f t="shared" si="65"/>
        <v>61</v>
      </c>
      <c r="EN26" s="62">
        <f t="shared" si="66"/>
        <v>61</v>
      </c>
      <c r="EO26" s="62">
        <f t="shared" si="67"/>
        <v>61</v>
      </c>
      <c r="EP26" s="62">
        <f t="shared" si="68"/>
        <v>61</v>
      </c>
      <c r="EQ26" s="62">
        <f t="shared" si="69"/>
        <v>61</v>
      </c>
      <c r="ER26" s="62">
        <f t="shared" si="70"/>
        <v>61</v>
      </c>
      <c r="ES26" s="62">
        <f t="shared" si="71"/>
        <v>61</v>
      </c>
      <c r="ET26" s="62">
        <f t="shared" si="72"/>
        <v>61</v>
      </c>
      <c r="EU26" s="62">
        <f t="shared" si="73"/>
        <v>61</v>
      </c>
      <c r="EV26" s="62">
        <f t="shared" si="74"/>
        <v>61</v>
      </c>
      <c r="EW26" s="62">
        <f t="shared" si="75"/>
        <v>61</v>
      </c>
      <c r="EX26" s="62">
        <f t="shared" si="76"/>
        <v>61</v>
      </c>
      <c r="EY26" s="62">
        <f t="shared" si="77"/>
        <v>61</v>
      </c>
      <c r="EZ26" s="62">
        <f t="shared" si="78"/>
        <v>61</v>
      </c>
      <c r="FA26" s="62">
        <f t="shared" si="79"/>
        <v>61</v>
      </c>
      <c r="FB26" s="62">
        <f t="shared" si="80"/>
        <v>61</v>
      </c>
      <c r="FC26" s="62">
        <f t="shared" si="81"/>
        <v>61</v>
      </c>
      <c r="FD26" s="62">
        <f t="shared" si="82"/>
        <v>61</v>
      </c>
      <c r="FE26" s="62">
        <f t="shared" si="83"/>
        <v>61</v>
      </c>
      <c r="FF26" s="62">
        <f t="shared" si="84"/>
        <v>61</v>
      </c>
      <c r="FG26" s="62">
        <f t="shared" si="85"/>
        <v>61</v>
      </c>
      <c r="FH26" s="62">
        <f t="shared" si="86"/>
        <v>61</v>
      </c>
      <c r="FI26" s="62">
        <f t="shared" si="87"/>
        <v>61</v>
      </c>
      <c r="FJ26" s="62">
        <f t="shared" si="88"/>
        <v>61</v>
      </c>
      <c r="FK26" s="62">
        <f t="shared" si="89"/>
        <v>61</v>
      </c>
      <c r="FL26" s="62">
        <f t="shared" si="90"/>
        <v>61</v>
      </c>
      <c r="FM26" s="62">
        <f t="shared" si="91"/>
        <v>61</v>
      </c>
      <c r="FN26" s="62">
        <f t="shared" si="92"/>
        <v>61</v>
      </c>
      <c r="FO26" s="62">
        <f t="shared" si="93"/>
        <v>61</v>
      </c>
      <c r="FP26" s="62">
        <f t="shared" si="94"/>
        <v>61</v>
      </c>
      <c r="FQ26" s="62">
        <f t="shared" si="95"/>
        <v>61</v>
      </c>
      <c r="FR26" s="62">
        <f t="shared" si="96"/>
        <v>61</v>
      </c>
      <c r="FS26" s="62">
        <f t="shared" si="97"/>
        <v>61</v>
      </c>
      <c r="FT26" s="62">
        <f t="shared" si="98"/>
        <v>61</v>
      </c>
      <c r="FU26" s="62">
        <f t="shared" si="99"/>
        <v>61</v>
      </c>
      <c r="FV26" s="62">
        <f t="shared" si="100"/>
        <v>61</v>
      </c>
      <c r="FW26" s="62">
        <f t="shared" si="101"/>
        <v>61</v>
      </c>
      <c r="FX26" s="62">
        <f t="shared" si="102"/>
        <v>61</v>
      </c>
      <c r="FY26" s="62">
        <f t="shared" si="103"/>
        <v>61</v>
      </c>
      <c r="FZ26" s="62">
        <f t="shared" si="104"/>
        <v>61</v>
      </c>
      <c r="GA26" s="62">
        <f t="shared" si="105"/>
        <v>61</v>
      </c>
      <c r="GB26" s="62">
        <f t="shared" si="106"/>
        <v>61</v>
      </c>
      <c r="GC26" s="62">
        <f t="shared" si="107"/>
        <v>61</v>
      </c>
      <c r="GD26" s="62">
        <f t="shared" si="108"/>
        <v>61</v>
      </c>
      <c r="GE26" s="62">
        <f t="shared" si="109"/>
        <v>61</v>
      </c>
      <c r="GF26" s="62">
        <f t="shared" si="110"/>
        <v>61</v>
      </c>
      <c r="GG26" s="62">
        <f t="shared" si="111"/>
        <v>61</v>
      </c>
      <c r="GH26" s="62">
        <f t="shared" si="112"/>
        <v>61</v>
      </c>
      <c r="GI26" s="62">
        <f t="shared" si="113"/>
        <v>61</v>
      </c>
      <c r="GJ26" s="62">
        <f t="shared" si="114"/>
        <v>61</v>
      </c>
      <c r="GK26" s="62">
        <f t="shared" si="115"/>
        <v>61</v>
      </c>
      <c r="GL26" s="62">
        <f t="shared" si="116"/>
        <v>61</v>
      </c>
      <c r="GM26" s="62">
        <f t="shared" si="117"/>
        <v>61</v>
      </c>
      <c r="GN26" s="62">
        <f t="shared" si="118"/>
        <v>61</v>
      </c>
      <c r="GO26" s="62">
        <f t="shared" si="119"/>
        <v>61</v>
      </c>
      <c r="GP26" s="62">
        <f t="shared" si="120"/>
        <v>61</v>
      </c>
      <c r="GQ26" s="62">
        <f t="shared" si="121"/>
        <v>61</v>
      </c>
      <c r="GR26" s="62">
        <f t="shared" si="122"/>
        <v>61</v>
      </c>
      <c r="GT26" s="62">
        <f>IF(Deltagarlista!$K$3=2,
IF(GW26="1",
      IF(Arrangörslista!$U$5=1,J89,
IF(Arrangörslista!$U$5=2,K89,
IF(Arrangörslista!$U$5=3,L89,
IF(Arrangörslista!$U$5=4,M89,
IF(Arrangörslista!$U$5=5,N89,
IF(Arrangörslista!$U$5=6,O89,
IF(Arrangörslista!$U$5=7,P89,
IF(Arrangörslista!$U$5=8,Q89,
IF(Arrangörslista!$U$5=9,R89,
IF(Arrangörslista!$U$5=10,S89,
IF(Arrangörslista!$U$5=11,T89,
IF(Arrangörslista!$U$5=12,U89,
IF(Arrangörslista!$U$5=13,V89,
IF(Arrangörslista!$U$5=14,W89,
IF(Arrangörslista!$U$5=15,X89,
IF(Arrangörslista!$U$5=16,Y89,IF(Arrangörslista!$U$5=17,Z89,IF(Arrangörslista!$U$5=18,AA89,IF(Arrangörslista!$U$5=19,AB89,IF(Arrangörslista!$U$5=20,AC89,IF(Arrangörslista!$U$5=21,AD89,IF(Arrangörslista!$U$5=22,AE89,IF(Arrangörslista!$U$5=23,AF89, IF(Arrangörslista!$U$5=24,AG89, IF(Arrangörslista!$U$5=25,AH89, IF(Arrangörslista!$U$5=26,AI89, IF(Arrangörslista!$U$5=27,AJ89, IF(Arrangörslista!$U$5=28,AK89, IF(Arrangörslista!$U$5=29,AL89, IF(Arrangörslista!$U$5=30,AM89, IF(Arrangörslista!$U$5=31,AN89, IF(Arrangörslista!$U$5=32,AO89, IF(Arrangörslista!$U$5=33,AP89, IF(Arrangörslista!$U$5=34,AQ89, IF(Arrangörslista!$U$5=35,AR89, IF(Arrangörslista!$U$5=36,AS89, IF(Arrangörslista!$U$5=37,AT89, IF(Arrangörslista!$U$5=38,AU89, IF(Arrangörslista!$U$5=39,AV89, IF(Arrangörslista!$U$5=40,AW89, IF(Arrangörslista!$U$5=41,AX89, IF(Arrangörslista!$U$5=42,AY89, IF(Arrangörslista!$U$5=43,AZ89, IF(Arrangörslista!$U$5=44,BA89, IF(Arrangörslista!$U$5=45,BB89, IF(Arrangörslista!$U$5=46,BC89, IF(Arrangörslista!$U$5=47,BD89, IF(Arrangörslista!$U$5=48,BE89, IF(Arrangörslista!$U$5=49,BF89, IF(Arrangörslista!$U$5=50,BG89, IF(Arrangörslista!$U$5=51,BH89, IF(Arrangörslista!$U$5=52,BI89, IF(Arrangörslista!$U$5=53,BJ89, IF(Arrangörslista!$U$5=54,BK89, IF(Arrangörslista!$U$5=55,BL89, IF(Arrangörslista!$U$5=56,BM89, IF(Arrangörslista!$U$5=57,BN89, IF(Arrangörslista!$U$5=58,BO89, IF(Arrangörslista!$U$5=59,BP89, IF(Arrangörslista!$U$5=60,BQ89,0))))))))))))))))))))))))))))))))))))))))))))))))))))))))))))),IF(Deltagarlista!$K$3=4, IF(Arrangörslista!$U$5=1,J89,
IF(Arrangörslista!$U$5=2,J89,
IF(Arrangörslista!$U$5=3,K89,
IF(Arrangörslista!$U$5=4,K89,
IF(Arrangörslista!$U$5=5,L89,
IF(Arrangörslista!$U$5=6,L89,
IF(Arrangörslista!$U$5=7,M89,
IF(Arrangörslista!$U$5=8,M89,
IF(Arrangörslista!$U$5=9,N89,
IF(Arrangörslista!$U$5=10,N89,
IF(Arrangörslista!$U$5=11,O89,
IF(Arrangörslista!$U$5=12,O89,
IF(Arrangörslista!$U$5=13,P89,
IF(Arrangörslista!$U$5=14,P89,
IF(Arrangörslista!$U$5=15,Q89,
IF(Arrangörslista!$U$5=16,Q89,
IF(Arrangörslista!$U$5=17,R89,
IF(Arrangörslista!$U$5=18,R89,
IF(Arrangörslista!$U$5=19,S89,
IF(Arrangörslista!$U$5=20,S89,
IF(Arrangörslista!$U$5=21,T89,
IF(Arrangörslista!$U$5=22,T89,IF(Arrangörslista!$U$5=23,U89, IF(Arrangörslista!$U$5=24,U89, IF(Arrangörslista!$U$5=25,V89, IF(Arrangörslista!$U$5=26,V89, IF(Arrangörslista!$U$5=27,W89, IF(Arrangörslista!$U$5=28,W89, IF(Arrangörslista!$U$5=29,X89, IF(Arrangörslista!$U$5=30,X89, IF(Arrangörslista!$U$5=31,X89, IF(Arrangörslista!$U$5=32,Y89, IF(Arrangörslista!$U$5=33,AO89, IF(Arrangörslista!$U$5=34,Y89, IF(Arrangörslista!$U$5=35,Z89, IF(Arrangörslista!$U$5=36,AR89, IF(Arrangörslista!$U$5=37,Z89, IF(Arrangörslista!$U$5=38,AA89, IF(Arrangörslista!$U$5=39,AU89, IF(Arrangörslista!$U$5=40,AA89, IF(Arrangörslista!$U$5=41,AB89, IF(Arrangörslista!$U$5=42,AX89, IF(Arrangörslista!$U$5=43,AB89, IF(Arrangörslista!$U$5=44,AC89, IF(Arrangörslista!$U$5=45,BA89, IF(Arrangörslista!$U$5=46,AC89, IF(Arrangörslista!$U$5=47,AD89, IF(Arrangörslista!$U$5=48,BD89, IF(Arrangörslista!$U$5=49,AD89, IF(Arrangörslista!$U$5=50,AE89, IF(Arrangörslista!$U$5=51,BG89, IF(Arrangörslista!$U$5=52,AE89, IF(Arrangörslista!$U$5=53,AF89, IF(Arrangörslista!$U$5=54,BJ89, IF(Arrangörslista!$U$5=55,AF89, IF(Arrangörslista!$U$5=56,AG89, IF(Arrangörslista!$U$5=57,BM89, IF(Arrangörslista!$U$5=58,AG89, IF(Arrangörslista!$U$5=59,AH89, IF(Arrangörslista!$U$5=60,AH89,0)))))))))))))))))))))))))))))))))))))))))))))))))))))))))))),IF(Arrangörslista!$U$5=1,J89,
IF(Arrangörslista!$U$5=2,K89,
IF(Arrangörslista!$U$5=3,L89,
IF(Arrangörslista!$U$5=4,M89,
IF(Arrangörslista!$U$5=5,N89,
IF(Arrangörslista!$U$5=6,O89,
IF(Arrangörslista!$U$5=7,P89,
IF(Arrangörslista!$U$5=8,Q89,
IF(Arrangörslista!$U$5=9,R89,
IF(Arrangörslista!$U$5=10,S89,
IF(Arrangörslista!$U$5=11,T89,
IF(Arrangörslista!$U$5=12,U89,
IF(Arrangörslista!$U$5=13,V89,
IF(Arrangörslista!$U$5=14,W89,
IF(Arrangörslista!$U$5=15,X89,
IF(Arrangörslista!$U$5=16,Y89,IF(Arrangörslista!$U$5=17,Z89,IF(Arrangörslista!$U$5=18,AA89,IF(Arrangörslista!$U$5=19,AB89,IF(Arrangörslista!$U$5=20,AC89,IF(Arrangörslista!$U$5=21,AD89,IF(Arrangörslista!$U$5=22,AE89,IF(Arrangörslista!$U$5=23,AF89, IF(Arrangörslista!$U$5=24,AG89, IF(Arrangörslista!$U$5=25,AH89, IF(Arrangörslista!$U$5=26,AI89, IF(Arrangörslista!$U$5=27,AJ89, IF(Arrangörslista!$U$5=28,AK89, IF(Arrangörslista!$U$5=29,AL89, IF(Arrangörslista!$U$5=30,AM89, IF(Arrangörslista!$U$5=31,AN89, IF(Arrangörslista!$U$5=32,AO89, IF(Arrangörslista!$U$5=33,AP89, IF(Arrangörslista!$U$5=34,AQ89, IF(Arrangörslista!$U$5=35,AR89, IF(Arrangörslista!$U$5=36,AS89, IF(Arrangörslista!$U$5=37,AT89, IF(Arrangörslista!$U$5=38,AU89, IF(Arrangörslista!$U$5=39,AV89, IF(Arrangörslista!$U$5=40,AW89, IF(Arrangörslista!$U$5=41,AX89, IF(Arrangörslista!$U$5=42,AY89, IF(Arrangörslista!$U$5=43,AZ89, IF(Arrangörslista!$U$5=44,BA89, IF(Arrangörslista!$U$5=45,BB89, IF(Arrangörslista!$U$5=46,BC89, IF(Arrangörslista!$U$5=47,BD89, IF(Arrangörslista!$U$5=48,BE89, IF(Arrangörslista!$U$5=49,BF89, IF(Arrangörslista!$U$5=50,BG89, IF(Arrangörslista!$U$5=51,BH89, IF(Arrangörslista!$U$5=52,BI89, IF(Arrangörslista!$U$5=53,BJ89, IF(Arrangörslista!$U$5=54,BK89, IF(Arrangörslista!$U$5=55,BL89, IF(Arrangörslista!$U$5=56,BM89, IF(Arrangörslista!$U$5=57,BN89, IF(Arrangörslista!$U$5=58,BO89, IF(Arrangörslista!$U$5=59,BP89, IF(Arrangörslista!$U$5=60,BQ89,0))))))))))))))))))))))))))))))))))))))))))))))))))))))))))))
))</f>
        <v>0</v>
      </c>
      <c r="GV26" s="65" t="str">
        <f>IFERROR(IF(VLOOKUP(F26,Deltagarlista!$E$5:$I$64,5,FALSE)="Grön","Gr",IF(VLOOKUP(F26,Deltagarlista!$E$5:$I$64,5,FALSE)="Röd","R",IF(VLOOKUP(F26,Deltagarlista!$E$5:$I$64,5,FALSE)="Blå","B","Gu"))),"")</f>
        <v/>
      </c>
      <c r="GW26" s="62" t="str">
        <f t="shared" si="124"/>
        <v/>
      </c>
    </row>
    <row r="27" spans="2:205" x14ac:dyDescent="0.3">
      <c r="B27" s="23" t="str">
        <f>IF((COUNTIF(Deltagarlista!$H$5:$H$64,"GM"))&gt;23,24,"")</f>
        <v/>
      </c>
      <c r="C27" s="92" t="str">
        <f>IF(ISBLANK(Deltagarlista!C53),"",Deltagarlista!C53)</f>
        <v/>
      </c>
      <c r="D27" s="109" t="str">
        <f>CONCATENATE(IF(Deltagarlista!H53="GM","GM   ",""), IF(OR(Deltagarlista!$K$3=4,Deltagarlista!$K$3=2),Deltagarlista!I53,""))</f>
        <v/>
      </c>
      <c r="E27" s="8" t="str">
        <f>IF(ISBLANK(Deltagarlista!D53),"",Deltagarlista!D53)</f>
        <v/>
      </c>
      <c r="F27" s="8" t="str">
        <f>IF(ISBLANK(Deltagarlista!E53),"",Deltagarlista!E53)</f>
        <v/>
      </c>
      <c r="G27" s="95" t="str">
        <f>IF(ISBLANK(Deltagarlista!F53),"",Deltagarlista!F53)</f>
        <v/>
      </c>
      <c r="H27" s="72" t="str">
        <f>IF(ISBLANK(Deltagarlista!C53),"",BU27-EE27)</f>
        <v/>
      </c>
      <c r="I27" s="13" t="str">
        <f>IF(ISBLANK(Deltagarlista!C53),"",IF(AND(Deltagarlista!$K$3=2,Deltagarlista!$L$3&lt;37),SUM(SUM(BV27:EC27)-(ROUNDDOWN(Arrangörslista!$U$5/3,1))*($BW$3+1)),SUM(BV27:EC27)))</f>
        <v/>
      </c>
      <c r="J27" s="79" t="str">
        <f>IF(Deltagarlista!$K$3=4,IF(ISBLANK(Deltagarlista!$C53),"",IF(ISBLANK(Arrangörslista!C$8),"",IFERROR(VLOOKUP($F27,Arrangörslista!C$8:$AG$45,16,FALSE),IF(ISBLANK(Deltagarlista!$C53),"",IF(ISBLANK(Arrangörslista!C$8),"",IFERROR(VLOOKUP($F27,Arrangörslista!D$8:$AG$45,16,FALSE),"DNS")))))),IF(Deltagarlista!$K$3=2,
IF(ISBLANK(Deltagarlista!$C53),"",IF(ISBLANK(Arrangörslista!C$8),"",IF($GV27=J$64," DNS ",IFERROR(VLOOKUP($F27,Arrangörslista!C$8:$AG$45,16,FALSE),"DNS")))),IF(ISBLANK(Deltagarlista!$C53),"",IF(ISBLANK(Arrangörslista!C$8),"",IFERROR(VLOOKUP($F27,Arrangörslista!C$8:$AG$45,16,FALSE),"DNS")))))</f>
        <v/>
      </c>
      <c r="K27" s="5" t="str">
        <f>IF(Deltagarlista!$K$3=4,IF(ISBLANK(Deltagarlista!$C53),"",IF(ISBLANK(Arrangörslista!E$8),"",IFERROR(VLOOKUP($F27,Arrangörslista!E$8:$AG$45,16,FALSE),IF(ISBLANK(Deltagarlista!$C53),"",IF(ISBLANK(Arrangörslista!E$8),"",IFERROR(VLOOKUP($F27,Arrangörslista!F$8:$AG$45,16,FALSE),"DNS")))))),IF(Deltagarlista!$K$3=2,
IF(ISBLANK(Deltagarlista!$C53),"",IF(ISBLANK(Arrangörslista!D$8),"",IF($GV27=K$64," DNS ",IFERROR(VLOOKUP($F27,Arrangörslista!D$8:$AG$45,16,FALSE),"DNS")))),IF(ISBLANK(Deltagarlista!$C53),"",IF(ISBLANK(Arrangörslista!D$8),"",IFERROR(VLOOKUP($F27,Arrangörslista!D$8:$AG$45,16,FALSE),"DNS")))))</f>
        <v/>
      </c>
      <c r="L27" s="5" t="str">
        <f>IF(Deltagarlista!$K$3=4,IF(ISBLANK(Deltagarlista!$C53),"",IF(ISBLANK(Arrangörslista!G$8),"",IFERROR(VLOOKUP($F27,Arrangörslista!G$8:$AG$45,16,FALSE),IF(ISBLANK(Deltagarlista!$C53),"",IF(ISBLANK(Arrangörslista!G$8),"",IFERROR(VLOOKUP($F27,Arrangörslista!H$8:$AG$45,16,FALSE),"DNS")))))),IF(Deltagarlista!$K$3=2,
IF(ISBLANK(Deltagarlista!$C53),"",IF(ISBLANK(Arrangörslista!E$8),"",IF($GV27=L$64," DNS ",IFERROR(VLOOKUP($F27,Arrangörslista!E$8:$AG$45,16,FALSE),"DNS")))),IF(ISBLANK(Deltagarlista!$C53),"",IF(ISBLANK(Arrangörslista!E$8),"",IFERROR(VLOOKUP($F27,Arrangörslista!E$8:$AG$45,16,FALSE),"DNS")))))</f>
        <v/>
      </c>
      <c r="M27" s="5" t="str">
        <f>IF(Deltagarlista!$K$3=4,IF(ISBLANK(Deltagarlista!$C53),"",IF(ISBLANK(Arrangörslista!I$8),"",IFERROR(VLOOKUP($F27,Arrangörslista!I$8:$AG$45,16,FALSE),IF(ISBLANK(Deltagarlista!$C53),"",IF(ISBLANK(Arrangörslista!I$8),"",IFERROR(VLOOKUP($F27,Arrangörslista!J$8:$AG$45,16,FALSE),"DNS")))))),IF(Deltagarlista!$K$3=2,
IF(ISBLANK(Deltagarlista!$C53),"",IF(ISBLANK(Arrangörslista!F$8),"",IF($GV27=M$64," DNS ",IFERROR(VLOOKUP($F27,Arrangörslista!F$8:$AG$45,16,FALSE),"DNS")))),IF(ISBLANK(Deltagarlista!$C53),"",IF(ISBLANK(Arrangörslista!F$8),"",IFERROR(VLOOKUP($F27,Arrangörslista!F$8:$AG$45,16,FALSE),"DNS")))))</f>
        <v/>
      </c>
      <c r="N27" s="5" t="str">
        <f>IF(Deltagarlista!$K$3=4,IF(ISBLANK(Deltagarlista!$C53),"",IF(ISBLANK(Arrangörslista!K$8),"",IFERROR(VLOOKUP($F27,Arrangörslista!K$8:$AG$45,16,FALSE),IF(ISBLANK(Deltagarlista!$C53),"",IF(ISBLANK(Arrangörslista!K$8),"",IFERROR(VLOOKUP($F27,Arrangörslista!L$8:$AG$45,16,FALSE),"DNS")))))),IF(Deltagarlista!$K$3=2,
IF(ISBLANK(Deltagarlista!$C53),"",IF(ISBLANK(Arrangörslista!G$8),"",IF($GV27=N$64," DNS ",IFERROR(VLOOKUP($F27,Arrangörslista!G$8:$AG$45,16,FALSE),"DNS")))),IF(ISBLANK(Deltagarlista!$C53),"",IF(ISBLANK(Arrangörslista!G$8),"",IFERROR(VLOOKUP($F27,Arrangörslista!G$8:$AG$45,16,FALSE),"DNS")))))</f>
        <v/>
      </c>
      <c r="O27" s="5" t="str">
        <f>IF(Deltagarlista!$K$3=4,IF(ISBLANK(Deltagarlista!$C53),"",IF(ISBLANK(Arrangörslista!M$8),"",IFERROR(VLOOKUP($F27,Arrangörslista!M$8:$AG$45,16,FALSE),IF(ISBLANK(Deltagarlista!$C53),"",IF(ISBLANK(Arrangörslista!M$8),"",IFERROR(VLOOKUP($F27,Arrangörslista!N$8:$AG$45,16,FALSE),"DNS")))))),IF(Deltagarlista!$K$3=2,
IF(ISBLANK(Deltagarlista!$C53),"",IF(ISBLANK(Arrangörslista!H$8),"",IF($GV27=O$64," DNS ",IFERROR(VLOOKUP($F27,Arrangörslista!H$8:$AG$45,16,FALSE),"DNS")))),IF(ISBLANK(Deltagarlista!$C53),"",IF(ISBLANK(Arrangörslista!H$8),"",IFERROR(VLOOKUP($F27,Arrangörslista!H$8:$AG$45,16,FALSE),"DNS")))))</f>
        <v/>
      </c>
      <c r="P27" s="5" t="str">
        <f>IF(Deltagarlista!$K$3=4,IF(ISBLANK(Deltagarlista!$C53),"",IF(ISBLANK(Arrangörslista!O$8),"",IFERROR(VLOOKUP($F27,Arrangörslista!O$8:$AG$45,16,FALSE),IF(ISBLANK(Deltagarlista!$C53),"",IF(ISBLANK(Arrangörslista!O$8),"",IFERROR(VLOOKUP($F27,Arrangörslista!P$8:$AG$45,16,FALSE),"DNS")))))),IF(Deltagarlista!$K$3=2,
IF(ISBLANK(Deltagarlista!$C53),"",IF(ISBLANK(Arrangörslista!I$8),"",IF($GV27=P$64," DNS ",IFERROR(VLOOKUP($F27,Arrangörslista!I$8:$AG$45,16,FALSE),"DNS")))),IF(ISBLANK(Deltagarlista!$C53),"",IF(ISBLANK(Arrangörslista!I$8),"",IFERROR(VLOOKUP($F27,Arrangörslista!I$8:$AG$45,16,FALSE),"DNS")))))</f>
        <v/>
      </c>
      <c r="Q27" s="5" t="str">
        <f>IF(Deltagarlista!$K$3=4,IF(ISBLANK(Deltagarlista!$C53),"",IF(ISBLANK(Arrangörslista!Q$8),"",IFERROR(VLOOKUP($F27,Arrangörslista!Q$8:$AG$45,16,FALSE),IF(ISBLANK(Deltagarlista!$C53),"",IF(ISBLANK(Arrangörslista!Q$8),"",IFERROR(VLOOKUP($F27,Arrangörslista!C$53:$AG$90,16,FALSE),"DNS")))))),IF(Deltagarlista!$K$3=2,
IF(ISBLANK(Deltagarlista!$C53),"",IF(ISBLANK(Arrangörslista!J$8),"",IF($GV27=Q$64," DNS ",IFERROR(VLOOKUP($F27,Arrangörslista!J$8:$AG$45,16,FALSE),"DNS")))),IF(ISBLANK(Deltagarlista!$C53),"",IF(ISBLANK(Arrangörslista!J$8),"",IFERROR(VLOOKUP($F27,Arrangörslista!J$8:$AG$45,16,FALSE),"DNS")))))</f>
        <v/>
      </c>
      <c r="R27" s="5" t="str">
        <f>IF(Deltagarlista!$K$3=4,IF(ISBLANK(Deltagarlista!$C53),"",IF(ISBLANK(Arrangörslista!D$53),"",IFERROR(VLOOKUP($F27,Arrangörslista!D$53:$AG$90,16,FALSE),IF(ISBLANK(Deltagarlista!$C53),"",IF(ISBLANK(Arrangörslista!D$53),"",IFERROR(VLOOKUP($F27,Arrangörslista!E$53:$AG$90,16,FALSE),"DNS")))))),IF(Deltagarlista!$K$3=2,
IF(ISBLANK(Deltagarlista!$C53),"",IF(ISBLANK(Arrangörslista!K$8),"",IF($GV27=R$64," DNS ",IFERROR(VLOOKUP($F27,Arrangörslista!K$8:$AG$45,16,FALSE),"DNS")))),IF(ISBLANK(Deltagarlista!$C53),"",IF(ISBLANK(Arrangörslista!K$8),"",IFERROR(VLOOKUP($F27,Arrangörslista!K$8:$AG$45,16,FALSE),"DNS")))))</f>
        <v/>
      </c>
      <c r="S27" s="5" t="str">
        <f>IF(Deltagarlista!$K$3=4,IF(ISBLANK(Deltagarlista!$C53),"",IF(ISBLANK(Arrangörslista!F$53),"",IFERROR(VLOOKUP($F27,Arrangörslista!F$53:$AG$90,16,FALSE),IF(ISBLANK(Deltagarlista!$C53),"",IF(ISBLANK(Arrangörslista!F$53),"",IFERROR(VLOOKUP($F27,Arrangörslista!G$53:$AG$90,16,FALSE),"DNS")))))),IF(Deltagarlista!$K$3=2,
IF(ISBLANK(Deltagarlista!$C53),"",IF(ISBLANK(Arrangörslista!L$8),"",IF($GV27=S$64," DNS ",IFERROR(VLOOKUP($F27,Arrangörslista!L$8:$AG$45,16,FALSE),"DNS")))),IF(ISBLANK(Deltagarlista!$C53),"",IF(ISBLANK(Arrangörslista!L$8),"",IFERROR(VLOOKUP($F27,Arrangörslista!L$8:$AG$45,16,FALSE),"DNS")))))</f>
        <v/>
      </c>
      <c r="T27" s="5" t="str">
        <f>IF(Deltagarlista!$K$3=4,IF(ISBLANK(Deltagarlista!$C53),"",IF(ISBLANK(Arrangörslista!H$53),"",IFERROR(VLOOKUP($F27,Arrangörslista!H$53:$AG$90,16,FALSE),IF(ISBLANK(Deltagarlista!$C53),"",IF(ISBLANK(Arrangörslista!H$53),"",IFERROR(VLOOKUP($F27,Arrangörslista!I$53:$AG$90,16,FALSE),"DNS")))))),IF(Deltagarlista!$K$3=2,
IF(ISBLANK(Deltagarlista!$C53),"",IF(ISBLANK(Arrangörslista!M$8),"",IF($GV27=T$64," DNS ",IFERROR(VLOOKUP($F27,Arrangörslista!M$8:$AG$45,16,FALSE),"DNS")))),IF(ISBLANK(Deltagarlista!$C53),"",IF(ISBLANK(Arrangörslista!M$8),"",IFERROR(VLOOKUP($F27,Arrangörslista!M$8:$AG$45,16,FALSE),"DNS")))))</f>
        <v/>
      </c>
      <c r="U27" s="5" t="str">
        <f>IF(Deltagarlista!$K$3=4,IF(ISBLANK(Deltagarlista!$C53),"",IF(ISBLANK(Arrangörslista!J$53),"",IFERROR(VLOOKUP($F27,Arrangörslista!J$53:$AG$90,16,FALSE),IF(ISBLANK(Deltagarlista!$C53),"",IF(ISBLANK(Arrangörslista!J$53),"",IFERROR(VLOOKUP($F27,Arrangörslista!K$53:$AG$90,16,FALSE),"DNS")))))),IF(Deltagarlista!$K$3=2,
IF(ISBLANK(Deltagarlista!$C53),"",IF(ISBLANK(Arrangörslista!N$8),"",IF($GV27=U$64," DNS ",IFERROR(VLOOKUP($F27,Arrangörslista!N$8:$AG$45,16,FALSE),"DNS")))),IF(ISBLANK(Deltagarlista!$C53),"",IF(ISBLANK(Arrangörslista!N$8),"",IFERROR(VLOOKUP($F27,Arrangörslista!N$8:$AG$45,16,FALSE),"DNS")))))</f>
        <v/>
      </c>
      <c r="V27" s="5" t="str">
        <f>IF(Deltagarlista!$K$3=4,IF(ISBLANK(Deltagarlista!$C53),"",IF(ISBLANK(Arrangörslista!L$53),"",IFERROR(VLOOKUP($F27,Arrangörslista!L$53:$AG$90,16,FALSE),IF(ISBLANK(Deltagarlista!$C53),"",IF(ISBLANK(Arrangörslista!L$53),"",IFERROR(VLOOKUP($F27,Arrangörslista!M$53:$AG$90,16,FALSE),"DNS")))))),IF(Deltagarlista!$K$3=2,
IF(ISBLANK(Deltagarlista!$C53),"",IF(ISBLANK(Arrangörslista!O$8),"",IF($GV27=V$64," DNS ",IFERROR(VLOOKUP($F27,Arrangörslista!O$8:$AG$45,16,FALSE),"DNS")))),IF(ISBLANK(Deltagarlista!$C53),"",IF(ISBLANK(Arrangörslista!O$8),"",IFERROR(VLOOKUP($F27,Arrangörslista!O$8:$AG$45,16,FALSE),"DNS")))))</f>
        <v/>
      </c>
      <c r="W27" s="5" t="str">
        <f>IF(Deltagarlista!$K$3=4,IF(ISBLANK(Deltagarlista!$C53),"",IF(ISBLANK(Arrangörslista!N$53),"",IFERROR(VLOOKUP($F27,Arrangörslista!N$53:$AG$90,16,FALSE),IF(ISBLANK(Deltagarlista!$C53),"",IF(ISBLANK(Arrangörslista!N$53),"",IFERROR(VLOOKUP($F27,Arrangörslista!O$53:$AG$90,16,FALSE),"DNS")))))),IF(Deltagarlista!$K$3=2,
IF(ISBLANK(Deltagarlista!$C53),"",IF(ISBLANK(Arrangörslista!P$8),"",IF($GV27=W$64," DNS ",IFERROR(VLOOKUP($F27,Arrangörslista!P$8:$AG$45,16,FALSE),"DNS")))),IF(ISBLANK(Deltagarlista!$C53),"",IF(ISBLANK(Arrangörslista!P$8),"",IFERROR(VLOOKUP($F27,Arrangörslista!P$8:$AG$45,16,FALSE),"DNS")))))</f>
        <v/>
      </c>
      <c r="X27" s="5" t="str">
        <f>IF(Deltagarlista!$K$3=4,IF(ISBLANK(Deltagarlista!$C53),"",IF(ISBLANK(Arrangörslista!P$53),"",IFERROR(VLOOKUP($F27,Arrangörslista!P$53:$AG$90,16,FALSE),IF(ISBLANK(Deltagarlista!$C53),"",IF(ISBLANK(Arrangörslista!P$53),"",IFERROR(VLOOKUP($F27,Arrangörslista!Q$53:$AG$90,16,FALSE),"DNS")))))),IF(Deltagarlista!$K$3=2,
IF(ISBLANK(Deltagarlista!$C53),"",IF(ISBLANK(Arrangörslista!Q$8),"",IF($GV27=X$64," DNS ",IFERROR(VLOOKUP($F27,Arrangörslista!Q$8:$AG$45,16,FALSE),"DNS")))),IF(ISBLANK(Deltagarlista!$C53),"",IF(ISBLANK(Arrangörslista!Q$8),"",IFERROR(VLOOKUP($F27,Arrangörslista!Q$8:$AG$45,16,FALSE),"DNS")))))</f>
        <v/>
      </c>
      <c r="Y27" s="5" t="str">
        <f>IF(Deltagarlista!$K$3=4,IF(ISBLANK(Deltagarlista!$C53),"",IF(ISBLANK(Arrangörslista!C$98),"",IFERROR(VLOOKUP($F27,Arrangörslista!C$98:$AG$135,16,FALSE),IF(ISBLANK(Deltagarlista!$C53),"",IF(ISBLANK(Arrangörslista!C$98),"",IFERROR(VLOOKUP($F27,Arrangörslista!D$98:$AG$135,16,FALSE),"DNS")))))),IF(Deltagarlista!$K$3=2,
IF(ISBLANK(Deltagarlista!$C53),"",IF(ISBLANK(Arrangörslista!C$53),"",IF($GV27=Y$64," DNS ",IFERROR(VLOOKUP($F27,Arrangörslista!C$53:$AG$90,16,FALSE),"DNS")))),IF(ISBLANK(Deltagarlista!$C53),"",IF(ISBLANK(Arrangörslista!C$53),"",IFERROR(VLOOKUP($F27,Arrangörslista!C$53:$AG$90,16,FALSE),"DNS")))))</f>
        <v/>
      </c>
      <c r="Z27" s="5" t="str">
        <f>IF(Deltagarlista!$K$3=4,IF(ISBLANK(Deltagarlista!$C53),"",IF(ISBLANK(Arrangörslista!E$98),"",IFERROR(VLOOKUP($F27,Arrangörslista!E$98:$AG$135,16,FALSE),IF(ISBLANK(Deltagarlista!$C53),"",IF(ISBLANK(Arrangörslista!E$98),"",IFERROR(VLOOKUP($F27,Arrangörslista!F$98:$AG$135,16,FALSE),"DNS")))))),IF(Deltagarlista!$K$3=2,
IF(ISBLANK(Deltagarlista!$C53),"",IF(ISBLANK(Arrangörslista!D$53),"",IF($GV27=Z$64," DNS ",IFERROR(VLOOKUP($F27,Arrangörslista!D$53:$AG$90,16,FALSE),"DNS")))),IF(ISBLANK(Deltagarlista!$C53),"",IF(ISBLANK(Arrangörslista!D$53),"",IFERROR(VLOOKUP($F27,Arrangörslista!D$53:$AG$90,16,FALSE),"DNS")))))</f>
        <v/>
      </c>
      <c r="AA27" s="5" t="str">
        <f>IF(Deltagarlista!$K$3=4,IF(ISBLANK(Deltagarlista!$C53),"",IF(ISBLANK(Arrangörslista!G$98),"",IFERROR(VLOOKUP($F27,Arrangörslista!G$98:$AG$135,16,FALSE),IF(ISBLANK(Deltagarlista!$C53),"",IF(ISBLANK(Arrangörslista!G$98),"",IFERROR(VLOOKUP($F27,Arrangörslista!H$98:$AG$135,16,FALSE),"DNS")))))),IF(Deltagarlista!$K$3=2,
IF(ISBLANK(Deltagarlista!$C53),"",IF(ISBLANK(Arrangörslista!E$53),"",IF($GV27=AA$64," DNS ",IFERROR(VLOOKUP($F27,Arrangörslista!E$53:$AG$90,16,FALSE),"DNS")))),IF(ISBLANK(Deltagarlista!$C53),"",IF(ISBLANK(Arrangörslista!E$53),"",IFERROR(VLOOKUP($F27,Arrangörslista!E$53:$AG$90,16,FALSE),"DNS")))))</f>
        <v/>
      </c>
      <c r="AB27" s="5" t="str">
        <f>IF(Deltagarlista!$K$3=4,IF(ISBLANK(Deltagarlista!$C53),"",IF(ISBLANK(Arrangörslista!I$98),"",IFERROR(VLOOKUP($F27,Arrangörslista!I$98:$AG$135,16,FALSE),IF(ISBLANK(Deltagarlista!$C53),"",IF(ISBLANK(Arrangörslista!I$98),"",IFERROR(VLOOKUP($F27,Arrangörslista!J$98:$AG$135,16,FALSE),"DNS")))))),IF(Deltagarlista!$K$3=2,
IF(ISBLANK(Deltagarlista!$C53),"",IF(ISBLANK(Arrangörslista!F$53),"",IF($GV27=AB$64," DNS ",IFERROR(VLOOKUP($F27,Arrangörslista!F$53:$AG$90,16,FALSE),"DNS")))),IF(ISBLANK(Deltagarlista!$C53),"",IF(ISBLANK(Arrangörslista!F$53),"",IFERROR(VLOOKUP($F27,Arrangörslista!F$53:$AG$90,16,FALSE),"DNS")))))</f>
        <v/>
      </c>
      <c r="AC27" s="5" t="str">
        <f>IF(Deltagarlista!$K$3=4,IF(ISBLANK(Deltagarlista!$C53),"",IF(ISBLANK(Arrangörslista!K$98),"",IFERROR(VLOOKUP($F27,Arrangörslista!K$98:$AG$135,16,FALSE),IF(ISBLANK(Deltagarlista!$C53),"",IF(ISBLANK(Arrangörslista!K$98),"",IFERROR(VLOOKUP($F27,Arrangörslista!L$98:$AG$135,16,FALSE),"DNS")))))),IF(Deltagarlista!$K$3=2,
IF(ISBLANK(Deltagarlista!$C53),"",IF(ISBLANK(Arrangörslista!G$53),"",IF($GV27=AC$64," DNS ",IFERROR(VLOOKUP($F27,Arrangörslista!G$53:$AG$90,16,FALSE),"DNS")))),IF(ISBLANK(Deltagarlista!$C53),"",IF(ISBLANK(Arrangörslista!G$53),"",IFERROR(VLOOKUP($F27,Arrangörslista!G$53:$AG$90,16,FALSE),"DNS")))))</f>
        <v/>
      </c>
      <c r="AD27" s="5" t="str">
        <f>IF(Deltagarlista!$K$3=4,IF(ISBLANK(Deltagarlista!$C53),"",IF(ISBLANK(Arrangörslista!M$98),"",IFERROR(VLOOKUP($F27,Arrangörslista!M$98:$AG$135,16,FALSE),IF(ISBLANK(Deltagarlista!$C53),"",IF(ISBLANK(Arrangörslista!M$98),"",IFERROR(VLOOKUP($F27,Arrangörslista!N$98:$AG$135,16,FALSE),"DNS")))))),IF(Deltagarlista!$K$3=2,
IF(ISBLANK(Deltagarlista!$C53),"",IF(ISBLANK(Arrangörslista!H$53),"",IF($GV27=AD$64," DNS ",IFERROR(VLOOKUP($F27,Arrangörslista!H$53:$AG$90,16,FALSE),"DNS")))),IF(ISBLANK(Deltagarlista!$C53),"",IF(ISBLANK(Arrangörslista!H$53),"",IFERROR(VLOOKUP($F27,Arrangörslista!H$53:$AG$90,16,FALSE),"DNS")))))</f>
        <v/>
      </c>
      <c r="AE27" s="5" t="str">
        <f>IF(Deltagarlista!$K$3=4,IF(ISBLANK(Deltagarlista!$C53),"",IF(ISBLANK(Arrangörslista!O$98),"",IFERROR(VLOOKUP($F27,Arrangörslista!O$98:$AG$135,16,FALSE),IF(ISBLANK(Deltagarlista!$C53),"",IF(ISBLANK(Arrangörslista!O$98),"",IFERROR(VLOOKUP($F27,Arrangörslista!P$98:$AG$135,16,FALSE),"DNS")))))),IF(Deltagarlista!$K$3=2,
IF(ISBLANK(Deltagarlista!$C53),"",IF(ISBLANK(Arrangörslista!I$53),"",IF($GV27=AE$64," DNS ",IFERROR(VLOOKUP($F27,Arrangörslista!I$53:$AG$90,16,FALSE),"DNS")))),IF(ISBLANK(Deltagarlista!$C53),"",IF(ISBLANK(Arrangörslista!I$53),"",IFERROR(VLOOKUP($F27,Arrangörslista!I$53:$AG$90,16,FALSE),"DNS")))))</f>
        <v/>
      </c>
      <c r="AF27" s="5" t="str">
        <f>IF(Deltagarlista!$K$3=4,IF(ISBLANK(Deltagarlista!$C53),"",IF(ISBLANK(Arrangörslista!Q$98),"",IFERROR(VLOOKUP($F27,Arrangörslista!Q$98:$AG$135,16,FALSE),IF(ISBLANK(Deltagarlista!$C53),"",IF(ISBLANK(Arrangörslista!Q$98),"",IFERROR(VLOOKUP($F27,Arrangörslista!C$143:$AG$180,16,FALSE),"DNS")))))),IF(Deltagarlista!$K$3=2,
IF(ISBLANK(Deltagarlista!$C53),"",IF(ISBLANK(Arrangörslista!J$53),"",IF($GV27=AF$64," DNS ",IFERROR(VLOOKUP($F27,Arrangörslista!J$53:$AG$90,16,FALSE),"DNS")))),IF(ISBLANK(Deltagarlista!$C53),"",IF(ISBLANK(Arrangörslista!J$53),"",IFERROR(VLOOKUP($F27,Arrangörslista!J$53:$AG$90,16,FALSE),"DNS")))))</f>
        <v/>
      </c>
      <c r="AG27" s="5" t="str">
        <f>IF(Deltagarlista!$K$3=4,IF(ISBLANK(Deltagarlista!$C53),"",IF(ISBLANK(Arrangörslista!D$143),"",IFERROR(VLOOKUP($F27,Arrangörslista!D$143:$AG$180,16,FALSE),IF(ISBLANK(Deltagarlista!$C53),"",IF(ISBLANK(Arrangörslista!D$143),"",IFERROR(VLOOKUP($F27,Arrangörslista!E$143:$AG$180,16,FALSE),"DNS")))))),IF(Deltagarlista!$K$3=2,
IF(ISBLANK(Deltagarlista!$C53),"",IF(ISBLANK(Arrangörslista!K$53),"",IF($GV27=AG$64," DNS ",IFERROR(VLOOKUP($F27,Arrangörslista!K$53:$AG$90,16,FALSE),"DNS")))),IF(ISBLANK(Deltagarlista!$C53),"",IF(ISBLANK(Arrangörslista!K$53),"",IFERROR(VLOOKUP($F27,Arrangörslista!K$53:$AG$90,16,FALSE),"DNS")))))</f>
        <v/>
      </c>
      <c r="AH27" s="5" t="str">
        <f>IF(Deltagarlista!$K$3=4,IF(ISBLANK(Deltagarlista!$C53),"",IF(ISBLANK(Arrangörslista!F$143),"",IFERROR(VLOOKUP($F27,Arrangörslista!F$143:$AG$180,16,FALSE),IF(ISBLANK(Deltagarlista!$C53),"",IF(ISBLANK(Arrangörslista!F$143),"",IFERROR(VLOOKUP($F27,Arrangörslista!G$143:$AG$180,16,FALSE),"DNS")))))),IF(Deltagarlista!$K$3=2,
IF(ISBLANK(Deltagarlista!$C53),"",IF(ISBLANK(Arrangörslista!L$53),"",IF($GV27=AH$64," DNS ",IFERROR(VLOOKUP($F27,Arrangörslista!L$53:$AG$90,16,FALSE),"DNS")))),IF(ISBLANK(Deltagarlista!$C53),"",IF(ISBLANK(Arrangörslista!L$53),"",IFERROR(VLOOKUP($F27,Arrangörslista!L$53:$AG$90,16,FALSE),"DNS")))))</f>
        <v/>
      </c>
      <c r="AI27" s="5" t="str">
        <f>IF(Deltagarlista!$K$3=4,IF(ISBLANK(Deltagarlista!$C53),"",IF(ISBLANK(Arrangörslista!H$143),"",IFERROR(VLOOKUP($F27,Arrangörslista!H$143:$AG$180,16,FALSE),IF(ISBLANK(Deltagarlista!$C53),"",IF(ISBLANK(Arrangörslista!H$143),"",IFERROR(VLOOKUP($F27,Arrangörslista!I$143:$AG$180,16,FALSE),"DNS")))))),IF(Deltagarlista!$K$3=2,
IF(ISBLANK(Deltagarlista!$C53),"",IF(ISBLANK(Arrangörslista!M$53),"",IF($GV27=AI$64," DNS ",IFERROR(VLOOKUP($F27,Arrangörslista!M$53:$AG$90,16,FALSE),"DNS")))),IF(ISBLANK(Deltagarlista!$C53),"",IF(ISBLANK(Arrangörslista!M$53),"",IFERROR(VLOOKUP($F27,Arrangörslista!M$53:$AG$90,16,FALSE),"DNS")))))</f>
        <v/>
      </c>
      <c r="AJ27" s="5" t="str">
        <f>IF(Deltagarlista!$K$3=4,IF(ISBLANK(Deltagarlista!$C53),"",IF(ISBLANK(Arrangörslista!J$143),"",IFERROR(VLOOKUP($F27,Arrangörslista!J$143:$AG$180,16,FALSE),IF(ISBLANK(Deltagarlista!$C53),"",IF(ISBLANK(Arrangörslista!J$143),"",IFERROR(VLOOKUP($F27,Arrangörslista!K$143:$AG$180,16,FALSE),"DNS")))))),IF(Deltagarlista!$K$3=2,
IF(ISBLANK(Deltagarlista!$C53),"",IF(ISBLANK(Arrangörslista!N$53),"",IF($GV27=AJ$64," DNS ",IFERROR(VLOOKUP($F27,Arrangörslista!N$53:$AG$90,16,FALSE),"DNS")))),IF(ISBLANK(Deltagarlista!$C53),"",IF(ISBLANK(Arrangörslista!N$53),"",IFERROR(VLOOKUP($F27,Arrangörslista!N$53:$AG$90,16,FALSE),"DNS")))))</f>
        <v/>
      </c>
      <c r="AK27" s="5" t="str">
        <f>IF(Deltagarlista!$K$3=4,IF(ISBLANK(Deltagarlista!$C53),"",IF(ISBLANK(Arrangörslista!L$143),"",IFERROR(VLOOKUP($F27,Arrangörslista!L$143:$AG$180,16,FALSE),IF(ISBLANK(Deltagarlista!$C53),"",IF(ISBLANK(Arrangörslista!L$143),"",IFERROR(VLOOKUP($F27,Arrangörslista!M$143:$AG$180,16,FALSE),"DNS")))))),IF(Deltagarlista!$K$3=2,
IF(ISBLANK(Deltagarlista!$C53),"",IF(ISBLANK(Arrangörslista!O$53),"",IF($GV27=AK$64," DNS ",IFERROR(VLOOKUP($F27,Arrangörslista!O$53:$AG$90,16,FALSE),"DNS")))),IF(ISBLANK(Deltagarlista!$C53),"",IF(ISBLANK(Arrangörslista!O$53),"",IFERROR(VLOOKUP($F27,Arrangörslista!O$53:$AG$90,16,FALSE),"DNS")))))</f>
        <v/>
      </c>
      <c r="AL27" s="5" t="str">
        <f>IF(Deltagarlista!$K$3=4,IF(ISBLANK(Deltagarlista!$C53),"",IF(ISBLANK(Arrangörslista!N$143),"",IFERROR(VLOOKUP($F27,Arrangörslista!N$143:$AG$180,16,FALSE),IF(ISBLANK(Deltagarlista!$C53),"",IF(ISBLANK(Arrangörslista!N$143),"",IFERROR(VLOOKUP($F27,Arrangörslista!O$143:$AG$180,16,FALSE),"DNS")))))),IF(Deltagarlista!$K$3=2,
IF(ISBLANK(Deltagarlista!$C53),"",IF(ISBLANK(Arrangörslista!P$53),"",IF($GV27=AL$64," DNS ",IFERROR(VLOOKUP($F27,Arrangörslista!P$53:$AG$90,16,FALSE),"DNS")))),IF(ISBLANK(Deltagarlista!$C53),"",IF(ISBLANK(Arrangörslista!P$53),"",IFERROR(VLOOKUP($F27,Arrangörslista!P$53:$AG$90,16,FALSE),"DNS")))))</f>
        <v/>
      </c>
      <c r="AM27" s="5" t="str">
        <f>IF(Deltagarlista!$K$3=4,IF(ISBLANK(Deltagarlista!$C53),"",IF(ISBLANK(Arrangörslista!P$143),"",IFERROR(VLOOKUP($F27,Arrangörslista!P$143:$AG$180,16,FALSE),IF(ISBLANK(Deltagarlista!$C53),"",IF(ISBLANK(Arrangörslista!P$143),"",IFERROR(VLOOKUP($F27,Arrangörslista!Q$143:$AG$180,16,FALSE),"DNS")))))),IF(Deltagarlista!$K$3=2,
IF(ISBLANK(Deltagarlista!$C53),"",IF(ISBLANK(Arrangörslista!Q$53),"",IF($GV27=AM$64," DNS ",IFERROR(VLOOKUP($F27,Arrangörslista!Q$53:$AG$90,16,FALSE),"DNS")))),IF(ISBLANK(Deltagarlista!$C53),"",IF(ISBLANK(Arrangörslista!Q$53),"",IFERROR(VLOOKUP($F27,Arrangörslista!Q$53:$AG$90,16,FALSE),"DNS")))))</f>
        <v/>
      </c>
      <c r="AN27" s="5" t="str">
        <f>IF(Deltagarlista!$K$3=2,
IF(ISBLANK(Deltagarlista!$C53),"",IF(ISBLANK(Arrangörslista!C$98),"",IF($GV27=AN$64," DNS ",IFERROR(VLOOKUP($F27,Arrangörslista!C$98:$AG$135,16,FALSE), "DNS")))), IF(Deltagarlista!$K$3=1,IF(ISBLANK(Deltagarlista!$C53),"",IF(ISBLANK(Arrangörslista!C$98),"",IFERROR(VLOOKUP($F27,Arrangörslista!C$98:$AG$135,16,FALSE), "DNS"))),""))</f>
        <v/>
      </c>
      <c r="AO27" s="5" t="str">
        <f>IF(Deltagarlista!$K$3=2,
IF(ISBLANK(Deltagarlista!$C53),"",IF(ISBLANK(Arrangörslista!D$98),"",IF($GV27=AO$64," DNS ",IFERROR(VLOOKUP($F27,Arrangörslista!D$98:$AG$135,16,FALSE), "DNS")))), IF(Deltagarlista!$K$3=1,IF(ISBLANK(Deltagarlista!$C53),"",IF(ISBLANK(Arrangörslista!D$98),"",IFERROR(VLOOKUP($F27,Arrangörslista!D$98:$AG$135,16,FALSE), "DNS"))),""))</f>
        <v/>
      </c>
      <c r="AP27" s="5" t="str">
        <f>IF(Deltagarlista!$K$3=2,
IF(ISBLANK(Deltagarlista!$C53),"",IF(ISBLANK(Arrangörslista!E$98),"",IF($GV27=AP$64," DNS ",IFERROR(VLOOKUP($F27,Arrangörslista!E$98:$AG$135,16,FALSE), "DNS")))), IF(Deltagarlista!$K$3=1,IF(ISBLANK(Deltagarlista!$C53),"",IF(ISBLANK(Arrangörslista!E$98),"",IFERROR(VLOOKUP($F27,Arrangörslista!E$98:$AG$135,16,FALSE), "DNS"))),""))</f>
        <v/>
      </c>
      <c r="AQ27" s="5" t="str">
        <f>IF(Deltagarlista!$K$3=2,
IF(ISBLANK(Deltagarlista!$C53),"",IF(ISBLANK(Arrangörslista!F$98),"",IF($GV27=AQ$64," DNS ",IFERROR(VLOOKUP($F27,Arrangörslista!F$98:$AG$135,16,FALSE), "DNS")))), IF(Deltagarlista!$K$3=1,IF(ISBLANK(Deltagarlista!$C53),"",IF(ISBLANK(Arrangörslista!F$98),"",IFERROR(VLOOKUP($F27,Arrangörslista!F$98:$AG$135,16,FALSE), "DNS"))),""))</f>
        <v/>
      </c>
      <c r="AR27" s="5" t="str">
        <f>IF(Deltagarlista!$K$3=2,
IF(ISBLANK(Deltagarlista!$C53),"",IF(ISBLANK(Arrangörslista!G$98),"",IF($GV27=AR$64," DNS ",IFERROR(VLOOKUP($F27,Arrangörslista!G$98:$AG$135,16,FALSE), "DNS")))), IF(Deltagarlista!$K$3=1,IF(ISBLANK(Deltagarlista!$C53),"",IF(ISBLANK(Arrangörslista!G$98),"",IFERROR(VLOOKUP($F27,Arrangörslista!G$98:$AG$135,16,FALSE), "DNS"))),""))</f>
        <v/>
      </c>
      <c r="AS27" s="5" t="str">
        <f>IF(Deltagarlista!$K$3=2,
IF(ISBLANK(Deltagarlista!$C53),"",IF(ISBLANK(Arrangörslista!H$98),"",IF($GV27=AS$64," DNS ",IFERROR(VLOOKUP($F27,Arrangörslista!H$98:$AG$135,16,FALSE), "DNS")))), IF(Deltagarlista!$K$3=1,IF(ISBLANK(Deltagarlista!$C53),"",IF(ISBLANK(Arrangörslista!H$98),"",IFERROR(VLOOKUP($F27,Arrangörslista!H$98:$AG$135,16,FALSE), "DNS"))),""))</f>
        <v/>
      </c>
      <c r="AT27" s="5" t="str">
        <f>IF(Deltagarlista!$K$3=2,
IF(ISBLANK(Deltagarlista!$C53),"",IF(ISBLANK(Arrangörslista!I$98),"",IF($GV27=AT$64," DNS ",IFERROR(VLOOKUP($F27,Arrangörslista!I$98:$AG$135,16,FALSE), "DNS")))), IF(Deltagarlista!$K$3=1,IF(ISBLANK(Deltagarlista!$C53),"",IF(ISBLANK(Arrangörslista!I$98),"",IFERROR(VLOOKUP($F27,Arrangörslista!I$98:$AG$135,16,FALSE), "DNS"))),""))</f>
        <v/>
      </c>
      <c r="AU27" s="5" t="str">
        <f>IF(Deltagarlista!$K$3=2,
IF(ISBLANK(Deltagarlista!$C53),"",IF(ISBLANK(Arrangörslista!J$98),"",IF($GV27=AU$64," DNS ",IFERROR(VLOOKUP($F27,Arrangörslista!J$98:$AG$135,16,FALSE), "DNS")))), IF(Deltagarlista!$K$3=1,IF(ISBLANK(Deltagarlista!$C53),"",IF(ISBLANK(Arrangörslista!J$98),"",IFERROR(VLOOKUP($F27,Arrangörslista!J$98:$AG$135,16,FALSE), "DNS"))),""))</f>
        <v/>
      </c>
      <c r="AV27" s="5" t="str">
        <f>IF(Deltagarlista!$K$3=2,
IF(ISBLANK(Deltagarlista!$C53),"",IF(ISBLANK(Arrangörslista!K$98),"",IF($GV27=AV$64," DNS ",IFERROR(VLOOKUP($F27,Arrangörslista!K$98:$AG$135,16,FALSE), "DNS")))), IF(Deltagarlista!$K$3=1,IF(ISBLANK(Deltagarlista!$C53),"",IF(ISBLANK(Arrangörslista!K$98),"",IFERROR(VLOOKUP($F27,Arrangörslista!K$98:$AG$135,16,FALSE), "DNS"))),""))</f>
        <v/>
      </c>
      <c r="AW27" s="5" t="str">
        <f>IF(Deltagarlista!$K$3=2,
IF(ISBLANK(Deltagarlista!$C53),"",IF(ISBLANK(Arrangörslista!L$98),"",IF($GV27=AW$64," DNS ",IFERROR(VLOOKUP($F27,Arrangörslista!L$98:$AG$135,16,FALSE), "DNS")))), IF(Deltagarlista!$K$3=1,IF(ISBLANK(Deltagarlista!$C53),"",IF(ISBLANK(Arrangörslista!L$98),"",IFERROR(VLOOKUP($F27,Arrangörslista!L$98:$AG$135,16,FALSE), "DNS"))),""))</f>
        <v/>
      </c>
      <c r="AX27" s="5" t="str">
        <f>IF(Deltagarlista!$K$3=2,
IF(ISBLANK(Deltagarlista!$C53),"",IF(ISBLANK(Arrangörslista!M$98),"",IF($GV27=AX$64," DNS ",IFERROR(VLOOKUP($F27,Arrangörslista!M$98:$AG$135,16,FALSE), "DNS")))), IF(Deltagarlista!$K$3=1,IF(ISBLANK(Deltagarlista!$C53),"",IF(ISBLANK(Arrangörslista!M$98),"",IFERROR(VLOOKUP($F27,Arrangörslista!M$98:$AG$135,16,FALSE), "DNS"))),""))</f>
        <v/>
      </c>
      <c r="AY27" s="5" t="str">
        <f>IF(Deltagarlista!$K$3=2,
IF(ISBLANK(Deltagarlista!$C53),"",IF(ISBLANK(Arrangörslista!N$98),"",IF($GV27=AY$64," DNS ",IFERROR(VLOOKUP($F27,Arrangörslista!N$98:$AG$135,16,FALSE), "DNS")))), IF(Deltagarlista!$K$3=1,IF(ISBLANK(Deltagarlista!$C53),"",IF(ISBLANK(Arrangörslista!N$98),"",IFERROR(VLOOKUP($F27,Arrangörslista!N$98:$AG$135,16,FALSE), "DNS"))),""))</f>
        <v/>
      </c>
      <c r="AZ27" s="5" t="str">
        <f>IF(Deltagarlista!$K$3=2,
IF(ISBLANK(Deltagarlista!$C53),"",IF(ISBLANK(Arrangörslista!O$98),"",IF($GV27=AZ$64," DNS ",IFERROR(VLOOKUP($F27,Arrangörslista!O$98:$AG$135,16,FALSE), "DNS")))), IF(Deltagarlista!$K$3=1,IF(ISBLANK(Deltagarlista!$C53),"",IF(ISBLANK(Arrangörslista!O$98),"",IFERROR(VLOOKUP($F27,Arrangörslista!O$98:$AG$135,16,FALSE), "DNS"))),""))</f>
        <v/>
      </c>
      <c r="BA27" s="5" t="str">
        <f>IF(Deltagarlista!$K$3=2,
IF(ISBLANK(Deltagarlista!$C53),"",IF(ISBLANK(Arrangörslista!P$98),"",IF($GV27=BA$64," DNS ",IFERROR(VLOOKUP($F27,Arrangörslista!P$98:$AG$135,16,FALSE), "DNS")))), IF(Deltagarlista!$K$3=1,IF(ISBLANK(Deltagarlista!$C53),"",IF(ISBLANK(Arrangörslista!P$98),"",IFERROR(VLOOKUP($F27,Arrangörslista!P$98:$AG$135,16,FALSE), "DNS"))),""))</f>
        <v/>
      </c>
      <c r="BB27" s="5" t="str">
        <f>IF(Deltagarlista!$K$3=2,
IF(ISBLANK(Deltagarlista!$C53),"",IF(ISBLANK(Arrangörslista!Q$98),"",IF($GV27=BB$64," DNS ",IFERROR(VLOOKUP($F27,Arrangörslista!Q$98:$AG$135,16,FALSE), "DNS")))), IF(Deltagarlista!$K$3=1,IF(ISBLANK(Deltagarlista!$C53),"",IF(ISBLANK(Arrangörslista!Q$98),"",IFERROR(VLOOKUP($F27,Arrangörslista!Q$98:$AG$135,16,FALSE), "DNS"))),""))</f>
        <v/>
      </c>
      <c r="BC27" s="5" t="str">
        <f>IF(Deltagarlista!$K$3=2,
IF(ISBLANK(Deltagarlista!$C53),"",IF(ISBLANK(Arrangörslista!C$143),"",IF($GV27=BC$64," DNS ",IFERROR(VLOOKUP($F27,Arrangörslista!C$143:$AG$180,16,FALSE), "DNS")))), IF(Deltagarlista!$K$3=1,IF(ISBLANK(Deltagarlista!$C53),"",IF(ISBLANK(Arrangörslista!C$143),"",IFERROR(VLOOKUP($F27,Arrangörslista!C$143:$AG$180,16,FALSE), "DNS"))),""))</f>
        <v/>
      </c>
      <c r="BD27" s="5" t="str">
        <f>IF(Deltagarlista!$K$3=2,
IF(ISBLANK(Deltagarlista!$C53),"",IF(ISBLANK(Arrangörslista!D$143),"",IF($GV27=BD$64," DNS ",IFERROR(VLOOKUP($F27,Arrangörslista!D$143:$AG$180,16,FALSE), "DNS")))), IF(Deltagarlista!$K$3=1,IF(ISBLANK(Deltagarlista!$C53),"",IF(ISBLANK(Arrangörslista!D$143),"",IFERROR(VLOOKUP($F27,Arrangörslista!D$143:$AG$180,16,FALSE), "DNS"))),""))</f>
        <v/>
      </c>
      <c r="BE27" s="5" t="str">
        <f>IF(Deltagarlista!$K$3=2,
IF(ISBLANK(Deltagarlista!$C53),"",IF(ISBLANK(Arrangörslista!E$143),"",IF($GV27=BE$64," DNS ",IFERROR(VLOOKUP($F27,Arrangörslista!E$143:$AG$180,16,FALSE), "DNS")))), IF(Deltagarlista!$K$3=1,IF(ISBLANK(Deltagarlista!$C53),"",IF(ISBLANK(Arrangörslista!E$143),"",IFERROR(VLOOKUP($F27,Arrangörslista!E$143:$AG$180,16,FALSE), "DNS"))),""))</f>
        <v/>
      </c>
      <c r="BF27" s="5" t="str">
        <f>IF(Deltagarlista!$K$3=2,
IF(ISBLANK(Deltagarlista!$C53),"",IF(ISBLANK(Arrangörslista!F$143),"",IF($GV27=BF$64," DNS ",IFERROR(VLOOKUP($F27,Arrangörslista!F$143:$AG$180,16,FALSE), "DNS")))), IF(Deltagarlista!$K$3=1,IF(ISBLANK(Deltagarlista!$C53),"",IF(ISBLANK(Arrangörslista!F$143),"",IFERROR(VLOOKUP($F27,Arrangörslista!F$143:$AG$180,16,FALSE), "DNS"))),""))</f>
        <v/>
      </c>
      <c r="BG27" s="5" t="str">
        <f>IF(Deltagarlista!$K$3=2,
IF(ISBLANK(Deltagarlista!$C53),"",IF(ISBLANK(Arrangörslista!G$143),"",IF($GV27=BG$64," DNS ",IFERROR(VLOOKUP($F27,Arrangörslista!G$143:$AG$180,16,FALSE), "DNS")))), IF(Deltagarlista!$K$3=1,IF(ISBLANK(Deltagarlista!$C53),"",IF(ISBLANK(Arrangörslista!G$143),"",IFERROR(VLOOKUP($F27,Arrangörslista!G$143:$AG$180,16,FALSE), "DNS"))),""))</f>
        <v/>
      </c>
      <c r="BH27" s="5" t="str">
        <f>IF(Deltagarlista!$K$3=2,
IF(ISBLANK(Deltagarlista!$C53),"",IF(ISBLANK(Arrangörslista!H$143),"",IF($GV27=BH$64," DNS ",IFERROR(VLOOKUP($F27,Arrangörslista!H$143:$AG$180,16,FALSE), "DNS")))), IF(Deltagarlista!$K$3=1,IF(ISBLANK(Deltagarlista!$C53),"",IF(ISBLANK(Arrangörslista!H$143),"",IFERROR(VLOOKUP($F27,Arrangörslista!H$143:$AG$180,16,FALSE), "DNS"))),""))</f>
        <v/>
      </c>
      <c r="BI27" s="5" t="str">
        <f>IF(Deltagarlista!$K$3=2,
IF(ISBLANK(Deltagarlista!$C53),"",IF(ISBLANK(Arrangörslista!I$143),"",IF($GV27=BI$64," DNS ",IFERROR(VLOOKUP($F27,Arrangörslista!I$143:$AG$180,16,FALSE), "DNS")))), IF(Deltagarlista!$K$3=1,IF(ISBLANK(Deltagarlista!$C53),"",IF(ISBLANK(Arrangörslista!I$143),"",IFERROR(VLOOKUP($F27,Arrangörslista!I$143:$AG$180,16,FALSE), "DNS"))),""))</f>
        <v/>
      </c>
      <c r="BJ27" s="5" t="str">
        <f>IF(Deltagarlista!$K$3=2,
IF(ISBLANK(Deltagarlista!$C53),"",IF(ISBLANK(Arrangörslista!J$143),"",IF($GV27=BJ$64," DNS ",IFERROR(VLOOKUP($F27,Arrangörslista!J$143:$AG$180,16,FALSE), "DNS")))), IF(Deltagarlista!$K$3=1,IF(ISBLANK(Deltagarlista!$C53),"",IF(ISBLANK(Arrangörslista!J$143),"",IFERROR(VLOOKUP($F27,Arrangörslista!J$143:$AG$180,16,FALSE), "DNS"))),""))</f>
        <v/>
      </c>
      <c r="BK27" s="5" t="str">
        <f>IF(Deltagarlista!$K$3=2,
IF(ISBLANK(Deltagarlista!$C53),"",IF(ISBLANK(Arrangörslista!K$143),"",IF($GV27=BK$64," DNS ",IFERROR(VLOOKUP($F27,Arrangörslista!K$143:$AG$180,16,FALSE), "DNS")))), IF(Deltagarlista!$K$3=1,IF(ISBLANK(Deltagarlista!$C53),"",IF(ISBLANK(Arrangörslista!K$143),"",IFERROR(VLOOKUP($F27,Arrangörslista!K$143:$AG$180,16,FALSE), "DNS"))),""))</f>
        <v/>
      </c>
      <c r="BL27" s="5" t="str">
        <f>IF(Deltagarlista!$K$3=2,
IF(ISBLANK(Deltagarlista!$C53),"",IF(ISBLANK(Arrangörslista!L$143),"",IF($GV27=BL$64," DNS ",IFERROR(VLOOKUP($F27,Arrangörslista!L$143:$AG$180,16,FALSE), "DNS")))), IF(Deltagarlista!$K$3=1,IF(ISBLANK(Deltagarlista!$C53),"",IF(ISBLANK(Arrangörslista!L$143),"",IFERROR(VLOOKUP($F27,Arrangörslista!L$143:$AG$180,16,FALSE), "DNS"))),""))</f>
        <v/>
      </c>
      <c r="BM27" s="5" t="str">
        <f>IF(Deltagarlista!$K$3=2,
IF(ISBLANK(Deltagarlista!$C53),"",IF(ISBLANK(Arrangörslista!M$143),"",IF($GV27=BM$64," DNS ",IFERROR(VLOOKUP($F27,Arrangörslista!M$143:$AG$180,16,FALSE), "DNS")))), IF(Deltagarlista!$K$3=1,IF(ISBLANK(Deltagarlista!$C53),"",IF(ISBLANK(Arrangörslista!M$143),"",IFERROR(VLOOKUP($F27,Arrangörslista!M$143:$AG$180,16,FALSE), "DNS"))),""))</f>
        <v/>
      </c>
      <c r="BN27" s="5" t="str">
        <f>IF(Deltagarlista!$K$3=2,
IF(ISBLANK(Deltagarlista!$C53),"",IF(ISBLANK(Arrangörslista!N$143),"",IF($GV27=BN$64," DNS ",IFERROR(VLOOKUP($F27,Arrangörslista!N$143:$AG$180,16,FALSE), "DNS")))), IF(Deltagarlista!$K$3=1,IF(ISBLANK(Deltagarlista!$C53),"",IF(ISBLANK(Arrangörslista!N$143),"",IFERROR(VLOOKUP($F27,Arrangörslista!N$143:$AG$180,16,FALSE), "DNS"))),""))</f>
        <v/>
      </c>
      <c r="BO27" s="5" t="str">
        <f>IF(Deltagarlista!$K$3=2,
IF(ISBLANK(Deltagarlista!$C53),"",IF(ISBLANK(Arrangörslista!O$143),"",IF($GV27=BO$64," DNS ",IFERROR(VLOOKUP($F27,Arrangörslista!O$143:$AG$180,16,FALSE), "DNS")))), IF(Deltagarlista!$K$3=1,IF(ISBLANK(Deltagarlista!$C53),"",IF(ISBLANK(Arrangörslista!O$143),"",IFERROR(VLOOKUP($F27,Arrangörslista!O$143:$AG$180,16,FALSE), "DNS"))),""))</f>
        <v/>
      </c>
      <c r="BP27" s="5" t="str">
        <f>IF(Deltagarlista!$K$3=2,
IF(ISBLANK(Deltagarlista!$C53),"",IF(ISBLANK(Arrangörslista!P$143),"",IF($GV27=BP$64," DNS ",IFERROR(VLOOKUP($F27,Arrangörslista!P$143:$AG$180,16,FALSE), "DNS")))), IF(Deltagarlista!$K$3=1,IF(ISBLANK(Deltagarlista!$C53),"",IF(ISBLANK(Arrangörslista!P$143),"",IFERROR(VLOOKUP($F27,Arrangörslista!P$143:$AG$180,16,FALSE), "DNS"))),""))</f>
        <v/>
      </c>
      <c r="BQ27" s="80" t="str">
        <f>IF(Deltagarlista!$K$3=2,
IF(ISBLANK(Deltagarlista!$C53),"",IF(ISBLANK(Arrangörslista!Q$143),"",IF($GV27=BQ$64," DNS ",IFERROR(VLOOKUP($F27,Arrangörslista!Q$143:$AG$180,16,FALSE), "DNS")))), IF(Deltagarlista!$K$3=1,IF(ISBLANK(Deltagarlista!$C53),"",IF(ISBLANK(Arrangörslista!Q$143),"",IFERROR(VLOOKUP($F27,Arrangörslista!Q$143:$AG$180,16,FALSE), "DNS"))),""))</f>
        <v/>
      </c>
      <c r="BR27" s="48"/>
      <c r="BS27" s="50" t="str">
        <f t="shared" si="0"/>
        <v>2</v>
      </c>
      <c r="BU27" s="71">
        <f t="shared" si="1"/>
        <v>0</v>
      </c>
      <c r="BV27" s="61">
        <f t="shared" si="2"/>
        <v>0</v>
      </c>
      <c r="BW27" s="61">
        <f t="shared" si="3"/>
        <v>0</v>
      </c>
      <c r="BX27" s="61">
        <f t="shared" si="4"/>
        <v>0</v>
      </c>
      <c r="BY27" s="61">
        <f t="shared" si="5"/>
        <v>0</v>
      </c>
      <c r="BZ27" s="61">
        <f t="shared" si="6"/>
        <v>0</v>
      </c>
      <c r="CA27" s="61">
        <f t="shared" si="7"/>
        <v>0</v>
      </c>
      <c r="CB27" s="61">
        <f t="shared" si="8"/>
        <v>0</v>
      </c>
      <c r="CC27" s="61">
        <f t="shared" si="9"/>
        <v>0</v>
      </c>
      <c r="CD27" s="61">
        <f t="shared" si="10"/>
        <v>0</v>
      </c>
      <c r="CE27" s="61">
        <f t="shared" si="11"/>
        <v>0</v>
      </c>
      <c r="CF27" s="61">
        <f t="shared" si="12"/>
        <v>0</v>
      </c>
      <c r="CG27" s="61">
        <f t="shared" si="13"/>
        <v>0</v>
      </c>
      <c r="CH27" s="61">
        <f t="shared" si="14"/>
        <v>0</v>
      </c>
      <c r="CI27" s="61">
        <f t="shared" si="15"/>
        <v>0</v>
      </c>
      <c r="CJ27" s="61">
        <f t="shared" si="16"/>
        <v>0</v>
      </c>
      <c r="CK27" s="61">
        <f t="shared" si="17"/>
        <v>0</v>
      </c>
      <c r="CL27" s="61">
        <f t="shared" si="18"/>
        <v>0</v>
      </c>
      <c r="CM27" s="61">
        <f t="shared" si="19"/>
        <v>0</v>
      </c>
      <c r="CN27" s="61">
        <f t="shared" si="20"/>
        <v>0</v>
      </c>
      <c r="CO27" s="61">
        <f t="shared" si="21"/>
        <v>0</v>
      </c>
      <c r="CP27" s="61">
        <f t="shared" si="22"/>
        <v>0</v>
      </c>
      <c r="CQ27" s="61">
        <f t="shared" si="23"/>
        <v>0</v>
      </c>
      <c r="CR27" s="61">
        <f t="shared" si="24"/>
        <v>0</v>
      </c>
      <c r="CS27" s="61">
        <f t="shared" si="25"/>
        <v>0</v>
      </c>
      <c r="CT27" s="61">
        <f t="shared" si="26"/>
        <v>0</v>
      </c>
      <c r="CU27" s="61">
        <f t="shared" si="27"/>
        <v>0</v>
      </c>
      <c r="CV27" s="61">
        <f t="shared" si="28"/>
        <v>0</v>
      </c>
      <c r="CW27" s="61">
        <f t="shared" si="29"/>
        <v>0</v>
      </c>
      <c r="CX27" s="61">
        <f t="shared" si="30"/>
        <v>0</v>
      </c>
      <c r="CY27" s="61">
        <f t="shared" si="31"/>
        <v>0</v>
      </c>
      <c r="CZ27" s="61">
        <f t="shared" si="32"/>
        <v>0</v>
      </c>
      <c r="DA27" s="61">
        <f t="shared" si="33"/>
        <v>0</v>
      </c>
      <c r="DB27" s="61">
        <f t="shared" si="34"/>
        <v>0</v>
      </c>
      <c r="DC27" s="61">
        <f t="shared" si="35"/>
        <v>0</v>
      </c>
      <c r="DD27" s="61">
        <f t="shared" si="36"/>
        <v>0</v>
      </c>
      <c r="DE27" s="61">
        <f t="shared" si="37"/>
        <v>0</v>
      </c>
      <c r="DF27" s="61">
        <f t="shared" si="38"/>
        <v>0</v>
      </c>
      <c r="DG27" s="61">
        <f t="shared" si="39"/>
        <v>0</v>
      </c>
      <c r="DH27" s="61">
        <f t="shared" si="40"/>
        <v>0</v>
      </c>
      <c r="DI27" s="61">
        <f t="shared" si="41"/>
        <v>0</v>
      </c>
      <c r="DJ27" s="61">
        <f t="shared" si="42"/>
        <v>0</v>
      </c>
      <c r="DK27" s="61">
        <f t="shared" si="43"/>
        <v>0</v>
      </c>
      <c r="DL27" s="61">
        <f t="shared" si="44"/>
        <v>0</v>
      </c>
      <c r="DM27" s="61">
        <f t="shared" si="45"/>
        <v>0</v>
      </c>
      <c r="DN27" s="61">
        <f t="shared" si="46"/>
        <v>0</v>
      </c>
      <c r="DO27" s="61">
        <f t="shared" si="47"/>
        <v>0</v>
      </c>
      <c r="DP27" s="61">
        <f t="shared" si="48"/>
        <v>0</v>
      </c>
      <c r="DQ27" s="61">
        <f t="shared" si="49"/>
        <v>0</v>
      </c>
      <c r="DR27" s="61">
        <f t="shared" si="50"/>
        <v>0</v>
      </c>
      <c r="DS27" s="61">
        <f t="shared" si="51"/>
        <v>0</v>
      </c>
      <c r="DT27" s="61">
        <f t="shared" si="52"/>
        <v>0</v>
      </c>
      <c r="DU27" s="61">
        <f t="shared" si="53"/>
        <v>0</v>
      </c>
      <c r="DV27" s="61">
        <f t="shared" si="54"/>
        <v>0</v>
      </c>
      <c r="DW27" s="61">
        <f t="shared" si="55"/>
        <v>0</v>
      </c>
      <c r="DX27" s="61">
        <f t="shared" si="56"/>
        <v>0</v>
      </c>
      <c r="DY27" s="61">
        <f t="shared" si="57"/>
        <v>0</v>
      </c>
      <c r="DZ27" s="61">
        <f t="shared" si="58"/>
        <v>0</v>
      </c>
      <c r="EA27" s="61">
        <f t="shared" si="59"/>
        <v>0</v>
      </c>
      <c r="EB27" s="61">
        <f t="shared" si="60"/>
        <v>0</v>
      </c>
      <c r="EC27" s="61">
        <f t="shared" si="61"/>
        <v>0</v>
      </c>
      <c r="EE27" s="61">
        <f xml:space="preserve">
IF(OR(Deltagarlista!$K$3=3,Deltagarlista!$K$3=4),
IF(Arrangörslista!$U$5&lt;8,0,
IF(Arrangörslista!$U$5&lt;16,SUM(LARGE(BV27:CJ27,1)),
IF(Arrangörslista!$U$5&lt;24,SUM(LARGE(BV27:CR27,{1;2})),
IF(Arrangörslista!$U$5&lt;32,SUM(LARGE(BV27:CZ27,{1;2;3})),
IF(Arrangörslista!$U$5&lt;40,SUM(LARGE(BV27:DH27,{1;2;3;4})),
IF(Arrangörslista!$U$5&lt;48,SUM(LARGE(BV27:DP27,{1;2;3;4;5})),
IF(Arrangörslista!$U$5&lt;56,SUM(LARGE(BV27:DX27,{1;2;3;4;5;6})),
IF(Arrangörslista!$U$5&lt;64,SUM(LARGE(BV27:EC27,{1;2;3;4;5;6;7})),0)))))))),
IF(Deltagarlista!$K$3=2,
IF(Arrangörslista!$U$5&lt;4,LARGE(BV27:BX27,1),
IF(Arrangörslista!$U$5&lt;7,SUM(LARGE(BV27:CA27,{1;2;3})),
IF(Arrangörslista!$U$5&lt;10,SUM(LARGE(BV27:CD27,{1;2;3;4})),
IF(Arrangörslista!$U$5&lt;13,SUM(LARGE(BV27:CG27,{1;2;3;4;5;6})),
IF(Arrangörslista!$U$5&lt;16,SUM(LARGE(BV27:CJ27,{1;2;3;4;5;6;7})),
IF(Arrangörslista!$U$5&lt;19,SUM(LARGE(BV27:CM27,{1;2;3;4;5;6;7;8;9})),
IF(Arrangörslista!$U$5&lt;22,SUM(LARGE(BV27:CP27,{1;2;3;4;5;6;7;8;9;10})),
IF(Arrangörslista!$U$5&lt;25,SUM(LARGE(BV27:CS27,{1;2;3;4;5;6;7;8;9;10;11;12})),
IF(Arrangörslista!$U$5&lt;28,SUM(LARGE(BV27:CV27,{1;2;3;4;5;6;7;8;9;10;11;12;13})),
IF(Arrangörslista!$U$5&lt;31,SUM(LARGE(BV27:CY27,{1;2;3;4;5;6;7;8;9;10;11;12;13;14;15})),
IF(Arrangörslista!$U$5&lt;34,SUM(LARGE(BV27:DB27,{1;2;3;4;5;6;7;8;9;10;11;12;13;14;15;16})),
IF(Arrangörslista!$U$5&lt;37,SUM(LARGE(BV27:DE27,{1;2;3;4;5;6;7;8;9;10;11;12;13;14;15;16;17;18})),
IF(Arrangörslista!$U$5&lt;40,SUM(LARGE(BV27:DH27,{1;2;3;4;5;6;7;8;9;10;11;12;13;14;15;16;17;18;19})),
IF(Arrangörslista!$U$5&lt;43,SUM(LARGE(BV27:DK27,{1;2;3;4;5;6;7;8;9;10;11;12;13;14;15;16;17;18;19;20;21})),
IF(Arrangörslista!$U$5&lt;46,SUM(LARGE(BV27:DN27,{1;2;3;4;5;6;7;8;9;10;11;12;13;14;15;16;17;18;19;20;21;22})),
IF(Arrangörslista!$U$5&lt;49,SUM(LARGE(BV27:DQ27,{1;2;3;4;5;6;7;8;9;10;11;12;13;14;15;16;17;18;19;20;21;22;23;24})),
IF(Arrangörslista!$U$5&lt;52,SUM(LARGE(BV27:DT27,{1;2;3;4;5;6;7;8;9;10;11;12;13;14;15;16;17;18;19;20;21;22;23;24;25})),
IF(Arrangörslista!$U$5&lt;55,SUM(LARGE(BV27:DW27,{1;2;3;4;5;6;7;8;9;10;11;12;13;14;15;16;17;18;19;20;21;22;23;24;25;26;27})),
IF(Arrangörslista!$U$5&lt;58,SUM(LARGE(BV27:DZ27,{1;2;3;4;5;6;7;8;9;10;11;12;13;14;15;16;17;18;19;20;21;22;23;24;25;26;27;28})),
IF(Arrangörslista!$U$5&lt;61,SUM(LARGE(BV27:EC27,{1;2;3;4;5;6;7;8;9;10;11;12;13;14;15;16;17;18;19;20;21;22;23;24;25;26;27;28;29;30})),0)))))))))))))))))))),
IF(Arrangörslista!$U$5&lt;4,0,
IF(Arrangörslista!$U$5&lt;8,SUM(LARGE(BV27:CB27,1)),
IF(Arrangörslista!$U$5&lt;12,SUM(LARGE(BV27:CF27,{1;2})),
IF(Arrangörslista!$U$5&lt;16,SUM(LARGE(BV27:CJ27,{1;2;3})),
IF(Arrangörslista!$U$5&lt;20,SUM(LARGE(BV27:CN27,{1;2;3;4})),
IF(Arrangörslista!$U$5&lt;24,SUM(LARGE(BV27:CR27,{1;2;3;4;5})),
IF(Arrangörslista!$U$5&lt;28,SUM(LARGE(BV27:CV27,{1;2;3;4;5;6})),
IF(Arrangörslista!$U$5&lt;32,SUM(LARGE(BV27:CZ27,{1;2;3;4;5;6;7})),
IF(Arrangörslista!$U$5&lt;36,SUM(LARGE(BV27:DD27,{1;2;3;4;5;6;7;8})),
IF(Arrangörslista!$U$5&lt;40,SUM(LARGE(BV27:DH27,{1;2;3;4;5;6;7;8;9})),
IF(Arrangörslista!$U$5&lt;44,SUM(LARGE(BV27:DL27,{1;2;3;4;5;6;7;8;9;10})),
IF(Arrangörslista!$U$5&lt;48,SUM(LARGE(BV27:DP27,{1;2;3;4;5;6;7;8;9;10;11})),
IF(Arrangörslista!$U$5&lt;52,SUM(LARGE(BV27:DT27,{1;2;3;4;5;6;7;8;9;10;11;12})),
IF(Arrangörslista!$U$5&lt;56,SUM(LARGE(BV27:DX27,{1;2;3;4;5;6;7;8;9;10;11;12;13})),
IF(Arrangörslista!$U$5&lt;60,SUM(LARGE(BV27:EB27,{1;2;3;4;5;6;7;8;9;10;11;12;13;14})),
IF(Arrangörslista!$U$5=60,SUM(LARGE(BV27:EC27,{1;2;3;4;5;6;7;8;9;10;11;12;13;14;15})),0))))))))))))))))))</f>
        <v>0</v>
      </c>
      <c r="EG27" s="67">
        <f t="shared" si="62"/>
        <v>0</v>
      </c>
      <c r="EH27" s="61"/>
      <c r="EI27" s="61"/>
      <c r="EK27" s="62">
        <f t="shared" si="63"/>
        <v>61</v>
      </c>
      <c r="EL27" s="62">
        <f t="shared" si="64"/>
        <v>61</v>
      </c>
      <c r="EM27" s="62">
        <f t="shared" si="65"/>
        <v>61</v>
      </c>
      <c r="EN27" s="62">
        <f t="shared" si="66"/>
        <v>61</v>
      </c>
      <c r="EO27" s="62">
        <f t="shared" si="67"/>
        <v>61</v>
      </c>
      <c r="EP27" s="62">
        <f t="shared" si="68"/>
        <v>61</v>
      </c>
      <c r="EQ27" s="62">
        <f t="shared" si="69"/>
        <v>61</v>
      </c>
      <c r="ER27" s="62">
        <f t="shared" si="70"/>
        <v>61</v>
      </c>
      <c r="ES27" s="62">
        <f t="shared" si="71"/>
        <v>61</v>
      </c>
      <c r="ET27" s="62">
        <f t="shared" si="72"/>
        <v>61</v>
      </c>
      <c r="EU27" s="62">
        <f t="shared" si="73"/>
        <v>61</v>
      </c>
      <c r="EV27" s="62">
        <f t="shared" si="74"/>
        <v>61</v>
      </c>
      <c r="EW27" s="62">
        <f t="shared" si="75"/>
        <v>61</v>
      </c>
      <c r="EX27" s="62">
        <f t="shared" si="76"/>
        <v>61</v>
      </c>
      <c r="EY27" s="62">
        <f t="shared" si="77"/>
        <v>61</v>
      </c>
      <c r="EZ27" s="62">
        <f t="shared" si="78"/>
        <v>61</v>
      </c>
      <c r="FA27" s="62">
        <f t="shared" si="79"/>
        <v>61</v>
      </c>
      <c r="FB27" s="62">
        <f t="shared" si="80"/>
        <v>61</v>
      </c>
      <c r="FC27" s="62">
        <f t="shared" si="81"/>
        <v>61</v>
      </c>
      <c r="FD27" s="62">
        <f t="shared" si="82"/>
        <v>61</v>
      </c>
      <c r="FE27" s="62">
        <f t="shared" si="83"/>
        <v>61</v>
      </c>
      <c r="FF27" s="62">
        <f t="shared" si="84"/>
        <v>61</v>
      </c>
      <c r="FG27" s="62">
        <f t="shared" si="85"/>
        <v>61</v>
      </c>
      <c r="FH27" s="62">
        <f t="shared" si="86"/>
        <v>61</v>
      </c>
      <c r="FI27" s="62">
        <f t="shared" si="87"/>
        <v>61</v>
      </c>
      <c r="FJ27" s="62">
        <f t="shared" si="88"/>
        <v>61</v>
      </c>
      <c r="FK27" s="62">
        <f t="shared" si="89"/>
        <v>61</v>
      </c>
      <c r="FL27" s="62">
        <f t="shared" si="90"/>
        <v>61</v>
      </c>
      <c r="FM27" s="62">
        <f t="shared" si="91"/>
        <v>61</v>
      </c>
      <c r="FN27" s="62">
        <f t="shared" si="92"/>
        <v>61</v>
      </c>
      <c r="FO27" s="62">
        <f t="shared" si="93"/>
        <v>61</v>
      </c>
      <c r="FP27" s="62">
        <f t="shared" si="94"/>
        <v>61</v>
      </c>
      <c r="FQ27" s="62">
        <f t="shared" si="95"/>
        <v>61</v>
      </c>
      <c r="FR27" s="62">
        <f t="shared" si="96"/>
        <v>61</v>
      </c>
      <c r="FS27" s="62">
        <f t="shared" si="97"/>
        <v>61</v>
      </c>
      <c r="FT27" s="62">
        <f t="shared" si="98"/>
        <v>61</v>
      </c>
      <c r="FU27" s="62">
        <f t="shared" si="99"/>
        <v>61</v>
      </c>
      <c r="FV27" s="62">
        <f t="shared" si="100"/>
        <v>61</v>
      </c>
      <c r="FW27" s="62">
        <f t="shared" si="101"/>
        <v>61</v>
      </c>
      <c r="FX27" s="62">
        <f t="shared" si="102"/>
        <v>61</v>
      </c>
      <c r="FY27" s="62">
        <f t="shared" si="103"/>
        <v>61</v>
      </c>
      <c r="FZ27" s="62">
        <f t="shared" si="104"/>
        <v>61</v>
      </c>
      <c r="GA27" s="62">
        <f t="shared" si="105"/>
        <v>61</v>
      </c>
      <c r="GB27" s="62">
        <f t="shared" si="106"/>
        <v>61</v>
      </c>
      <c r="GC27" s="62">
        <f t="shared" si="107"/>
        <v>61</v>
      </c>
      <c r="GD27" s="62">
        <f t="shared" si="108"/>
        <v>61</v>
      </c>
      <c r="GE27" s="62">
        <f t="shared" si="109"/>
        <v>61</v>
      </c>
      <c r="GF27" s="62">
        <f t="shared" si="110"/>
        <v>61</v>
      </c>
      <c r="GG27" s="62">
        <f t="shared" si="111"/>
        <v>61</v>
      </c>
      <c r="GH27" s="62">
        <f t="shared" si="112"/>
        <v>61</v>
      </c>
      <c r="GI27" s="62">
        <f t="shared" si="113"/>
        <v>61</v>
      </c>
      <c r="GJ27" s="62">
        <f t="shared" si="114"/>
        <v>61</v>
      </c>
      <c r="GK27" s="62">
        <f t="shared" si="115"/>
        <v>61</v>
      </c>
      <c r="GL27" s="62">
        <f t="shared" si="116"/>
        <v>61</v>
      </c>
      <c r="GM27" s="62">
        <f t="shared" si="117"/>
        <v>61</v>
      </c>
      <c r="GN27" s="62">
        <f t="shared" si="118"/>
        <v>61</v>
      </c>
      <c r="GO27" s="62">
        <f t="shared" si="119"/>
        <v>61</v>
      </c>
      <c r="GP27" s="62">
        <f t="shared" si="120"/>
        <v>61</v>
      </c>
      <c r="GQ27" s="62">
        <f t="shared" si="121"/>
        <v>61</v>
      </c>
      <c r="GR27" s="62">
        <f t="shared" si="122"/>
        <v>61</v>
      </c>
      <c r="GT27" s="62">
        <f>IF(Deltagarlista!$K$3=2,
IF(GW27="1",
      IF(Arrangörslista!$U$5=1,J90,
IF(Arrangörslista!$U$5=2,K90,
IF(Arrangörslista!$U$5=3,L90,
IF(Arrangörslista!$U$5=4,M90,
IF(Arrangörslista!$U$5=5,N90,
IF(Arrangörslista!$U$5=6,O90,
IF(Arrangörslista!$U$5=7,P90,
IF(Arrangörslista!$U$5=8,Q90,
IF(Arrangörslista!$U$5=9,R90,
IF(Arrangörslista!$U$5=10,S90,
IF(Arrangörslista!$U$5=11,T90,
IF(Arrangörslista!$U$5=12,U90,
IF(Arrangörslista!$U$5=13,V90,
IF(Arrangörslista!$U$5=14,W90,
IF(Arrangörslista!$U$5=15,X90,
IF(Arrangörslista!$U$5=16,Y90,IF(Arrangörslista!$U$5=17,Z90,IF(Arrangörslista!$U$5=18,AA90,IF(Arrangörslista!$U$5=19,AB90,IF(Arrangörslista!$U$5=20,AC90,IF(Arrangörslista!$U$5=21,AD90,IF(Arrangörslista!$U$5=22,AE90,IF(Arrangörslista!$U$5=23,AF90, IF(Arrangörslista!$U$5=24,AG90, IF(Arrangörslista!$U$5=25,AH90, IF(Arrangörslista!$U$5=26,AI90, IF(Arrangörslista!$U$5=27,AJ90, IF(Arrangörslista!$U$5=28,AK90, IF(Arrangörslista!$U$5=29,AL90, IF(Arrangörslista!$U$5=30,AM90, IF(Arrangörslista!$U$5=31,AN90, IF(Arrangörslista!$U$5=32,AO90, IF(Arrangörslista!$U$5=33,AP90, IF(Arrangörslista!$U$5=34,AQ90, IF(Arrangörslista!$U$5=35,AR90, IF(Arrangörslista!$U$5=36,AS90, IF(Arrangörslista!$U$5=37,AT90, IF(Arrangörslista!$U$5=38,AU90, IF(Arrangörslista!$U$5=39,AV90, IF(Arrangörslista!$U$5=40,AW90, IF(Arrangörslista!$U$5=41,AX90, IF(Arrangörslista!$U$5=42,AY90, IF(Arrangörslista!$U$5=43,AZ90, IF(Arrangörslista!$U$5=44,BA90, IF(Arrangörslista!$U$5=45,BB90, IF(Arrangörslista!$U$5=46,BC90, IF(Arrangörslista!$U$5=47,BD90, IF(Arrangörslista!$U$5=48,BE90, IF(Arrangörslista!$U$5=49,BF90, IF(Arrangörslista!$U$5=50,BG90, IF(Arrangörslista!$U$5=51,BH90, IF(Arrangörslista!$U$5=52,BI90, IF(Arrangörslista!$U$5=53,BJ90, IF(Arrangörslista!$U$5=54,BK90, IF(Arrangörslista!$U$5=55,BL90, IF(Arrangörslista!$U$5=56,BM90, IF(Arrangörslista!$U$5=57,BN90, IF(Arrangörslista!$U$5=58,BO90, IF(Arrangörslista!$U$5=59,BP90, IF(Arrangörslista!$U$5=60,BQ90,0))))))))))))))))))))))))))))))))))))))))))))))))))))))))))))),IF(Deltagarlista!$K$3=4, IF(Arrangörslista!$U$5=1,J90,
IF(Arrangörslista!$U$5=2,J90,
IF(Arrangörslista!$U$5=3,K90,
IF(Arrangörslista!$U$5=4,K90,
IF(Arrangörslista!$U$5=5,L90,
IF(Arrangörslista!$U$5=6,L90,
IF(Arrangörslista!$U$5=7,M90,
IF(Arrangörslista!$U$5=8,M90,
IF(Arrangörslista!$U$5=9,N90,
IF(Arrangörslista!$U$5=10,N90,
IF(Arrangörslista!$U$5=11,O90,
IF(Arrangörslista!$U$5=12,O90,
IF(Arrangörslista!$U$5=13,P90,
IF(Arrangörslista!$U$5=14,P90,
IF(Arrangörslista!$U$5=15,Q90,
IF(Arrangörslista!$U$5=16,Q90,
IF(Arrangörslista!$U$5=17,R90,
IF(Arrangörslista!$U$5=18,R90,
IF(Arrangörslista!$U$5=19,S90,
IF(Arrangörslista!$U$5=20,S90,
IF(Arrangörslista!$U$5=21,T90,
IF(Arrangörslista!$U$5=22,T90,IF(Arrangörslista!$U$5=23,U90, IF(Arrangörslista!$U$5=24,U90, IF(Arrangörslista!$U$5=25,V90, IF(Arrangörslista!$U$5=26,V90, IF(Arrangörslista!$U$5=27,W90, IF(Arrangörslista!$U$5=28,W90, IF(Arrangörslista!$U$5=29,X90, IF(Arrangörslista!$U$5=30,X90, IF(Arrangörslista!$U$5=31,X90, IF(Arrangörslista!$U$5=32,Y90, IF(Arrangörslista!$U$5=33,AO90, IF(Arrangörslista!$U$5=34,Y90, IF(Arrangörslista!$U$5=35,Z90, IF(Arrangörslista!$U$5=36,AR90, IF(Arrangörslista!$U$5=37,Z90, IF(Arrangörslista!$U$5=38,AA90, IF(Arrangörslista!$U$5=39,AU90, IF(Arrangörslista!$U$5=40,AA90, IF(Arrangörslista!$U$5=41,AB90, IF(Arrangörslista!$U$5=42,AX90, IF(Arrangörslista!$U$5=43,AB90, IF(Arrangörslista!$U$5=44,AC90, IF(Arrangörslista!$U$5=45,BA90, IF(Arrangörslista!$U$5=46,AC90, IF(Arrangörslista!$U$5=47,AD90, IF(Arrangörslista!$U$5=48,BD90, IF(Arrangörslista!$U$5=49,AD90, IF(Arrangörslista!$U$5=50,AE90, IF(Arrangörslista!$U$5=51,BG90, IF(Arrangörslista!$U$5=52,AE90, IF(Arrangörslista!$U$5=53,AF90, IF(Arrangörslista!$U$5=54,BJ90, IF(Arrangörslista!$U$5=55,AF90, IF(Arrangörslista!$U$5=56,AG90, IF(Arrangörslista!$U$5=57,BM90, IF(Arrangörslista!$U$5=58,AG90, IF(Arrangörslista!$U$5=59,AH90, IF(Arrangörslista!$U$5=60,AH90,0)))))))))))))))))))))))))))))))))))))))))))))))))))))))))))),IF(Arrangörslista!$U$5=1,J90,
IF(Arrangörslista!$U$5=2,K90,
IF(Arrangörslista!$U$5=3,L90,
IF(Arrangörslista!$U$5=4,M90,
IF(Arrangörslista!$U$5=5,N90,
IF(Arrangörslista!$U$5=6,O90,
IF(Arrangörslista!$U$5=7,P90,
IF(Arrangörslista!$U$5=8,Q90,
IF(Arrangörslista!$U$5=9,R90,
IF(Arrangörslista!$U$5=10,S90,
IF(Arrangörslista!$U$5=11,T90,
IF(Arrangörslista!$U$5=12,U90,
IF(Arrangörslista!$U$5=13,V90,
IF(Arrangörslista!$U$5=14,W90,
IF(Arrangörslista!$U$5=15,X90,
IF(Arrangörslista!$U$5=16,Y90,IF(Arrangörslista!$U$5=17,Z90,IF(Arrangörslista!$U$5=18,AA90,IF(Arrangörslista!$U$5=19,AB90,IF(Arrangörslista!$U$5=20,AC90,IF(Arrangörslista!$U$5=21,AD90,IF(Arrangörslista!$U$5=22,AE90,IF(Arrangörslista!$U$5=23,AF90, IF(Arrangörslista!$U$5=24,AG90, IF(Arrangörslista!$U$5=25,AH90, IF(Arrangörslista!$U$5=26,AI90, IF(Arrangörslista!$U$5=27,AJ90, IF(Arrangörslista!$U$5=28,AK90, IF(Arrangörslista!$U$5=29,AL90, IF(Arrangörslista!$U$5=30,AM90, IF(Arrangörslista!$U$5=31,AN90, IF(Arrangörslista!$U$5=32,AO90, IF(Arrangörslista!$U$5=33,AP90, IF(Arrangörslista!$U$5=34,AQ90, IF(Arrangörslista!$U$5=35,AR90, IF(Arrangörslista!$U$5=36,AS90, IF(Arrangörslista!$U$5=37,AT90, IF(Arrangörslista!$U$5=38,AU90, IF(Arrangörslista!$U$5=39,AV90, IF(Arrangörslista!$U$5=40,AW90, IF(Arrangörslista!$U$5=41,AX90, IF(Arrangörslista!$U$5=42,AY90, IF(Arrangörslista!$U$5=43,AZ90, IF(Arrangörslista!$U$5=44,BA90, IF(Arrangörslista!$U$5=45,BB90, IF(Arrangörslista!$U$5=46,BC90, IF(Arrangörslista!$U$5=47,BD90, IF(Arrangörslista!$U$5=48,BE90, IF(Arrangörslista!$U$5=49,BF90, IF(Arrangörslista!$U$5=50,BG90, IF(Arrangörslista!$U$5=51,BH90, IF(Arrangörslista!$U$5=52,BI90, IF(Arrangörslista!$U$5=53,BJ90, IF(Arrangörslista!$U$5=54,BK90, IF(Arrangörslista!$U$5=55,BL90, IF(Arrangörslista!$U$5=56,BM90, IF(Arrangörslista!$U$5=57,BN90, IF(Arrangörslista!$U$5=58,BO90, IF(Arrangörslista!$U$5=59,BP90, IF(Arrangörslista!$U$5=60,BQ90,0))))))))))))))))))))))))))))))))))))))))))))))))))))))))))))
))</f>
        <v>0</v>
      </c>
      <c r="GV27" s="65" t="str">
        <f>IFERROR(IF(VLOOKUP(F27,Deltagarlista!$E$5:$I$64,5,FALSE)="Grön","Gr",IF(VLOOKUP(F27,Deltagarlista!$E$5:$I$64,5,FALSE)="Röd","R",IF(VLOOKUP(F27,Deltagarlista!$E$5:$I$64,5,FALSE)="Blå","B","Gu"))),"")</f>
        <v/>
      </c>
      <c r="GW27" s="62" t="str">
        <f t="shared" si="124"/>
        <v/>
      </c>
    </row>
    <row r="28" spans="2:205" x14ac:dyDescent="0.3">
      <c r="B28" s="23" t="str">
        <f>IF((COUNTIF(Deltagarlista!$H$5:$H$64,"GM"))&gt;24,25,"")</f>
        <v/>
      </c>
      <c r="C28" s="92" t="str">
        <f>IF(ISBLANK(Deltagarlista!C54),"",Deltagarlista!C54)</f>
        <v/>
      </c>
      <c r="D28" s="109" t="str">
        <f>CONCATENATE(IF(Deltagarlista!H54="GM","GM   ",""), IF(OR(Deltagarlista!$K$3=4,Deltagarlista!$K$3=2),Deltagarlista!I54,""))</f>
        <v/>
      </c>
      <c r="E28" s="8" t="str">
        <f>IF(ISBLANK(Deltagarlista!D54),"",Deltagarlista!D54)</f>
        <v/>
      </c>
      <c r="F28" s="8" t="str">
        <f>IF(ISBLANK(Deltagarlista!E54),"",Deltagarlista!E54)</f>
        <v/>
      </c>
      <c r="G28" s="95" t="str">
        <f>IF(ISBLANK(Deltagarlista!F54),"",Deltagarlista!F54)</f>
        <v/>
      </c>
      <c r="H28" s="72" t="str">
        <f>IF(ISBLANK(Deltagarlista!C54),"",BU28-EE28)</f>
        <v/>
      </c>
      <c r="I28" s="13" t="str">
        <f>IF(ISBLANK(Deltagarlista!C54),"",IF(AND(Deltagarlista!$K$3=2,Deltagarlista!$L$3&lt;37),SUM(SUM(BV28:EC28)-(ROUNDDOWN(Arrangörslista!$U$5/3,1))*($BW$3+1)),SUM(BV28:EC28)))</f>
        <v/>
      </c>
      <c r="J28" s="79" t="str">
        <f>IF(Deltagarlista!$K$3=4,IF(ISBLANK(Deltagarlista!$C54),"",IF(ISBLANK(Arrangörslista!C$8),"",IFERROR(VLOOKUP($F28,Arrangörslista!C$8:$AG$45,16,FALSE),IF(ISBLANK(Deltagarlista!$C54),"",IF(ISBLANK(Arrangörslista!C$8),"",IFERROR(VLOOKUP($F28,Arrangörslista!D$8:$AG$45,16,FALSE),"DNS")))))),IF(Deltagarlista!$K$3=2,
IF(ISBLANK(Deltagarlista!$C54),"",IF(ISBLANK(Arrangörslista!C$8),"",IF($GV28=J$64," DNS ",IFERROR(VLOOKUP($F28,Arrangörslista!C$8:$AG$45,16,FALSE),"DNS")))),IF(ISBLANK(Deltagarlista!$C54),"",IF(ISBLANK(Arrangörslista!C$8),"",IFERROR(VLOOKUP($F28,Arrangörslista!C$8:$AG$45,16,FALSE),"DNS")))))</f>
        <v/>
      </c>
      <c r="K28" s="5" t="str">
        <f>IF(Deltagarlista!$K$3=4,IF(ISBLANK(Deltagarlista!$C54),"",IF(ISBLANK(Arrangörslista!E$8),"",IFERROR(VLOOKUP($F28,Arrangörslista!E$8:$AG$45,16,FALSE),IF(ISBLANK(Deltagarlista!$C54),"",IF(ISBLANK(Arrangörslista!E$8),"",IFERROR(VLOOKUP($F28,Arrangörslista!F$8:$AG$45,16,FALSE),"DNS")))))),IF(Deltagarlista!$K$3=2,
IF(ISBLANK(Deltagarlista!$C54),"",IF(ISBLANK(Arrangörslista!D$8),"",IF($GV28=K$64," DNS ",IFERROR(VLOOKUP($F28,Arrangörslista!D$8:$AG$45,16,FALSE),"DNS")))),IF(ISBLANK(Deltagarlista!$C54),"",IF(ISBLANK(Arrangörslista!D$8),"",IFERROR(VLOOKUP($F28,Arrangörslista!D$8:$AG$45,16,FALSE),"DNS")))))</f>
        <v/>
      </c>
      <c r="L28" s="5" t="str">
        <f>IF(Deltagarlista!$K$3=4,IF(ISBLANK(Deltagarlista!$C54),"",IF(ISBLANK(Arrangörslista!G$8),"",IFERROR(VLOOKUP($F28,Arrangörslista!G$8:$AG$45,16,FALSE),IF(ISBLANK(Deltagarlista!$C54),"",IF(ISBLANK(Arrangörslista!G$8),"",IFERROR(VLOOKUP($F28,Arrangörslista!H$8:$AG$45,16,FALSE),"DNS")))))),IF(Deltagarlista!$K$3=2,
IF(ISBLANK(Deltagarlista!$C54),"",IF(ISBLANK(Arrangörslista!E$8),"",IF($GV28=L$64," DNS ",IFERROR(VLOOKUP($F28,Arrangörslista!E$8:$AG$45,16,FALSE),"DNS")))),IF(ISBLANK(Deltagarlista!$C54),"",IF(ISBLANK(Arrangörslista!E$8),"",IFERROR(VLOOKUP($F28,Arrangörslista!E$8:$AG$45,16,FALSE),"DNS")))))</f>
        <v/>
      </c>
      <c r="M28" s="5" t="str">
        <f>IF(Deltagarlista!$K$3=4,IF(ISBLANK(Deltagarlista!$C54),"",IF(ISBLANK(Arrangörslista!I$8),"",IFERROR(VLOOKUP($F28,Arrangörslista!I$8:$AG$45,16,FALSE),IF(ISBLANK(Deltagarlista!$C54),"",IF(ISBLANK(Arrangörslista!I$8),"",IFERROR(VLOOKUP($F28,Arrangörslista!J$8:$AG$45,16,FALSE),"DNS")))))),IF(Deltagarlista!$K$3=2,
IF(ISBLANK(Deltagarlista!$C54),"",IF(ISBLANK(Arrangörslista!F$8),"",IF($GV28=M$64," DNS ",IFERROR(VLOOKUP($F28,Arrangörslista!F$8:$AG$45,16,FALSE),"DNS")))),IF(ISBLANK(Deltagarlista!$C54),"",IF(ISBLANK(Arrangörslista!F$8),"",IFERROR(VLOOKUP($F28,Arrangörslista!F$8:$AG$45,16,FALSE),"DNS")))))</f>
        <v/>
      </c>
      <c r="N28" s="5" t="str">
        <f>IF(Deltagarlista!$K$3=4,IF(ISBLANK(Deltagarlista!$C54),"",IF(ISBLANK(Arrangörslista!K$8),"",IFERROR(VLOOKUP($F28,Arrangörslista!K$8:$AG$45,16,FALSE),IF(ISBLANK(Deltagarlista!$C54),"",IF(ISBLANK(Arrangörslista!K$8),"",IFERROR(VLOOKUP($F28,Arrangörslista!L$8:$AG$45,16,FALSE),"DNS")))))),IF(Deltagarlista!$K$3=2,
IF(ISBLANK(Deltagarlista!$C54),"",IF(ISBLANK(Arrangörslista!G$8),"",IF($GV28=N$64," DNS ",IFERROR(VLOOKUP($F28,Arrangörslista!G$8:$AG$45,16,FALSE),"DNS")))),IF(ISBLANK(Deltagarlista!$C54),"",IF(ISBLANK(Arrangörslista!G$8),"",IFERROR(VLOOKUP($F28,Arrangörslista!G$8:$AG$45,16,FALSE),"DNS")))))</f>
        <v/>
      </c>
      <c r="O28" s="5" t="str">
        <f>IF(Deltagarlista!$K$3=4,IF(ISBLANK(Deltagarlista!$C54),"",IF(ISBLANK(Arrangörslista!M$8),"",IFERROR(VLOOKUP($F28,Arrangörslista!M$8:$AG$45,16,FALSE),IF(ISBLANK(Deltagarlista!$C54),"",IF(ISBLANK(Arrangörslista!M$8),"",IFERROR(VLOOKUP($F28,Arrangörslista!N$8:$AG$45,16,FALSE),"DNS")))))),IF(Deltagarlista!$K$3=2,
IF(ISBLANK(Deltagarlista!$C54),"",IF(ISBLANK(Arrangörslista!H$8),"",IF($GV28=O$64," DNS ",IFERROR(VLOOKUP($F28,Arrangörslista!H$8:$AG$45,16,FALSE),"DNS")))),IF(ISBLANK(Deltagarlista!$C54),"",IF(ISBLANK(Arrangörslista!H$8),"",IFERROR(VLOOKUP($F28,Arrangörslista!H$8:$AG$45,16,FALSE),"DNS")))))</f>
        <v/>
      </c>
      <c r="P28" s="5" t="str">
        <f>IF(Deltagarlista!$K$3=4,IF(ISBLANK(Deltagarlista!$C54),"",IF(ISBLANK(Arrangörslista!O$8),"",IFERROR(VLOOKUP($F28,Arrangörslista!O$8:$AG$45,16,FALSE),IF(ISBLANK(Deltagarlista!$C54),"",IF(ISBLANK(Arrangörslista!O$8),"",IFERROR(VLOOKUP($F28,Arrangörslista!P$8:$AG$45,16,FALSE),"DNS")))))),IF(Deltagarlista!$K$3=2,
IF(ISBLANK(Deltagarlista!$C54),"",IF(ISBLANK(Arrangörslista!I$8),"",IF($GV28=P$64," DNS ",IFERROR(VLOOKUP($F28,Arrangörslista!I$8:$AG$45,16,FALSE),"DNS")))),IF(ISBLANK(Deltagarlista!$C54),"",IF(ISBLANK(Arrangörslista!I$8),"",IFERROR(VLOOKUP($F28,Arrangörslista!I$8:$AG$45,16,FALSE),"DNS")))))</f>
        <v/>
      </c>
      <c r="Q28" s="5" t="str">
        <f>IF(Deltagarlista!$K$3=4,IF(ISBLANK(Deltagarlista!$C54),"",IF(ISBLANK(Arrangörslista!Q$8),"",IFERROR(VLOOKUP($F28,Arrangörslista!Q$8:$AG$45,16,FALSE),IF(ISBLANK(Deltagarlista!$C54),"",IF(ISBLANK(Arrangörslista!Q$8),"",IFERROR(VLOOKUP($F28,Arrangörslista!C$53:$AG$90,16,FALSE),"DNS")))))),IF(Deltagarlista!$K$3=2,
IF(ISBLANK(Deltagarlista!$C54),"",IF(ISBLANK(Arrangörslista!J$8),"",IF($GV28=Q$64," DNS ",IFERROR(VLOOKUP($F28,Arrangörslista!J$8:$AG$45,16,FALSE),"DNS")))),IF(ISBLANK(Deltagarlista!$C54),"",IF(ISBLANK(Arrangörslista!J$8),"",IFERROR(VLOOKUP($F28,Arrangörslista!J$8:$AG$45,16,FALSE),"DNS")))))</f>
        <v/>
      </c>
      <c r="R28" s="5" t="str">
        <f>IF(Deltagarlista!$K$3=4,IF(ISBLANK(Deltagarlista!$C54),"",IF(ISBLANK(Arrangörslista!D$53),"",IFERROR(VLOOKUP($F28,Arrangörslista!D$53:$AG$90,16,FALSE),IF(ISBLANK(Deltagarlista!$C54),"",IF(ISBLANK(Arrangörslista!D$53),"",IFERROR(VLOOKUP($F28,Arrangörslista!E$53:$AG$90,16,FALSE),"DNS")))))),IF(Deltagarlista!$K$3=2,
IF(ISBLANK(Deltagarlista!$C54),"",IF(ISBLANK(Arrangörslista!K$8),"",IF($GV28=R$64," DNS ",IFERROR(VLOOKUP($F28,Arrangörslista!K$8:$AG$45,16,FALSE),"DNS")))),IF(ISBLANK(Deltagarlista!$C54),"",IF(ISBLANK(Arrangörslista!K$8),"",IFERROR(VLOOKUP($F28,Arrangörslista!K$8:$AG$45,16,FALSE),"DNS")))))</f>
        <v/>
      </c>
      <c r="S28" s="5" t="str">
        <f>IF(Deltagarlista!$K$3=4,IF(ISBLANK(Deltagarlista!$C54),"",IF(ISBLANK(Arrangörslista!F$53),"",IFERROR(VLOOKUP($F28,Arrangörslista!F$53:$AG$90,16,FALSE),IF(ISBLANK(Deltagarlista!$C54),"",IF(ISBLANK(Arrangörslista!F$53),"",IFERROR(VLOOKUP($F28,Arrangörslista!G$53:$AG$90,16,FALSE),"DNS")))))),IF(Deltagarlista!$K$3=2,
IF(ISBLANK(Deltagarlista!$C54),"",IF(ISBLANK(Arrangörslista!L$8),"",IF($GV28=S$64," DNS ",IFERROR(VLOOKUP($F28,Arrangörslista!L$8:$AG$45,16,FALSE),"DNS")))),IF(ISBLANK(Deltagarlista!$C54),"",IF(ISBLANK(Arrangörslista!L$8),"",IFERROR(VLOOKUP($F28,Arrangörslista!L$8:$AG$45,16,FALSE),"DNS")))))</f>
        <v/>
      </c>
      <c r="T28" s="5" t="str">
        <f>IF(Deltagarlista!$K$3=4,IF(ISBLANK(Deltagarlista!$C54),"",IF(ISBLANK(Arrangörslista!H$53),"",IFERROR(VLOOKUP($F28,Arrangörslista!H$53:$AG$90,16,FALSE),IF(ISBLANK(Deltagarlista!$C54),"",IF(ISBLANK(Arrangörslista!H$53),"",IFERROR(VLOOKUP($F28,Arrangörslista!I$53:$AG$90,16,FALSE),"DNS")))))),IF(Deltagarlista!$K$3=2,
IF(ISBLANK(Deltagarlista!$C54),"",IF(ISBLANK(Arrangörslista!M$8),"",IF($GV28=T$64," DNS ",IFERROR(VLOOKUP($F28,Arrangörslista!M$8:$AG$45,16,FALSE),"DNS")))),IF(ISBLANK(Deltagarlista!$C54),"",IF(ISBLANK(Arrangörslista!M$8),"",IFERROR(VLOOKUP($F28,Arrangörslista!M$8:$AG$45,16,FALSE),"DNS")))))</f>
        <v/>
      </c>
      <c r="U28" s="5" t="str">
        <f>IF(Deltagarlista!$K$3=4,IF(ISBLANK(Deltagarlista!$C54),"",IF(ISBLANK(Arrangörslista!J$53),"",IFERROR(VLOOKUP($F28,Arrangörslista!J$53:$AG$90,16,FALSE),IF(ISBLANK(Deltagarlista!$C54),"",IF(ISBLANK(Arrangörslista!J$53),"",IFERROR(VLOOKUP($F28,Arrangörslista!K$53:$AG$90,16,FALSE),"DNS")))))),IF(Deltagarlista!$K$3=2,
IF(ISBLANK(Deltagarlista!$C54),"",IF(ISBLANK(Arrangörslista!N$8),"",IF($GV28=U$64," DNS ",IFERROR(VLOOKUP($F28,Arrangörslista!N$8:$AG$45,16,FALSE),"DNS")))),IF(ISBLANK(Deltagarlista!$C54),"",IF(ISBLANK(Arrangörslista!N$8),"",IFERROR(VLOOKUP($F28,Arrangörslista!N$8:$AG$45,16,FALSE),"DNS")))))</f>
        <v/>
      </c>
      <c r="V28" s="5" t="str">
        <f>IF(Deltagarlista!$K$3=4,IF(ISBLANK(Deltagarlista!$C54),"",IF(ISBLANK(Arrangörslista!L$53),"",IFERROR(VLOOKUP($F28,Arrangörslista!L$53:$AG$90,16,FALSE),IF(ISBLANK(Deltagarlista!$C54),"",IF(ISBLANK(Arrangörslista!L$53),"",IFERROR(VLOOKUP($F28,Arrangörslista!M$53:$AG$90,16,FALSE),"DNS")))))),IF(Deltagarlista!$K$3=2,
IF(ISBLANK(Deltagarlista!$C54),"",IF(ISBLANK(Arrangörslista!O$8),"",IF($GV28=V$64," DNS ",IFERROR(VLOOKUP($F28,Arrangörslista!O$8:$AG$45,16,FALSE),"DNS")))),IF(ISBLANK(Deltagarlista!$C54),"",IF(ISBLANK(Arrangörslista!O$8),"",IFERROR(VLOOKUP($F28,Arrangörslista!O$8:$AG$45,16,FALSE),"DNS")))))</f>
        <v/>
      </c>
      <c r="W28" s="5" t="str">
        <f>IF(Deltagarlista!$K$3=4,IF(ISBLANK(Deltagarlista!$C54),"",IF(ISBLANK(Arrangörslista!N$53),"",IFERROR(VLOOKUP($F28,Arrangörslista!N$53:$AG$90,16,FALSE),IF(ISBLANK(Deltagarlista!$C54),"",IF(ISBLANK(Arrangörslista!N$53),"",IFERROR(VLOOKUP($F28,Arrangörslista!O$53:$AG$90,16,FALSE),"DNS")))))),IF(Deltagarlista!$K$3=2,
IF(ISBLANK(Deltagarlista!$C54),"",IF(ISBLANK(Arrangörslista!P$8),"",IF($GV28=W$64," DNS ",IFERROR(VLOOKUP($F28,Arrangörslista!P$8:$AG$45,16,FALSE),"DNS")))),IF(ISBLANK(Deltagarlista!$C54),"",IF(ISBLANK(Arrangörslista!P$8),"",IFERROR(VLOOKUP($F28,Arrangörslista!P$8:$AG$45,16,FALSE),"DNS")))))</f>
        <v/>
      </c>
      <c r="X28" s="5" t="str">
        <f>IF(Deltagarlista!$K$3=4,IF(ISBLANK(Deltagarlista!$C54),"",IF(ISBLANK(Arrangörslista!P$53),"",IFERROR(VLOOKUP($F28,Arrangörslista!P$53:$AG$90,16,FALSE),IF(ISBLANK(Deltagarlista!$C54),"",IF(ISBLANK(Arrangörslista!P$53),"",IFERROR(VLOOKUP($F28,Arrangörslista!Q$53:$AG$90,16,FALSE),"DNS")))))),IF(Deltagarlista!$K$3=2,
IF(ISBLANK(Deltagarlista!$C54),"",IF(ISBLANK(Arrangörslista!Q$8),"",IF($GV28=X$64," DNS ",IFERROR(VLOOKUP($F28,Arrangörslista!Q$8:$AG$45,16,FALSE),"DNS")))),IF(ISBLANK(Deltagarlista!$C54),"",IF(ISBLANK(Arrangörslista!Q$8),"",IFERROR(VLOOKUP($F28,Arrangörslista!Q$8:$AG$45,16,FALSE),"DNS")))))</f>
        <v/>
      </c>
      <c r="Y28" s="5" t="str">
        <f>IF(Deltagarlista!$K$3=4,IF(ISBLANK(Deltagarlista!$C54),"",IF(ISBLANK(Arrangörslista!C$98),"",IFERROR(VLOOKUP($F28,Arrangörslista!C$98:$AG$135,16,FALSE),IF(ISBLANK(Deltagarlista!$C54),"",IF(ISBLANK(Arrangörslista!C$98),"",IFERROR(VLOOKUP($F28,Arrangörslista!D$98:$AG$135,16,FALSE),"DNS")))))),IF(Deltagarlista!$K$3=2,
IF(ISBLANK(Deltagarlista!$C54),"",IF(ISBLANK(Arrangörslista!C$53),"",IF($GV28=Y$64," DNS ",IFERROR(VLOOKUP($F28,Arrangörslista!C$53:$AG$90,16,FALSE),"DNS")))),IF(ISBLANK(Deltagarlista!$C54),"",IF(ISBLANK(Arrangörslista!C$53),"",IFERROR(VLOOKUP($F28,Arrangörslista!C$53:$AG$90,16,FALSE),"DNS")))))</f>
        <v/>
      </c>
      <c r="Z28" s="5" t="str">
        <f>IF(Deltagarlista!$K$3=4,IF(ISBLANK(Deltagarlista!$C54),"",IF(ISBLANK(Arrangörslista!E$98),"",IFERROR(VLOOKUP($F28,Arrangörslista!E$98:$AG$135,16,FALSE),IF(ISBLANK(Deltagarlista!$C54),"",IF(ISBLANK(Arrangörslista!E$98),"",IFERROR(VLOOKUP($F28,Arrangörslista!F$98:$AG$135,16,FALSE),"DNS")))))),IF(Deltagarlista!$K$3=2,
IF(ISBLANK(Deltagarlista!$C54),"",IF(ISBLANK(Arrangörslista!D$53),"",IF($GV28=Z$64," DNS ",IFERROR(VLOOKUP($F28,Arrangörslista!D$53:$AG$90,16,FALSE),"DNS")))),IF(ISBLANK(Deltagarlista!$C54),"",IF(ISBLANK(Arrangörslista!D$53),"",IFERROR(VLOOKUP($F28,Arrangörslista!D$53:$AG$90,16,FALSE),"DNS")))))</f>
        <v/>
      </c>
      <c r="AA28" s="5" t="str">
        <f>IF(Deltagarlista!$K$3=4,IF(ISBLANK(Deltagarlista!$C54),"",IF(ISBLANK(Arrangörslista!G$98),"",IFERROR(VLOOKUP($F28,Arrangörslista!G$98:$AG$135,16,FALSE),IF(ISBLANK(Deltagarlista!$C54),"",IF(ISBLANK(Arrangörslista!G$98),"",IFERROR(VLOOKUP($F28,Arrangörslista!H$98:$AG$135,16,FALSE),"DNS")))))),IF(Deltagarlista!$K$3=2,
IF(ISBLANK(Deltagarlista!$C54),"",IF(ISBLANK(Arrangörslista!E$53),"",IF($GV28=AA$64," DNS ",IFERROR(VLOOKUP($F28,Arrangörslista!E$53:$AG$90,16,FALSE),"DNS")))),IF(ISBLANK(Deltagarlista!$C54),"",IF(ISBLANK(Arrangörslista!E$53),"",IFERROR(VLOOKUP($F28,Arrangörslista!E$53:$AG$90,16,FALSE),"DNS")))))</f>
        <v/>
      </c>
      <c r="AB28" s="5" t="str">
        <f>IF(Deltagarlista!$K$3=4,IF(ISBLANK(Deltagarlista!$C54),"",IF(ISBLANK(Arrangörslista!I$98),"",IFERROR(VLOOKUP($F28,Arrangörslista!I$98:$AG$135,16,FALSE),IF(ISBLANK(Deltagarlista!$C54),"",IF(ISBLANK(Arrangörslista!I$98),"",IFERROR(VLOOKUP($F28,Arrangörslista!J$98:$AG$135,16,FALSE),"DNS")))))),IF(Deltagarlista!$K$3=2,
IF(ISBLANK(Deltagarlista!$C54),"",IF(ISBLANK(Arrangörslista!F$53),"",IF($GV28=AB$64," DNS ",IFERROR(VLOOKUP($F28,Arrangörslista!F$53:$AG$90,16,FALSE),"DNS")))),IF(ISBLANK(Deltagarlista!$C54),"",IF(ISBLANK(Arrangörslista!F$53),"",IFERROR(VLOOKUP($F28,Arrangörslista!F$53:$AG$90,16,FALSE),"DNS")))))</f>
        <v/>
      </c>
      <c r="AC28" s="5" t="str">
        <f>IF(Deltagarlista!$K$3=4,IF(ISBLANK(Deltagarlista!$C54),"",IF(ISBLANK(Arrangörslista!K$98),"",IFERROR(VLOOKUP($F28,Arrangörslista!K$98:$AG$135,16,FALSE),IF(ISBLANK(Deltagarlista!$C54),"",IF(ISBLANK(Arrangörslista!K$98),"",IFERROR(VLOOKUP($F28,Arrangörslista!L$98:$AG$135,16,FALSE),"DNS")))))),IF(Deltagarlista!$K$3=2,
IF(ISBLANK(Deltagarlista!$C54),"",IF(ISBLANK(Arrangörslista!G$53),"",IF($GV28=AC$64," DNS ",IFERROR(VLOOKUP($F28,Arrangörslista!G$53:$AG$90,16,FALSE),"DNS")))),IF(ISBLANK(Deltagarlista!$C54),"",IF(ISBLANK(Arrangörslista!G$53),"",IFERROR(VLOOKUP($F28,Arrangörslista!G$53:$AG$90,16,FALSE),"DNS")))))</f>
        <v/>
      </c>
      <c r="AD28" s="5" t="str">
        <f>IF(Deltagarlista!$K$3=4,IF(ISBLANK(Deltagarlista!$C54),"",IF(ISBLANK(Arrangörslista!M$98),"",IFERROR(VLOOKUP($F28,Arrangörslista!M$98:$AG$135,16,FALSE),IF(ISBLANK(Deltagarlista!$C54),"",IF(ISBLANK(Arrangörslista!M$98),"",IFERROR(VLOOKUP($F28,Arrangörslista!N$98:$AG$135,16,FALSE),"DNS")))))),IF(Deltagarlista!$K$3=2,
IF(ISBLANK(Deltagarlista!$C54),"",IF(ISBLANK(Arrangörslista!H$53),"",IF($GV28=AD$64," DNS ",IFERROR(VLOOKUP($F28,Arrangörslista!H$53:$AG$90,16,FALSE),"DNS")))),IF(ISBLANK(Deltagarlista!$C54),"",IF(ISBLANK(Arrangörslista!H$53),"",IFERROR(VLOOKUP($F28,Arrangörslista!H$53:$AG$90,16,FALSE),"DNS")))))</f>
        <v/>
      </c>
      <c r="AE28" s="5" t="str">
        <f>IF(Deltagarlista!$K$3=4,IF(ISBLANK(Deltagarlista!$C54),"",IF(ISBLANK(Arrangörslista!O$98),"",IFERROR(VLOOKUP($F28,Arrangörslista!O$98:$AG$135,16,FALSE),IF(ISBLANK(Deltagarlista!$C54),"",IF(ISBLANK(Arrangörslista!O$98),"",IFERROR(VLOOKUP($F28,Arrangörslista!P$98:$AG$135,16,FALSE),"DNS")))))),IF(Deltagarlista!$K$3=2,
IF(ISBLANK(Deltagarlista!$C54),"",IF(ISBLANK(Arrangörslista!I$53),"",IF($GV28=AE$64," DNS ",IFERROR(VLOOKUP($F28,Arrangörslista!I$53:$AG$90,16,FALSE),"DNS")))),IF(ISBLANK(Deltagarlista!$C54),"",IF(ISBLANK(Arrangörslista!I$53),"",IFERROR(VLOOKUP($F28,Arrangörslista!I$53:$AG$90,16,FALSE),"DNS")))))</f>
        <v/>
      </c>
      <c r="AF28" s="5" t="str">
        <f>IF(Deltagarlista!$K$3=4,IF(ISBLANK(Deltagarlista!$C54),"",IF(ISBLANK(Arrangörslista!Q$98),"",IFERROR(VLOOKUP($F28,Arrangörslista!Q$98:$AG$135,16,FALSE),IF(ISBLANK(Deltagarlista!$C54),"",IF(ISBLANK(Arrangörslista!Q$98),"",IFERROR(VLOOKUP($F28,Arrangörslista!C$143:$AG$180,16,FALSE),"DNS")))))),IF(Deltagarlista!$K$3=2,
IF(ISBLANK(Deltagarlista!$C54),"",IF(ISBLANK(Arrangörslista!J$53),"",IF($GV28=AF$64," DNS ",IFERROR(VLOOKUP($F28,Arrangörslista!J$53:$AG$90,16,FALSE),"DNS")))),IF(ISBLANK(Deltagarlista!$C54),"",IF(ISBLANK(Arrangörslista!J$53),"",IFERROR(VLOOKUP($F28,Arrangörslista!J$53:$AG$90,16,FALSE),"DNS")))))</f>
        <v/>
      </c>
      <c r="AG28" s="5" t="str">
        <f>IF(Deltagarlista!$K$3=4,IF(ISBLANK(Deltagarlista!$C54),"",IF(ISBLANK(Arrangörslista!D$143),"",IFERROR(VLOOKUP($F28,Arrangörslista!D$143:$AG$180,16,FALSE),IF(ISBLANK(Deltagarlista!$C54),"",IF(ISBLANK(Arrangörslista!D$143),"",IFERROR(VLOOKUP($F28,Arrangörslista!E$143:$AG$180,16,FALSE),"DNS")))))),IF(Deltagarlista!$K$3=2,
IF(ISBLANK(Deltagarlista!$C54),"",IF(ISBLANK(Arrangörslista!K$53),"",IF($GV28=AG$64," DNS ",IFERROR(VLOOKUP($F28,Arrangörslista!K$53:$AG$90,16,FALSE),"DNS")))),IF(ISBLANK(Deltagarlista!$C54),"",IF(ISBLANK(Arrangörslista!K$53),"",IFERROR(VLOOKUP($F28,Arrangörslista!K$53:$AG$90,16,FALSE),"DNS")))))</f>
        <v/>
      </c>
      <c r="AH28" s="5" t="str">
        <f>IF(Deltagarlista!$K$3=4,IF(ISBLANK(Deltagarlista!$C54),"",IF(ISBLANK(Arrangörslista!F$143),"",IFERROR(VLOOKUP($F28,Arrangörslista!F$143:$AG$180,16,FALSE),IF(ISBLANK(Deltagarlista!$C54),"",IF(ISBLANK(Arrangörslista!F$143),"",IFERROR(VLOOKUP($F28,Arrangörslista!G$143:$AG$180,16,FALSE),"DNS")))))),IF(Deltagarlista!$K$3=2,
IF(ISBLANK(Deltagarlista!$C54),"",IF(ISBLANK(Arrangörslista!L$53),"",IF($GV28=AH$64," DNS ",IFERROR(VLOOKUP($F28,Arrangörslista!L$53:$AG$90,16,FALSE),"DNS")))),IF(ISBLANK(Deltagarlista!$C54),"",IF(ISBLANK(Arrangörslista!L$53),"",IFERROR(VLOOKUP($F28,Arrangörslista!L$53:$AG$90,16,FALSE),"DNS")))))</f>
        <v/>
      </c>
      <c r="AI28" s="5" t="str">
        <f>IF(Deltagarlista!$K$3=4,IF(ISBLANK(Deltagarlista!$C54),"",IF(ISBLANK(Arrangörslista!H$143),"",IFERROR(VLOOKUP($F28,Arrangörslista!H$143:$AG$180,16,FALSE),IF(ISBLANK(Deltagarlista!$C54),"",IF(ISBLANK(Arrangörslista!H$143),"",IFERROR(VLOOKUP($F28,Arrangörslista!I$143:$AG$180,16,FALSE),"DNS")))))),IF(Deltagarlista!$K$3=2,
IF(ISBLANK(Deltagarlista!$C54),"",IF(ISBLANK(Arrangörslista!M$53),"",IF($GV28=AI$64," DNS ",IFERROR(VLOOKUP($F28,Arrangörslista!M$53:$AG$90,16,FALSE),"DNS")))),IF(ISBLANK(Deltagarlista!$C54),"",IF(ISBLANK(Arrangörslista!M$53),"",IFERROR(VLOOKUP($F28,Arrangörslista!M$53:$AG$90,16,FALSE),"DNS")))))</f>
        <v/>
      </c>
      <c r="AJ28" s="5" t="str">
        <f>IF(Deltagarlista!$K$3=4,IF(ISBLANK(Deltagarlista!$C54),"",IF(ISBLANK(Arrangörslista!J$143),"",IFERROR(VLOOKUP($F28,Arrangörslista!J$143:$AG$180,16,FALSE),IF(ISBLANK(Deltagarlista!$C54),"",IF(ISBLANK(Arrangörslista!J$143),"",IFERROR(VLOOKUP($F28,Arrangörslista!K$143:$AG$180,16,FALSE),"DNS")))))),IF(Deltagarlista!$K$3=2,
IF(ISBLANK(Deltagarlista!$C54),"",IF(ISBLANK(Arrangörslista!N$53),"",IF($GV28=AJ$64," DNS ",IFERROR(VLOOKUP($F28,Arrangörslista!N$53:$AG$90,16,FALSE),"DNS")))),IF(ISBLANK(Deltagarlista!$C54),"",IF(ISBLANK(Arrangörslista!N$53),"",IFERROR(VLOOKUP($F28,Arrangörslista!N$53:$AG$90,16,FALSE),"DNS")))))</f>
        <v/>
      </c>
      <c r="AK28" s="5" t="str">
        <f>IF(Deltagarlista!$K$3=4,IF(ISBLANK(Deltagarlista!$C54),"",IF(ISBLANK(Arrangörslista!L$143),"",IFERROR(VLOOKUP($F28,Arrangörslista!L$143:$AG$180,16,FALSE),IF(ISBLANK(Deltagarlista!$C54),"",IF(ISBLANK(Arrangörslista!L$143),"",IFERROR(VLOOKUP($F28,Arrangörslista!M$143:$AG$180,16,FALSE),"DNS")))))),IF(Deltagarlista!$K$3=2,
IF(ISBLANK(Deltagarlista!$C54),"",IF(ISBLANK(Arrangörslista!O$53),"",IF($GV28=AK$64," DNS ",IFERROR(VLOOKUP($F28,Arrangörslista!O$53:$AG$90,16,FALSE),"DNS")))),IF(ISBLANK(Deltagarlista!$C54),"",IF(ISBLANK(Arrangörslista!O$53),"",IFERROR(VLOOKUP($F28,Arrangörslista!O$53:$AG$90,16,FALSE),"DNS")))))</f>
        <v/>
      </c>
      <c r="AL28" s="5" t="str">
        <f>IF(Deltagarlista!$K$3=4,IF(ISBLANK(Deltagarlista!$C54),"",IF(ISBLANK(Arrangörslista!N$143),"",IFERROR(VLOOKUP($F28,Arrangörslista!N$143:$AG$180,16,FALSE),IF(ISBLANK(Deltagarlista!$C54),"",IF(ISBLANK(Arrangörslista!N$143),"",IFERROR(VLOOKUP($F28,Arrangörslista!O$143:$AG$180,16,FALSE),"DNS")))))),IF(Deltagarlista!$K$3=2,
IF(ISBLANK(Deltagarlista!$C54),"",IF(ISBLANK(Arrangörslista!P$53),"",IF($GV28=AL$64," DNS ",IFERROR(VLOOKUP($F28,Arrangörslista!P$53:$AG$90,16,FALSE),"DNS")))),IF(ISBLANK(Deltagarlista!$C54),"",IF(ISBLANK(Arrangörslista!P$53),"",IFERROR(VLOOKUP($F28,Arrangörslista!P$53:$AG$90,16,FALSE),"DNS")))))</f>
        <v/>
      </c>
      <c r="AM28" s="5" t="str">
        <f>IF(Deltagarlista!$K$3=4,IF(ISBLANK(Deltagarlista!$C54),"",IF(ISBLANK(Arrangörslista!P$143),"",IFERROR(VLOOKUP($F28,Arrangörslista!P$143:$AG$180,16,FALSE),IF(ISBLANK(Deltagarlista!$C54),"",IF(ISBLANK(Arrangörslista!P$143),"",IFERROR(VLOOKUP($F28,Arrangörslista!Q$143:$AG$180,16,FALSE),"DNS")))))),IF(Deltagarlista!$K$3=2,
IF(ISBLANK(Deltagarlista!$C54),"",IF(ISBLANK(Arrangörslista!Q$53),"",IF($GV28=AM$64," DNS ",IFERROR(VLOOKUP($F28,Arrangörslista!Q$53:$AG$90,16,FALSE),"DNS")))),IF(ISBLANK(Deltagarlista!$C54),"",IF(ISBLANK(Arrangörslista!Q$53),"",IFERROR(VLOOKUP($F28,Arrangörslista!Q$53:$AG$90,16,FALSE),"DNS")))))</f>
        <v/>
      </c>
      <c r="AN28" s="5" t="str">
        <f>IF(Deltagarlista!$K$3=2,
IF(ISBLANK(Deltagarlista!$C54),"",IF(ISBLANK(Arrangörslista!C$98),"",IF($GV28=AN$64," DNS ",IFERROR(VLOOKUP($F28,Arrangörslista!C$98:$AG$135,16,FALSE), "DNS")))), IF(Deltagarlista!$K$3=1,IF(ISBLANK(Deltagarlista!$C54),"",IF(ISBLANK(Arrangörslista!C$98),"",IFERROR(VLOOKUP($F28,Arrangörslista!C$98:$AG$135,16,FALSE), "DNS"))),""))</f>
        <v/>
      </c>
      <c r="AO28" s="5" t="str">
        <f>IF(Deltagarlista!$K$3=2,
IF(ISBLANK(Deltagarlista!$C54),"",IF(ISBLANK(Arrangörslista!D$98),"",IF($GV28=AO$64," DNS ",IFERROR(VLOOKUP($F28,Arrangörslista!D$98:$AG$135,16,FALSE), "DNS")))), IF(Deltagarlista!$K$3=1,IF(ISBLANK(Deltagarlista!$C54),"",IF(ISBLANK(Arrangörslista!D$98),"",IFERROR(VLOOKUP($F28,Arrangörslista!D$98:$AG$135,16,FALSE), "DNS"))),""))</f>
        <v/>
      </c>
      <c r="AP28" s="5" t="str">
        <f>IF(Deltagarlista!$K$3=2,
IF(ISBLANK(Deltagarlista!$C54),"",IF(ISBLANK(Arrangörslista!E$98),"",IF($GV28=AP$64," DNS ",IFERROR(VLOOKUP($F28,Arrangörslista!E$98:$AG$135,16,FALSE), "DNS")))), IF(Deltagarlista!$K$3=1,IF(ISBLANK(Deltagarlista!$C54),"",IF(ISBLANK(Arrangörslista!E$98),"",IFERROR(VLOOKUP($F28,Arrangörslista!E$98:$AG$135,16,FALSE), "DNS"))),""))</f>
        <v/>
      </c>
      <c r="AQ28" s="5" t="str">
        <f>IF(Deltagarlista!$K$3=2,
IF(ISBLANK(Deltagarlista!$C54),"",IF(ISBLANK(Arrangörslista!F$98),"",IF($GV28=AQ$64," DNS ",IFERROR(VLOOKUP($F28,Arrangörslista!F$98:$AG$135,16,FALSE), "DNS")))), IF(Deltagarlista!$K$3=1,IF(ISBLANK(Deltagarlista!$C54),"",IF(ISBLANK(Arrangörslista!F$98),"",IFERROR(VLOOKUP($F28,Arrangörslista!F$98:$AG$135,16,FALSE), "DNS"))),""))</f>
        <v/>
      </c>
      <c r="AR28" s="5" t="str">
        <f>IF(Deltagarlista!$K$3=2,
IF(ISBLANK(Deltagarlista!$C54),"",IF(ISBLANK(Arrangörslista!G$98),"",IF($GV28=AR$64," DNS ",IFERROR(VLOOKUP($F28,Arrangörslista!G$98:$AG$135,16,FALSE), "DNS")))), IF(Deltagarlista!$K$3=1,IF(ISBLANK(Deltagarlista!$C54),"",IF(ISBLANK(Arrangörslista!G$98),"",IFERROR(VLOOKUP($F28,Arrangörslista!G$98:$AG$135,16,FALSE), "DNS"))),""))</f>
        <v/>
      </c>
      <c r="AS28" s="5" t="str">
        <f>IF(Deltagarlista!$K$3=2,
IF(ISBLANK(Deltagarlista!$C54),"",IF(ISBLANK(Arrangörslista!H$98),"",IF($GV28=AS$64," DNS ",IFERROR(VLOOKUP($F28,Arrangörslista!H$98:$AG$135,16,FALSE), "DNS")))), IF(Deltagarlista!$K$3=1,IF(ISBLANK(Deltagarlista!$C54),"",IF(ISBLANK(Arrangörslista!H$98),"",IFERROR(VLOOKUP($F28,Arrangörslista!H$98:$AG$135,16,FALSE), "DNS"))),""))</f>
        <v/>
      </c>
      <c r="AT28" s="5" t="str">
        <f>IF(Deltagarlista!$K$3=2,
IF(ISBLANK(Deltagarlista!$C54),"",IF(ISBLANK(Arrangörslista!I$98),"",IF($GV28=AT$64," DNS ",IFERROR(VLOOKUP($F28,Arrangörslista!I$98:$AG$135,16,FALSE), "DNS")))), IF(Deltagarlista!$K$3=1,IF(ISBLANK(Deltagarlista!$C54),"",IF(ISBLANK(Arrangörslista!I$98),"",IFERROR(VLOOKUP($F28,Arrangörslista!I$98:$AG$135,16,FALSE), "DNS"))),""))</f>
        <v/>
      </c>
      <c r="AU28" s="5" t="str">
        <f>IF(Deltagarlista!$K$3=2,
IF(ISBLANK(Deltagarlista!$C54),"",IF(ISBLANK(Arrangörslista!J$98),"",IF($GV28=AU$64," DNS ",IFERROR(VLOOKUP($F28,Arrangörslista!J$98:$AG$135,16,FALSE), "DNS")))), IF(Deltagarlista!$K$3=1,IF(ISBLANK(Deltagarlista!$C54),"",IF(ISBLANK(Arrangörslista!J$98),"",IFERROR(VLOOKUP($F28,Arrangörslista!J$98:$AG$135,16,FALSE), "DNS"))),""))</f>
        <v/>
      </c>
      <c r="AV28" s="5" t="str">
        <f>IF(Deltagarlista!$K$3=2,
IF(ISBLANK(Deltagarlista!$C54),"",IF(ISBLANK(Arrangörslista!K$98),"",IF($GV28=AV$64," DNS ",IFERROR(VLOOKUP($F28,Arrangörslista!K$98:$AG$135,16,FALSE), "DNS")))), IF(Deltagarlista!$K$3=1,IF(ISBLANK(Deltagarlista!$C54),"",IF(ISBLANK(Arrangörslista!K$98),"",IFERROR(VLOOKUP($F28,Arrangörslista!K$98:$AG$135,16,FALSE), "DNS"))),""))</f>
        <v/>
      </c>
      <c r="AW28" s="5" t="str">
        <f>IF(Deltagarlista!$K$3=2,
IF(ISBLANK(Deltagarlista!$C54),"",IF(ISBLANK(Arrangörslista!L$98),"",IF($GV28=AW$64," DNS ",IFERROR(VLOOKUP($F28,Arrangörslista!L$98:$AG$135,16,FALSE), "DNS")))), IF(Deltagarlista!$K$3=1,IF(ISBLANK(Deltagarlista!$C54),"",IF(ISBLANK(Arrangörslista!L$98),"",IFERROR(VLOOKUP($F28,Arrangörslista!L$98:$AG$135,16,FALSE), "DNS"))),""))</f>
        <v/>
      </c>
      <c r="AX28" s="5" t="str">
        <f>IF(Deltagarlista!$K$3=2,
IF(ISBLANK(Deltagarlista!$C54),"",IF(ISBLANK(Arrangörslista!M$98),"",IF($GV28=AX$64," DNS ",IFERROR(VLOOKUP($F28,Arrangörslista!M$98:$AG$135,16,FALSE), "DNS")))), IF(Deltagarlista!$K$3=1,IF(ISBLANK(Deltagarlista!$C54),"",IF(ISBLANK(Arrangörslista!M$98),"",IFERROR(VLOOKUP($F28,Arrangörslista!M$98:$AG$135,16,FALSE), "DNS"))),""))</f>
        <v/>
      </c>
      <c r="AY28" s="5" t="str">
        <f>IF(Deltagarlista!$K$3=2,
IF(ISBLANK(Deltagarlista!$C54),"",IF(ISBLANK(Arrangörslista!N$98),"",IF($GV28=AY$64," DNS ",IFERROR(VLOOKUP($F28,Arrangörslista!N$98:$AG$135,16,FALSE), "DNS")))), IF(Deltagarlista!$K$3=1,IF(ISBLANK(Deltagarlista!$C54),"",IF(ISBLANK(Arrangörslista!N$98),"",IFERROR(VLOOKUP($F28,Arrangörslista!N$98:$AG$135,16,FALSE), "DNS"))),""))</f>
        <v/>
      </c>
      <c r="AZ28" s="5" t="str">
        <f>IF(Deltagarlista!$K$3=2,
IF(ISBLANK(Deltagarlista!$C54),"",IF(ISBLANK(Arrangörslista!O$98),"",IF($GV28=AZ$64," DNS ",IFERROR(VLOOKUP($F28,Arrangörslista!O$98:$AG$135,16,FALSE), "DNS")))), IF(Deltagarlista!$K$3=1,IF(ISBLANK(Deltagarlista!$C54),"",IF(ISBLANK(Arrangörslista!O$98),"",IFERROR(VLOOKUP($F28,Arrangörslista!O$98:$AG$135,16,FALSE), "DNS"))),""))</f>
        <v/>
      </c>
      <c r="BA28" s="5" t="str">
        <f>IF(Deltagarlista!$K$3=2,
IF(ISBLANK(Deltagarlista!$C54),"",IF(ISBLANK(Arrangörslista!P$98),"",IF($GV28=BA$64," DNS ",IFERROR(VLOOKUP($F28,Arrangörslista!P$98:$AG$135,16,FALSE), "DNS")))), IF(Deltagarlista!$K$3=1,IF(ISBLANK(Deltagarlista!$C54),"",IF(ISBLANK(Arrangörslista!P$98),"",IFERROR(VLOOKUP($F28,Arrangörslista!P$98:$AG$135,16,FALSE), "DNS"))),""))</f>
        <v/>
      </c>
      <c r="BB28" s="5" t="str">
        <f>IF(Deltagarlista!$K$3=2,
IF(ISBLANK(Deltagarlista!$C54),"",IF(ISBLANK(Arrangörslista!Q$98),"",IF($GV28=BB$64," DNS ",IFERROR(VLOOKUP($F28,Arrangörslista!Q$98:$AG$135,16,FALSE), "DNS")))), IF(Deltagarlista!$K$3=1,IF(ISBLANK(Deltagarlista!$C54),"",IF(ISBLANK(Arrangörslista!Q$98),"",IFERROR(VLOOKUP($F28,Arrangörslista!Q$98:$AG$135,16,FALSE), "DNS"))),""))</f>
        <v/>
      </c>
      <c r="BC28" s="5" t="str">
        <f>IF(Deltagarlista!$K$3=2,
IF(ISBLANK(Deltagarlista!$C54),"",IF(ISBLANK(Arrangörslista!C$143),"",IF($GV28=BC$64," DNS ",IFERROR(VLOOKUP($F28,Arrangörslista!C$143:$AG$180,16,FALSE), "DNS")))), IF(Deltagarlista!$K$3=1,IF(ISBLANK(Deltagarlista!$C54),"",IF(ISBLANK(Arrangörslista!C$143),"",IFERROR(VLOOKUP($F28,Arrangörslista!C$143:$AG$180,16,FALSE), "DNS"))),""))</f>
        <v/>
      </c>
      <c r="BD28" s="5" t="str">
        <f>IF(Deltagarlista!$K$3=2,
IF(ISBLANK(Deltagarlista!$C54),"",IF(ISBLANK(Arrangörslista!D$143),"",IF($GV28=BD$64," DNS ",IFERROR(VLOOKUP($F28,Arrangörslista!D$143:$AG$180,16,FALSE), "DNS")))), IF(Deltagarlista!$K$3=1,IF(ISBLANK(Deltagarlista!$C54),"",IF(ISBLANK(Arrangörslista!D$143),"",IFERROR(VLOOKUP($F28,Arrangörslista!D$143:$AG$180,16,FALSE), "DNS"))),""))</f>
        <v/>
      </c>
      <c r="BE28" s="5" t="str">
        <f>IF(Deltagarlista!$K$3=2,
IF(ISBLANK(Deltagarlista!$C54),"",IF(ISBLANK(Arrangörslista!E$143),"",IF($GV28=BE$64," DNS ",IFERROR(VLOOKUP($F28,Arrangörslista!E$143:$AG$180,16,FALSE), "DNS")))), IF(Deltagarlista!$K$3=1,IF(ISBLANK(Deltagarlista!$C54),"",IF(ISBLANK(Arrangörslista!E$143),"",IFERROR(VLOOKUP($F28,Arrangörslista!E$143:$AG$180,16,FALSE), "DNS"))),""))</f>
        <v/>
      </c>
      <c r="BF28" s="5" t="str">
        <f>IF(Deltagarlista!$K$3=2,
IF(ISBLANK(Deltagarlista!$C54),"",IF(ISBLANK(Arrangörslista!F$143),"",IF($GV28=BF$64," DNS ",IFERROR(VLOOKUP($F28,Arrangörslista!F$143:$AG$180,16,FALSE), "DNS")))), IF(Deltagarlista!$K$3=1,IF(ISBLANK(Deltagarlista!$C54),"",IF(ISBLANK(Arrangörslista!F$143),"",IFERROR(VLOOKUP($F28,Arrangörslista!F$143:$AG$180,16,FALSE), "DNS"))),""))</f>
        <v/>
      </c>
      <c r="BG28" s="5" t="str">
        <f>IF(Deltagarlista!$K$3=2,
IF(ISBLANK(Deltagarlista!$C54),"",IF(ISBLANK(Arrangörslista!G$143),"",IF($GV28=BG$64," DNS ",IFERROR(VLOOKUP($F28,Arrangörslista!G$143:$AG$180,16,FALSE), "DNS")))), IF(Deltagarlista!$K$3=1,IF(ISBLANK(Deltagarlista!$C54),"",IF(ISBLANK(Arrangörslista!G$143),"",IFERROR(VLOOKUP($F28,Arrangörslista!G$143:$AG$180,16,FALSE), "DNS"))),""))</f>
        <v/>
      </c>
      <c r="BH28" s="5" t="str">
        <f>IF(Deltagarlista!$K$3=2,
IF(ISBLANK(Deltagarlista!$C54),"",IF(ISBLANK(Arrangörslista!H$143),"",IF($GV28=BH$64," DNS ",IFERROR(VLOOKUP($F28,Arrangörslista!H$143:$AG$180,16,FALSE), "DNS")))), IF(Deltagarlista!$K$3=1,IF(ISBLANK(Deltagarlista!$C54),"",IF(ISBLANK(Arrangörslista!H$143),"",IFERROR(VLOOKUP($F28,Arrangörslista!H$143:$AG$180,16,FALSE), "DNS"))),""))</f>
        <v/>
      </c>
      <c r="BI28" s="5" t="str">
        <f>IF(Deltagarlista!$K$3=2,
IF(ISBLANK(Deltagarlista!$C54),"",IF(ISBLANK(Arrangörslista!I$143),"",IF($GV28=BI$64," DNS ",IFERROR(VLOOKUP($F28,Arrangörslista!I$143:$AG$180,16,FALSE), "DNS")))), IF(Deltagarlista!$K$3=1,IF(ISBLANK(Deltagarlista!$C54),"",IF(ISBLANK(Arrangörslista!I$143),"",IFERROR(VLOOKUP($F28,Arrangörslista!I$143:$AG$180,16,FALSE), "DNS"))),""))</f>
        <v/>
      </c>
      <c r="BJ28" s="5" t="str">
        <f>IF(Deltagarlista!$K$3=2,
IF(ISBLANK(Deltagarlista!$C54),"",IF(ISBLANK(Arrangörslista!J$143),"",IF($GV28=BJ$64," DNS ",IFERROR(VLOOKUP($F28,Arrangörslista!J$143:$AG$180,16,FALSE), "DNS")))), IF(Deltagarlista!$K$3=1,IF(ISBLANK(Deltagarlista!$C54),"",IF(ISBLANK(Arrangörslista!J$143),"",IFERROR(VLOOKUP($F28,Arrangörslista!J$143:$AG$180,16,FALSE), "DNS"))),""))</f>
        <v/>
      </c>
      <c r="BK28" s="5" t="str">
        <f>IF(Deltagarlista!$K$3=2,
IF(ISBLANK(Deltagarlista!$C54),"",IF(ISBLANK(Arrangörslista!K$143),"",IF($GV28=BK$64," DNS ",IFERROR(VLOOKUP($F28,Arrangörslista!K$143:$AG$180,16,FALSE), "DNS")))), IF(Deltagarlista!$K$3=1,IF(ISBLANK(Deltagarlista!$C54),"",IF(ISBLANK(Arrangörslista!K$143),"",IFERROR(VLOOKUP($F28,Arrangörslista!K$143:$AG$180,16,FALSE), "DNS"))),""))</f>
        <v/>
      </c>
      <c r="BL28" s="5" t="str">
        <f>IF(Deltagarlista!$K$3=2,
IF(ISBLANK(Deltagarlista!$C54),"",IF(ISBLANK(Arrangörslista!L$143),"",IF($GV28=BL$64," DNS ",IFERROR(VLOOKUP($F28,Arrangörslista!L$143:$AG$180,16,FALSE), "DNS")))), IF(Deltagarlista!$K$3=1,IF(ISBLANK(Deltagarlista!$C54),"",IF(ISBLANK(Arrangörslista!L$143),"",IFERROR(VLOOKUP($F28,Arrangörslista!L$143:$AG$180,16,FALSE), "DNS"))),""))</f>
        <v/>
      </c>
      <c r="BM28" s="5" t="str">
        <f>IF(Deltagarlista!$K$3=2,
IF(ISBLANK(Deltagarlista!$C54),"",IF(ISBLANK(Arrangörslista!M$143),"",IF($GV28=BM$64," DNS ",IFERROR(VLOOKUP($F28,Arrangörslista!M$143:$AG$180,16,FALSE), "DNS")))), IF(Deltagarlista!$K$3=1,IF(ISBLANK(Deltagarlista!$C54),"",IF(ISBLANK(Arrangörslista!M$143),"",IFERROR(VLOOKUP($F28,Arrangörslista!M$143:$AG$180,16,FALSE), "DNS"))),""))</f>
        <v/>
      </c>
      <c r="BN28" s="5" t="str">
        <f>IF(Deltagarlista!$K$3=2,
IF(ISBLANK(Deltagarlista!$C54),"",IF(ISBLANK(Arrangörslista!N$143),"",IF($GV28=BN$64," DNS ",IFERROR(VLOOKUP($F28,Arrangörslista!N$143:$AG$180,16,FALSE), "DNS")))), IF(Deltagarlista!$K$3=1,IF(ISBLANK(Deltagarlista!$C54),"",IF(ISBLANK(Arrangörslista!N$143),"",IFERROR(VLOOKUP($F28,Arrangörslista!N$143:$AG$180,16,FALSE), "DNS"))),""))</f>
        <v/>
      </c>
      <c r="BO28" s="5" t="str">
        <f>IF(Deltagarlista!$K$3=2,
IF(ISBLANK(Deltagarlista!$C54),"",IF(ISBLANK(Arrangörslista!O$143),"",IF($GV28=BO$64," DNS ",IFERROR(VLOOKUP($F28,Arrangörslista!O$143:$AG$180,16,FALSE), "DNS")))), IF(Deltagarlista!$K$3=1,IF(ISBLANK(Deltagarlista!$C54),"",IF(ISBLANK(Arrangörslista!O$143),"",IFERROR(VLOOKUP($F28,Arrangörslista!O$143:$AG$180,16,FALSE), "DNS"))),""))</f>
        <v/>
      </c>
      <c r="BP28" s="5" t="str">
        <f>IF(Deltagarlista!$K$3=2,
IF(ISBLANK(Deltagarlista!$C54),"",IF(ISBLANK(Arrangörslista!P$143),"",IF($GV28=BP$64," DNS ",IFERROR(VLOOKUP($F28,Arrangörslista!P$143:$AG$180,16,FALSE), "DNS")))), IF(Deltagarlista!$K$3=1,IF(ISBLANK(Deltagarlista!$C54),"",IF(ISBLANK(Arrangörslista!P$143),"",IFERROR(VLOOKUP($F28,Arrangörslista!P$143:$AG$180,16,FALSE), "DNS"))),""))</f>
        <v/>
      </c>
      <c r="BQ28" s="80" t="str">
        <f>IF(Deltagarlista!$K$3=2,
IF(ISBLANK(Deltagarlista!$C54),"",IF(ISBLANK(Arrangörslista!Q$143),"",IF($GV28=BQ$64," DNS ",IFERROR(VLOOKUP($F28,Arrangörslista!Q$143:$AG$180,16,FALSE), "DNS")))), IF(Deltagarlista!$K$3=1,IF(ISBLANK(Deltagarlista!$C54),"",IF(ISBLANK(Arrangörslista!Q$143),"",IFERROR(VLOOKUP($F28,Arrangörslista!Q$143:$AG$180,16,FALSE), "DNS"))),""))</f>
        <v/>
      </c>
      <c r="BR28" s="48"/>
      <c r="BS28" s="50" t="str">
        <f t="shared" si="0"/>
        <v>2</v>
      </c>
      <c r="BU28" s="71">
        <f t="shared" si="1"/>
        <v>0</v>
      </c>
      <c r="BV28" s="61">
        <f t="shared" si="2"/>
        <v>0</v>
      </c>
      <c r="BW28" s="61">
        <f t="shared" si="3"/>
        <v>0</v>
      </c>
      <c r="BX28" s="61">
        <f t="shared" si="4"/>
        <v>0</v>
      </c>
      <c r="BY28" s="61">
        <f t="shared" si="5"/>
        <v>0</v>
      </c>
      <c r="BZ28" s="61">
        <f t="shared" si="6"/>
        <v>0</v>
      </c>
      <c r="CA28" s="61">
        <f t="shared" si="7"/>
        <v>0</v>
      </c>
      <c r="CB28" s="61">
        <f t="shared" si="8"/>
        <v>0</v>
      </c>
      <c r="CC28" s="61">
        <f t="shared" si="9"/>
        <v>0</v>
      </c>
      <c r="CD28" s="61">
        <f t="shared" si="10"/>
        <v>0</v>
      </c>
      <c r="CE28" s="61">
        <f t="shared" si="11"/>
        <v>0</v>
      </c>
      <c r="CF28" s="61">
        <f t="shared" si="12"/>
        <v>0</v>
      </c>
      <c r="CG28" s="61">
        <f t="shared" si="13"/>
        <v>0</v>
      </c>
      <c r="CH28" s="61">
        <f t="shared" si="14"/>
        <v>0</v>
      </c>
      <c r="CI28" s="61">
        <f t="shared" si="15"/>
        <v>0</v>
      </c>
      <c r="CJ28" s="61">
        <f t="shared" si="16"/>
        <v>0</v>
      </c>
      <c r="CK28" s="61">
        <f t="shared" si="17"/>
        <v>0</v>
      </c>
      <c r="CL28" s="61">
        <f t="shared" si="18"/>
        <v>0</v>
      </c>
      <c r="CM28" s="61">
        <f t="shared" si="19"/>
        <v>0</v>
      </c>
      <c r="CN28" s="61">
        <f t="shared" si="20"/>
        <v>0</v>
      </c>
      <c r="CO28" s="61">
        <f t="shared" si="21"/>
        <v>0</v>
      </c>
      <c r="CP28" s="61">
        <f t="shared" si="22"/>
        <v>0</v>
      </c>
      <c r="CQ28" s="61">
        <f t="shared" si="23"/>
        <v>0</v>
      </c>
      <c r="CR28" s="61">
        <f t="shared" si="24"/>
        <v>0</v>
      </c>
      <c r="CS28" s="61">
        <f t="shared" si="25"/>
        <v>0</v>
      </c>
      <c r="CT28" s="61">
        <f t="shared" si="26"/>
        <v>0</v>
      </c>
      <c r="CU28" s="61">
        <f t="shared" si="27"/>
        <v>0</v>
      </c>
      <c r="CV28" s="61">
        <f t="shared" si="28"/>
        <v>0</v>
      </c>
      <c r="CW28" s="61">
        <f t="shared" si="29"/>
        <v>0</v>
      </c>
      <c r="CX28" s="61">
        <f t="shared" si="30"/>
        <v>0</v>
      </c>
      <c r="CY28" s="61">
        <f t="shared" si="31"/>
        <v>0</v>
      </c>
      <c r="CZ28" s="61">
        <f t="shared" si="32"/>
        <v>0</v>
      </c>
      <c r="DA28" s="61">
        <f t="shared" si="33"/>
        <v>0</v>
      </c>
      <c r="DB28" s="61">
        <f t="shared" si="34"/>
        <v>0</v>
      </c>
      <c r="DC28" s="61">
        <f t="shared" si="35"/>
        <v>0</v>
      </c>
      <c r="DD28" s="61">
        <f t="shared" si="36"/>
        <v>0</v>
      </c>
      <c r="DE28" s="61">
        <f t="shared" si="37"/>
        <v>0</v>
      </c>
      <c r="DF28" s="61">
        <f t="shared" si="38"/>
        <v>0</v>
      </c>
      <c r="DG28" s="61">
        <f t="shared" si="39"/>
        <v>0</v>
      </c>
      <c r="DH28" s="61">
        <f t="shared" si="40"/>
        <v>0</v>
      </c>
      <c r="DI28" s="61">
        <f t="shared" si="41"/>
        <v>0</v>
      </c>
      <c r="DJ28" s="61">
        <f t="shared" si="42"/>
        <v>0</v>
      </c>
      <c r="DK28" s="61">
        <f t="shared" si="43"/>
        <v>0</v>
      </c>
      <c r="DL28" s="61">
        <f t="shared" si="44"/>
        <v>0</v>
      </c>
      <c r="DM28" s="61">
        <f t="shared" si="45"/>
        <v>0</v>
      </c>
      <c r="DN28" s="61">
        <f t="shared" si="46"/>
        <v>0</v>
      </c>
      <c r="DO28" s="61">
        <f t="shared" si="47"/>
        <v>0</v>
      </c>
      <c r="DP28" s="61">
        <f t="shared" si="48"/>
        <v>0</v>
      </c>
      <c r="DQ28" s="61">
        <f t="shared" si="49"/>
        <v>0</v>
      </c>
      <c r="DR28" s="61">
        <f t="shared" si="50"/>
        <v>0</v>
      </c>
      <c r="DS28" s="61">
        <f t="shared" si="51"/>
        <v>0</v>
      </c>
      <c r="DT28" s="61">
        <f t="shared" si="52"/>
        <v>0</v>
      </c>
      <c r="DU28" s="61">
        <f t="shared" si="53"/>
        <v>0</v>
      </c>
      <c r="DV28" s="61">
        <f t="shared" si="54"/>
        <v>0</v>
      </c>
      <c r="DW28" s="61">
        <f t="shared" si="55"/>
        <v>0</v>
      </c>
      <c r="DX28" s="61">
        <f t="shared" si="56"/>
        <v>0</v>
      </c>
      <c r="DY28" s="61">
        <f t="shared" si="57"/>
        <v>0</v>
      </c>
      <c r="DZ28" s="61">
        <f t="shared" si="58"/>
        <v>0</v>
      </c>
      <c r="EA28" s="61">
        <f t="shared" si="59"/>
        <v>0</v>
      </c>
      <c r="EB28" s="61">
        <f t="shared" si="60"/>
        <v>0</v>
      </c>
      <c r="EC28" s="61">
        <f t="shared" si="61"/>
        <v>0</v>
      </c>
      <c r="EE28" s="61">
        <f xml:space="preserve">
IF(OR(Deltagarlista!$K$3=3,Deltagarlista!$K$3=4),
IF(Arrangörslista!$U$5&lt;8,0,
IF(Arrangörslista!$U$5&lt;16,SUM(LARGE(BV28:CJ28,1)),
IF(Arrangörslista!$U$5&lt;24,SUM(LARGE(BV28:CR28,{1;2})),
IF(Arrangörslista!$U$5&lt;32,SUM(LARGE(BV28:CZ28,{1;2;3})),
IF(Arrangörslista!$U$5&lt;40,SUM(LARGE(BV28:DH28,{1;2;3;4})),
IF(Arrangörslista!$U$5&lt;48,SUM(LARGE(BV28:DP28,{1;2;3;4;5})),
IF(Arrangörslista!$U$5&lt;56,SUM(LARGE(BV28:DX28,{1;2;3;4;5;6})),
IF(Arrangörslista!$U$5&lt;64,SUM(LARGE(BV28:EC28,{1;2;3;4;5;6;7})),0)))))))),
IF(Deltagarlista!$K$3=2,
IF(Arrangörslista!$U$5&lt;4,LARGE(BV28:BX28,1),
IF(Arrangörslista!$U$5&lt;7,SUM(LARGE(BV28:CA28,{1;2;3})),
IF(Arrangörslista!$U$5&lt;10,SUM(LARGE(BV28:CD28,{1;2;3;4})),
IF(Arrangörslista!$U$5&lt;13,SUM(LARGE(BV28:CG28,{1;2;3;4;5;6})),
IF(Arrangörslista!$U$5&lt;16,SUM(LARGE(BV28:CJ28,{1;2;3;4;5;6;7})),
IF(Arrangörslista!$U$5&lt;19,SUM(LARGE(BV28:CM28,{1;2;3;4;5;6;7;8;9})),
IF(Arrangörslista!$U$5&lt;22,SUM(LARGE(BV28:CP28,{1;2;3;4;5;6;7;8;9;10})),
IF(Arrangörslista!$U$5&lt;25,SUM(LARGE(BV28:CS28,{1;2;3;4;5;6;7;8;9;10;11;12})),
IF(Arrangörslista!$U$5&lt;28,SUM(LARGE(BV28:CV28,{1;2;3;4;5;6;7;8;9;10;11;12;13})),
IF(Arrangörslista!$U$5&lt;31,SUM(LARGE(BV28:CY28,{1;2;3;4;5;6;7;8;9;10;11;12;13;14;15})),
IF(Arrangörslista!$U$5&lt;34,SUM(LARGE(BV28:DB28,{1;2;3;4;5;6;7;8;9;10;11;12;13;14;15;16})),
IF(Arrangörslista!$U$5&lt;37,SUM(LARGE(BV28:DE28,{1;2;3;4;5;6;7;8;9;10;11;12;13;14;15;16;17;18})),
IF(Arrangörslista!$U$5&lt;40,SUM(LARGE(BV28:DH28,{1;2;3;4;5;6;7;8;9;10;11;12;13;14;15;16;17;18;19})),
IF(Arrangörslista!$U$5&lt;43,SUM(LARGE(BV28:DK28,{1;2;3;4;5;6;7;8;9;10;11;12;13;14;15;16;17;18;19;20;21})),
IF(Arrangörslista!$U$5&lt;46,SUM(LARGE(BV28:DN28,{1;2;3;4;5;6;7;8;9;10;11;12;13;14;15;16;17;18;19;20;21;22})),
IF(Arrangörslista!$U$5&lt;49,SUM(LARGE(BV28:DQ28,{1;2;3;4;5;6;7;8;9;10;11;12;13;14;15;16;17;18;19;20;21;22;23;24})),
IF(Arrangörslista!$U$5&lt;52,SUM(LARGE(BV28:DT28,{1;2;3;4;5;6;7;8;9;10;11;12;13;14;15;16;17;18;19;20;21;22;23;24;25})),
IF(Arrangörslista!$U$5&lt;55,SUM(LARGE(BV28:DW28,{1;2;3;4;5;6;7;8;9;10;11;12;13;14;15;16;17;18;19;20;21;22;23;24;25;26;27})),
IF(Arrangörslista!$U$5&lt;58,SUM(LARGE(BV28:DZ28,{1;2;3;4;5;6;7;8;9;10;11;12;13;14;15;16;17;18;19;20;21;22;23;24;25;26;27;28})),
IF(Arrangörslista!$U$5&lt;61,SUM(LARGE(BV28:EC28,{1;2;3;4;5;6;7;8;9;10;11;12;13;14;15;16;17;18;19;20;21;22;23;24;25;26;27;28;29;30})),0)))))))))))))))))))),
IF(Arrangörslista!$U$5&lt;4,0,
IF(Arrangörslista!$U$5&lt;8,SUM(LARGE(BV28:CB28,1)),
IF(Arrangörslista!$U$5&lt;12,SUM(LARGE(BV28:CF28,{1;2})),
IF(Arrangörslista!$U$5&lt;16,SUM(LARGE(BV28:CJ28,{1;2;3})),
IF(Arrangörslista!$U$5&lt;20,SUM(LARGE(BV28:CN28,{1;2;3;4})),
IF(Arrangörslista!$U$5&lt;24,SUM(LARGE(BV28:CR28,{1;2;3;4;5})),
IF(Arrangörslista!$U$5&lt;28,SUM(LARGE(BV28:CV28,{1;2;3;4;5;6})),
IF(Arrangörslista!$U$5&lt;32,SUM(LARGE(BV28:CZ28,{1;2;3;4;5;6;7})),
IF(Arrangörslista!$U$5&lt;36,SUM(LARGE(BV28:DD28,{1;2;3;4;5;6;7;8})),
IF(Arrangörslista!$U$5&lt;40,SUM(LARGE(BV28:DH28,{1;2;3;4;5;6;7;8;9})),
IF(Arrangörslista!$U$5&lt;44,SUM(LARGE(BV28:DL28,{1;2;3;4;5;6;7;8;9;10})),
IF(Arrangörslista!$U$5&lt;48,SUM(LARGE(BV28:DP28,{1;2;3;4;5;6;7;8;9;10;11})),
IF(Arrangörslista!$U$5&lt;52,SUM(LARGE(BV28:DT28,{1;2;3;4;5;6;7;8;9;10;11;12})),
IF(Arrangörslista!$U$5&lt;56,SUM(LARGE(BV28:DX28,{1;2;3;4;5;6;7;8;9;10;11;12;13})),
IF(Arrangörslista!$U$5&lt;60,SUM(LARGE(BV28:EB28,{1;2;3;4;5;6;7;8;9;10;11;12;13;14})),
IF(Arrangörslista!$U$5=60,SUM(LARGE(BV28:EC28,{1;2;3;4;5;6;7;8;9;10;11;12;13;14;15})),0))))))))))))))))))</f>
        <v>0</v>
      </c>
      <c r="EG28" s="67">
        <f t="shared" si="62"/>
        <v>0</v>
      </c>
      <c r="EH28" s="61"/>
      <c r="EI28" s="61"/>
      <c r="EK28" s="62">
        <f t="shared" si="63"/>
        <v>61</v>
      </c>
      <c r="EL28" s="62">
        <f t="shared" si="64"/>
        <v>61</v>
      </c>
      <c r="EM28" s="62">
        <f t="shared" si="65"/>
        <v>61</v>
      </c>
      <c r="EN28" s="62">
        <f t="shared" si="66"/>
        <v>61</v>
      </c>
      <c r="EO28" s="62">
        <f t="shared" si="67"/>
        <v>61</v>
      </c>
      <c r="EP28" s="62">
        <f t="shared" si="68"/>
        <v>61</v>
      </c>
      <c r="EQ28" s="62">
        <f t="shared" si="69"/>
        <v>61</v>
      </c>
      <c r="ER28" s="62">
        <f t="shared" si="70"/>
        <v>61</v>
      </c>
      <c r="ES28" s="62">
        <f t="shared" si="71"/>
        <v>61</v>
      </c>
      <c r="ET28" s="62">
        <f t="shared" si="72"/>
        <v>61</v>
      </c>
      <c r="EU28" s="62">
        <f t="shared" si="73"/>
        <v>61</v>
      </c>
      <c r="EV28" s="62">
        <f t="shared" si="74"/>
        <v>61</v>
      </c>
      <c r="EW28" s="62">
        <f t="shared" si="75"/>
        <v>61</v>
      </c>
      <c r="EX28" s="62">
        <f t="shared" si="76"/>
        <v>61</v>
      </c>
      <c r="EY28" s="62">
        <f t="shared" si="77"/>
        <v>61</v>
      </c>
      <c r="EZ28" s="62">
        <f t="shared" si="78"/>
        <v>61</v>
      </c>
      <c r="FA28" s="62">
        <f t="shared" si="79"/>
        <v>61</v>
      </c>
      <c r="FB28" s="62">
        <f t="shared" si="80"/>
        <v>61</v>
      </c>
      <c r="FC28" s="62">
        <f t="shared" si="81"/>
        <v>61</v>
      </c>
      <c r="FD28" s="62">
        <f t="shared" si="82"/>
        <v>61</v>
      </c>
      <c r="FE28" s="62">
        <f t="shared" si="83"/>
        <v>61</v>
      </c>
      <c r="FF28" s="62">
        <f t="shared" si="84"/>
        <v>61</v>
      </c>
      <c r="FG28" s="62">
        <f t="shared" si="85"/>
        <v>61</v>
      </c>
      <c r="FH28" s="62">
        <f t="shared" si="86"/>
        <v>61</v>
      </c>
      <c r="FI28" s="62">
        <f t="shared" si="87"/>
        <v>61</v>
      </c>
      <c r="FJ28" s="62">
        <f t="shared" si="88"/>
        <v>61</v>
      </c>
      <c r="FK28" s="62">
        <f t="shared" si="89"/>
        <v>61</v>
      </c>
      <c r="FL28" s="62">
        <f t="shared" si="90"/>
        <v>61</v>
      </c>
      <c r="FM28" s="62">
        <f t="shared" si="91"/>
        <v>61</v>
      </c>
      <c r="FN28" s="62">
        <f t="shared" si="92"/>
        <v>61</v>
      </c>
      <c r="FO28" s="62">
        <f t="shared" si="93"/>
        <v>61</v>
      </c>
      <c r="FP28" s="62">
        <f t="shared" si="94"/>
        <v>61</v>
      </c>
      <c r="FQ28" s="62">
        <f t="shared" si="95"/>
        <v>61</v>
      </c>
      <c r="FR28" s="62">
        <f t="shared" si="96"/>
        <v>61</v>
      </c>
      <c r="FS28" s="62">
        <f t="shared" si="97"/>
        <v>61</v>
      </c>
      <c r="FT28" s="62">
        <f t="shared" si="98"/>
        <v>61</v>
      </c>
      <c r="FU28" s="62">
        <f t="shared" si="99"/>
        <v>61</v>
      </c>
      <c r="FV28" s="62">
        <f t="shared" si="100"/>
        <v>61</v>
      </c>
      <c r="FW28" s="62">
        <f t="shared" si="101"/>
        <v>61</v>
      </c>
      <c r="FX28" s="62">
        <f t="shared" si="102"/>
        <v>61</v>
      </c>
      <c r="FY28" s="62">
        <f t="shared" si="103"/>
        <v>61</v>
      </c>
      <c r="FZ28" s="62">
        <f t="shared" si="104"/>
        <v>61</v>
      </c>
      <c r="GA28" s="62">
        <f t="shared" si="105"/>
        <v>61</v>
      </c>
      <c r="GB28" s="62">
        <f t="shared" si="106"/>
        <v>61</v>
      </c>
      <c r="GC28" s="62">
        <f t="shared" si="107"/>
        <v>61</v>
      </c>
      <c r="GD28" s="62">
        <f t="shared" si="108"/>
        <v>61</v>
      </c>
      <c r="GE28" s="62">
        <f t="shared" si="109"/>
        <v>61</v>
      </c>
      <c r="GF28" s="62">
        <f t="shared" si="110"/>
        <v>61</v>
      </c>
      <c r="GG28" s="62">
        <f t="shared" si="111"/>
        <v>61</v>
      </c>
      <c r="GH28" s="62">
        <f t="shared" si="112"/>
        <v>61</v>
      </c>
      <c r="GI28" s="62">
        <f t="shared" si="113"/>
        <v>61</v>
      </c>
      <c r="GJ28" s="62">
        <f t="shared" si="114"/>
        <v>61</v>
      </c>
      <c r="GK28" s="62">
        <f t="shared" si="115"/>
        <v>61</v>
      </c>
      <c r="GL28" s="62">
        <f t="shared" si="116"/>
        <v>61</v>
      </c>
      <c r="GM28" s="62">
        <f t="shared" si="117"/>
        <v>61</v>
      </c>
      <c r="GN28" s="62">
        <f t="shared" si="118"/>
        <v>61</v>
      </c>
      <c r="GO28" s="62">
        <f t="shared" si="119"/>
        <v>61</v>
      </c>
      <c r="GP28" s="62">
        <f t="shared" si="120"/>
        <v>61</v>
      </c>
      <c r="GQ28" s="62">
        <f t="shared" si="121"/>
        <v>61</v>
      </c>
      <c r="GR28" s="62">
        <f t="shared" si="122"/>
        <v>61</v>
      </c>
      <c r="GT28" s="62">
        <f>IF(Deltagarlista!$K$3=2,
IF(GW28="1",
      IF(Arrangörslista!$U$5=1,J91,
IF(Arrangörslista!$U$5=2,K91,
IF(Arrangörslista!$U$5=3,L91,
IF(Arrangörslista!$U$5=4,M91,
IF(Arrangörslista!$U$5=5,N91,
IF(Arrangörslista!$U$5=6,O91,
IF(Arrangörslista!$U$5=7,P91,
IF(Arrangörslista!$U$5=8,Q91,
IF(Arrangörslista!$U$5=9,R91,
IF(Arrangörslista!$U$5=10,S91,
IF(Arrangörslista!$U$5=11,T91,
IF(Arrangörslista!$U$5=12,U91,
IF(Arrangörslista!$U$5=13,V91,
IF(Arrangörslista!$U$5=14,W91,
IF(Arrangörslista!$U$5=15,X91,
IF(Arrangörslista!$U$5=16,Y91,IF(Arrangörslista!$U$5=17,Z91,IF(Arrangörslista!$U$5=18,AA91,IF(Arrangörslista!$U$5=19,AB91,IF(Arrangörslista!$U$5=20,AC91,IF(Arrangörslista!$U$5=21,AD91,IF(Arrangörslista!$U$5=22,AE91,IF(Arrangörslista!$U$5=23,AF91, IF(Arrangörslista!$U$5=24,AG91, IF(Arrangörslista!$U$5=25,AH91, IF(Arrangörslista!$U$5=26,AI91, IF(Arrangörslista!$U$5=27,AJ91, IF(Arrangörslista!$U$5=28,AK91, IF(Arrangörslista!$U$5=29,AL91, IF(Arrangörslista!$U$5=30,AM91, IF(Arrangörslista!$U$5=31,AN91, IF(Arrangörslista!$U$5=32,AO91, IF(Arrangörslista!$U$5=33,AP91, IF(Arrangörslista!$U$5=34,AQ91, IF(Arrangörslista!$U$5=35,AR91, IF(Arrangörslista!$U$5=36,AS91, IF(Arrangörslista!$U$5=37,AT91, IF(Arrangörslista!$U$5=38,AU91, IF(Arrangörslista!$U$5=39,AV91, IF(Arrangörslista!$U$5=40,AW91, IF(Arrangörslista!$U$5=41,AX91, IF(Arrangörslista!$U$5=42,AY91, IF(Arrangörslista!$U$5=43,AZ91, IF(Arrangörslista!$U$5=44,BA91, IF(Arrangörslista!$U$5=45,BB91, IF(Arrangörslista!$U$5=46,BC91, IF(Arrangörslista!$U$5=47,BD91, IF(Arrangörslista!$U$5=48,BE91, IF(Arrangörslista!$U$5=49,BF91, IF(Arrangörslista!$U$5=50,BG91, IF(Arrangörslista!$U$5=51,BH91, IF(Arrangörslista!$U$5=52,BI91, IF(Arrangörslista!$U$5=53,BJ91, IF(Arrangörslista!$U$5=54,BK91, IF(Arrangörslista!$U$5=55,BL91, IF(Arrangörslista!$U$5=56,BM91, IF(Arrangörslista!$U$5=57,BN91, IF(Arrangörslista!$U$5=58,BO91, IF(Arrangörslista!$U$5=59,BP91, IF(Arrangörslista!$U$5=60,BQ91,0))))))))))))))))))))))))))))))))))))))))))))))))))))))))))))),IF(Deltagarlista!$K$3=4, IF(Arrangörslista!$U$5=1,J91,
IF(Arrangörslista!$U$5=2,J91,
IF(Arrangörslista!$U$5=3,K91,
IF(Arrangörslista!$U$5=4,K91,
IF(Arrangörslista!$U$5=5,L91,
IF(Arrangörslista!$U$5=6,L91,
IF(Arrangörslista!$U$5=7,M91,
IF(Arrangörslista!$U$5=8,M91,
IF(Arrangörslista!$U$5=9,N91,
IF(Arrangörslista!$U$5=10,N91,
IF(Arrangörslista!$U$5=11,O91,
IF(Arrangörslista!$U$5=12,O91,
IF(Arrangörslista!$U$5=13,P91,
IF(Arrangörslista!$U$5=14,P91,
IF(Arrangörslista!$U$5=15,Q91,
IF(Arrangörslista!$U$5=16,Q91,
IF(Arrangörslista!$U$5=17,R91,
IF(Arrangörslista!$U$5=18,R91,
IF(Arrangörslista!$U$5=19,S91,
IF(Arrangörslista!$U$5=20,S91,
IF(Arrangörslista!$U$5=21,T91,
IF(Arrangörslista!$U$5=22,T91,IF(Arrangörslista!$U$5=23,U91, IF(Arrangörslista!$U$5=24,U91, IF(Arrangörslista!$U$5=25,V91, IF(Arrangörslista!$U$5=26,V91, IF(Arrangörslista!$U$5=27,W91, IF(Arrangörslista!$U$5=28,W91, IF(Arrangörslista!$U$5=29,X91, IF(Arrangörslista!$U$5=30,X91, IF(Arrangörslista!$U$5=31,X91, IF(Arrangörslista!$U$5=32,Y91, IF(Arrangörslista!$U$5=33,AO91, IF(Arrangörslista!$U$5=34,Y91, IF(Arrangörslista!$U$5=35,Z91, IF(Arrangörslista!$U$5=36,AR91, IF(Arrangörslista!$U$5=37,Z91, IF(Arrangörslista!$U$5=38,AA91, IF(Arrangörslista!$U$5=39,AU91, IF(Arrangörslista!$U$5=40,AA91, IF(Arrangörslista!$U$5=41,AB91, IF(Arrangörslista!$U$5=42,AX91, IF(Arrangörslista!$U$5=43,AB91, IF(Arrangörslista!$U$5=44,AC91, IF(Arrangörslista!$U$5=45,BA91, IF(Arrangörslista!$U$5=46,AC91, IF(Arrangörslista!$U$5=47,AD91, IF(Arrangörslista!$U$5=48,BD91, IF(Arrangörslista!$U$5=49,AD91, IF(Arrangörslista!$U$5=50,AE91, IF(Arrangörslista!$U$5=51,BG91, IF(Arrangörslista!$U$5=52,AE91, IF(Arrangörslista!$U$5=53,AF91, IF(Arrangörslista!$U$5=54,BJ91, IF(Arrangörslista!$U$5=55,AF91, IF(Arrangörslista!$U$5=56,AG91, IF(Arrangörslista!$U$5=57,BM91, IF(Arrangörslista!$U$5=58,AG91, IF(Arrangörslista!$U$5=59,AH91, IF(Arrangörslista!$U$5=60,AH91,0)))))))))))))))))))))))))))))))))))))))))))))))))))))))))))),IF(Arrangörslista!$U$5=1,J91,
IF(Arrangörslista!$U$5=2,K91,
IF(Arrangörslista!$U$5=3,L91,
IF(Arrangörslista!$U$5=4,M91,
IF(Arrangörslista!$U$5=5,N91,
IF(Arrangörslista!$U$5=6,O91,
IF(Arrangörslista!$U$5=7,P91,
IF(Arrangörslista!$U$5=8,Q91,
IF(Arrangörslista!$U$5=9,R91,
IF(Arrangörslista!$U$5=10,S91,
IF(Arrangörslista!$U$5=11,T91,
IF(Arrangörslista!$U$5=12,U91,
IF(Arrangörslista!$U$5=13,V91,
IF(Arrangörslista!$U$5=14,W91,
IF(Arrangörslista!$U$5=15,X91,
IF(Arrangörslista!$U$5=16,Y91,IF(Arrangörslista!$U$5=17,Z91,IF(Arrangörslista!$U$5=18,AA91,IF(Arrangörslista!$U$5=19,AB91,IF(Arrangörslista!$U$5=20,AC91,IF(Arrangörslista!$U$5=21,AD91,IF(Arrangörslista!$U$5=22,AE91,IF(Arrangörslista!$U$5=23,AF91, IF(Arrangörslista!$U$5=24,AG91, IF(Arrangörslista!$U$5=25,AH91, IF(Arrangörslista!$U$5=26,AI91, IF(Arrangörslista!$U$5=27,AJ91, IF(Arrangörslista!$U$5=28,AK91, IF(Arrangörslista!$U$5=29,AL91, IF(Arrangörslista!$U$5=30,AM91, IF(Arrangörslista!$U$5=31,AN91, IF(Arrangörslista!$U$5=32,AO91, IF(Arrangörslista!$U$5=33,AP91, IF(Arrangörslista!$U$5=34,AQ91, IF(Arrangörslista!$U$5=35,AR91, IF(Arrangörslista!$U$5=36,AS91, IF(Arrangörslista!$U$5=37,AT91, IF(Arrangörslista!$U$5=38,AU91, IF(Arrangörslista!$U$5=39,AV91, IF(Arrangörslista!$U$5=40,AW91, IF(Arrangörslista!$U$5=41,AX91, IF(Arrangörslista!$U$5=42,AY91, IF(Arrangörslista!$U$5=43,AZ91, IF(Arrangörslista!$U$5=44,BA91, IF(Arrangörslista!$U$5=45,BB91, IF(Arrangörslista!$U$5=46,BC91, IF(Arrangörslista!$U$5=47,BD91, IF(Arrangörslista!$U$5=48,BE91, IF(Arrangörslista!$U$5=49,BF91, IF(Arrangörslista!$U$5=50,BG91, IF(Arrangörslista!$U$5=51,BH91, IF(Arrangörslista!$U$5=52,BI91, IF(Arrangörslista!$U$5=53,BJ91, IF(Arrangörslista!$U$5=54,BK91, IF(Arrangörslista!$U$5=55,BL91, IF(Arrangörslista!$U$5=56,BM91, IF(Arrangörslista!$U$5=57,BN91, IF(Arrangörslista!$U$5=58,BO91, IF(Arrangörslista!$U$5=59,BP91, IF(Arrangörslista!$U$5=60,BQ91,0))))))))))))))))))))))))))))))))))))))))))))))))))))))))))))
))</f>
        <v>0</v>
      </c>
      <c r="GV28" s="65" t="str">
        <f>IFERROR(IF(VLOOKUP(F28,Deltagarlista!$E$5:$I$64,5,FALSE)="Grön","Gr",IF(VLOOKUP(F28,Deltagarlista!$E$5:$I$64,5,FALSE)="Röd","R",IF(VLOOKUP(F28,Deltagarlista!$E$5:$I$64,5,FALSE)="Blå","B","Gu"))),"")</f>
        <v/>
      </c>
      <c r="GW28" s="62" t="str">
        <f t="shared" si="124"/>
        <v/>
      </c>
    </row>
    <row r="29" spans="2:205" x14ac:dyDescent="0.3">
      <c r="B29" s="23" t="str">
        <f>IF((COUNTIF(Deltagarlista!$H$5:$H$64,"GM"))&gt;25,26,"")</f>
        <v/>
      </c>
      <c r="C29" s="92" t="str">
        <f>IF(ISBLANK(Deltagarlista!C58),"",Deltagarlista!C58)</f>
        <v/>
      </c>
      <c r="D29" s="109" t="str">
        <f>CONCATENATE(IF(Deltagarlista!H58="GM","GM   ",""), IF(OR(Deltagarlista!$K$3=4,Deltagarlista!$K$3=2),Deltagarlista!I58,""))</f>
        <v/>
      </c>
      <c r="E29" s="8" t="str">
        <f>IF(ISBLANK(Deltagarlista!D58),"",Deltagarlista!D58)</f>
        <v/>
      </c>
      <c r="F29" s="8" t="str">
        <f>IF(ISBLANK(Deltagarlista!E58),"",Deltagarlista!E58)</f>
        <v/>
      </c>
      <c r="G29" s="95" t="str">
        <f>IF(ISBLANK(Deltagarlista!F58),"",Deltagarlista!F58)</f>
        <v/>
      </c>
      <c r="H29" s="72" t="str">
        <f>IF(ISBLANK(Deltagarlista!C58),"",BU29-EE29)</f>
        <v/>
      </c>
      <c r="I29" s="13" t="str">
        <f>IF(ISBLANK(Deltagarlista!C58),"",IF(AND(Deltagarlista!$K$3=2,Deltagarlista!$L$3&lt;37),SUM(SUM(BV29:EC29)-(ROUNDDOWN(Arrangörslista!$U$5/3,1))*($BW$3+1)),SUM(BV29:EC29)))</f>
        <v/>
      </c>
      <c r="J29" s="79" t="str">
        <f>IF(Deltagarlista!$K$3=4,IF(ISBLANK(Deltagarlista!$C58),"",IF(ISBLANK(Arrangörslista!C$8),"",IFERROR(VLOOKUP($F29,Arrangörslista!C$8:$AG$45,16,FALSE),IF(ISBLANK(Deltagarlista!$C58),"",IF(ISBLANK(Arrangörslista!C$8),"",IFERROR(VLOOKUP($F29,Arrangörslista!D$8:$AG$45,16,FALSE),"DNS")))))),IF(Deltagarlista!$K$3=2,
IF(ISBLANK(Deltagarlista!$C58),"",IF(ISBLANK(Arrangörslista!C$8),"",IF($GV29=J$64," DNS ",IFERROR(VLOOKUP($F29,Arrangörslista!C$8:$AG$45,16,FALSE),"DNS")))),IF(ISBLANK(Deltagarlista!$C58),"",IF(ISBLANK(Arrangörslista!C$8),"",IFERROR(VLOOKUP($F29,Arrangörslista!C$8:$AG$45,16,FALSE),"DNS")))))</f>
        <v/>
      </c>
      <c r="K29" s="5" t="str">
        <f>IF(Deltagarlista!$K$3=4,IF(ISBLANK(Deltagarlista!$C58),"",IF(ISBLANK(Arrangörslista!E$8),"",IFERROR(VLOOKUP($F29,Arrangörslista!E$8:$AG$45,16,FALSE),IF(ISBLANK(Deltagarlista!$C58),"",IF(ISBLANK(Arrangörslista!E$8),"",IFERROR(VLOOKUP($F29,Arrangörslista!F$8:$AG$45,16,FALSE),"DNS")))))),IF(Deltagarlista!$K$3=2,
IF(ISBLANK(Deltagarlista!$C58),"",IF(ISBLANK(Arrangörslista!D$8),"",IF($GV29=K$64," DNS ",IFERROR(VLOOKUP($F29,Arrangörslista!D$8:$AG$45,16,FALSE),"DNS")))),IF(ISBLANK(Deltagarlista!$C58),"",IF(ISBLANK(Arrangörslista!D$8),"",IFERROR(VLOOKUP($F29,Arrangörslista!D$8:$AG$45,16,FALSE),"DNS")))))</f>
        <v/>
      </c>
      <c r="L29" s="5" t="str">
        <f>IF(Deltagarlista!$K$3=4,IF(ISBLANK(Deltagarlista!$C58),"",IF(ISBLANK(Arrangörslista!G$8),"",IFERROR(VLOOKUP($F29,Arrangörslista!G$8:$AG$45,16,FALSE),IF(ISBLANK(Deltagarlista!$C58),"",IF(ISBLANK(Arrangörslista!G$8),"",IFERROR(VLOOKUP($F29,Arrangörslista!H$8:$AG$45,16,FALSE),"DNS")))))),IF(Deltagarlista!$K$3=2,
IF(ISBLANK(Deltagarlista!$C58),"",IF(ISBLANK(Arrangörslista!E$8),"",IF($GV29=L$64," DNS ",IFERROR(VLOOKUP($F29,Arrangörslista!E$8:$AG$45,16,FALSE),"DNS")))),IF(ISBLANK(Deltagarlista!$C58),"",IF(ISBLANK(Arrangörslista!E$8),"",IFERROR(VLOOKUP($F29,Arrangörslista!E$8:$AG$45,16,FALSE),"DNS")))))</f>
        <v/>
      </c>
      <c r="M29" s="5" t="str">
        <f>IF(Deltagarlista!$K$3=4,IF(ISBLANK(Deltagarlista!$C58),"",IF(ISBLANK(Arrangörslista!I$8),"",IFERROR(VLOOKUP($F29,Arrangörslista!I$8:$AG$45,16,FALSE),IF(ISBLANK(Deltagarlista!$C58),"",IF(ISBLANK(Arrangörslista!I$8),"",IFERROR(VLOOKUP($F29,Arrangörslista!J$8:$AG$45,16,FALSE),"DNS")))))),IF(Deltagarlista!$K$3=2,
IF(ISBLANK(Deltagarlista!$C58),"",IF(ISBLANK(Arrangörslista!F$8),"",IF($GV29=M$64," DNS ",IFERROR(VLOOKUP($F29,Arrangörslista!F$8:$AG$45,16,FALSE),"DNS")))),IF(ISBLANK(Deltagarlista!$C58),"",IF(ISBLANK(Arrangörslista!F$8),"",IFERROR(VLOOKUP($F29,Arrangörslista!F$8:$AG$45,16,FALSE),"DNS")))))</f>
        <v/>
      </c>
      <c r="N29" s="5" t="str">
        <f>IF(Deltagarlista!$K$3=4,IF(ISBLANK(Deltagarlista!$C58),"",IF(ISBLANK(Arrangörslista!K$8),"",IFERROR(VLOOKUP($F29,Arrangörslista!K$8:$AG$45,16,FALSE),IF(ISBLANK(Deltagarlista!$C58),"",IF(ISBLANK(Arrangörslista!K$8),"",IFERROR(VLOOKUP($F29,Arrangörslista!L$8:$AG$45,16,FALSE),"DNS")))))),IF(Deltagarlista!$K$3=2,
IF(ISBLANK(Deltagarlista!$C58),"",IF(ISBLANK(Arrangörslista!G$8),"",IF($GV29=N$64," DNS ",IFERROR(VLOOKUP($F29,Arrangörslista!G$8:$AG$45,16,FALSE),"DNS")))),IF(ISBLANK(Deltagarlista!$C58),"",IF(ISBLANK(Arrangörslista!G$8),"",IFERROR(VLOOKUP($F29,Arrangörslista!G$8:$AG$45,16,FALSE),"DNS")))))</f>
        <v/>
      </c>
      <c r="O29" s="5" t="str">
        <f>IF(Deltagarlista!$K$3=4,IF(ISBLANK(Deltagarlista!$C58),"",IF(ISBLANK(Arrangörslista!M$8),"",IFERROR(VLOOKUP($F29,Arrangörslista!M$8:$AG$45,16,FALSE),IF(ISBLANK(Deltagarlista!$C58),"",IF(ISBLANK(Arrangörslista!M$8),"",IFERROR(VLOOKUP($F29,Arrangörslista!N$8:$AG$45,16,FALSE),"DNS")))))),IF(Deltagarlista!$K$3=2,
IF(ISBLANK(Deltagarlista!$C58),"",IF(ISBLANK(Arrangörslista!H$8),"",IF($GV29=O$64," DNS ",IFERROR(VLOOKUP($F29,Arrangörslista!H$8:$AG$45,16,FALSE),"DNS")))),IF(ISBLANK(Deltagarlista!$C58),"",IF(ISBLANK(Arrangörslista!H$8),"",IFERROR(VLOOKUP($F29,Arrangörslista!H$8:$AG$45,16,FALSE),"DNS")))))</f>
        <v/>
      </c>
      <c r="P29" s="5" t="str">
        <f>IF(Deltagarlista!$K$3=4,IF(ISBLANK(Deltagarlista!$C58),"",IF(ISBLANK(Arrangörslista!O$8),"",IFERROR(VLOOKUP($F29,Arrangörslista!O$8:$AG$45,16,FALSE),IF(ISBLANK(Deltagarlista!$C58),"",IF(ISBLANK(Arrangörslista!O$8),"",IFERROR(VLOOKUP($F29,Arrangörslista!P$8:$AG$45,16,FALSE),"DNS")))))),IF(Deltagarlista!$K$3=2,
IF(ISBLANK(Deltagarlista!$C58),"",IF(ISBLANK(Arrangörslista!I$8),"",IF($GV29=P$64," DNS ",IFERROR(VLOOKUP($F29,Arrangörslista!I$8:$AG$45,16,FALSE),"DNS")))),IF(ISBLANK(Deltagarlista!$C58),"",IF(ISBLANK(Arrangörslista!I$8),"",IFERROR(VLOOKUP($F29,Arrangörslista!I$8:$AG$45,16,FALSE),"DNS")))))</f>
        <v/>
      </c>
      <c r="Q29" s="5" t="str">
        <f>IF(Deltagarlista!$K$3=4,IF(ISBLANK(Deltagarlista!$C58),"",IF(ISBLANK(Arrangörslista!Q$8),"",IFERROR(VLOOKUP($F29,Arrangörslista!Q$8:$AG$45,16,FALSE),IF(ISBLANK(Deltagarlista!$C58),"",IF(ISBLANK(Arrangörslista!Q$8),"",IFERROR(VLOOKUP($F29,Arrangörslista!C$53:$AG$90,16,FALSE),"DNS")))))),IF(Deltagarlista!$K$3=2,
IF(ISBLANK(Deltagarlista!$C58),"",IF(ISBLANK(Arrangörslista!J$8),"",IF($GV29=Q$64," DNS ",IFERROR(VLOOKUP($F29,Arrangörslista!J$8:$AG$45,16,FALSE),"DNS")))),IF(ISBLANK(Deltagarlista!$C58),"",IF(ISBLANK(Arrangörslista!J$8),"",IFERROR(VLOOKUP($F29,Arrangörslista!J$8:$AG$45,16,FALSE),"DNS")))))</f>
        <v/>
      </c>
      <c r="R29" s="5" t="str">
        <f>IF(Deltagarlista!$K$3=4,IF(ISBLANK(Deltagarlista!$C58),"",IF(ISBLANK(Arrangörslista!D$53),"",IFERROR(VLOOKUP($F29,Arrangörslista!D$53:$AG$90,16,FALSE),IF(ISBLANK(Deltagarlista!$C58),"",IF(ISBLANK(Arrangörslista!D$53),"",IFERROR(VLOOKUP($F29,Arrangörslista!E$53:$AG$90,16,FALSE),"DNS")))))),IF(Deltagarlista!$K$3=2,
IF(ISBLANK(Deltagarlista!$C58),"",IF(ISBLANK(Arrangörslista!K$8),"",IF($GV29=R$64," DNS ",IFERROR(VLOOKUP($F29,Arrangörslista!K$8:$AG$45,16,FALSE),"DNS")))),IF(ISBLANK(Deltagarlista!$C58),"",IF(ISBLANK(Arrangörslista!K$8),"",IFERROR(VLOOKUP($F29,Arrangörslista!K$8:$AG$45,16,FALSE),"DNS")))))</f>
        <v/>
      </c>
      <c r="S29" s="5" t="str">
        <f>IF(Deltagarlista!$K$3=4,IF(ISBLANK(Deltagarlista!$C58),"",IF(ISBLANK(Arrangörslista!F$53),"",IFERROR(VLOOKUP($F29,Arrangörslista!F$53:$AG$90,16,FALSE),IF(ISBLANK(Deltagarlista!$C58),"",IF(ISBLANK(Arrangörslista!F$53),"",IFERROR(VLOOKUP($F29,Arrangörslista!G$53:$AG$90,16,FALSE),"DNS")))))),IF(Deltagarlista!$K$3=2,
IF(ISBLANK(Deltagarlista!$C58),"",IF(ISBLANK(Arrangörslista!L$8),"",IF($GV29=S$64," DNS ",IFERROR(VLOOKUP($F29,Arrangörslista!L$8:$AG$45,16,FALSE),"DNS")))),IF(ISBLANK(Deltagarlista!$C58),"",IF(ISBLANK(Arrangörslista!L$8),"",IFERROR(VLOOKUP($F29,Arrangörslista!L$8:$AG$45,16,FALSE),"DNS")))))</f>
        <v/>
      </c>
      <c r="T29" s="5" t="str">
        <f>IF(Deltagarlista!$K$3=4,IF(ISBLANK(Deltagarlista!$C58),"",IF(ISBLANK(Arrangörslista!H$53),"",IFERROR(VLOOKUP($F29,Arrangörslista!H$53:$AG$90,16,FALSE),IF(ISBLANK(Deltagarlista!$C58),"",IF(ISBLANK(Arrangörslista!H$53),"",IFERROR(VLOOKUP($F29,Arrangörslista!I$53:$AG$90,16,FALSE),"DNS")))))),IF(Deltagarlista!$K$3=2,
IF(ISBLANK(Deltagarlista!$C58),"",IF(ISBLANK(Arrangörslista!M$8),"",IF($GV29=T$64," DNS ",IFERROR(VLOOKUP($F29,Arrangörslista!M$8:$AG$45,16,FALSE),"DNS")))),IF(ISBLANK(Deltagarlista!$C58),"",IF(ISBLANK(Arrangörslista!M$8),"",IFERROR(VLOOKUP($F29,Arrangörslista!M$8:$AG$45,16,FALSE),"DNS")))))</f>
        <v/>
      </c>
      <c r="U29" s="5" t="str">
        <f>IF(Deltagarlista!$K$3=4,IF(ISBLANK(Deltagarlista!$C58),"",IF(ISBLANK(Arrangörslista!J$53),"",IFERROR(VLOOKUP($F29,Arrangörslista!J$53:$AG$90,16,FALSE),IF(ISBLANK(Deltagarlista!$C58),"",IF(ISBLANK(Arrangörslista!J$53),"",IFERROR(VLOOKUP($F29,Arrangörslista!K$53:$AG$90,16,FALSE),"DNS")))))),IF(Deltagarlista!$K$3=2,
IF(ISBLANK(Deltagarlista!$C58),"",IF(ISBLANK(Arrangörslista!N$8),"",IF($GV29=U$64," DNS ",IFERROR(VLOOKUP($F29,Arrangörslista!N$8:$AG$45,16,FALSE),"DNS")))),IF(ISBLANK(Deltagarlista!$C58),"",IF(ISBLANK(Arrangörslista!N$8),"",IFERROR(VLOOKUP($F29,Arrangörslista!N$8:$AG$45,16,FALSE),"DNS")))))</f>
        <v/>
      </c>
      <c r="V29" s="5" t="str">
        <f>IF(Deltagarlista!$K$3=4,IF(ISBLANK(Deltagarlista!$C58),"",IF(ISBLANK(Arrangörslista!L$53),"",IFERROR(VLOOKUP($F29,Arrangörslista!L$53:$AG$90,16,FALSE),IF(ISBLANK(Deltagarlista!$C58),"",IF(ISBLANK(Arrangörslista!L$53),"",IFERROR(VLOOKUP($F29,Arrangörslista!M$53:$AG$90,16,FALSE),"DNS")))))),IF(Deltagarlista!$K$3=2,
IF(ISBLANK(Deltagarlista!$C58),"",IF(ISBLANK(Arrangörslista!O$8),"",IF($GV29=V$64," DNS ",IFERROR(VLOOKUP($F29,Arrangörslista!O$8:$AG$45,16,FALSE),"DNS")))),IF(ISBLANK(Deltagarlista!$C58),"",IF(ISBLANK(Arrangörslista!O$8),"",IFERROR(VLOOKUP($F29,Arrangörslista!O$8:$AG$45,16,FALSE),"DNS")))))</f>
        <v/>
      </c>
      <c r="W29" s="5" t="str">
        <f>IF(Deltagarlista!$K$3=4,IF(ISBLANK(Deltagarlista!$C58),"",IF(ISBLANK(Arrangörslista!N$53),"",IFERROR(VLOOKUP($F29,Arrangörslista!N$53:$AG$90,16,FALSE),IF(ISBLANK(Deltagarlista!$C58),"",IF(ISBLANK(Arrangörslista!N$53),"",IFERROR(VLOOKUP($F29,Arrangörslista!O$53:$AG$90,16,FALSE),"DNS")))))),IF(Deltagarlista!$K$3=2,
IF(ISBLANK(Deltagarlista!$C58),"",IF(ISBLANK(Arrangörslista!P$8),"",IF($GV29=W$64," DNS ",IFERROR(VLOOKUP($F29,Arrangörslista!P$8:$AG$45,16,FALSE),"DNS")))),IF(ISBLANK(Deltagarlista!$C58),"",IF(ISBLANK(Arrangörslista!P$8),"",IFERROR(VLOOKUP($F29,Arrangörslista!P$8:$AG$45,16,FALSE),"DNS")))))</f>
        <v/>
      </c>
      <c r="X29" s="5" t="str">
        <f>IF(Deltagarlista!$K$3=4,IF(ISBLANK(Deltagarlista!$C58),"",IF(ISBLANK(Arrangörslista!P$53),"",IFERROR(VLOOKUP($F29,Arrangörslista!P$53:$AG$90,16,FALSE),IF(ISBLANK(Deltagarlista!$C58),"",IF(ISBLANK(Arrangörslista!P$53),"",IFERROR(VLOOKUP($F29,Arrangörslista!Q$53:$AG$90,16,FALSE),"DNS")))))),IF(Deltagarlista!$K$3=2,
IF(ISBLANK(Deltagarlista!$C58),"",IF(ISBLANK(Arrangörslista!Q$8),"",IF($GV29=X$64," DNS ",IFERROR(VLOOKUP($F29,Arrangörslista!Q$8:$AG$45,16,FALSE),"DNS")))),IF(ISBLANK(Deltagarlista!$C58),"",IF(ISBLANK(Arrangörslista!Q$8),"",IFERROR(VLOOKUP($F29,Arrangörslista!Q$8:$AG$45,16,FALSE),"DNS")))))</f>
        <v/>
      </c>
      <c r="Y29" s="5" t="str">
        <f>IF(Deltagarlista!$K$3=4,IF(ISBLANK(Deltagarlista!$C58),"",IF(ISBLANK(Arrangörslista!C$98),"",IFERROR(VLOOKUP($F29,Arrangörslista!C$98:$AG$135,16,FALSE),IF(ISBLANK(Deltagarlista!$C58),"",IF(ISBLANK(Arrangörslista!C$98),"",IFERROR(VLOOKUP($F29,Arrangörslista!D$98:$AG$135,16,FALSE),"DNS")))))),IF(Deltagarlista!$K$3=2,
IF(ISBLANK(Deltagarlista!$C58),"",IF(ISBLANK(Arrangörslista!C$53),"",IF($GV29=Y$64," DNS ",IFERROR(VLOOKUP($F29,Arrangörslista!C$53:$AG$90,16,FALSE),"DNS")))),IF(ISBLANK(Deltagarlista!$C58),"",IF(ISBLANK(Arrangörslista!C$53),"",IFERROR(VLOOKUP($F29,Arrangörslista!C$53:$AG$90,16,FALSE),"DNS")))))</f>
        <v/>
      </c>
      <c r="Z29" s="5" t="str">
        <f>IF(Deltagarlista!$K$3=4,IF(ISBLANK(Deltagarlista!$C58),"",IF(ISBLANK(Arrangörslista!E$98),"",IFERROR(VLOOKUP($F29,Arrangörslista!E$98:$AG$135,16,FALSE),IF(ISBLANK(Deltagarlista!$C58),"",IF(ISBLANK(Arrangörslista!E$98),"",IFERROR(VLOOKUP($F29,Arrangörslista!F$98:$AG$135,16,FALSE),"DNS")))))),IF(Deltagarlista!$K$3=2,
IF(ISBLANK(Deltagarlista!$C58),"",IF(ISBLANK(Arrangörslista!D$53),"",IF($GV29=Z$64," DNS ",IFERROR(VLOOKUP($F29,Arrangörslista!D$53:$AG$90,16,FALSE),"DNS")))),IF(ISBLANK(Deltagarlista!$C58),"",IF(ISBLANK(Arrangörslista!D$53),"",IFERROR(VLOOKUP($F29,Arrangörslista!D$53:$AG$90,16,FALSE),"DNS")))))</f>
        <v/>
      </c>
      <c r="AA29" s="5" t="str">
        <f>IF(Deltagarlista!$K$3=4,IF(ISBLANK(Deltagarlista!$C58),"",IF(ISBLANK(Arrangörslista!G$98),"",IFERROR(VLOOKUP($F29,Arrangörslista!G$98:$AG$135,16,FALSE),IF(ISBLANK(Deltagarlista!$C58),"",IF(ISBLANK(Arrangörslista!G$98),"",IFERROR(VLOOKUP($F29,Arrangörslista!H$98:$AG$135,16,FALSE),"DNS")))))),IF(Deltagarlista!$K$3=2,
IF(ISBLANK(Deltagarlista!$C58),"",IF(ISBLANK(Arrangörslista!E$53),"",IF($GV29=AA$64," DNS ",IFERROR(VLOOKUP($F29,Arrangörslista!E$53:$AG$90,16,FALSE),"DNS")))),IF(ISBLANK(Deltagarlista!$C58),"",IF(ISBLANK(Arrangörslista!E$53),"",IFERROR(VLOOKUP($F29,Arrangörslista!E$53:$AG$90,16,FALSE),"DNS")))))</f>
        <v/>
      </c>
      <c r="AB29" s="5" t="str">
        <f>IF(Deltagarlista!$K$3=4,IF(ISBLANK(Deltagarlista!$C58),"",IF(ISBLANK(Arrangörslista!I$98),"",IFERROR(VLOOKUP($F29,Arrangörslista!I$98:$AG$135,16,FALSE),IF(ISBLANK(Deltagarlista!$C58),"",IF(ISBLANK(Arrangörslista!I$98),"",IFERROR(VLOOKUP($F29,Arrangörslista!J$98:$AG$135,16,FALSE),"DNS")))))),IF(Deltagarlista!$K$3=2,
IF(ISBLANK(Deltagarlista!$C58),"",IF(ISBLANK(Arrangörslista!F$53),"",IF($GV29=AB$64," DNS ",IFERROR(VLOOKUP($F29,Arrangörslista!F$53:$AG$90,16,FALSE),"DNS")))),IF(ISBLANK(Deltagarlista!$C58),"",IF(ISBLANK(Arrangörslista!F$53),"",IFERROR(VLOOKUP($F29,Arrangörslista!F$53:$AG$90,16,FALSE),"DNS")))))</f>
        <v/>
      </c>
      <c r="AC29" s="5" t="str">
        <f>IF(Deltagarlista!$K$3=4,IF(ISBLANK(Deltagarlista!$C58),"",IF(ISBLANK(Arrangörslista!K$98),"",IFERROR(VLOOKUP($F29,Arrangörslista!K$98:$AG$135,16,FALSE),IF(ISBLANK(Deltagarlista!$C58),"",IF(ISBLANK(Arrangörslista!K$98),"",IFERROR(VLOOKUP($F29,Arrangörslista!L$98:$AG$135,16,FALSE),"DNS")))))),IF(Deltagarlista!$K$3=2,
IF(ISBLANK(Deltagarlista!$C58),"",IF(ISBLANK(Arrangörslista!G$53),"",IF($GV29=AC$64," DNS ",IFERROR(VLOOKUP($F29,Arrangörslista!G$53:$AG$90,16,FALSE),"DNS")))),IF(ISBLANK(Deltagarlista!$C58),"",IF(ISBLANK(Arrangörslista!G$53),"",IFERROR(VLOOKUP($F29,Arrangörslista!G$53:$AG$90,16,FALSE),"DNS")))))</f>
        <v/>
      </c>
      <c r="AD29" s="5" t="str">
        <f>IF(Deltagarlista!$K$3=4,IF(ISBLANK(Deltagarlista!$C58),"",IF(ISBLANK(Arrangörslista!M$98),"",IFERROR(VLOOKUP($F29,Arrangörslista!M$98:$AG$135,16,FALSE),IF(ISBLANK(Deltagarlista!$C58),"",IF(ISBLANK(Arrangörslista!M$98),"",IFERROR(VLOOKUP($F29,Arrangörslista!N$98:$AG$135,16,FALSE),"DNS")))))),IF(Deltagarlista!$K$3=2,
IF(ISBLANK(Deltagarlista!$C58),"",IF(ISBLANK(Arrangörslista!H$53),"",IF($GV29=AD$64," DNS ",IFERROR(VLOOKUP($F29,Arrangörslista!H$53:$AG$90,16,FALSE),"DNS")))),IF(ISBLANK(Deltagarlista!$C58),"",IF(ISBLANK(Arrangörslista!H$53),"",IFERROR(VLOOKUP($F29,Arrangörslista!H$53:$AG$90,16,FALSE),"DNS")))))</f>
        <v/>
      </c>
      <c r="AE29" s="5" t="str">
        <f>IF(Deltagarlista!$K$3=4,IF(ISBLANK(Deltagarlista!$C58),"",IF(ISBLANK(Arrangörslista!O$98),"",IFERROR(VLOOKUP($F29,Arrangörslista!O$98:$AG$135,16,FALSE),IF(ISBLANK(Deltagarlista!$C58),"",IF(ISBLANK(Arrangörslista!O$98),"",IFERROR(VLOOKUP($F29,Arrangörslista!P$98:$AG$135,16,FALSE),"DNS")))))),IF(Deltagarlista!$K$3=2,
IF(ISBLANK(Deltagarlista!$C58),"",IF(ISBLANK(Arrangörslista!I$53),"",IF($GV29=AE$64," DNS ",IFERROR(VLOOKUP($F29,Arrangörslista!I$53:$AG$90,16,FALSE),"DNS")))),IF(ISBLANK(Deltagarlista!$C58),"",IF(ISBLANK(Arrangörslista!I$53),"",IFERROR(VLOOKUP($F29,Arrangörslista!I$53:$AG$90,16,FALSE),"DNS")))))</f>
        <v/>
      </c>
      <c r="AF29" s="5" t="str">
        <f>IF(Deltagarlista!$K$3=4,IF(ISBLANK(Deltagarlista!$C58),"",IF(ISBLANK(Arrangörslista!Q$98),"",IFERROR(VLOOKUP($F29,Arrangörslista!Q$98:$AG$135,16,FALSE),IF(ISBLANK(Deltagarlista!$C58),"",IF(ISBLANK(Arrangörslista!Q$98),"",IFERROR(VLOOKUP($F29,Arrangörslista!C$143:$AG$180,16,FALSE),"DNS")))))),IF(Deltagarlista!$K$3=2,
IF(ISBLANK(Deltagarlista!$C58),"",IF(ISBLANK(Arrangörslista!J$53),"",IF($GV29=AF$64," DNS ",IFERROR(VLOOKUP($F29,Arrangörslista!J$53:$AG$90,16,FALSE),"DNS")))),IF(ISBLANK(Deltagarlista!$C58),"",IF(ISBLANK(Arrangörslista!J$53),"",IFERROR(VLOOKUP($F29,Arrangörslista!J$53:$AG$90,16,FALSE),"DNS")))))</f>
        <v/>
      </c>
      <c r="AG29" s="5" t="str">
        <f>IF(Deltagarlista!$K$3=4,IF(ISBLANK(Deltagarlista!$C58),"",IF(ISBLANK(Arrangörslista!D$143),"",IFERROR(VLOOKUP($F29,Arrangörslista!D$143:$AG$180,16,FALSE),IF(ISBLANK(Deltagarlista!$C58),"",IF(ISBLANK(Arrangörslista!D$143),"",IFERROR(VLOOKUP($F29,Arrangörslista!E$143:$AG$180,16,FALSE),"DNS")))))),IF(Deltagarlista!$K$3=2,
IF(ISBLANK(Deltagarlista!$C58),"",IF(ISBLANK(Arrangörslista!K$53),"",IF($GV29=AG$64," DNS ",IFERROR(VLOOKUP($F29,Arrangörslista!K$53:$AG$90,16,FALSE),"DNS")))),IF(ISBLANK(Deltagarlista!$C58),"",IF(ISBLANK(Arrangörslista!K$53),"",IFERROR(VLOOKUP($F29,Arrangörslista!K$53:$AG$90,16,FALSE),"DNS")))))</f>
        <v/>
      </c>
      <c r="AH29" s="5" t="str">
        <f>IF(Deltagarlista!$K$3=4,IF(ISBLANK(Deltagarlista!$C58),"",IF(ISBLANK(Arrangörslista!F$143),"",IFERROR(VLOOKUP($F29,Arrangörslista!F$143:$AG$180,16,FALSE),IF(ISBLANK(Deltagarlista!$C58),"",IF(ISBLANK(Arrangörslista!F$143),"",IFERROR(VLOOKUP($F29,Arrangörslista!G$143:$AG$180,16,FALSE),"DNS")))))),IF(Deltagarlista!$K$3=2,
IF(ISBLANK(Deltagarlista!$C58),"",IF(ISBLANK(Arrangörslista!L$53),"",IF($GV29=AH$64," DNS ",IFERROR(VLOOKUP($F29,Arrangörslista!L$53:$AG$90,16,FALSE),"DNS")))),IF(ISBLANK(Deltagarlista!$C58),"",IF(ISBLANK(Arrangörslista!L$53),"",IFERROR(VLOOKUP($F29,Arrangörslista!L$53:$AG$90,16,FALSE),"DNS")))))</f>
        <v/>
      </c>
      <c r="AI29" s="5" t="str">
        <f>IF(Deltagarlista!$K$3=4,IF(ISBLANK(Deltagarlista!$C58),"",IF(ISBLANK(Arrangörslista!H$143),"",IFERROR(VLOOKUP($F29,Arrangörslista!H$143:$AG$180,16,FALSE),IF(ISBLANK(Deltagarlista!$C58),"",IF(ISBLANK(Arrangörslista!H$143),"",IFERROR(VLOOKUP($F29,Arrangörslista!I$143:$AG$180,16,FALSE),"DNS")))))),IF(Deltagarlista!$K$3=2,
IF(ISBLANK(Deltagarlista!$C58),"",IF(ISBLANK(Arrangörslista!M$53),"",IF($GV29=AI$64," DNS ",IFERROR(VLOOKUP($F29,Arrangörslista!M$53:$AG$90,16,FALSE),"DNS")))),IF(ISBLANK(Deltagarlista!$C58),"",IF(ISBLANK(Arrangörslista!M$53),"",IFERROR(VLOOKUP($F29,Arrangörslista!M$53:$AG$90,16,FALSE),"DNS")))))</f>
        <v/>
      </c>
      <c r="AJ29" s="5" t="str">
        <f>IF(Deltagarlista!$K$3=4,IF(ISBLANK(Deltagarlista!$C58),"",IF(ISBLANK(Arrangörslista!J$143),"",IFERROR(VLOOKUP($F29,Arrangörslista!J$143:$AG$180,16,FALSE),IF(ISBLANK(Deltagarlista!$C58),"",IF(ISBLANK(Arrangörslista!J$143),"",IFERROR(VLOOKUP($F29,Arrangörslista!K$143:$AG$180,16,FALSE),"DNS")))))),IF(Deltagarlista!$K$3=2,
IF(ISBLANK(Deltagarlista!$C58),"",IF(ISBLANK(Arrangörslista!N$53),"",IF($GV29=AJ$64," DNS ",IFERROR(VLOOKUP($F29,Arrangörslista!N$53:$AG$90,16,FALSE),"DNS")))),IF(ISBLANK(Deltagarlista!$C58),"",IF(ISBLANK(Arrangörslista!N$53),"",IFERROR(VLOOKUP($F29,Arrangörslista!N$53:$AG$90,16,FALSE),"DNS")))))</f>
        <v/>
      </c>
      <c r="AK29" s="5" t="str">
        <f>IF(Deltagarlista!$K$3=4,IF(ISBLANK(Deltagarlista!$C58),"",IF(ISBLANK(Arrangörslista!L$143),"",IFERROR(VLOOKUP($F29,Arrangörslista!L$143:$AG$180,16,FALSE),IF(ISBLANK(Deltagarlista!$C58),"",IF(ISBLANK(Arrangörslista!L$143),"",IFERROR(VLOOKUP($F29,Arrangörslista!M$143:$AG$180,16,FALSE),"DNS")))))),IF(Deltagarlista!$K$3=2,
IF(ISBLANK(Deltagarlista!$C58),"",IF(ISBLANK(Arrangörslista!O$53),"",IF($GV29=AK$64," DNS ",IFERROR(VLOOKUP($F29,Arrangörslista!O$53:$AG$90,16,FALSE),"DNS")))),IF(ISBLANK(Deltagarlista!$C58),"",IF(ISBLANK(Arrangörslista!O$53),"",IFERROR(VLOOKUP($F29,Arrangörslista!O$53:$AG$90,16,FALSE),"DNS")))))</f>
        <v/>
      </c>
      <c r="AL29" s="5" t="str">
        <f>IF(Deltagarlista!$K$3=4,IF(ISBLANK(Deltagarlista!$C58),"",IF(ISBLANK(Arrangörslista!N$143),"",IFERROR(VLOOKUP($F29,Arrangörslista!N$143:$AG$180,16,FALSE),IF(ISBLANK(Deltagarlista!$C58),"",IF(ISBLANK(Arrangörslista!N$143),"",IFERROR(VLOOKUP($F29,Arrangörslista!O$143:$AG$180,16,FALSE),"DNS")))))),IF(Deltagarlista!$K$3=2,
IF(ISBLANK(Deltagarlista!$C58),"",IF(ISBLANK(Arrangörslista!P$53),"",IF($GV29=AL$64," DNS ",IFERROR(VLOOKUP($F29,Arrangörslista!P$53:$AG$90,16,FALSE),"DNS")))),IF(ISBLANK(Deltagarlista!$C58),"",IF(ISBLANK(Arrangörslista!P$53),"",IFERROR(VLOOKUP($F29,Arrangörslista!P$53:$AG$90,16,FALSE),"DNS")))))</f>
        <v/>
      </c>
      <c r="AM29" s="5" t="str">
        <f>IF(Deltagarlista!$K$3=4,IF(ISBLANK(Deltagarlista!$C58),"",IF(ISBLANK(Arrangörslista!P$143),"",IFERROR(VLOOKUP($F29,Arrangörslista!P$143:$AG$180,16,FALSE),IF(ISBLANK(Deltagarlista!$C58),"",IF(ISBLANK(Arrangörslista!P$143),"",IFERROR(VLOOKUP($F29,Arrangörslista!Q$143:$AG$180,16,FALSE),"DNS")))))),IF(Deltagarlista!$K$3=2,
IF(ISBLANK(Deltagarlista!$C58),"",IF(ISBLANK(Arrangörslista!Q$53),"",IF($GV29=AM$64," DNS ",IFERROR(VLOOKUP($F29,Arrangörslista!Q$53:$AG$90,16,FALSE),"DNS")))),IF(ISBLANK(Deltagarlista!$C58),"",IF(ISBLANK(Arrangörslista!Q$53),"",IFERROR(VLOOKUP($F29,Arrangörslista!Q$53:$AG$90,16,FALSE),"DNS")))))</f>
        <v/>
      </c>
      <c r="AN29" s="5" t="str">
        <f>IF(Deltagarlista!$K$3=2,
IF(ISBLANK(Deltagarlista!$C58),"",IF(ISBLANK(Arrangörslista!C$98),"",IF($GV29=AN$64," DNS ",IFERROR(VLOOKUP($F29,Arrangörslista!C$98:$AG$135,16,FALSE), "DNS")))), IF(Deltagarlista!$K$3=1,IF(ISBLANK(Deltagarlista!$C58),"",IF(ISBLANK(Arrangörslista!C$98),"",IFERROR(VLOOKUP($F29,Arrangörslista!C$98:$AG$135,16,FALSE), "DNS"))),""))</f>
        <v/>
      </c>
      <c r="AO29" s="5" t="str">
        <f>IF(Deltagarlista!$K$3=2,
IF(ISBLANK(Deltagarlista!$C58),"",IF(ISBLANK(Arrangörslista!D$98),"",IF($GV29=AO$64," DNS ",IFERROR(VLOOKUP($F29,Arrangörslista!D$98:$AG$135,16,FALSE), "DNS")))), IF(Deltagarlista!$K$3=1,IF(ISBLANK(Deltagarlista!$C58),"",IF(ISBLANK(Arrangörslista!D$98),"",IFERROR(VLOOKUP($F29,Arrangörslista!D$98:$AG$135,16,FALSE), "DNS"))),""))</f>
        <v/>
      </c>
      <c r="AP29" s="5" t="str">
        <f>IF(Deltagarlista!$K$3=2,
IF(ISBLANK(Deltagarlista!$C58),"",IF(ISBLANK(Arrangörslista!E$98),"",IF($GV29=AP$64," DNS ",IFERROR(VLOOKUP($F29,Arrangörslista!E$98:$AG$135,16,FALSE), "DNS")))), IF(Deltagarlista!$K$3=1,IF(ISBLANK(Deltagarlista!$C58),"",IF(ISBLANK(Arrangörslista!E$98),"",IFERROR(VLOOKUP($F29,Arrangörslista!E$98:$AG$135,16,FALSE), "DNS"))),""))</f>
        <v/>
      </c>
      <c r="AQ29" s="5" t="str">
        <f>IF(Deltagarlista!$K$3=2,
IF(ISBLANK(Deltagarlista!$C58),"",IF(ISBLANK(Arrangörslista!F$98),"",IF($GV29=AQ$64," DNS ",IFERROR(VLOOKUP($F29,Arrangörslista!F$98:$AG$135,16,FALSE), "DNS")))), IF(Deltagarlista!$K$3=1,IF(ISBLANK(Deltagarlista!$C58),"",IF(ISBLANK(Arrangörslista!F$98),"",IFERROR(VLOOKUP($F29,Arrangörslista!F$98:$AG$135,16,FALSE), "DNS"))),""))</f>
        <v/>
      </c>
      <c r="AR29" s="5" t="str">
        <f>IF(Deltagarlista!$K$3=2,
IF(ISBLANK(Deltagarlista!$C58),"",IF(ISBLANK(Arrangörslista!G$98),"",IF($GV29=AR$64," DNS ",IFERROR(VLOOKUP($F29,Arrangörslista!G$98:$AG$135,16,FALSE), "DNS")))), IF(Deltagarlista!$K$3=1,IF(ISBLANK(Deltagarlista!$C58),"",IF(ISBLANK(Arrangörslista!G$98),"",IFERROR(VLOOKUP($F29,Arrangörslista!G$98:$AG$135,16,FALSE), "DNS"))),""))</f>
        <v/>
      </c>
      <c r="AS29" s="5" t="str">
        <f>IF(Deltagarlista!$K$3=2,
IF(ISBLANK(Deltagarlista!$C58),"",IF(ISBLANK(Arrangörslista!H$98),"",IF($GV29=AS$64," DNS ",IFERROR(VLOOKUP($F29,Arrangörslista!H$98:$AG$135,16,FALSE), "DNS")))), IF(Deltagarlista!$K$3=1,IF(ISBLANK(Deltagarlista!$C58),"",IF(ISBLANK(Arrangörslista!H$98),"",IFERROR(VLOOKUP($F29,Arrangörslista!H$98:$AG$135,16,FALSE), "DNS"))),""))</f>
        <v/>
      </c>
      <c r="AT29" s="5" t="str">
        <f>IF(Deltagarlista!$K$3=2,
IF(ISBLANK(Deltagarlista!$C58),"",IF(ISBLANK(Arrangörslista!I$98),"",IF($GV29=AT$64," DNS ",IFERROR(VLOOKUP($F29,Arrangörslista!I$98:$AG$135,16,FALSE), "DNS")))), IF(Deltagarlista!$K$3=1,IF(ISBLANK(Deltagarlista!$C58),"",IF(ISBLANK(Arrangörslista!I$98),"",IFERROR(VLOOKUP($F29,Arrangörslista!I$98:$AG$135,16,FALSE), "DNS"))),""))</f>
        <v/>
      </c>
      <c r="AU29" s="5" t="str">
        <f>IF(Deltagarlista!$K$3=2,
IF(ISBLANK(Deltagarlista!$C58),"",IF(ISBLANK(Arrangörslista!J$98),"",IF($GV29=AU$64," DNS ",IFERROR(VLOOKUP($F29,Arrangörslista!J$98:$AG$135,16,FALSE), "DNS")))), IF(Deltagarlista!$K$3=1,IF(ISBLANK(Deltagarlista!$C58),"",IF(ISBLANK(Arrangörslista!J$98),"",IFERROR(VLOOKUP($F29,Arrangörslista!J$98:$AG$135,16,FALSE), "DNS"))),""))</f>
        <v/>
      </c>
      <c r="AV29" s="5" t="str">
        <f>IF(Deltagarlista!$K$3=2,
IF(ISBLANK(Deltagarlista!$C58),"",IF(ISBLANK(Arrangörslista!K$98),"",IF($GV29=AV$64," DNS ",IFERROR(VLOOKUP($F29,Arrangörslista!K$98:$AG$135,16,FALSE), "DNS")))), IF(Deltagarlista!$K$3=1,IF(ISBLANK(Deltagarlista!$C58),"",IF(ISBLANK(Arrangörslista!K$98),"",IFERROR(VLOOKUP($F29,Arrangörslista!K$98:$AG$135,16,FALSE), "DNS"))),""))</f>
        <v/>
      </c>
      <c r="AW29" s="5" t="str">
        <f>IF(Deltagarlista!$K$3=2,
IF(ISBLANK(Deltagarlista!$C58),"",IF(ISBLANK(Arrangörslista!L$98),"",IF($GV29=AW$64," DNS ",IFERROR(VLOOKUP($F29,Arrangörslista!L$98:$AG$135,16,FALSE), "DNS")))), IF(Deltagarlista!$K$3=1,IF(ISBLANK(Deltagarlista!$C58),"",IF(ISBLANK(Arrangörslista!L$98),"",IFERROR(VLOOKUP($F29,Arrangörslista!L$98:$AG$135,16,FALSE), "DNS"))),""))</f>
        <v/>
      </c>
      <c r="AX29" s="5" t="str">
        <f>IF(Deltagarlista!$K$3=2,
IF(ISBLANK(Deltagarlista!$C58),"",IF(ISBLANK(Arrangörslista!M$98),"",IF($GV29=AX$64," DNS ",IFERROR(VLOOKUP($F29,Arrangörslista!M$98:$AG$135,16,FALSE), "DNS")))), IF(Deltagarlista!$K$3=1,IF(ISBLANK(Deltagarlista!$C58),"",IF(ISBLANK(Arrangörslista!M$98),"",IFERROR(VLOOKUP($F29,Arrangörslista!M$98:$AG$135,16,FALSE), "DNS"))),""))</f>
        <v/>
      </c>
      <c r="AY29" s="5" t="str">
        <f>IF(Deltagarlista!$K$3=2,
IF(ISBLANK(Deltagarlista!$C58),"",IF(ISBLANK(Arrangörslista!N$98),"",IF($GV29=AY$64," DNS ",IFERROR(VLOOKUP($F29,Arrangörslista!N$98:$AG$135,16,FALSE), "DNS")))), IF(Deltagarlista!$K$3=1,IF(ISBLANK(Deltagarlista!$C58),"",IF(ISBLANK(Arrangörslista!N$98),"",IFERROR(VLOOKUP($F29,Arrangörslista!N$98:$AG$135,16,FALSE), "DNS"))),""))</f>
        <v/>
      </c>
      <c r="AZ29" s="5" t="str">
        <f>IF(Deltagarlista!$K$3=2,
IF(ISBLANK(Deltagarlista!$C58),"",IF(ISBLANK(Arrangörslista!O$98),"",IF($GV29=AZ$64," DNS ",IFERROR(VLOOKUP($F29,Arrangörslista!O$98:$AG$135,16,FALSE), "DNS")))), IF(Deltagarlista!$K$3=1,IF(ISBLANK(Deltagarlista!$C58),"",IF(ISBLANK(Arrangörslista!O$98),"",IFERROR(VLOOKUP($F29,Arrangörslista!O$98:$AG$135,16,FALSE), "DNS"))),""))</f>
        <v/>
      </c>
      <c r="BA29" s="5" t="str">
        <f>IF(Deltagarlista!$K$3=2,
IF(ISBLANK(Deltagarlista!$C58),"",IF(ISBLANK(Arrangörslista!P$98),"",IF($GV29=BA$64," DNS ",IFERROR(VLOOKUP($F29,Arrangörslista!P$98:$AG$135,16,FALSE), "DNS")))), IF(Deltagarlista!$K$3=1,IF(ISBLANK(Deltagarlista!$C58),"",IF(ISBLANK(Arrangörslista!P$98),"",IFERROR(VLOOKUP($F29,Arrangörslista!P$98:$AG$135,16,FALSE), "DNS"))),""))</f>
        <v/>
      </c>
      <c r="BB29" s="5" t="str">
        <f>IF(Deltagarlista!$K$3=2,
IF(ISBLANK(Deltagarlista!$C58),"",IF(ISBLANK(Arrangörslista!Q$98),"",IF($GV29=BB$64," DNS ",IFERROR(VLOOKUP($F29,Arrangörslista!Q$98:$AG$135,16,FALSE), "DNS")))), IF(Deltagarlista!$K$3=1,IF(ISBLANK(Deltagarlista!$C58),"",IF(ISBLANK(Arrangörslista!Q$98),"",IFERROR(VLOOKUP($F29,Arrangörslista!Q$98:$AG$135,16,FALSE), "DNS"))),""))</f>
        <v/>
      </c>
      <c r="BC29" s="5" t="str">
        <f>IF(Deltagarlista!$K$3=2,
IF(ISBLANK(Deltagarlista!$C58),"",IF(ISBLANK(Arrangörslista!C$143),"",IF($GV29=BC$64," DNS ",IFERROR(VLOOKUP($F29,Arrangörslista!C$143:$AG$180,16,FALSE), "DNS")))), IF(Deltagarlista!$K$3=1,IF(ISBLANK(Deltagarlista!$C58),"",IF(ISBLANK(Arrangörslista!C$143),"",IFERROR(VLOOKUP($F29,Arrangörslista!C$143:$AG$180,16,FALSE), "DNS"))),""))</f>
        <v/>
      </c>
      <c r="BD29" s="5" t="str">
        <f>IF(Deltagarlista!$K$3=2,
IF(ISBLANK(Deltagarlista!$C58),"",IF(ISBLANK(Arrangörslista!D$143),"",IF($GV29=BD$64," DNS ",IFERROR(VLOOKUP($F29,Arrangörslista!D$143:$AG$180,16,FALSE), "DNS")))), IF(Deltagarlista!$K$3=1,IF(ISBLANK(Deltagarlista!$C58),"",IF(ISBLANK(Arrangörslista!D$143),"",IFERROR(VLOOKUP($F29,Arrangörslista!D$143:$AG$180,16,FALSE), "DNS"))),""))</f>
        <v/>
      </c>
      <c r="BE29" s="5" t="str">
        <f>IF(Deltagarlista!$K$3=2,
IF(ISBLANK(Deltagarlista!$C58),"",IF(ISBLANK(Arrangörslista!E$143),"",IF($GV29=BE$64," DNS ",IFERROR(VLOOKUP($F29,Arrangörslista!E$143:$AG$180,16,FALSE), "DNS")))), IF(Deltagarlista!$K$3=1,IF(ISBLANK(Deltagarlista!$C58),"",IF(ISBLANK(Arrangörslista!E$143),"",IFERROR(VLOOKUP($F29,Arrangörslista!E$143:$AG$180,16,FALSE), "DNS"))),""))</f>
        <v/>
      </c>
      <c r="BF29" s="5" t="str">
        <f>IF(Deltagarlista!$K$3=2,
IF(ISBLANK(Deltagarlista!$C58),"",IF(ISBLANK(Arrangörslista!F$143),"",IF($GV29=BF$64," DNS ",IFERROR(VLOOKUP($F29,Arrangörslista!F$143:$AG$180,16,FALSE), "DNS")))), IF(Deltagarlista!$K$3=1,IF(ISBLANK(Deltagarlista!$C58),"",IF(ISBLANK(Arrangörslista!F$143),"",IFERROR(VLOOKUP($F29,Arrangörslista!F$143:$AG$180,16,FALSE), "DNS"))),""))</f>
        <v/>
      </c>
      <c r="BG29" s="5" t="str">
        <f>IF(Deltagarlista!$K$3=2,
IF(ISBLANK(Deltagarlista!$C58),"",IF(ISBLANK(Arrangörslista!G$143),"",IF($GV29=BG$64," DNS ",IFERROR(VLOOKUP($F29,Arrangörslista!G$143:$AG$180,16,FALSE), "DNS")))), IF(Deltagarlista!$K$3=1,IF(ISBLANK(Deltagarlista!$C58),"",IF(ISBLANK(Arrangörslista!G$143),"",IFERROR(VLOOKUP($F29,Arrangörslista!G$143:$AG$180,16,FALSE), "DNS"))),""))</f>
        <v/>
      </c>
      <c r="BH29" s="5" t="str">
        <f>IF(Deltagarlista!$K$3=2,
IF(ISBLANK(Deltagarlista!$C58),"",IF(ISBLANK(Arrangörslista!H$143),"",IF($GV29=BH$64," DNS ",IFERROR(VLOOKUP($F29,Arrangörslista!H$143:$AG$180,16,FALSE), "DNS")))), IF(Deltagarlista!$K$3=1,IF(ISBLANK(Deltagarlista!$C58),"",IF(ISBLANK(Arrangörslista!H$143),"",IFERROR(VLOOKUP($F29,Arrangörslista!H$143:$AG$180,16,FALSE), "DNS"))),""))</f>
        <v/>
      </c>
      <c r="BI29" s="5" t="str">
        <f>IF(Deltagarlista!$K$3=2,
IF(ISBLANK(Deltagarlista!$C58),"",IF(ISBLANK(Arrangörslista!I$143),"",IF($GV29=BI$64," DNS ",IFERROR(VLOOKUP($F29,Arrangörslista!I$143:$AG$180,16,FALSE), "DNS")))), IF(Deltagarlista!$K$3=1,IF(ISBLANK(Deltagarlista!$C58),"",IF(ISBLANK(Arrangörslista!I$143),"",IFERROR(VLOOKUP($F29,Arrangörslista!I$143:$AG$180,16,FALSE), "DNS"))),""))</f>
        <v/>
      </c>
      <c r="BJ29" s="5" t="str">
        <f>IF(Deltagarlista!$K$3=2,
IF(ISBLANK(Deltagarlista!$C58),"",IF(ISBLANK(Arrangörslista!J$143),"",IF($GV29=BJ$64," DNS ",IFERROR(VLOOKUP($F29,Arrangörslista!J$143:$AG$180,16,FALSE), "DNS")))), IF(Deltagarlista!$K$3=1,IF(ISBLANK(Deltagarlista!$C58),"",IF(ISBLANK(Arrangörslista!J$143),"",IFERROR(VLOOKUP($F29,Arrangörslista!J$143:$AG$180,16,FALSE), "DNS"))),""))</f>
        <v/>
      </c>
      <c r="BK29" s="5" t="str">
        <f>IF(Deltagarlista!$K$3=2,
IF(ISBLANK(Deltagarlista!$C58),"",IF(ISBLANK(Arrangörslista!K$143),"",IF($GV29=BK$64," DNS ",IFERROR(VLOOKUP($F29,Arrangörslista!K$143:$AG$180,16,FALSE), "DNS")))), IF(Deltagarlista!$K$3=1,IF(ISBLANK(Deltagarlista!$C58),"",IF(ISBLANK(Arrangörslista!K$143),"",IFERROR(VLOOKUP($F29,Arrangörslista!K$143:$AG$180,16,FALSE), "DNS"))),""))</f>
        <v/>
      </c>
      <c r="BL29" s="5" t="str">
        <f>IF(Deltagarlista!$K$3=2,
IF(ISBLANK(Deltagarlista!$C58),"",IF(ISBLANK(Arrangörslista!L$143),"",IF($GV29=BL$64," DNS ",IFERROR(VLOOKUP($F29,Arrangörslista!L$143:$AG$180,16,FALSE), "DNS")))), IF(Deltagarlista!$K$3=1,IF(ISBLANK(Deltagarlista!$C58),"",IF(ISBLANK(Arrangörslista!L$143),"",IFERROR(VLOOKUP($F29,Arrangörslista!L$143:$AG$180,16,FALSE), "DNS"))),""))</f>
        <v/>
      </c>
      <c r="BM29" s="5" t="str">
        <f>IF(Deltagarlista!$K$3=2,
IF(ISBLANK(Deltagarlista!$C58),"",IF(ISBLANK(Arrangörslista!M$143),"",IF($GV29=BM$64," DNS ",IFERROR(VLOOKUP($F29,Arrangörslista!M$143:$AG$180,16,FALSE), "DNS")))), IF(Deltagarlista!$K$3=1,IF(ISBLANK(Deltagarlista!$C58),"",IF(ISBLANK(Arrangörslista!M$143),"",IFERROR(VLOOKUP($F29,Arrangörslista!M$143:$AG$180,16,FALSE), "DNS"))),""))</f>
        <v/>
      </c>
      <c r="BN29" s="5" t="str">
        <f>IF(Deltagarlista!$K$3=2,
IF(ISBLANK(Deltagarlista!$C58),"",IF(ISBLANK(Arrangörslista!N$143),"",IF($GV29=BN$64," DNS ",IFERROR(VLOOKUP($F29,Arrangörslista!N$143:$AG$180,16,FALSE), "DNS")))), IF(Deltagarlista!$K$3=1,IF(ISBLANK(Deltagarlista!$C58),"",IF(ISBLANK(Arrangörslista!N$143),"",IFERROR(VLOOKUP($F29,Arrangörslista!N$143:$AG$180,16,FALSE), "DNS"))),""))</f>
        <v/>
      </c>
      <c r="BO29" s="5" t="str">
        <f>IF(Deltagarlista!$K$3=2,
IF(ISBLANK(Deltagarlista!$C58),"",IF(ISBLANK(Arrangörslista!O$143),"",IF($GV29=BO$64," DNS ",IFERROR(VLOOKUP($F29,Arrangörslista!O$143:$AG$180,16,FALSE), "DNS")))), IF(Deltagarlista!$K$3=1,IF(ISBLANK(Deltagarlista!$C58),"",IF(ISBLANK(Arrangörslista!O$143),"",IFERROR(VLOOKUP($F29,Arrangörslista!O$143:$AG$180,16,FALSE), "DNS"))),""))</f>
        <v/>
      </c>
      <c r="BP29" s="5" t="str">
        <f>IF(Deltagarlista!$K$3=2,
IF(ISBLANK(Deltagarlista!$C58),"",IF(ISBLANK(Arrangörslista!P$143),"",IF($GV29=BP$64," DNS ",IFERROR(VLOOKUP($F29,Arrangörslista!P$143:$AG$180,16,FALSE), "DNS")))), IF(Deltagarlista!$K$3=1,IF(ISBLANK(Deltagarlista!$C58),"",IF(ISBLANK(Arrangörslista!P$143),"",IFERROR(VLOOKUP($F29,Arrangörslista!P$143:$AG$180,16,FALSE), "DNS"))),""))</f>
        <v/>
      </c>
      <c r="BQ29" s="80" t="str">
        <f>IF(Deltagarlista!$K$3=2,
IF(ISBLANK(Deltagarlista!$C58),"",IF(ISBLANK(Arrangörslista!Q$143),"",IF($GV29=BQ$64," DNS ",IFERROR(VLOOKUP($F29,Arrangörslista!Q$143:$AG$180,16,FALSE), "DNS")))), IF(Deltagarlista!$K$3=1,IF(ISBLANK(Deltagarlista!$C58),"",IF(ISBLANK(Arrangörslista!Q$143),"",IFERROR(VLOOKUP($F29,Arrangörslista!Q$143:$AG$180,16,FALSE), "DNS"))),""))</f>
        <v/>
      </c>
      <c r="BR29" s="48"/>
      <c r="BS29" s="50" t="str">
        <f t="shared" si="0"/>
        <v>2</v>
      </c>
      <c r="BU29" s="71">
        <f t="shared" si="1"/>
        <v>0</v>
      </c>
      <c r="BV29" s="61">
        <f t="shared" si="2"/>
        <v>0</v>
      </c>
      <c r="BW29" s="61">
        <f t="shared" si="3"/>
        <v>0</v>
      </c>
      <c r="BX29" s="61">
        <f t="shared" si="4"/>
        <v>0</v>
      </c>
      <c r="BY29" s="61">
        <f t="shared" si="5"/>
        <v>0</v>
      </c>
      <c r="BZ29" s="61">
        <f t="shared" si="6"/>
        <v>0</v>
      </c>
      <c r="CA29" s="61">
        <f t="shared" si="7"/>
        <v>0</v>
      </c>
      <c r="CB29" s="61">
        <f t="shared" si="8"/>
        <v>0</v>
      </c>
      <c r="CC29" s="61">
        <f t="shared" si="9"/>
        <v>0</v>
      </c>
      <c r="CD29" s="61">
        <f t="shared" si="10"/>
        <v>0</v>
      </c>
      <c r="CE29" s="61">
        <f t="shared" si="11"/>
        <v>0</v>
      </c>
      <c r="CF29" s="61">
        <f t="shared" si="12"/>
        <v>0</v>
      </c>
      <c r="CG29" s="61">
        <f t="shared" si="13"/>
        <v>0</v>
      </c>
      <c r="CH29" s="61">
        <f t="shared" si="14"/>
        <v>0</v>
      </c>
      <c r="CI29" s="61">
        <f t="shared" si="15"/>
        <v>0</v>
      </c>
      <c r="CJ29" s="61">
        <f t="shared" si="16"/>
        <v>0</v>
      </c>
      <c r="CK29" s="61">
        <f t="shared" si="17"/>
        <v>0</v>
      </c>
      <c r="CL29" s="61">
        <f t="shared" si="18"/>
        <v>0</v>
      </c>
      <c r="CM29" s="61">
        <f t="shared" si="19"/>
        <v>0</v>
      </c>
      <c r="CN29" s="61">
        <f t="shared" si="20"/>
        <v>0</v>
      </c>
      <c r="CO29" s="61">
        <f t="shared" si="21"/>
        <v>0</v>
      </c>
      <c r="CP29" s="61">
        <f t="shared" si="22"/>
        <v>0</v>
      </c>
      <c r="CQ29" s="61">
        <f t="shared" si="23"/>
        <v>0</v>
      </c>
      <c r="CR29" s="61">
        <f t="shared" si="24"/>
        <v>0</v>
      </c>
      <c r="CS29" s="61">
        <f t="shared" si="25"/>
        <v>0</v>
      </c>
      <c r="CT29" s="61">
        <f t="shared" si="26"/>
        <v>0</v>
      </c>
      <c r="CU29" s="61">
        <f t="shared" si="27"/>
        <v>0</v>
      </c>
      <c r="CV29" s="61">
        <f t="shared" si="28"/>
        <v>0</v>
      </c>
      <c r="CW29" s="61">
        <f t="shared" si="29"/>
        <v>0</v>
      </c>
      <c r="CX29" s="61">
        <f t="shared" si="30"/>
        <v>0</v>
      </c>
      <c r="CY29" s="61">
        <f t="shared" si="31"/>
        <v>0</v>
      </c>
      <c r="CZ29" s="61">
        <f t="shared" si="32"/>
        <v>0</v>
      </c>
      <c r="DA29" s="61">
        <f t="shared" si="33"/>
        <v>0</v>
      </c>
      <c r="DB29" s="61">
        <f t="shared" si="34"/>
        <v>0</v>
      </c>
      <c r="DC29" s="61">
        <f t="shared" si="35"/>
        <v>0</v>
      </c>
      <c r="DD29" s="61">
        <f t="shared" si="36"/>
        <v>0</v>
      </c>
      <c r="DE29" s="61">
        <f t="shared" si="37"/>
        <v>0</v>
      </c>
      <c r="DF29" s="61">
        <f t="shared" si="38"/>
        <v>0</v>
      </c>
      <c r="DG29" s="61">
        <f t="shared" si="39"/>
        <v>0</v>
      </c>
      <c r="DH29" s="61">
        <f t="shared" si="40"/>
        <v>0</v>
      </c>
      <c r="DI29" s="61">
        <f t="shared" si="41"/>
        <v>0</v>
      </c>
      <c r="DJ29" s="61">
        <f t="shared" si="42"/>
        <v>0</v>
      </c>
      <c r="DK29" s="61">
        <f t="shared" si="43"/>
        <v>0</v>
      </c>
      <c r="DL29" s="61">
        <f t="shared" si="44"/>
        <v>0</v>
      </c>
      <c r="DM29" s="61">
        <f t="shared" si="45"/>
        <v>0</v>
      </c>
      <c r="DN29" s="61">
        <f t="shared" si="46"/>
        <v>0</v>
      </c>
      <c r="DO29" s="61">
        <f t="shared" si="47"/>
        <v>0</v>
      </c>
      <c r="DP29" s="61">
        <f t="shared" si="48"/>
        <v>0</v>
      </c>
      <c r="DQ29" s="61">
        <f t="shared" si="49"/>
        <v>0</v>
      </c>
      <c r="DR29" s="61">
        <f t="shared" si="50"/>
        <v>0</v>
      </c>
      <c r="DS29" s="61">
        <f t="shared" si="51"/>
        <v>0</v>
      </c>
      <c r="DT29" s="61">
        <f t="shared" si="52"/>
        <v>0</v>
      </c>
      <c r="DU29" s="61">
        <f t="shared" si="53"/>
        <v>0</v>
      </c>
      <c r="DV29" s="61">
        <f t="shared" si="54"/>
        <v>0</v>
      </c>
      <c r="DW29" s="61">
        <f t="shared" si="55"/>
        <v>0</v>
      </c>
      <c r="DX29" s="61">
        <f t="shared" si="56"/>
        <v>0</v>
      </c>
      <c r="DY29" s="61">
        <f t="shared" si="57"/>
        <v>0</v>
      </c>
      <c r="DZ29" s="61">
        <f t="shared" si="58"/>
        <v>0</v>
      </c>
      <c r="EA29" s="61">
        <f t="shared" si="59"/>
        <v>0</v>
      </c>
      <c r="EB29" s="61">
        <f t="shared" si="60"/>
        <v>0</v>
      </c>
      <c r="EC29" s="61">
        <f t="shared" si="61"/>
        <v>0</v>
      </c>
      <c r="EE29" s="61">
        <f xml:space="preserve">
IF(OR(Deltagarlista!$K$3=3,Deltagarlista!$K$3=4),
IF(Arrangörslista!$U$5&lt;8,0,
IF(Arrangörslista!$U$5&lt;16,SUM(LARGE(BV29:CJ29,1)),
IF(Arrangörslista!$U$5&lt;24,SUM(LARGE(BV29:CR29,{1;2})),
IF(Arrangörslista!$U$5&lt;32,SUM(LARGE(BV29:CZ29,{1;2;3})),
IF(Arrangörslista!$U$5&lt;40,SUM(LARGE(BV29:DH29,{1;2;3;4})),
IF(Arrangörslista!$U$5&lt;48,SUM(LARGE(BV29:DP29,{1;2;3;4;5})),
IF(Arrangörslista!$U$5&lt;56,SUM(LARGE(BV29:DX29,{1;2;3;4;5;6})),
IF(Arrangörslista!$U$5&lt;64,SUM(LARGE(BV29:EC29,{1;2;3;4;5;6;7})),0)))))))),
IF(Deltagarlista!$K$3=2,
IF(Arrangörslista!$U$5&lt;4,LARGE(BV29:BX29,1),
IF(Arrangörslista!$U$5&lt;7,SUM(LARGE(BV29:CA29,{1;2;3})),
IF(Arrangörslista!$U$5&lt;10,SUM(LARGE(BV29:CD29,{1;2;3;4})),
IF(Arrangörslista!$U$5&lt;13,SUM(LARGE(BV29:CG29,{1;2;3;4;5;6})),
IF(Arrangörslista!$U$5&lt;16,SUM(LARGE(BV29:CJ29,{1;2;3;4;5;6;7})),
IF(Arrangörslista!$U$5&lt;19,SUM(LARGE(BV29:CM29,{1;2;3;4;5;6;7;8;9})),
IF(Arrangörslista!$U$5&lt;22,SUM(LARGE(BV29:CP29,{1;2;3;4;5;6;7;8;9;10})),
IF(Arrangörslista!$U$5&lt;25,SUM(LARGE(BV29:CS29,{1;2;3;4;5;6;7;8;9;10;11;12})),
IF(Arrangörslista!$U$5&lt;28,SUM(LARGE(BV29:CV29,{1;2;3;4;5;6;7;8;9;10;11;12;13})),
IF(Arrangörslista!$U$5&lt;31,SUM(LARGE(BV29:CY29,{1;2;3;4;5;6;7;8;9;10;11;12;13;14;15})),
IF(Arrangörslista!$U$5&lt;34,SUM(LARGE(BV29:DB29,{1;2;3;4;5;6;7;8;9;10;11;12;13;14;15;16})),
IF(Arrangörslista!$U$5&lt;37,SUM(LARGE(BV29:DE29,{1;2;3;4;5;6;7;8;9;10;11;12;13;14;15;16;17;18})),
IF(Arrangörslista!$U$5&lt;40,SUM(LARGE(BV29:DH29,{1;2;3;4;5;6;7;8;9;10;11;12;13;14;15;16;17;18;19})),
IF(Arrangörslista!$U$5&lt;43,SUM(LARGE(BV29:DK29,{1;2;3;4;5;6;7;8;9;10;11;12;13;14;15;16;17;18;19;20;21})),
IF(Arrangörslista!$U$5&lt;46,SUM(LARGE(BV29:DN29,{1;2;3;4;5;6;7;8;9;10;11;12;13;14;15;16;17;18;19;20;21;22})),
IF(Arrangörslista!$U$5&lt;49,SUM(LARGE(BV29:DQ29,{1;2;3;4;5;6;7;8;9;10;11;12;13;14;15;16;17;18;19;20;21;22;23;24})),
IF(Arrangörslista!$U$5&lt;52,SUM(LARGE(BV29:DT29,{1;2;3;4;5;6;7;8;9;10;11;12;13;14;15;16;17;18;19;20;21;22;23;24;25})),
IF(Arrangörslista!$U$5&lt;55,SUM(LARGE(BV29:DW29,{1;2;3;4;5;6;7;8;9;10;11;12;13;14;15;16;17;18;19;20;21;22;23;24;25;26;27})),
IF(Arrangörslista!$U$5&lt;58,SUM(LARGE(BV29:DZ29,{1;2;3;4;5;6;7;8;9;10;11;12;13;14;15;16;17;18;19;20;21;22;23;24;25;26;27;28})),
IF(Arrangörslista!$U$5&lt;61,SUM(LARGE(BV29:EC29,{1;2;3;4;5;6;7;8;9;10;11;12;13;14;15;16;17;18;19;20;21;22;23;24;25;26;27;28;29;30})),0)))))))))))))))))))),
IF(Arrangörslista!$U$5&lt;4,0,
IF(Arrangörslista!$U$5&lt;8,SUM(LARGE(BV29:CB29,1)),
IF(Arrangörslista!$U$5&lt;12,SUM(LARGE(BV29:CF29,{1;2})),
IF(Arrangörslista!$U$5&lt;16,SUM(LARGE(BV29:CJ29,{1;2;3})),
IF(Arrangörslista!$U$5&lt;20,SUM(LARGE(BV29:CN29,{1;2;3;4})),
IF(Arrangörslista!$U$5&lt;24,SUM(LARGE(BV29:CR29,{1;2;3;4;5})),
IF(Arrangörslista!$U$5&lt;28,SUM(LARGE(BV29:CV29,{1;2;3;4;5;6})),
IF(Arrangörslista!$U$5&lt;32,SUM(LARGE(BV29:CZ29,{1;2;3;4;5;6;7})),
IF(Arrangörslista!$U$5&lt;36,SUM(LARGE(BV29:DD29,{1;2;3;4;5;6;7;8})),
IF(Arrangörslista!$U$5&lt;40,SUM(LARGE(BV29:DH29,{1;2;3;4;5;6;7;8;9})),
IF(Arrangörslista!$U$5&lt;44,SUM(LARGE(BV29:DL29,{1;2;3;4;5;6;7;8;9;10})),
IF(Arrangörslista!$U$5&lt;48,SUM(LARGE(BV29:DP29,{1;2;3;4;5;6;7;8;9;10;11})),
IF(Arrangörslista!$U$5&lt;52,SUM(LARGE(BV29:DT29,{1;2;3;4;5;6;7;8;9;10;11;12})),
IF(Arrangörslista!$U$5&lt;56,SUM(LARGE(BV29:DX29,{1;2;3;4;5;6;7;8;9;10;11;12;13})),
IF(Arrangörslista!$U$5&lt;60,SUM(LARGE(BV29:EB29,{1;2;3;4;5;6;7;8;9;10;11;12;13;14})),
IF(Arrangörslista!$U$5=60,SUM(LARGE(BV29:EC29,{1;2;3;4;5;6;7;8;9;10;11;12;13;14;15})),0))))))))))))))))))</f>
        <v>0</v>
      </c>
      <c r="EG29" s="67">
        <f t="shared" si="62"/>
        <v>0</v>
      </c>
      <c r="EH29" s="61"/>
      <c r="EI29" s="61"/>
      <c r="EK29" s="62">
        <f t="shared" si="63"/>
        <v>61</v>
      </c>
      <c r="EL29" s="62">
        <f t="shared" si="64"/>
        <v>61</v>
      </c>
      <c r="EM29" s="62">
        <f t="shared" si="65"/>
        <v>61</v>
      </c>
      <c r="EN29" s="62">
        <f t="shared" si="66"/>
        <v>61</v>
      </c>
      <c r="EO29" s="62">
        <f t="shared" si="67"/>
        <v>61</v>
      </c>
      <c r="EP29" s="62">
        <f t="shared" si="68"/>
        <v>61</v>
      </c>
      <c r="EQ29" s="62">
        <f t="shared" si="69"/>
        <v>61</v>
      </c>
      <c r="ER29" s="62">
        <f t="shared" si="70"/>
        <v>61</v>
      </c>
      <c r="ES29" s="62">
        <f t="shared" si="71"/>
        <v>61</v>
      </c>
      <c r="ET29" s="62">
        <f t="shared" si="72"/>
        <v>61</v>
      </c>
      <c r="EU29" s="62">
        <f t="shared" si="73"/>
        <v>61</v>
      </c>
      <c r="EV29" s="62">
        <f t="shared" si="74"/>
        <v>61</v>
      </c>
      <c r="EW29" s="62">
        <f t="shared" si="75"/>
        <v>61</v>
      </c>
      <c r="EX29" s="62">
        <f t="shared" si="76"/>
        <v>61</v>
      </c>
      <c r="EY29" s="62">
        <f t="shared" si="77"/>
        <v>61</v>
      </c>
      <c r="EZ29" s="62">
        <f t="shared" si="78"/>
        <v>61</v>
      </c>
      <c r="FA29" s="62">
        <f t="shared" si="79"/>
        <v>61</v>
      </c>
      <c r="FB29" s="62">
        <f t="shared" si="80"/>
        <v>61</v>
      </c>
      <c r="FC29" s="62">
        <f t="shared" si="81"/>
        <v>61</v>
      </c>
      <c r="FD29" s="62">
        <f t="shared" si="82"/>
        <v>61</v>
      </c>
      <c r="FE29" s="62">
        <f t="shared" si="83"/>
        <v>61</v>
      </c>
      <c r="FF29" s="62">
        <f t="shared" si="84"/>
        <v>61</v>
      </c>
      <c r="FG29" s="62">
        <f t="shared" si="85"/>
        <v>61</v>
      </c>
      <c r="FH29" s="62">
        <f t="shared" si="86"/>
        <v>61</v>
      </c>
      <c r="FI29" s="62">
        <f t="shared" si="87"/>
        <v>61</v>
      </c>
      <c r="FJ29" s="62">
        <f t="shared" si="88"/>
        <v>61</v>
      </c>
      <c r="FK29" s="62">
        <f t="shared" si="89"/>
        <v>61</v>
      </c>
      <c r="FL29" s="62">
        <f t="shared" si="90"/>
        <v>61</v>
      </c>
      <c r="FM29" s="62">
        <f t="shared" si="91"/>
        <v>61</v>
      </c>
      <c r="FN29" s="62">
        <f t="shared" si="92"/>
        <v>61</v>
      </c>
      <c r="FO29" s="62">
        <f t="shared" si="93"/>
        <v>61</v>
      </c>
      <c r="FP29" s="62">
        <f t="shared" si="94"/>
        <v>61</v>
      </c>
      <c r="FQ29" s="62">
        <f t="shared" si="95"/>
        <v>61</v>
      </c>
      <c r="FR29" s="62">
        <f t="shared" si="96"/>
        <v>61</v>
      </c>
      <c r="FS29" s="62">
        <f t="shared" si="97"/>
        <v>61</v>
      </c>
      <c r="FT29" s="62">
        <f t="shared" si="98"/>
        <v>61</v>
      </c>
      <c r="FU29" s="62">
        <f t="shared" si="99"/>
        <v>61</v>
      </c>
      <c r="FV29" s="62">
        <f t="shared" si="100"/>
        <v>61</v>
      </c>
      <c r="FW29" s="62">
        <f t="shared" si="101"/>
        <v>61</v>
      </c>
      <c r="FX29" s="62">
        <f t="shared" si="102"/>
        <v>61</v>
      </c>
      <c r="FY29" s="62">
        <f t="shared" si="103"/>
        <v>61</v>
      </c>
      <c r="FZ29" s="62">
        <f t="shared" si="104"/>
        <v>61</v>
      </c>
      <c r="GA29" s="62">
        <f t="shared" si="105"/>
        <v>61</v>
      </c>
      <c r="GB29" s="62">
        <f t="shared" si="106"/>
        <v>61</v>
      </c>
      <c r="GC29" s="62">
        <f t="shared" si="107"/>
        <v>61</v>
      </c>
      <c r="GD29" s="62">
        <f t="shared" si="108"/>
        <v>61</v>
      </c>
      <c r="GE29" s="62">
        <f t="shared" si="109"/>
        <v>61</v>
      </c>
      <c r="GF29" s="62">
        <f t="shared" si="110"/>
        <v>61</v>
      </c>
      <c r="GG29" s="62">
        <f t="shared" si="111"/>
        <v>61</v>
      </c>
      <c r="GH29" s="62">
        <f t="shared" si="112"/>
        <v>61</v>
      </c>
      <c r="GI29" s="62">
        <f t="shared" si="113"/>
        <v>61</v>
      </c>
      <c r="GJ29" s="62">
        <f t="shared" si="114"/>
        <v>61</v>
      </c>
      <c r="GK29" s="62">
        <f t="shared" si="115"/>
        <v>61</v>
      </c>
      <c r="GL29" s="62">
        <f t="shared" si="116"/>
        <v>61</v>
      </c>
      <c r="GM29" s="62">
        <f t="shared" si="117"/>
        <v>61</v>
      </c>
      <c r="GN29" s="62">
        <f t="shared" si="118"/>
        <v>61</v>
      </c>
      <c r="GO29" s="62">
        <f t="shared" si="119"/>
        <v>61</v>
      </c>
      <c r="GP29" s="62">
        <f t="shared" si="120"/>
        <v>61</v>
      </c>
      <c r="GQ29" s="62">
        <f t="shared" si="121"/>
        <v>61</v>
      </c>
      <c r="GR29" s="62">
        <f t="shared" si="122"/>
        <v>61</v>
      </c>
      <c r="GT29" s="62">
        <f>IF(Deltagarlista!$K$3=2,
IF(GW29="1",
      IF(Arrangörslista!$U$5=1,J92,
IF(Arrangörslista!$U$5=2,K92,
IF(Arrangörslista!$U$5=3,L92,
IF(Arrangörslista!$U$5=4,M92,
IF(Arrangörslista!$U$5=5,N92,
IF(Arrangörslista!$U$5=6,O92,
IF(Arrangörslista!$U$5=7,P92,
IF(Arrangörslista!$U$5=8,Q92,
IF(Arrangörslista!$U$5=9,R92,
IF(Arrangörslista!$U$5=10,S92,
IF(Arrangörslista!$U$5=11,T92,
IF(Arrangörslista!$U$5=12,U92,
IF(Arrangörslista!$U$5=13,V92,
IF(Arrangörslista!$U$5=14,W92,
IF(Arrangörslista!$U$5=15,X92,
IF(Arrangörslista!$U$5=16,Y92,IF(Arrangörslista!$U$5=17,Z92,IF(Arrangörslista!$U$5=18,AA92,IF(Arrangörslista!$U$5=19,AB92,IF(Arrangörslista!$U$5=20,AC92,IF(Arrangörslista!$U$5=21,AD92,IF(Arrangörslista!$U$5=22,AE92,IF(Arrangörslista!$U$5=23,AF92, IF(Arrangörslista!$U$5=24,AG92, IF(Arrangörslista!$U$5=25,AH92, IF(Arrangörslista!$U$5=26,AI92, IF(Arrangörslista!$U$5=27,AJ92, IF(Arrangörslista!$U$5=28,AK92, IF(Arrangörslista!$U$5=29,AL92, IF(Arrangörslista!$U$5=30,AM92, IF(Arrangörslista!$U$5=31,AN92, IF(Arrangörslista!$U$5=32,AO92, IF(Arrangörslista!$U$5=33,AP92, IF(Arrangörslista!$U$5=34,AQ92, IF(Arrangörslista!$U$5=35,AR92, IF(Arrangörslista!$U$5=36,AS92, IF(Arrangörslista!$U$5=37,AT92, IF(Arrangörslista!$U$5=38,AU92, IF(Arrangörslista!$U$5=39,AV92, IF(Arrangörslista!$U$5=40,AW92, IF(Arrangörslista!$U$5=41,AX92, IF(Arrangörslista!$U$5=42,AY92, IF(Arrangörslista!$U$5=43,AZ92, IF(Arrangörslista!$U$5=44,BA92, IF(Arrangörslista!$U$5=45,BB92, IF(Arrangörslista!$U$5=46,BC92, IF(Arrangörslista!$U$5=47,BD92, IF(Arrangörslista!$U$5=48,BE92, IF(Arrangörslista!$U$5=49,BF92, IF(Arrangörslista!$U$5=50,BG92, IF(Arrangörslista!$U$5=51,BH92, IF(Arrangörslista!$U$5=52,BI92, IF(Arrangörslista!$U$5=53,BJ92, IF(Arrangörslista!$U$5=54,BK92, IF(Arrangörslista!$U$5=55,BL92, IF(Arrangörslista!$U$5=56,BM92, IF(Arrangörslista!$U$5=57,BN92, IF(Arrangörslista!$U$5=58,BO92, IF(Arrangörslista!$U$5=59,BP92, IF(Arrangörslista!$U$5=60,BQ92,0))))))))))))))))))))))))))))))))))))))))))))))))))))))))))))),IF(Deltagarlista!$K$3=4, IF(Arrangörslista!$U$5=1,J92,
IF(Arrangörslista!$U$5=2,J92,
IF(Arrangörslista!$U$5=3,K92,
IF(Arrangörslista!$U$5=4,K92,
IF(Arrangörslista!$U$5=5,L92,
IF(Arrangörslista!$U$5=6,L92,
IF(Arrangörslista!$U$5=7,M92,
IF(Arrangörslista!$U$5=8,M92,
IF(Arrangörslista!$U$5=9,N92,
IF(Arrangörslista!$U$5=10,N92,
IF(Arrangörslista!$U$5=11,O92,
IF(Arrangörslista!$U$5=12,O92,
IF(Arrangörslista!$U$5=13,P92,
IF(Arrangörslista!$U$5=14,P92,
IF(Arrangörslista!$U$5=15,Q92,
IF(Arrangörslista!$U$5=16,Q92,
IF(Arrangörslista!$U$5=17,R92,
IF(Arrangörslista!$U$5=18,R92,
IF(Arrangörslista!$U$5=19,S92,
IF(Arrangörslista!$U$5=20,S92,
IF(Arrangörslista!$U$5=21,T92,
IF(Arrangörslista!$U$5=22,T92,IF(Arrangörslista!$U$5=23,U92, IF(Arrangörslista!$U$5=24,U92, IF(Arrangörslista!$U$5=25,V92, IF(Arrangörslista!$U$5=26,V92, IF(Arrangörslista!$U$5=27,W92, IF(Arrangörslista!$U$5=28,W92, IF(Arrangörslista!$U$5=29,X92, IF(Arrangörslista!$U$5=30,X92, IF(Arrangörslista!$U$5=31,X92, IF(Arrangörslista!$U$5=32,Y92, IF(Arrangörslista!$U$5=33,AO92, IF(Arrangörslista!$U$5=34,Y92, IF(Arrangörslista!$U$5=35,Z92, IF(Arrangörslista!$U$5=36,AR92, IF(Arrangörslista!$U$5=37,Z92, IF(Arrangörslista!$U$5=38,AA92, IF(Arrangörslista!$U$5=39,AU92, IF(Arrangörslista!$U$5=40,AA92, IF(Arrangörslista!$U$5=41,AB92, IF(Arrangörslista!$U$5=42,AX92, IF(Arrangörslista!$U$5=43,AB92, IF(Arrangörslista!$U$5=44,AC92, IF(Arrangörslista!$U$5=45,BA92, IF(Arrangörslista!$U$5=46,AC92, IF(Arrangörslista!$U$5=47,AD92, IF(Arrangörslista!$U$5=48,BD92, IF(Arrangörslista!$U$5=49,AD92, IF(Arrangörslista!$U$5=50,AE92, IF(Arrangörslista!$U$5=51,BG92, IF(Arrangörslista!$U$5=52,AE92, IF(Arrangörslista!$U$5=53,AF92, IF(Arrangörslista!$U$5=54,BJ92, IF(Arrangörslista!$U$5=55,AF92, IF(Arrangörslista!$U$5=56,AG92, IF(Arrangörslista!$U$5=57,BM92, IF(Arrangörslista!$U$5=58,AG92, IF(Arrangörslista!$U$5=59,AH92, IF(Arrangörslista!$U$5=60,AH92,0)))))))))))))))))))))))))))))))))))))))))))))))))))))))))))),IF(Arrangörslista!$U$5=1,J92,
IF(Arrangörslista!$U$5=2,K92,
IF(Arrangörslista!$U$5=3,L92,
IF(Arrangörslista!$U$5=4,M92,
IF(Arrangörslista!$U$5=5,N92,
IF(Arrangörslista!$U$5=6,O92,
IF(Arrangörslista!$U$5=7,P92,
IF(Arrangörslista!$U$5=8,Q92,
IF(Arrangörslista!$U$5=9,R92,
IF(Arrangörslista!$U$5=10,S92,
IF(Arrangörslista!$U$5=11,T92,
IF(Arrangörslista!$U$5=12,U92,
IF(Arrangörslista!$U$5=13,V92,
IF(Arrangörslista!$U$5=14,W92,
IF(Arrangörslista!$U$5=15,X92,
IF(Arrangörslista!$U$5=16,Y92,IF(Arrangörslista!$U$5=17,Z92,IF(Arrangörslista!$U$5=18,AA92,IF(Arrangörslista!$U$5=19,AB92,IF(Arrangörslista!$U$5=20,AC92,IF(Arrangörslista!$U$5=21,AD92,IF(Arrangörslista!$U$5=22,AE92,IF(Arrangörslista!$U$5=23,AF92, IF(Arrangörslista!$U$5=24,AG92, IF(Arrangörslista!$U$5=25,AH92, IF(Arrangörslista!$U$5=26,AI92, IF(Arrangörslista!$U$5=27,AJ92, IF(Arrangörslista!$U$5=28,AK92, IF(Arrangörslista!$U$5=29,AL92, IF(Arrangörslista!$U$5=30,AM92, IF(Arrangörslista!$U$5=31,AN92, IF(Arrangörslista!$U$5=32,AO92, IF(Arrangörslista!$U$5=33,AP92, IF(Arrangörslista!$U$5=34,AQ92, IF(Arrangörslista!$U$5=35,AR92, IF(Arrangörslista!$U$5=36,AS92, IF(Arrangörslista!$U$5=37,AT92, IF(Arrangörslista!$U$5=38,AU92, IF(Arrangörslista!$U$5=39,AV92, IF(Arrangörslista!$U$5=40,AW92, IF(Arrangörslista!$U$5=41,AX92, IF(Arrangörslista!$U$5=42,AY92, IF(Arrangörslista!$U$5=43,AZ92, IF(Arrangörslista!$U$5=44,BA92, IF(Arrangörslista!$U$5=45,BB92, IF(Arrangörslista!$U$5=46,BC92, IF(Arrangörslista!$U$5=47,BD92, IF(Arrangörslista!$U$5=48,BE92, IF(Arrangörslista!$U$5=49,BF92, IF(Arrangörslista!$U$5=50,BG92, IF(Arrangörslista!$U$5=51,BH92, IF(Arrangörslista!$U$5=52,BI92, IF(Arrangörslista!$U$5=53,BJ92, IF(Arrangörslista!$U$5=54,BK92, IF(Arrangörslista!$U$5=55,BL92, IF(Arrangörslista!$U$5=56,BM92, IF(Arrangörslista!$U$5=57,BN92, IF(Arrangörslista!$U$5=58,BO92, IF(Arrangörslista!$U$5=59,BP92, IF(Arrangörslista!$U$5=60,BQ92,0))))))))))))))))))))))))))))))))))))))))))))))))))))))))))))
))</f>
        <v>0</v>
      </c>
      <c r="GV29" s="65" t="str">
        <f>IFERROR(IF(VLOOKUP(F29,Deltagarlista!$E$5:$I$64,5,FALSE)="Grön","Gr",IF(VLOOKUP(F29,Deltagarlista!$E$5:$I$64,5,FALSE)="Röd","R",IF(VLOOKUP(F29,Deltagarlista!$E$5:$I$64,5,FALSE)="Blå","B","Gu"))),"")</f>
        <v/>
      </c>
      <c r="GW29" s="62" t="str">
        <f t="shared" si="124"/>
        <v/>
      </c>
    </row>
    <row r="30" spans="2:205" ht="15.75" customHeight="1" x14ac:dyDescent="0.3">
      <c r="B30" s="23" t="str">
        <f>IF((COUNTIF(Deltagarlista!$H$5:$H$64,"GM"))&gt;26,27,"")</f>
        <v/>
      </c>
      <c r="C30" s="92" t="str">
        <f>IF(ISBLANK(Deltagarlista!C57),"",Deltagarlista!C57)</f>
        <v/>
      </c>
      <c r="D30" s="109" t="str">
        <f>CONCATENATE(IF(Deltagarlista!H57="GM","GM   ",""), IF(OR(Deltagarlista!$K$3=4,Deltagarlista!$K$3=2),Deltagarlista!I57,""))</f>
        <v/>
      </c>
      <c r="E30" s="8" t="str">
        <f>IF(ISBLANK(Deltagarlista!D57),"",Deltagarlista!D57)</f>
        <v/>
      </c>
      <c r="F30" s="8" t="str">
        <f>IF(ISBLANK(Deltagarlista!E57),"",Deltagarlista!E57)</f>
        <v/>
      </c>
      <c r="G30" s="95" t="str">
        <f>IF(ISBLANK(Deltagarlista!F57),"",Deltagarlista!F57)</f>
        <v/>
      </c>
      <c r="H30" s="72" t="str">
        <f>IF(ISBLANK(Deltagarlista!C57),"",BU30-EE30)</f>
        <v/>
      </c>
      <c r="I30" s="13" t="str">
        <f>IF(ISBLANK(Deltagarlista!C57),"",IF(AND(Deltagarlista!$K$3=2,Deltagarlista!$L$3&lt;37),SUM(SUM(BV30:EC30)-(ROUNDDOWN(Arrangörslista!$U$5/3,1))*($BW$3+1)),SUM(BV30:EC30)))</f>
        <v/>
      </c>
      <c r="J30" s="79" t="str">
        <f>IF(Deltagarlista!$K$3=4,IF(ISBLANK(Deltagarlista!$C57),"",IF(ISBLANK(Arrangörslista!C$8),"",IFERROR(VLOOKUP($F30,Arrangörslista!C$8:$AG$45,16,FALSE),IF(ISBLANK(Deltagarlista!$C57),"",IF(ISBLANK(Arrangörslista!C$8),"",IFERROR(VLOOKUP($F30,Arrangörslista!D$8:$AG$45,16,FALSE),"DNS")))))),IF(Deltagarlista!$K$3=2,
IF(ISBLANK(Deltagarlista!$C57),"",IF(ISBLANK(Arrangörslista!C$8),"",IF($GV30=J$64," DNS ",IFERROR(VLOOKUP($F30,Arrangörslista!C$8:$AG$45,16,FALSE),"DNS")))),IF(ISBLANK(Deltagarlista!$C57),"",IF(ISBLANK(Arrangörslista!C$8),"",IFERROR(VLOOKUP($F30,Arrangörslista!C$8:$AG$45,16,FALSE),"DNS")))))</f>
        <v/>
      </c>
      <c r="K30" s="5" t="str">
        <f>IF(Deltagarlista!$K$3=4,IF(ISBLANK(Deltagarlista!$C57),"",IF(ISBLANK(Arrangörslista!E$8),"",IFERROR(VLOOKUP($F30,Arrangörslista!E$8:$AG$45,16,FALSE),IF(ISBLANK(Deltagarlista!$C57),"",IF(ISBLANK(Arrangörslista!E$8),"",IFERROR(VLOOKUP($F30,Arrangörslista!F$8:$AG$45,16,FALSE),"DNS")))))),IF(Deltagarlista!$K$3=2,
IF(ISBLANK(Deltagarlista!$C57),"",IF(ISBLANK(Arrangörslista!D$8),"",IF($GV30=K$64," DNS ",IFERROR(VLOOKUP($F30,Arrangörslista!D$8:$AG$45,16,FALSE),"DNS")))),IF(ISBLANK(Deltagarlista!$C57),"",IF(ISBLANK(Arrangörslista!D$8),"",IFERROR(VLOOKUP($F30,Arrangörslista!D$8:$AG$45,16,FALSE),"DNS")))))</f>
        <v/>
      </c>
      <c r="L30" s="5" t="str">
        <f>IF(Deltagarlista!$K$3=4,IF(ISBLANK(Deltagarlista!$C57),"",IF(ISBLANK(Arrangörslista!G$8),"",IFERROR(VLOOKUP($F30,Arrangörslista!G$8:$AG$45,16,FALSE),IF(ISBLANK(Deltagarlista!$C57),"",IF(ISBLANK(Arrangörslista!G$8),"",IFERROR(VLOOKUP($F30,Arrangörslista!H$8:$AG$45,16,FALSE),"DNS")))))),IF(Deltagarlista!$K$3=2,
IF(ISBLANK(Deltagarlista!$C57),"",IF(ISBLANK(Arrangörslista!E$8),"",IF($GV30=L$64," DNS ",IFERROR(VLOOKUP($F30,Arrangörslista!E$8:$AG$45,16,FALSE),"DNS")))),IF(ISBLANK(Deltagarlista!$C57),"",IF(ISBLANK(Arrangörslista!E$8),"",IFERROR(VLOOKUP($F30,Arrangörslista!E$8:$AG$45,16,FALSE),"DNS")))))</f>
        <v/>
      </c>
      <c r="M30" s="5" t="str">
        <f>IF(Deltagarlista!$K$3=4,IF(ISBLANK(Deltagarlista!$C57),"",IF(ISBLANK(Arrangörslista!I$8),"",IFERROR(VLOOKUP($F30,Arrangörslista!I$8:$AG$45,16,FALSE),IF(ISBLANK(Deltagarlista!$C57),"",IF(ISBLANK(Arrangörslista!I$8),"",IFERROR(VLOOKUP($F30,Arrangörslista!J$8:$AG$45,16,FALSE),"DNS")))))),IF(Deltagarlista!$K$3=2,
IF(ISBLANK(Deltagarlista!$C57),"",IF(ISBLANK(Arrangörslista!F$8),"",IF($GV30=M$64," DNS ",IFERROR(VLOOKUP($F30,Arrangörslista!F$8:$AG$45,16,FALSE),"DNS")))),IF(ISBLANK(Deltagarlista!$C57),"",IF(ISBLANK(Arrangörslista!F$8),"",IFERROR(VLOOKUP($F30,Arrangörslista!F$8:$AG$45,16,FALSE),"DNS")))))</f>
        <v/>
      </c>
      <c r="N30" s="5" t="str">
        <f>IF(Deltagarlista!$K$3=4,IF(ISBLANK(Deltagarlista!$C57),"",IF(ISBLANK(Arrangörslista!K$8),"",IFERROR(VLOOKUP($F30,Arrangörslista!K$8:$AG$45,16,FALSE),IF(ISBLANK(Deltagarlista!$C57),"",IF(ISBLANK(Arrangörslista!K$8),"",IFERROR(VLOOKUP($F30,Arrangörslista!L$8:$AG$45,16,FALSE),"DNS")))))),IF(Deltagarlista!$K$3=2,
IF(ISBLANK(Deltagarlista!$C57),"",IF(ISBLANK(Arrangörslista!G$8),"",IF($GV30=N$64," DNS ",IFERROR(VLOOKUP($F30,Arrangörslista!G$8:$AG$45,16,FALSE),"DNS")))),IF(ISBLANK(Deltagarlista!$C57),"",IF(ISBLANK(Arrangörslista!G$8),"",IFERROR(VLOOKUP($F30,Arrangörslista!G$8:$AG$45,16,FALSE),"DNS")))))</f>
        <v/>
      </c>
      <c r="O30" s="5" t="str">
        <f>IF(Deltagarlista!$K$3=4,IF(ISBLANK(Deltagarlista!$C57),"",IF(ISBLANK(Arrangörslista!M$8),"",IFERROR(VLOOKUP($F30,Arrangörslista!M$8:$AG$45,16,FALSE),IF(ISBLANK(Deltagarlista!$C57),"",IF(ISBLANK(Arrangörslista!M$8),"",IFERROR(VLOOKUP($F30,Arrangörslista!N$8:$AG$45,16,FALSE),"DNS")))))),IF(Deltagarlista!$K$3=2,
IF(ISBLANK(Deltagarlista!$C57),"",IF(ISBLANK(Arrangörslista!H$8),"",IF($GV30=O$64," DNS ",IFERROR(VLOOKUP($F30,Arrangörslista!H$8:$AG$45,16,FALSE),"DNS")))),IF(ISBLANK(Deltagarlista!$C57),"",IF(ISBLANK(Arrangörslista!H$8),"",IFERROR(VLOOKUP($F30,Arrangörslista!H$8:$AG$45,16,FALSE),"DNS")))))</f>
        <v/>
      </c>
      <c r="P30" s="5" t="str">
        <f>IF(Deltagarlista!$K$3=4,IF(ISBLANK(Deltagarlista!$C57),"",IF(ISBLANK(Arrangörslista!O$8),"",IFERROR(VLOOKUP($F30,Arrangörslista!O$8:$AG$45,16,FALSE),IF(ISBLANK(Deltagarlista!$C57),"",IF(ISBLANK(Arrangörslista!O$8),"",IFERROR(VLOOKUP($F30,Arrangörslista!P$8:$AG$45,16,FALSE),"DNS")))))),IF(Deltagarlista!$K$3=2,
IF(ISBLANK(Deltagarlista!$C57),"",IF(ISBLANK(Arrangörslista!I$8),"",IF($GV30=P$64," DNS ",IFERROR(VLOOKUP($F30,Arrangörslista!I$8:$AG$45,16,FALSE),"DNS")))),IF(ISBLANK(Deltagarlista!$C57),"",IF(ISBLANK(Arrangörslista!I$8),"",IFERROR(VLOOKUP($F30,Arrangörslista!I$8:$AG$45,16,FALSE),"DNS")))))</f>
        <v/>
      </c>
      <c r="Q30" s="5" t="str">
        <f>IF(Deltagarlista!$K$3=4,IF(ISBLANK(Deltagarlista!$C57),"",IF(ISBLANK(Arrangörslista!Q$8),"",IFERROR(VLOOKUP($F30,Arrangörslista!Q$8:$AG$45,16,FALSE),IF(ISBLANK(Deltagarlista!$C57),"",IF(ISBLANK(Arrangörslista!Q$8),"",IFERROR(VLOOKUP($F30,Arrangörslista!C$53:$AG$90,16,FALSE),"DNS")))))),IF(Deltagarlista!$K$3=2,
IF(ISBLANK(Deltagarlista!$C57),"",IF(ISBLANK(Arrangörslista!J$8),"",IF($GV30=Q$64," DNS ",IFERROR(VLOOKUP($F30,Arrangörslista!J$8:$AG$45,16,FALSE),"DNS")))),IF(ISBLANK(Deltagarlista!$C57),"",IF(ISBLANK(Arrangörslista!J$8),"",IFERROR(VLOOKUP($F30,Arrangörslista!J$8:$AG$45,16,FALSE),"DNS")))))</f>
        <v/>
      </c>
      <c r="R30" s="5" t="str">
        <f>IF(Deltagarlista!$K$3=4,IF(ISBLANK(Deltagarlista!$C57),"",IF(ISBLANK(Arrangörslista!D$53),"",IFERROR(VLOOKUP($F30,Arrangörslista!D$53:$AG$90,16,FALSE),IF(ISBLANK(Deltagarlista!$C57),"",IF(ISBLANK(Arrangörslista!D$53),"",IFERROR(VLOOKUP($F30,Arrangörslista!E$53:$AG$90,16,FALSE),"DNS")))))),IF(Deltagarlista!$K$3=2,
IF(ISBLANK(Deltagarlista!$C57),"",IF(ISBLANK(Arrangörslista!K$8),"",IF($GV30=R$64," DNS ",IFERROR(VLOOKUP($F30,Arrangörslista!K$8:$AG$45,16,FALSE),"DNS")))),IF(ISBLANK(Deltagarlista!$C57),"",IF(ISBLANK(Arrangörslista!K$8),"",IFERROR(VLOOKUP($F30,Arrangörslista!K$8:$AG$45,16,FALSE),"DNS")))))</f>
        <v/>
      </c>
      <c r="S30" s="5" t="str">
        <f>IF(Deltagarlista!$K$3=4,IF(ISBLANK(Deltagarlista!$C57),"",IF(ISBLANK(Arrangörslista!F$53),"",IFERROR(VLOOKUP($F30,Arrangörslista!F$53:$AG$90,16,FALSE),IF(ISBLANK(Deltagarlista!$C57),"",IF(ISBLANK(Arrangörslista!F$53),"",IFERROR(VLOOKUP($F30,Arrangörslista!G$53:$AG$90,16,FALSE),"DNS")))))),IF(Deltagarlista!$K$3=2,
IF(ISBLANK(Deltagarlista!$C57),"",IF(ISBLANK(Arrangörslista!L$8),"",IF($GV30=S$64," DNS ",IFERROR(VLOOKUP($F30,Arrangörslista!L$8:$AG$45,16,FALSE),"DNS")))),IF(ISBLANK(Deltagarlista!$C57),"",IF(ISBLANK(Arrangörslista!L$8),"",IFERROR(VLOOKUP($F30,Arrangörslista!L$8:$AG$45,16,FALSE),"DNS")))))</f>
        <v/>
      </c>
      <c r="T30" s="5" t="str">
        <f>IF(Deltagarlista!$K$3=4,IF(ISBLANK(Deltagarlista!$C57),"",IF(ISBLANK(Arrangörslista!H$53),"",IFERROR(VLOOKUP($F30,Arrangörslista!H$53:$AG$90,16,FALSE),IF(ISBLANK(Deltagarlista!$C57),"",IF(ISBLANK(Arrangörslista!H$53),"",IFERROR(VLOOKUP($F30,Arrangörslista!I$53:$AG$90,16,FALSE),"DNS")))))),IF(Deltagarlista!$K$3=2,
IF(ISBLANK(Deltagarlista!$C57),"",IF(ISBLANK(Arrangörslista!M$8),"",IF($GV30=T$64," DNS ",IFERROR(VLOOKUP($F30,Arrangörslista!M$8:$AG$45,16,FALSE),"DNS")))),IF(ISBLANK(Deltagarlista!$C57),"",IF(ISBLANK(Arrangörslista!M$8),"",IFERROR(VLOOKUP($F30,Arrangörslista!M$8:$AG$45,16,FALSE),"DNS")))))</f>
        <v/>
      </c>
      <c r="U30" s="5" t="str">
        <f>IF(Deltagarlista!$K$3=4,IF(ISBLANK(Deltagarlista!$C57),"",IF(ISBLANK(Arrangörslista!J$53),"",IFERROR(VLOOKUP($F30,Arrangörslista!J$53:$AG$90,16,FALSE),IF(ISBLANK(Deltagarlista!$C57),"",IF(ISBLANK(Arrangörslista!J$53),"",IFERROR(VLOOKUP($F30,Arrangörslista!K$53:$AG$90,16,FALSE),"DNS")))))),IF(Deltagarlista!$K$3=2,
IF(ISBLANK(Deltagarlista!$C57),"",IF(ISBLANK(Arrangörslista!N$8),"",IF($GV30=U$64," DNS ",IFERROR(VLOOKUP($F30,Arrangörslista!N$8:$AG$45,16,FALSE),"DNS")))),IF(ISBLANK(Deltagarlista!$C57),"",IF(ISBLANK(Arrangörslista!N$8),"",IFERROR(VLOOKUP($F30,Arrangörslista!N$8:$AG$45,16,FALSE),"DNS")))))</f>
        <v/>
      </c>
      <c r="V30" s="5" t="str">
        <f>IF(Deltagarlista!$K$3=4,IF(ISBLANK(Deltagarlista!$C57),"",IF(ISBLANK(Arrangörslista!L$53),"",IFERROR(VLOOKUP($F30,Arrangörslista!L$53:$AG$90,16,FALSE),IF(ISBLANK(Deltagarlista!$C57),"",IF(ISBLANK(Arrangörslista!L$53),"",IFERROR(VLOOKUP($F30,Arrangörslista!M$53:$AG$90,16,FALSE),"DNS")))))),IF(Deltagarlista!$K$3=2,
IF(ISBLANK(Deltagarlista!$C57),"",IF(ISBLANK(Arrangörslista!O$8),"",IF($GV30=V$64," DNS ",IFERROR(VLOOKUP($F30,Arrangörslista!O$8:$AG$45,16,FALSE),"DNS")))),IF(ISBLANK(Deltagarlista!$C57),"",IF(ISBLANK(Arrangörslista!O$8),"",IFERROR(VLOOKUP($F30,Arrangörslista!O$8:$AG$45,16,FALSE),"DNS")))))</f>
        <v/>
      </c>
      <c r="W30" s="5" t="str">
        <f>IF(Deltagarlista!$K$3=4,IF(ISBLANK(Deltagarlista!$C57),"",IF(ISBLANK(Arrangörslista!N$53),"",IFERROR(VLOOKUP($F30,Arrangörslista!N$53:$AG$90,16,FALSE),IF(ISBLANK(Deltagarlista!$C57),"",IF(ISBLANK(Arrangörslista!N$53),"",IFERROR(VLOOKUP($F30,Arrangörslista!O$53:$AG$90,16,FALSE),"DNS")))))),IF(Deltagarlista!$K$3=2,
IF(ISBLANK(Deltagarlista!$C57),"",IF(ISBLANK(Arrangörslista!P$8),"",IF($GV30=W$64," DNS ",IFERROR(VLOOKUP($F30,Arrangörslista!P$8:$AG$45,16,FALSE),"DNS")))),IF(ISBLANK(Deltagarlista!$C57),"",IF(ISBLANK(Arrangörslista!P$8),"",IFERROR(VLOOKUP($F30,Arrangörslista!P$8:$AG$45,16,FALSE),"DNS")))))</f>
        <v/>
      </c>
      <c r="X30" s="5" t="str">
        <f>IF(Deltagarlista!$K$3=4,IF(ISBLANK(Deltagarlista!$C57),"",IF(ISBLANK(Arrangörslista!P$53),"",IFERROR(VLOOKUP($F30,Arrangörslista!P$53:$AG$90,16,FALSE),IF(ISBLANK(Deltagarlista!$C57),"",IF(ISBLANK(Arrangörslista!P$53),"",IFERROR(VLOOKUP($F30,Arrangörslista!Q$53:$AG$90,16,FALSE),"DNS")))))),IF(Deltagarlista!$K$3=2,
IF(ISBLANK(Deltagarlista!$C57),"",IF(ISBLANK(Arrangörslista!Q$8),"",IF($GV30=X$64," DNS ",IFERROR(VLOOKUP($F30,Arrangörslista!Q$8:$AG$45,16,FALSE),"DNS")))),IF(ISBLANK(Deltagarlista!$C57),"",IF(ISBLANK(Arrangörslista!Q$8),"",IFERROR(VLOOKUP($F30,Arrangörslista!Q$8:$AG$45,16,FALSE),"DNS")))))</f>
        <v/>
      </c>
      <c r="Y30" s="5" t="str">
        <f>IF(Deltagarlista!$K$3=4,IF(ISBLANK(Deltagarlista!$C57),"",IF(ISBLANK(Arrangörslista!C$98),"",IFERROR(VLOOKUP($F30,Arrangörslista!C$98:$AG$135,16,FALSE),IF(ISBLANK(Deltagarlista!$C57),"",IF(ISBLANK(Arrangörslista!C$98),"",IFERROR(VLOOKUP($F30,Arrangörslista!D$98:$AG$135,16,FALSE),"DNS")))))),IF(Deltagarlista!$K$3=2,
IF(ISBLANK(Deltagarlista!$C57),"",IF(ISBLANK(Arrangörslista!C$53),"",IF($GV30=Y$64," DNS ",IFERROR(VLOOKUP($F30,Arrangörslista!C$53:$AG$90,16,FALSE),"DNS")))),IF(ISBLANK(Deltagarlista!$C57),"",IF(ISBLANK(Arrangörslista!C$53),"",IFERROR(VLOOKUP($F30,Arrangörslista!C$53:$AG$90,16,FALSE),"DNS")))))</f>
        <v/>
      </c>
      <c r="Z30" s="5" t="str">
        <f>IF(Deltagarlista!$K$3=4,IF(ISBLANK(Deltagarlista!$C57),"",IF(ISBLANK(Arrangörslista!E$98),"",IFERROR(VLOOKUP($F30,Arrangörslista!E$98:$AG$135,16,FALSE),IF(ISBLANK(Deltagarlista!$C57),"",IF(ISBLANK(Arrangörslista!E$98),"",IFERROR(VLOOKUP($F30,Arrangörslista!F$98:$AG$135,16,FALSE),"DNS")))))),IF(Deltagarlista!$K$3=2,
IF(ISBLANK(Deltagarlista!$C57),"",IF(ISBLANK(Arrangörslista!D$53),"",IF($GV30=Z$64," DNS ",IFERROR(VLOOKUP($F30,Arrangörslista!D$53:$AG$90,16,FALSE),"DNS")))),IF(ISBLANK(Deltagarlista!$C57),"",IF(ISBLANK(Arrangörslista!D$53),"",IFERROR(VLOOKUP($F30,Arrangörslista!D$53:$AG$90,16,FALSE),"DNS")))))</f>
        <v/>
      </c>
      <c r="AA30" s="5" t="str">
        <f>IF(Deltagarlista!$K$3=4,IF(ISBLANK(Deltagarlista!$C57),"",IF(ISBLANK(Arrangörslista!G$98),"",IFERROR(VLOOKUP($F30,Arrangörslista!G$98:$AG$135,16,FALSE),IF(ISBLANK(Deltagarlista!$C57),"",IF(ISBLANK(Arrangörslista!G$98),"",IFERROR(VLOOKUP($F30,Arrangörslista!H$98:$AG$135,16,FALSE),"DNS")))))),IF(Deltagarlista!$K$3=2,
IF(ISBLANK(Deltagarlista!$C57),"",IF(ISBLANK(Arrangörslista!E$53),"",IF($GV30=AA$64," DNS ",IFERROR(VLOOKUP($F30,Arrangörslista!E$53:$AG$90,16,FALSE),"DNS")))),IF(ISBLANK(Deltagarlista!$C57),"",IF(ISBLANK(Arrangörslista!E$53),"",IFERROR(VLOOKUP($F30,Arrangörslista!E$53:$AG$90,16,FALSE),"DNS")))))</f>
        <v/>
      </c>
      <c r="AB30" s="5" t="str">
        <f>IF(Deltagarlista!$K$3=4,IF(ISBLANK(Deltagarlista!$C57),"",IF(ISBLANK(Arrangörslista!I$98),"",IFERROR(VLOOKUP($F30,Arrangörslista!I$98:$AG$135,16,FALSE),IF(ISBLANK(Deltagarlista!$C57),"",IF(ISBLANK(Arrangörslista!I$98),"",IFERROR(VLOOKUP($F30,Arrangörslista!J$98:$AG$135,16,FALSE),"DNS")))))),IF(Deltagarlista!$K$3=2,
IF(ISBLANK(Deltagarlista!$C57),"",IF(ISBLANK(Arrangörslista!F$53),"",IF($GV30=AB$64," DNS ",IFERROR(VLOOKUP($F30,Arrangörslista!F$53:$AG$90,16,FALSE),"DNS")))),IF(ISBLANK(Deltagarlista!$C57),"",IF(ISBLANK(Arrangörslista!F$53),"",IFERROR(VLOOKUP($F30,Arrangörslista!F$53:$AG$90,16,FALSE),"DNS")))))</f>
        <v/>
      </c>
      <c r="AC30" s="5" t="str">
        <f>IF(Deltagarlista!$K$3=4,IF(ISBLANK(Deltagarlista!$C57),"",IF(ISBLANK(Arrangörslista!K$98),"",IFERROR(VLOOKUP($F30,Arrangörslista!K$98:$AG$135,16,FALSE),IF(ISBLANK(Deltagarlista!$C57),"",IF(ISBLANK(Arrangörslista!K$98),"",IFERROR(VLOOKUP($F30,Arrangörslista!L$98:$AG$135,16,FALSE),"DNS")))))),IF(Deltagarlista!$K$3=2,
IF(ISBLANK(Deltagarlista!$C57),"",IF(ISBLANK(Arrangörslista!G$53),"",IF($GV30=AC$64," DNS ",IFERROR(VLOOKUP($F30,Arrangörslista!G$53:$AG$90,16,FALSE),"DNS")))),IF(ISBLANK(Deltagarlista!$C57),"",IF(ISBLANK(Arrangörslista!G$53),"",IFERROR(VLOOKUP($F30,Arrangörslista!G$53:$AG$90,16,FALSE),"DNS")))))</f>
        <v/>
      </c>
      <c r="AD30" s="5" t="str">
        <f>IF(Deltagarlista!$K$3=4,IF(ISBLANK(Deltagarlista!$C57),"",IF(ISBLANK(Arrangörslista!M$98),"",IFERROR(VLOOKUP($F30,Arrangörslista!M$98:$AG$135,16,FALSE),IF(ISBLANK(Deltagarlista!$C57),"",IF(ISBLANK(Arrangörslista!M$98),"",IFERROR(VLOOKUP($F30,Arrangörslista!N$98:$AG$135,16,FALSE),"DNS")))))),IF(Deltagarlista!$K$3=2,
IF(ISBLANK(Deltagarlista!$C57),"",IF(ISBLANK(Arrangörslista!H$53),"",IF($GV30=AD$64," DNS ",IFERROR(VLOOKUP($F30,Arrangörslista!H$53:$AG$90,16,FALSE),"DNS")))),IF(ISBLANK(Deltagarlista!$C57),"",IF(ISBLANK(Arrangörslista!H$53),"",IFERROR(VLOOKUP($F30,Arrangörslista!H$53:$AG$90,16,FALSE),"DNS")))))</f>
        <v/>
      </c>
      <c r="AE30" s="5" t="str">
        <f>IF(Deltagarlista!$K$3=4,IF(ISBLANK(Deltagarlista!$C57),"",IF(ISBLANK(Arrangörslista!O$98),"",IFERROR(VLOOKUP($F30,Arrangörslista!O$98:$AG$135,16,FALSE),IF(ISBLANK(Deltagarlista!$C57),"",IF(ISBLANK(Arrangörslista!O$98),"",IFERROR(VLOOKUP($F30,Arrangörslista!P$98:$AG$135,16,FALSE),"DNS")))))),IF(Deltagarlista!$K$3=2,
IF(ISBLANK(Deltagarlista!$C57),"",IF(ISBLANK(Arrangörslista!I$53),"",IF($GV30=AE$64," DNS ",IFERROR(VLOOKUP($F30,Arrangörslista!I$53:$AG$90,16,FALSE),"DNS")))),IF(ISBLANK(Deltagarlista!$C57),"",IF(ISBLANK(Arrangörslista!I$53),"",IFERROR(VLOOKUP($F30,Arrangörslista!I$53:$AG$90,16,FALSE),"DNS")))))</f>
        <v/>
      </c>
      <c r="AF30" s="5" t="str">
        <f>IF(Deltagarlista!$K$3=4,IF(ISBLANK(Deltagarlista!$C57),"",IF(ISBLANK(Arrangörslista!Q$98),"",IFERROR(VLOOKUP($F30,Arrangörslista!Q$98:$AG$135,16,FALSE),IF(ISBLANK(Deltagarlista!$C57),"",IF(ISBLANK(Arrangörslista!Q$98),"",IFERROR(VLOOKUP($F30,Arrangörslista!C$143:$AG$180,16,FALSE),"DNS")))))),IF(Deltagarlista!$K$3=2,
IF(ISBLANK(Deltagarlista!$C57),"",IF(ISBLANK(Arrangörslista!J$53),"",IF($GV30=AF$64," DNS ",IFERROR(VLOOKUP($F30,Arrangörslista!J$53:$AG$90,16,FALSE),"DNS")))),IF(ISBLANK(Deltagarlista!$C57),"",IF(ISBLANK(Arrangörslista!J$53),"",IFERROR(VLOOKUP($F30,Arrangörslista!J$53:$AG$90,16,FALSE),"DNS")))))</f>
        <v/>
      </c>
      <c r="AG30" s="5" t="str">
        <f>IF(Deltagarlista!$K$3=4,IF(ISBLANK(Deltagarlista!$C57),"",IF(ISBLANK(Arrangörslista!D$143),"",IFERROR(VLOOKUP($F30,Arrangörslista!D$143:$AG$180,16,FALSE),IF(ISBLANK(Deltagarlista!$C57),"",IF(ISBLANK(Arrangörslista!D$143),"",IFERROR(VLOOKUP($F30,Arrangörslista!E$143:$AG$180,16,FALSE),"DNS")))))),IF(Deltagarlista!$K$3=2,
IF(ISBLANK(Deltagarlista!$C57),"",IF(ISBLANK(Arrangörslista!K$53),"",IF($GV30=AG$64," DNS ",IFERROR(VLOOKUP($F30,Arrangörslista!K$53:$AG$90,16,FALSE),"DNS")))),IF(ISBLANK(Deltagarlista!$C57),"",IF(ISBLANK(Arrangörslista!K$53),"",IFERROR(VLOOKUP($F30,Arrangörslista!K$53:$AG$90,16,FALSE),"DNS")))))</f>
        <v/>
      </c>
      <c r="AH30" s="5" t="str">
        <f>IF(Deltagarlista!$K$3=4,IF(ISBLANK(Deltagarlista!$C57),"",IF(ISBLANK(Arrangörslista!F$143),"",IFERROR(VLOOKUP($F30,Arrangörslista!F$143:$AG$180,16,FALSE),IF(ISBLANK(Deltagarlista!$C57),"",IF(ISBLANK(Arrangörslista!F$143),"",IFERROR(VLOOKUP($F30,Arrangörslista!G$143:$AG$180,16,FALSE),"DNS")))))),IF(Deltagarlista!$K$3=2,
IF(ISBLANK(Deltagarlista!$C57),"",IF(ISBLANK(Arrangörslista!L$53),"",IF($GV30=AH$64," DNS ",IFERROR(VLOOKUP($F30,Arrangörslista!L$53:$AG$90,16,FALSE),"DNS")))),IF(ISBLANK(Deltagarlista!$C57),"",IF(ISBLANK(Arrangörslista!L$53),"",IFERROR(VLOOKUP($F30,Arrangörslista!L$53:$AG$90,16,FALSE),"DNS")))))</f>
        <v/>
      </c>
      <c r="AI30" s="5" t="str">
        <f>IF(Deltagarlista!$K$3=4,IF(ISBLANK(Deltagarlista!$C57),"",IF(ISBLANK(Arrangörslista!H$143),"",IFERROR(VLOOKUP($F30,Arrangörslista!H$143:$AG$180,16,FALSE),IF(ISBLANK(Deltagarlista!$C57),"",IF(ISBLANK(Arrangörslista!H$143),"",IFERROR(VLOOKUP($F30,Arrangörslista!I$143:$AG$180,16,FALSE),"DNS")))))),IF(Deltagarlista!$K$3=2,
IF(ISBLANK(Deltagarlista!$C57),"",IF(ISBLANK(Arrangörslista!M$53),"",IF($GV30=AI$64," DNS ",IFERROR(VLOOKUP($F30,Arrangörslista!M$53:$AG$90,16,FALSE),"DNS")))),IF(ISBLANK(Deltagarlista!$C57),"",IF(ISBLANK(Arrangörslista!M$53),"",IFERROR(VLOOKUP($F30,Arrangörslista!M$53:$AG$90,16,FALSE),"DNS")))))</f>
        <v/>
      </c>
      <c r="AJ30" s="5" t="str">
        <f>IF(Deltagarlista!$K$3=4,IF(ISBLANK(Deltagarlista!$C57),"",IF(ISBLANK(Arrangörslista!J$143),"",IFERROR(VLOOKUP($F30,Arrangörslista!J$143:$AG$180,16,FALSE),IF(ISBLANK(Deltagarlista!$C57),"",IF(ISBLANK(Arrangörslista!J$143),"",IFERROR(VLOOKUP($F30,Arrangörslista!K$143:$AG$180,16,FALSE),"DNS")))))),IF(Deltagarlista!$K$3=2,
IF(ISBLANK(Deltagarlista!$C57),"",IF(ISBLANK(Arrangörslista!N$53),"",IF($GV30=AJ$64," DNS ",IFERROR(VLOOKUP($F30,Arrangörslista!N$53:$AG$90,16,FALSE),"DNS")))),IF(ISBLANK(Deltagarlista!$C57),"",IF(ISBLANK(Arrangörslista!N$53),"",IFERROR(VLOOKUP($F30,Arrangörslista!N$53:$AG$90,16,FALSE),"DNS")))))</f>
        <v/>
      </c>
      <c r="AK30" s="5" t="str">
        <f>IF(Deltagarlista!$K$3=4,IF(ISBLANK(Deltagarlista!$C57),"",IF(ISBLANK(Arrangörslista!L$143),"",IFERROR(VLOOKUP($F30,Arrangörslista!L$143:$AG$180,16,FALSE),IF(ISBLANK(Deltagarlista!$C57),"",IF(ISBLANK(Arrangörslista!L$143),"",IFERROR(VLOOKUP($F30,Arrangörslista!M$143:$AG$180,16,FALSE),"DNS")))))),IF(Deltagarlista!$K$3=2,
IF(ISBLANK(Deltagarlista!$C57),"",IF(ISBLANK(Arrangörslista!O$53),"",IF($GV30=AK$64," DNS ",IFERROR(VLOOKUP($F30,Arrangörslista!O$53:$AG$90,16,FALSE),"DNS")))),IF(ISBLANK(Deltagarlista!$C57),"",IF(ISBLANK(Arrangörslista!O$53),"",IFERROR(VLOOKUP($F30,Arrangörslista!O$53:$AG$90,16,FALSE),"DNS")))))</f>
        <v/>
      </c>
      <c r="AL30" s="5" t="str">
        <f>IF(Deltagarlista!$K$3=4,IF(ISBLANK(Deltagarlista!$C57),"",IF(ISBLANK(Arrangörslista!N$143),"",IFERROR(VLOOKUP($F30,Arrangörslista!N$143:$AG$180,16,FALSE),IF(ISBLANK(Deltagarlista!$C57),"",IF(ISBLANK(Arrangörslista!N$143),"",IFERROR(VLOOKUP($F30,Arrangörslista!O$143:$AG$180,16,FALSE),"DNS")))))),IF(Deltagarlista!$K$3=2,
IF(ISBLANK(Deltagarlista!$C57),"",IF(ISBLANK(Arrangörslista!P$53),"",IF($GV30=AL$64," DNS ",IFERROR(VLOOKUP($F30,Arrangörslista!P$53:$AG$90,16,FALSE),"DNS")))),IF(ISBLANK(Deltagarlista!$C57),"",IF(ISBLANK(Arrangörslista!P$53),"",IFERROR(VLOOKUP($F30,Arrangörslista!P$53:$AG$90,16,FALSE),"DNS")))))</f>
        <v/>
      </c>
      <c r="AM30" s="5" t="str">
        <f>IF(Deltagarlista!$K$3=4,IF(ISBLANK(Deltagarlista!$C57),"",IF(ISBLANK(Arrangörslista!P$143),"",IFERROR(VLOOKUP($F30,Arrangörslista!P$143:$AG$180,16,FALSE),IF(ISBLANK(Deltagarlista!$C57),"",IF(ISBLANK(Arrangörslista!P$143),"",IFERROR(VLOOKUP($F30,Arrangörslista!Q$143:$AG$180,16,FALSE),"DNS")))))),IF(Deltagarlista!$K$3=2,
IF(ISBLANK(Deltagarlista!$C57),"",IF(ISBLANK(Arrangörslista!Q$53),"",IF($GV30=AM$64," DNS ",IFERROR(VLOOKUP($F30,Arrangörslista!Q$53:$AG$90,16,FALSE),"DNS")))),IF(ISBLANK(Deltagarlista!$C57),"",IF(ISBLANK(Arrangörslista!Q$53),"",IFERROR(VLOOKUP($F30,Arrangörslista!Q$53:$AG$90,16,FALSE),"DNS")))))</f>
        <v/>
      </c>
      <c r="AN30" s="5" t="str">
        <f>IF(Deltagarlista!$K$3=2,
IF(ISBLANK(Deltagarlista!$C57),"",IF(ISBLANK(Arrangörslista!C$98),"",IF($GV30=AN$64," DNS ",IFERROR(VLOOKUP($F30,Arrangörslista!C$98:$AG$135,16,FALSE), "DNS")))), IF(Deltagarlista!$K$3=1,IF(ISBLANK(Deltagarlista!$C57),"",IF(ISBLANK(Arrangörslista!C$98),"",IFERROR(VLOOKUP($F30,Arrangörslista!C$98:$AG$135,16,FALSE), "DNS"))),""))</f>
        <v/>
      </c>
      <c r="AO30" s="5" t="str">
        <f>IF(Deltagarlista!$K$3=2,
IF(ISBLANK(Deltagarlista!$C57),"",IF(ISBLANK(Arrangörslista!D$98),"",IF($GV30=AO$64," DNS ",IFERROR(VLOOKUP($F30,Arrangörslista!D$98:$AG$135,16,FALSE), "DNS")))), IF(Deltagarlista!$K$3=1,IF(ISBLANK(Deltagarlista!$C57),"",IF(ISBLANK(Arrangörslista!D$98),"",IFERROR(VLOOKUP($F30,Arrangörslista!D$98:$AG$135,16,FALSE), "DNS"))),""))</f>
        <v/>
      </c>
      <c r="AP30" s="5" t="str">
        <f>IF(Deltagarlista!$K$3=2,
IF(ISBLANK(Deltagarlista!$C57),"",IF(ISBLANK(Arrangörslista!E$98),"",IF($GV30=AP$64," DNS ",IFERROR(VLOOKUP($F30,Arrangörslista!E$98:$AG$135,16,FALSE), "DNS")))), IF(Deltagarlista!$K$3=1,IF(ISBLANK(Deltagarlista!$C57),"",IF(ISBLANK(Arrangörslista!E$98),"",IFERROR(VLOOKUP($F30,Arrangörslista!E$98:$AG$135,16,FALSE), "DNS"))),""))</f>
        <v/>
      </c>
      <c r="AQ30" s="5" t="str">
        <f>IF(Deltagarlista!$K$3=2,
IF(ISBLANK(Deltagarlista!$C57),"",IF(ISBLANK(Arrangörslista!F$98),"",IF($GV30=AQ$64," DNS ",IFERROR(VLOOKUP($F30,Arrangörslista!F$98:$AG$135,16,FALSE), "DNS")))), IF(Deltagarlista!$K$3=1,IF(ISBLANK(Deltagarlista!$C57),"",IF(ISBLANK(Arrangörslista!F$98),"",IFERROR(VLOOKUP($F30,Arrangörslista!F$98:$AG$135,16,FALSE), "DNS"))),""))</f>
        <v/>
      </c>
      <c r="AR30" s="5" t="str">
        <f>IF(Deltagarlista!$K$3=2,
IF(ISBLANK(Deltagarlista!$C57),"",IF(ISBLANK(Arrangörslista!G$98),"",IF($GV30=AR$64," DNS ",IFERROR(VLOOKUP($F30,Arrangörslista!G$98:$AG$135,16,FALSE), "DNS")))), IF(Deltagarlista!$K$3=1,IF(ISBLANK(Deltagarlista!$C57),"",IF(ISBLANK(Arrangörslista!G$98),"",IFERROR(VLOOKUP($F30,Arrangörslista!G$98:$AG$135,16,FALSE), "DNS"))),""))</f>
        <v/>
      </c>
      <c r="AS30" s="5" t="str">
        <f>IF(Deltagarlista!$K$3=2,
IF(ISBLANK(Deltagarlista!$C57),"",IF(ISBLANK(Arrangörslista!H$98),"",IF($GV30=AS$64," DNS ",IFERROR(VLOOKUP($F30,Arrangörslista!H$98:$AG$135,16,FALSE), "DNS")))), IF(Deltagarlista!$K$3=1,IF(ISBLANK(Deltagarlista!$C57),"",IF(ISBLANK(Arrangörslista!H$98),"",IFERROR(VLOOKUP($F30,Arrangörslista!H$98:$AG$135,16,FALSE), "DNS"))),""))</f>
        <v/>
      </c>
      <c r="AT30" s="5" t="str">
        <f>IF(Deltagarlista!$K$3=2,
IF(ISBLANK(Deltagarlista!$C57),"",IF(ISBLANK(Arrangörslista!I$98),"",IF($GV30=AT$64," DNS ",IFERROR(VLOOKUP($F30,Arrangörslista!I$98:$AG$135,16,FALSE), "DNS")))), IF(Deltagarlista!$K$3=1,IF(ISBLANK(Deltagarlista!$C57),"",IF(ISBLANK(Arrangörslista!I$98),"",IFERROR(VLOOKUP($F30,Arrangörslista!I$98:$AG$135,16,FALSE), "DNS"))),""))</f>
        <v/>
      </c>
      <c r="AU30" s="5" t="str">
        <f>IF(Deltagarlista!$K$3=2,
IF(ISBLANK(Deltagarlista!$C57),"",IF(ISBLANK(Arrangörslista!J$98),"",IF($GV30=AU$64," DNS ",IFERROR(VLOOKUP($F30,Arrangörslista!J$98:$AG$135,16,FALSE), "DNS")))), IF(Deltagarlista!$K$3=1,IF(ISBLANK(Deltagarlista!$C57),"",IF(ISBLANK(Arrangörslista!J$98),"",IFERROR(VLOOKUP($F30,Arrangörslista!J$98:$AG$135,16,FALSE), "DNS"))),""))</f>
        <v/>
      </c>
      <c r="AV30" s="5" t="str">
        <f>IF(Deltagarlista!$K$3=2,
IF(ISBLANK(Deltagarlista!$C57),"",IF(ISBLANK(Arrangörslista!K$98),"",IF($GV30=AV$64," DNS ",IFERROR(VLOOKUP($F30,Arrangörslista!K$98:$AG$135,16,FALSE), "DNS")))), IF(Deltagarlista!$K$3=1,IF(ISBLANK(Deltagarlista!$C57),"",IF(ISBLANK(Arrangörslista!K$98),"",IFERROR(VLOOKUP($F30,Arrangörslista!K$98:$AG$135,16,FALSE), "DNS"))),""))</f>
        <v/>
      </c>
      <c r="AW30" s="5" t="str">
        <f>IF(Deltagarlista!$K$3=2,
IF(ISBLANK(Deltagarlista!$C57),"",IF(ISBLANK(Arrangörslista!L$98),"",IF($GV30=AW$64," DNS ",IFERROR(VLOOKUP($F30,Arrangörslista!L$98:$AG$135,16,FALSE), "DNS")))), IF(Deltagarlista!$K$3=1,IF(ISBLANK(Deltagarlista!$C57),"",IF(ISBLANK(Arrangörslista!L$98),"",IFERROR(VLOOKUP($F30,Arrangörslista!L$98:$AG$135,16,FALSE), "DNS"))),""))</f>
        <v/>
      </c>
      <c r="AX30" s="5" t="str">
        <f>IF(Deltagarlista!$K$3=2,
IF(ISBLANK(Deltagarlista!$C57),"",IF(ISBLANK(Arrangörslista!M$98),"",IF($GV30=AX$64," DNS ",IFERROR(VLOOKUP($F30,Arrangörslista!M$98:$AG$135,16,FALSE), "DNS")))), IF(Deltagarlista!$K$3=1,IF(ISBLANK(Deltagarlista!$C57),"",IF(ISBLANK(Arrangörslista!M$98),"",IFERROR(VLOOKUP($F30,Arrangörslista!M$98:$AG$135,16,FALSE), "DNS"))),""))</f>
        <v/>
      </c>
      <c r="AY30" s="5" t="str">
        <f>IF(Deltagarlista!$K$3=2,
IF(ISBLANK(Deltagarlista!$C57),"",IF(ISBLANK(Arrangörslista!N$98),"",IF($GV30=AY$64," DNS ",IFERROR(VLOOKUP($F30,Arrangörslista!N$98:$AG$135,16,FALSE), "DNS")))), IF(Deltagarlista!$K$3=1,IF(ISBLANK(Deltagarlista!$C57),"",IF(ISBLANK(Arrangörslista!N$98),"",IFERROR(VLOOKUP($F30,Arrangörslista!N$98:$AG$135,16,FALSE), "DNS"))),""))</f>
        <v/>
      </c>
      <c r="AZ30" s="5" t="str">
        <f>IF(Deltagarlista!$K$3=2,
IF(ISBLANK(Deltagarlista!$C57),"",IF(ISBLANK(Arrangörslista!O$98),"",IF($GV30=AZ$64," DNS ",IFERROR(VLOOKUP($F30,Arrangörslista!O$98:$AG$135,16,FALSE), "DNS")))), IF(Deltagarlista!$K$3=1,IF(ISBLANK(Deltagarlista!$C57),"",IF(ISBLANK(Arrangörslista!O$98),"",IFERROR(VLOOKUP($F30,Arrangörslista!O$98:$AG$135,16,FALSE), "DNS"))),""))</f>
        <v/>
      </c>
      <c r="BA30" s="5" t="str">
        <f>IF(Deltagarlista!$K$3=2,
IF(ISBLANK(Deltagarlista!$C57),"",IF(ISBLANK(Arrangörslista!P$98),"",IF($GV30=BA$64," DNS ",IFERROR(VLOOKUP($F30,Arrangörslista!P$98:$AG$135,16,FALSE), "DNS")))), IF(Deltagarlista!$K$3=1,IF(ISBLANK(Deltagarlista!$C57),"",IF(ISBLANK(Arrangörslista!P$98),"",IFERROR(VLOOKUP($F30,Arrangörslista!P$98:$AG$135,16,FALSE), "DNS"))),""))</f>
        <v/>
      </c>
      <c r="BB30" s="5" t="str">
        <f>IF(Deltagarlista!$K$3=2,
IF(ISBLANK(Deltagarlista!$C57),"",IF(ISBLANK(Arrangörslista!Q$98),"",IF($GV30=BB$64," DNS ",IFERROR(VLOOKUP($F30,Arrangörslista!Q$98:$AG$135,16,FALSE), "DNS")))), IF(Deltagarlista!$K$3=1,IF(ISBLANK(Deltagarlista!$C57),"",IF(ISBLANK(Arrangörslista!Q$98),"",IFERROR(VLOOKUP($F30,Arrangörslista!Q$98:$AG$135,16,FALSE), "DNS"))),""))</f>
        <v/>
      </c>
      <c r="BC30" s="5" t="str">
        <f>IF(Deltagarlista!$K$3=2,
IF(ISBLANK(Deltagarlista!$C57),"",IF(ISBLANK(Arrangörslista!C$143),"",IF($GV30=BC$64," DNS ",IFERROR(VLOOKUP($F30,Arrangörslista!C$143:$AG$180,16,FALSE), "DNS")))), IF(Deltagarlista!$K$3=1,IF(ISBLANK(Deltagarlista!$C57),"",IF(ISBLANK(Arrangörslista!C$143),"",IFERROR(VLOOKUP($F30,Arrangörslista!C$143:$AG$180,16,FALSE), "DNS"))),""))</f>
        <v/>
      </c>
      <c r="BD30" s="5" t="str">
        <f>IF(Deltagarlista!$K$3=2,
IF(ISBLANK(Deltagarlista!$C57),"",IF(ISBLANK(Arrangörslista!D$143),"",IF($GV30=BD$64," DNS ",IFERROR(VLOOKUP($F30,Arrangörslista!D$143:$AG$180,16,FALSE), "DNS")))), IF(Deltagarlista!$K$3=1,IF(ISBLANK(Deltagarlista!$C57),"",IF(ISBLANK(Arrangörslista!D$143),"",IFERROR(VLOOKUP($F30,Arrangörslista!D$143:$AG$180,16,FALSE), "DNS"))),""))</f>
        <v/>
      </c>
      <c r="BE30" s="5" t="str">
        <f>IF(Deltagarlista!$K$3=2,
IF(ISBLANK(Deltagarlista!$C57),"",IF(ISBLANK(Arrangörslista!E$143),"",IF($GV30=BE$64," DNS ",IFERROR(VLOOKUP($F30,Arrangörslista!E$143:$AG$180,16,FALSE), "DNS")))), IF(Deltagarlista!$K$3=1,IF(ISBLANK(Deltagarlista!$C57),"",IF(ISBLANK(Arrangörslista!E$143),"",IFERROR(VLOOKUP($F30,Arrangörslista!E$143:$AG$180,16,FALSE), "DNS"))),""))</f>
        <v/>
      </c>
      <c r="BF30" s="5" t="str">
        <f>IF(Deltagarlista!$K$3=2,
IF(ISBLANK(Deltagarlista!$C57),"",IF(ISBLANK(Arrangörslista!F$143),"",IF($GV30=BF$64," DNS ",IFERROR(VLOOKUP($F30,Arrangörslista!F$143:$AG$180,16,FALSE), "DNS")))), IF(Deltagarlista!$K$3=1,IF(ISBLANK(Deltagarlista!$C57),"",IF(ISBLANK(Arrangörslista!F$143),"",IFERROR(VLOOKUP($F30,Arrangörslista!F$143:$AG$180,16,FALSE), "DNS"))),""))</f>
        <v/>
      </c>
      <c r="BG30" s="5" t="str">
        <f>IF(Deltagarlista!$K$3=2,
IF(ISBLANK(Deltagarlista!$C57),"",IF(ISBLANK(Arrangörslista!G$143),"",IF($GV30=BG$64," DNS ",IFERROR(VLOOKUP($F30,Arrangörslista!G$143:$AG$180,16,FALSE), "DNS")))), IF(Deltagarlista!$K$3=1,IF(ISBLANK(Deltagarlista!$C57),"",IF(ISBLANK(Arrangörslista!G$143),"",IFERROR(VLOOKUP($F30,Arrangörslista!G$143:$AG$180,16,FALSE), "DNS"))),""))</f>
        <v/>
      </c>
      <c r="BH30" s="5" t="str">
        <f>IF(Deltagarlista!$K$3=2,
IF(ISBLANK(Deltagarlista!$C57),"",IF(ISBLANK(Arrangörslista!H$143),"",IF($GV30=BH$64," DNS ",IFERROR(VLOOKUP($F30,Arrangörslista!H$143:$AG$180,16,FALSE), "DNS")))), IF(Deltagarlista!$K$3=1,IF(ISBLANK(Deltagarlista!$C57),"",IF(ISBLANK(Arrangörslista!H$143),"",IFERROR(VLOOKUP($F30,Arrangörslista!H$143:$AG$180,16,FALSE), "DNS"))),""))</f>
        <v/>
      </c>
      <c r="BI30" s="5" t="str">
        <f>IF(Deltagarlista!$K$3=2,
IF(ISBLANK(Deltagarlista!$C57),"",IF(ISBLANK(Arrangörslista!I$143),"",IF($GV30=BI$64," DNS ",IFERROR(VLOOKUP($F30,Arrangörslista!I$143:$AG$180,16,FALSE), "DNS")))), IF(Deltagarlista!$K$3=1,IF(ISBLANK(Deltagarlista!$C57),"",IF(ISBLANK(Arrangörslista!I$143),"",IFERROR(VLOOKUP($F30,Arrangörslista!I$143:$AG$180,16,FALSE), "DNS"))),""))</f>
        <v/>
      </c>
      <c r="BJ30" s="5" t="str">
        <f>IF(Deltagarlista!$K$3=2,
IF(ISBLANK(Deltagarlista!$C57),"",IF(ISBLANK(Arrangörslista!J$143),"",IF($GV30=BJ$64," DNS ",IFERROR(VLOOKUP($F30,Arrangörslista!J$143:$AG$180,16,FALSE), "DNS")))), IF(Deltagarlista!$K$3=1,IF(ISBLANK(Deltagarlista!$C57),"",IF(ISBLANK(Arrangörslista!J$143),"",IFERROR(VLOOKUP($F30,Arrangörslista!J$143:$AG$180,16,FALSE), "DNS"))),""))</f>
        <v/>
      </c>
      <c r="BK30" s="5" t="str">
        <f>IF(Deltagarlista!$K$3=2,
IF(ISBLANK(Deltagarlista!$C57),"",IF(ISBLANK(Arrangörslista!K$143),"",IF($GV30=BK$64," DNS ",IFERROR(VLOOKUP($F30,Arrangörslista!K$143:$AG$180,16,FALSE), "DNS")))), IF(Deltagarlista!$K$3=1,IF(ISBLANK(Deltagarlista!$C57),"",IF(ISBLANK(Arrangörslista!K$143),"",IFERROR(VLOOKUP($F30,Arrangörslista!K$143:$AG$180,16,FALSE), "DNS"))),""))</f>
        <v/>
      </c>
      <c r="BL30" s="5" t="str">
        <f>IF(Deltagarlista!$K$3=2,
IF(ISBLANK(Deltagarlista!$C57),"",IF(ISBLANK(Arrangörslista!L$143),"",IF($GV30=BL$64," DNS ",IFERROR(VLOOKUP($F30,Arrangörslista!L$143:$AG$180,16,FALSE), "DNS")))), IF(Deltagarlista!$K$3=1,IF(ISBLANK(Deltagarlista!$C57),"",IF(ISBLANK(Arrangörslista!L$143),"",IFERROR(VLOOKUP($F30,Arrangörslista!L$143:$AG$180,16,FALSE), "DNS"))),""))</f>
        <v/>
      </c>
      <c r="BM30" s="5" t="str">
        <f>IF(Deltagarlista!$K$3=2,
IF(ISBLANK(Deltagarlista!$C57),"",IF(ISBLANK(Arrangörslista!M$143),"",IF($GV30=BM$64," DNS ",IFERROR(VLOOKUP($F30,Arrangörslista!M$143:$AG$180,16,FALSE), "DNS")))), IF(Deltagarlista!$K$3=1,IF(ISBLANK(Deltagarlista!$C57),"",IF(ISBLANK(Arrangörslista!M$143),"",IFERROR(VLOOKUP($F30,Arrangörslista!M$143:$AG$180,16,FALSE), "DNS"))),""))</f>
        <v/>
      </c>
      <c r="BN30" s="5" t="str">
        <f>IF(Deltagarlista!$K$3=2,
IF(ISBLANK(Deltagarlista!$C57),"",IF(ISBLANK(Arrangörslista!N$143),"",IF($GV30=BN$64," DNS ",IFERROR(VLOOKUP($F30,Arrangörslista!N$143:$AG$180,16,FALSE), "DNS")))), IF(Deltagarlista!$K$3=1,IF(ISBLANK(Deltagarlista!$C57),"",IF(ISBLANK(Arrangörslista!N$143),"",IFERROR(VLOOKUP($F30,Arrangörslista!N$143:$AG$180,16,FALSE), "DNS"))),""))</f>
        <v/>
      </c>
      <c r="BO30" s="5" t="str">
        <f>IF(Deltagarlista!$K$3=2,
IF(ISBLANK(Deltagarlista!$C57),"",IF(ISBLANK(Arrangörslista!O$143),"",IF($GV30=BO$64," DNS ",IFERROR(VLOOKUP($F30,Arrangörslista!O$143:$AG$180,16,FALSE), "DNS")))), IF(Deltagarlista!$K$3=1,IF(ISBLANK(Deltagarlista!$C57),"",IF(ISBLANK(Arrangörslista!O$143),"",IFERROR(VLOOKUP($F30,Arrangörslista!O$143:$AG$180,16,FALSE), "DNS"))),""))</f>
        <v/>
      </c>
      <c r="BP30" s="5" t="str">
        <f>IF(Deltagarlista!$K$3=2,
IF(ISBLANK(Deltagarlista!$C57),"",IF(ISBLANK(Arrangörslista!P$143),"",IF($GV30=BP$64," DNS ",IFERROR(VLOOKUP($F30,Arrangörslista!P$143:$AG$180,16,FALSE), "DNS")))), IF(Deltagarlista!$K$3=1,IF(ISBLANK(Deltagarlista!$C57),"",IF(ISBLANK(Arrangörslista!P$143),"",IFERROR(VLOOKUP($F30,Arrangörslista!P$143:$AG$180,16,FALSE), "DNS"))),""))</f>
        <v/>
      </c>
      <c r="BQ30" s="80" t="str">
        <f>IF(Deltagarlista!$K$3=2,
IF(ISBLANK(Deltagarlista!$C57),"",IF(ISBLANK(Arrangörslista!Q$143),"",IF($GV30=BQ$64," DNS ",IFERROR(VLOOKUP($F30,Arrangörslista!Q$143:$AG$180,16,FALSE), "DNS")))), IF(Deltagarlista!$K$3=1,IF(ISBLANK(Deltagarlista!$C57),"",IF(ISBLANK(Arrangörslista!Q$143),"",IFERROR(VLOOKUP($F30,Arrangörslista!Q$143:$AG$180,16,FALSE), "DNS"))),""))</f>
        <v/>
      </c>
      <c r="BR30" s="48"/>
      <c r="BS30" s="50" t="str">
        <f t="shared" si="0"/>
        <v>2</v>
      </c>
      <c r="BU30" s="71">
        <f t="shared" si="1"/>
        <v>0</v>
      </c>
      <c r="BV30" s="61">
        <f t="shared" si="2"/>
        <v>0</v>
      </c>
      <c r="BW30" s="61">
        <f t="shared" si="3"/>
        <v>0</v>
      </c>
      <c r="BX30" s="61">
        <f t="shared" si="4"/>
        <v>0</v>
      </c>
      <c r="BY30" s="61">
        <f t="shared" si="5"/>
        <v>0</v>
      </c>
      <c r="BZ30" s="61">
        <f t="shared" si="6"/>
        <v>0</v>
      </c>
      <c r="CA30" s="61">
        <f t="shared" si="7"/>
        <v>0</v>
      </c>
      <c r="CB30" s="61">
        <f t="shared" si="8"/>
        <v>0</v>
      </c>
      <c r="CC30" s="61">
        <f t="shared" si="9"/>
        <v>0</v>
      </c>
      <c r="CD30" s="61">
        <f t="shared" si="10"/>
        <v>0</v>
      </c>
      <c r="CE30" s="61">
        <f t="shared" si="11"/>
        <v>0</v>
      </c>
      <c r="CF30" s="61">
        <f t="shared" si="12"/>
        <v>0</v>
      </c>
      <c r="CG30" s="61">
        <f t="shared" si="13"/>
        <v>0</v>
      </c>
      <c r="CH30" s="61">
        <f t="shared" si="14"/>
        <v>0</v>
      </c>
      <c r="CI30" s="61">
        <f t="shared" si="15"/>
        <v>0</v>
      </c>
      <c r="CJ30" s="61">
        <f t="shared" si="16"/>
        <v>0</v>
      </c>
      <c r="CK30" s="61">
        <f t="shared" si="17"/>
        <v>0</v>
      </c>
      <c r="CL30" s="61">
        <f t="shared" si="18"/>
        <v>0</v>
      </c>
      <c r="CM30" s="61">
        <f t="shared" si="19"/>
        <v>0</v>
      </c>
      <c r="CN30" s="61">
        <f t="shared" si="20"/>
        <v>0</v>
      </c>
      <c r="CO30" s="61">
        <f t="shared" si="21"/>
        <v>0</v>
      </c>
      <c r="CP30" s="61">
        <f t="shared" si="22"/>
        <v>0</v>
      </c>
      <c r="CQ30" s="61">
        <f t="shared" si="23"/>
        <v>0</v>
      </c>
      <c r="CR30" s="61">
        <f t="shared" si="24"/>
        <v>0</v>
      </c>
      <c r="CS30" s="61">
        <f t="shared" si="25"/>
        <v>0</v>
      </c>
      <c r="CT30" s="61">
        <f t="shared" si="26"/>
        <v>0</v>
      </c>
      <c r="CU30" s="61">
        <f t="shared" si="27"/>
        <v>0</v>
      </c>
      <c r="CV30" s="61">
        <f t="shared" si="28"/>
        <v>0</v>
      </c>
      <c r="CW30" s="61">
        <f t="shared" si="29"/>
        <v>0</v>
      </c>
      <c r="CX30" s="61">
        <f t="shared" si="30"/>
        <v>0</v>
      </c>
      <c r="CY30" s="61">
        <f t="shared" si="31"/>
        <v>0</v>
      </c>
      <c r="CZ30" s="61">
        <f t="shared" si="32"/>
        <v>0</v>
      </c>
      <c r="DA30" s="61">
        <f t="shared" si="33"/>
        <v>0</v>
      </c>
      <c r="DB30" s="61">
        <f t="shared" si="34"/>
        <v>0</v>
      </c>
      <c r="DC30" s="61">
        <f t="shared" si="35"/>
        <v>0</v>
      </c>
      <c r="DD30" s="61">
        <f t="shared" si="36"/>
        <v>0</v>
      </c>
      <c r="DE30" s="61">
        <f t="shared" si="37"/>
        <v>0</v>
      </c>
      <c r="DF30" s="61">
        <f t="shared" si="38"/>
        <v>0</v>
      </c>
      <c r="DG30" s="61">
        <f t="shared" si="39"/>
        <v>0</v>
      </c>
      <c r="DH30" s="61">
        <f t="shared" si="40"/>
        <v>0</v>
      </c>
      <c r="DI30" s="61">
        <f t="shared" si="41"/>
        <v>0</v>
      </c>
      <c r="DJ30" s="61">
        <f t="shared" si="42"/>
        <v>0</v>
      </c>
      <c r="DK30" s="61">
        <f t="shared" si="43"/>
        <v>0</v>
      </c>
      <c r="DL30" s="61">
        <f t="shared" si="44"/>
        <v>0</v>
      </c>
      <c r="DM30" s="61">
        <f t="shared" si="45"/>
        <v>0</v>
      </c>
      <c r="DN30" s="61">
        <f t="shared" si="46"/>
        <v>0</v>
      </c>
      <c r="DO30" s="61">
        <f t="shared" si="47"/>
        <v>0</v>
      </c>
      <c r="DP30" s="61">
        <f t="shared" si="48"/>
        <v>0</v>
      </c>
      <c r="DQ30" s="61">
        <f t="shared" si="49"/>
        <v>0</v>
      </c>
      <c r="DR30" s="61">
        <f t="shared" si="50"/>
        <v>0</v>
      </c>
      <c r="DS30" s="61">
        <f t="shared" si="51"/>
        <v>0</v>
      </c>
      <c r="DT30" s="61">
        <f t="shared" si="52"/>
        <v>0</v>
      </c>
      <c r="DU30" s="61">
        <f t="shared" si="53"/>
        <v>0</v>
      </c>
      <c r="DV30" s="61">
        <f t="shared" si="54"/>
        <v>0</v>
      </c>
      <c r="DW30" s="61">
        <f t="shared" si="55"/>
        <v>0</v>
      </c>
      <c r="DX30" s="61">
        <f t="shared" si="56"/>
        <v>0</v>
      </c>
      <c r="DY30" s="61">
        <f t="shared" si="57"/>
        <v>0</v>
      </c>
      <c r="DZ30" s="61">
        <f t="shared" si="58"/>
        <v>0</v>
      </c>
      <c r="EA30" s="61">
        <f t="shared" si="59"/>
        <v>0</v>
      </c>
      <c r="EB30" s="61">
        <f t="shared" si="60"/>
        <v>0</v>
      </c>
      <c r="EC30" s="61">
        <f t="shared" si="61"/>
        <v>0</v>
      </c>
      <c r="EE30" s="61">
        <f xml:space="preserve">
IF(OR(Deltagarlista!$K$3=3,Deltagarlista!$K$3=4),
IF(Arrangörslista!$U$5&lt;8,0,
IF(Arrangörslista!$U$5&lt;16,SUM(LARGE(BV30:CJ30,1)),
IF(Arrangörslista!$U$5&lt;24,SUM(LARGE(BV30:CR30,{1;2})),
IF(Arrangörslista!$U$5&lt;32,SUM(LARGE(BV30:CZ30,{1;2;3})),
IF(Arrangörslista!$U$5&lt;40,SUM(LARGE(BV30:DH30,{1;2;3;4})),
IF(Arrangörslista!$U$5&lt;48,SUM(LARGE(BV30:DP30,{1;2;3;4;5})),
IF(Arrangörslista!$U$5&lt;56,SUM(LARGE(BV30:DX30,{1;2;3;4;5;6})),
IF(Arrangörslista!$U$5&lt;64,SUM(LARGE(BV30:EC30,{1;2;3;4;5;6;7})),0)))))))),
IF(Deltagarlista!$K$3=2,
IF(Arrangörslista!$U$5&lt;4,LARGE(BV30:BX30,1),
IF(Arrangörslista!$U$5&lt;7,SUM(LARGE(BV30:CA30,{1;2;3})),
IF(Arrangörslista!$U$5&lt;10,SUM(LARGE(BV30:CD30,{1;2;3;4})),
IF(Arrangörslista!$U$5&lt;13,SUM(LARGE(BV30:CG30,{1;2;3;4;5;6})),
IF(Arrangörslista!$U$5&lt;16,SUM(LARGE(BV30:CJ30,{1;2;3;4;5;6;7})),
IF(Arrangörslista!$U$5&lt;19,SUM(LARGE(BV30:CM30,{1;2;3;4;5;6;7;8;9})),
IF(Arrangörslista!$U$5&lt;22,SUM(LARGE(BV30:CP30,{1;2;3;4;5;6;7;8;9;10})),
IF(Arrangörslista!$U$5&lt;25,SUM(LARGE(BV30:CS30,{1;2;3;4;5;6;7;8;9;10;11;12})),
IF(Arrangörslista!$U$5&lt;28,SUM(LARGE(BV30:CV30,{1;2;3;4;5;6;7;8;9;10;11;12;13})),
IF(Arrangörslista!$U$5&lt;31,SUM(LARGE(BV30:CY30,{1;2;3;4;5;6;7;8;9;10;11;12;13;14;15})),
IF(Arrangörslista!$U$5&lt;34,SUM(LARGE(BV30:DB30,{1;2;3;4;5;6;7;8;9;10;11;12;13;14;15;16})),
IF(Arrangörslista!$U$5&lt;37,SUM(LARGE(BV30:DE30,{1;2;3;4;5;6;7;8;9;10;11;12;13;14;15;16;17;18})),
IF(Arrangörslista!$U$5&lt;40,SUM(LARGE(BV30:DH30,{1;2;3;4;5;6;7;8;9;10;11;12;13;14;15;16;17;18;19})),
IF(Arrangörslista!$U$5&lt;43,SUM(LARGE(BV30:DK30,{1;2;3;4;5;6;7;8;9;10;11;12;13;14;15;16;17;18;19;20;21})),
IF(Arrangörslista!$U$5&lt;46,SUM(LARGE(BV30:DN30,{1;2;3;4;5;6;7;8;9;10;11;12;13;14;15;16;17;18;19;20;21;22})),
IF(Arrangörslista!$U$5&lt;49,SUM(LARGE(BV30:DQ30,{1;2;3;4;5;6;7;8;9;10;11;12;13;14;15;16;17;18;19;20;21;22;23;24})),
IF(Arrangörslista!$U$5&lt;52,SUM(LARGE(BV30:DT30,{1;2;3;4;5;6;7;8;9;10;11;12;13;14;15;16;17;18;19;20;21;22;23;24;25})),
IF(Arrangörslista!$U$5&lt;55,SUM(LARGE(BV30:DW30,{1;2;3;4;5;6;7;8;9;10;11;12;13;14;15;16;17;18;19;20;21;22;23;24;25;26;27})),
IF(Arrangörslista!$U$5&lt;58,SUM(LARGE(BV30:DZ30,{1;2;3;4;5;6;7;8;9;10;11;12;13;14;15;16;17;18;19;20;21;22;23;24;25;26;27;28})),
IF(Arrangörslista!$U$5&lt;61,SUM(LARGE(BV30:EC30,{1;2;3;4;5;6;7;8;9;10;11;12;13;14;15;16;17;18;19;20;21;22;23;24;25;26;27;28;29;30})),0)))))))))))))))))))),
IF(Arrangörslista!$U$5&lt;4,0,
IF(Arrangörslista!$U$5&lt;8,SUM(LARGE(BV30:CB30,1)),
IF(Arrangörslista!$U$5&lt;12,SUM(LARGE(BV30:CF30,{1;2})),
IF(Arrangörslista!$U$5&lt;16,SUM(LARGE(BV30:CJ30,{1;2;3})),
IF(Arrangörslista!$U$5&lt;20,SUM(LARGE(BV30:CN30,{1;2;3;4})),
IF(Arrangörslista!$U$5&lt;24,SUM(LARGE(BV30:CR30,{1;2;3;4;5})),
IF(Arrangörslista!$U$5&lt;28,SUM(LARGE(BV30:CV30,{1;2;3;4;5;6})),
IF(Arrangörslista!$U$5&lt;32,SUM(LARGE(BV30:CZ30,{1;2;3;4;5;6;7})),
IF(Arrangörslista!$U$5&lt;36,SUM(LARGE(BV30:DD30,{1;2;3;4;5;6;7;8})),
IF(Arrangörslista!$U$5&lt;40,SUM(LARGE(BV30:DH30,{1;2;3;4;5;6;7;8;9})),
IF(Arrangörslista!$U$5&lt;44,SUM(LARGE(BV30:DL30,{1;2;3;4;5;6;7;8;9;10})),
IF(Arrangörslista!$U$5&lt;48,SUM(LARGE(BV30:DP30,{1;2;3;4;5;6;7;8;9;10;11})),
IF(Arrangörslista!$U$5&lt;52,SUM(LARGE(BV30:DT30,{1;2;3;4;5;6;7;8;9;10;11;12})),
IF(Arrangörslista!$U$5&lt;56,SUM(LARGE(BV30:DX30,{1;2;3;4;5;6;7;8;9;10;11;12;13})),
IF(Arrangörslista!$U$5&lt;60,SUM(LARGE(BV30:EB30,{1;2;3;4;5;6;7;8;9;10;11;12;13;14})),
IF(Arrangörslista!$U$5=60,SUM(LARGE(BV30:EC30,{1;2;3;4;5;6;7;8;9;10;11;12;13;14;15})),0))))))))))))))))))</f>
        <v>0</v>
      </c>
      <c r="EG30" s="67">
        <f t="shared" si="62"/>
        <v>0</v>
      </c>
      <c r="EH30" s="61"/>
      <c r="EI30" s="61"/>
      <c r="EK30" s="62">
        <f t="shared" si="63"/>
        <v>61</v>
      </c>
      <c r="EL30" s="62">
        <f t="shared" si="64"/>
        <v>61</v>
      </c>
      <c r="EM30" s="62">
        <f t="shared" si="65"/>
        <v>61</v>
      </c>
      <c r="EN30" s="62">
        <f t="shared" si="66"/>
        <v>61</v>
      </c>
      <c r="EO30" s="62">
        <f t="shared" si="67"/>
        <v>61</v>
      </c>
      <c r="EP30" s="62">
        <f t="shared" si="68"/>
        <v>61</v>
      </c>
      <c r="EQ30" s="62">
        <f t="shared" si="69"/>
        <v>61</v>
      </c>
      <c r="ER30" s="62">
        <f t="shared" si="70"/>
        <v>61</v>
      </c>
      <c r="ES30" s="62">
        <f t="shared" si="71"/>
        <v>61</v>
      </c>
      <c r="ET30" s="62">
        <f t="shared" si="72"/>
        <v>61</v>
      </c>
      <c r="EU30" s="62">
        <f t="shared" si="73"/>
        <v>61</v>
      </c>
      <c r="EV30" s="62">
        <f t="shared" si="74"/>
        <v>61</v>
      </c>
      <c r="EW30" s="62">
        <f t="shared" si="75"/>
        <v>61</v>
      </c>
      <c r="EX30" s="62">
        <f t="shared" si="76"/>
        <v>61</v>
      </c>
      <c r="EY30" s="62">
        <f t="shared" si="77"/>
        <v>61</v>
      </c>
      <c r="EZ30" s="62">
        <f t="shared" si="78"/>
        <v>61</v>
      </c>
      <c r="FA30" s="62">
        <f t="shared" si="79"/>
        <v>61</v>
      </c>
      <c r="FB30" s="62">
        <f t="shared" si="80"/>
        <v>61</v>
      </c>
      <c r="FC30" s="62">
        <f t="shared" si="81"/>
        <v>61</v>
      </c>
      <c r="FD30" s="62">
        <f t="shared" si="82"/>
        <v>61</v>
      </c>
      <c r="FE30" s="62">
        <f t="shared" si="83"/>
        <v>61</v>
      </c>
      <c r="FF30" s="62">
        <f t="shared" si="84"/>
        <v>61</v>
      </c>
      <c r="FG30" s="62">
        <f t="shared" si="85"/>
        <v>61</v>
      </c>
      <c r="FH30" s="62">
        <f t="shared" si="86"/>
        <v>61</v>
      </c>
      <c r="FI30" s="62">
        <f t="shared" si="87"/>
        <v>61</v>
      </c>
      <c r="FJ30" s="62">
        <f t="shared" si="88"/>
        <v>61</v>
      </c>
      <c r="FK30" s="62">
        <f t="shared" si="89"/>
        <v>61</v>
      </c>
      <c r="FL30" s="62">
        <f t="shared" si="90"/>
        <v>61</v>
      </c>
      <c r="FM30" s="62">
        <f t="shared" si="91"/>
        <v>61</v>
      </c>
      <c r="FN30" s="62">
        <f t="shared" si="92"/>
        <v>61</v>
      </c>
      <c r="FO30" s="62">
        <f t="shared" si="93"/>
        <v>61</v>
      </c>
      <c r="FP30" s="62">
        <f t="shared" si="94"/>
        <v>61</v>
      </c>
      <c r="FQ30" s="62">
        <f t="shared" si="95"/>
        <v>61</v>
      </c>
      <c r="FR30" s="62">
        <f t="shared" si="96"/>
        <v>61</v>
      </c>
      <c r="FS30" s="62">
        <f t="shared" si="97"/>
        <v>61</v>
      </c>
      <c r="FT30" s="62">
        <f t="shared" si="98"/>
        <v>61</v>
      </c>
      <c r="FU30" s="62">
        <f t="shared" si="99"/>
        <v>61</v>
      </c>
      <c r="FV30" s="62">
        <f t="shared" si="100"/>
        <v>61</v>
      </c>
      <c r="FW30" s="62">
        <f t="shared" si="101"/>
        <v>61</v>
      </c>
      <c r="FX30" s="62">
        <f t="shared" si="102"/>
        <v>61</v>
      </c>
      <c r="FY30" s="62">
        <f t="shared" si="103"/>
        <v>61</v>
      </c>
      <c r="FZ30" s="62">
        <f t="shared" si="104"/>
        <v>61</v>
      </c>
      <c r="GA30" s="62">
        <f t="shared" si="105"/>
        <v>61</v>
      </c>
      <c r="GB30" s="62">
        <f t="shared" si="106"/>
        <v>61</v>
      </c>
      <c r="GC30" s="62">
        <f t="shared" si="107"/>
        <v>61</v>
      </c>
      <c r="GD30" s="62">
        <f t="shared" si="108"/>
        <v>61</v>
      </c>
      <c r="GE30" s="62">
        <f t="shared" si="109"/>
        <v>61</v>
      </c>
      <c r="GF30" s="62">
        <f t="shared" si="110"/>
        <v>61</v>
      </c>
      <c r="GG30" s="62">
        <f t="shared" si="111"/>
        <v>61</v>
      </c>
      <c r="GH30" s="62">
        <f t="shared" si="112"/>
        <v>61</v>
      </c>
      <c r="GI30" s="62">
        <f t="shared" si="113"/>
        <v>61</v>
      </c>
      <c r="GJ30" s="62">
        <f t="shared" si="114"/>
        <v>61</v>
      </c>
      <c r="GK30" s="62">
        <f t="shared" si="115"/>
        <v>61</v>
      </c>
      <c r="GL30" s="62">
        <f t="shared" si="116"/>
        <v>61</v>
      </c>
      <c r="GM30" s="62">
        <f t="shared" si="117"/>
        <v>61</v>
      </c>
      <c r="GN30" s="62">
        <f t="shared" si="118"/>
        <v>61</v>
      </c>
      <c r="GO30" s="62">
        <f t="shared" si="119"/>
        <v>61</v>
      </c>
      <c r="GP30" s="62">
        <f t="shared" si="120"/>
        <v>61</v>
      </c>
      <c r="GQ30" s="62">
        <f t="shared" si="121"/>
        <v>61</v>
      </c>
      <c r="GR30" s="62">
        <f t="shared" si="122"/>
        <v>61</v>
      </c>
      <c r="GT30" s="62">
        <f>IF(Deltagarlista!$K$3=2,
IF(GW30="1",
      IF(Arrangörslista!$U$5=1,J93,
IF(Arrangörslista!$U$5=2,K93,
IF(Arrangörslista!$U$5=3,L93,
IF(Arrangörslista!$U$5=4,M93,
IF(Arrangörslista!$U$5=5,N93,
IF(Arrangörslista!$U$5=6,O93,
IF(Arrangörslista!$U$5=7,P93,
IF(Arrangörslista!$U$5=8,Q93,
IF(Arrangörslista!$U$5=9,R93,
IF(Arrangörslista!$U$5=10,S93,
IF(Arrangörslista!$U$5=11,T93,
IF(Arrangörslista!$U$5=12,U93,
IF(Arrangörslista!$U$5=13,V93,
IF(Arrangörslista!$U$5=14,W93,
IF(Arrangörslista!$U$5=15,X93,
IF(Arrangörslista!$U$5=16,Y93,IF(Arrangörslista!$U$5=17,Z93,IF(Arrangörslista!$U$5=18,AA93,IF(Arrangörslista!$U$5=19,AB93,IF(Arrangörslista!$U$5=20,AC93,IF(Arrangörslista!$U$5=21,AD93,IF(Arrangörslista!$U$5=22,AE93,IF(Arrangörslista!$U$5=23,AF93, IF(Arrangörslista!$U$5=24,AG93, IF(Arrangörslista!$U$5=25,AH93, IF(Arrangörslista!$U$5=26,AI93, IF(Arrangörslista!$U$5=27,AJ93, IF(Arrangörslista!$U$5=28,AK93, IF(Arrangörslista!$U$5=29,AL93, IF(Arrangörslista!$U$5=30,AM93, IF(Arrangörslista!$U$5=31,AN93, IF(Arrangörslista!$U$5=32,AO93, IF(Arrangörslista!$U$5=33,AP93, IF(Arrangörslista!$U$5=34,AQ93, IF(Arrangörslista!$U$5=35,AR93, IF(Arrangörslista!$U$5=36,AS93, IF(Arrangörslista!$U$5=37,AT93, IF(Arrangörslista!$U$5=38,AU93, IF(Arrangörslista!$U$5=39,AV93, IF(Arrangörslista!$U$5=40,AW93, IF(Arrangörslista!$U$5=41,AX93, IF(Arrangörslista!$U$5=42,AY93, IF(Arrangörslista!$U$5=43,AZ93, IF(Arrangörslista!$U$5=44,BA93, IF(Arrangörslista!$U$5=45,BB93, IF(Arrangörslista!$U$5=46,BC93, IF(Arrangörslista!$U$5=47,BD93, IF(Arrangörslista!$U$5=48,BE93, IF(Arrangörslista!$U$5=49,BF93, IF(Arrangörslista!$U$5=50,BG93, IF(Arrangörslista!$U$5=51,BH93, IF(Arrangörslista!$U$5=52,BI93, IF(Arrangörslista!$U$5=53,BJ93, IF(Arrangörslista!$U$5=54,BK93, IF(Arrangörslista!$U$5=55,BL93, IF(Arrangörslista!$U$5=56,BM93, IF(Arrangörslista!$U$5=57,BN93, IF(Arrangörslista!$U$5=58,BO93, IF(Arrangörslista!$U$5=59,BP93, IF(Arrangörslista!$U$5=60,BQ93,0))))))))))))))))))))))))))))))))))))))))))))))))))))))))))))),IF(Deltagarlista!$K$3=4, IF(Arrangörslista!$U$5=1,J93,
IF(Arrangörslista!$U$5=2,J93,
IF(Arrangörslista!$U$5=3,K93,
IF(Arrangörslista!$U$5=4,K93,
IF(Arrangörslista!$U$5=5,L93,
IF(Arrangörslista!$U$5=6,L93,
IF(Arrangörslista!$U$5=7,M93,
IF(Arrangörslista!$U$5=8,M93,
IF(Arrangörslista!$U$5=9,N93,
IF(Arrangörslista!$U$5=10,N93,
IF(Arrangörslista!$U$5=11,O93,
IF(Arrangörslista!$U$5=12,O93,
IF(Arrangörslista!$U$5=13,P93,
IF(Arrangörslista!$U$5=14,P93,
IF(Arrangörslista!$U$5=15,Q93,
IF(Arrangörslista!$U$5=16,Q93,
IF(Arrangörslista!$U$5=17,R93,
IF(Arrangörslista!$U$5=18,R93,
IF(Arrangörslista!$U$5=19,S93,
IF(Arrangörslista!$U$5=20,S93,
IF(Arrangörslista!$U$5=21,T93,
IF(Arrangörslista!$U$5=22,T93,IF(Arrangörslista!$U$5=23,U93, IF(Arrangörslista!$U$5=24,U93, IF(Arrangörslista!$U$5=25,V93, IF(Arrangörslista!$U$5=26,V93, IF(Arrangörslista!$U$5=27,W93, IF(Arrangörslista!$U$5=28,W93, IF(Arrangörslista!$U$5=29,X93, IF(Arrangörslista!$U$5=30,X93, IF(Arrangörslista!$U$5=31,X93, IF(Arrangörslista!$U$5=32,Y93, IF(Arrangörslista!$U$5=33,AO93, IF(Arrangörslista!$U$5=34,Y93, IF(Arrangörslista!$U$5=35,Z93, IF(Arrangörslista!$U$5=36,AR93, IF(Arrangörslista!$U$5=37,Z93, IF(Arrangörslista!$U$5=38,AA93, IF(Arrangörslista!$U$5=39,AU93, IF(Arrangörslista!$U$5=40,AA93, IF(Arrangörslista!$U$5=41,AB93, IF(Arrangörslista!$U$5=42,AX93, IF(Arrangörslista!$U$5=43,AB93, IF(Arrangörslista!$U$5=44,AC93, IF(Arrangörslista!$U$5=45,BA93, IF(Arrangörslista!$U$5=46,AC93, IF(Arrangörslista!$U$5=47,AD93, IF(Arrangörslista!$U$5=48,BD93, IF(Arrangörslista!$U$5=49,AD93, IF(Arrangörslista!$U$5=50,AE93, IF(Arrangörslista!$U$5=51,BG93, IF(Arrangörslista!$U$5=52,AE93, IF(Arrangörslista!$U$5=53,AF93, IF(Arrangörslista!$U$5=54,BJ93, IF(Arrangörslista!$U$5=55,AF93, IF(Arrangörslista!$U$5=56,AG93, IF(Arrangörslista!$U$5=57,BM93, IF(Arrangörslista!$U$5=58,AG93, IF(Arrangörslista!$U$5=59,AH93, IF(Arrangörslista!$U$5=60,AH93,0)))))))))))))))))))))))))))))))))))))))))))))))))))))))))))),IF(Arrangörslista!$U$5=1,J93,
IF(Arrangörslista!$U$5=2,K93,
IF(Arrangörslista!$U$5=3,L93,
IF(Arrangörslista!$U$5=4,M93,
IF(Arrangörslista!$U$5=5,N93,
IF(Arrangörslista!$U$5=6,O93,
IF(Arrangörslista!$U$5=7,P93,
IF(Arrangörslista!$U$5=8,Q93,
IF(Arrangörslista!$U$5=9,R93,
IF(Arrangörslista!$U$5=10,S93,
IF(Arrangörslista!$U$5=11,T93,
IF(Arrangörslista!$U$5=12,U93,
IF(Arrangörslista!$U$5=13,V93,
IF(Arrangörslista!$U$5=14,W93,
IF(Arrangörslista!$U$5=15,X93,
IF(Arrangörslista!$U$5=16,Y93,IF(Arrangörslista!$U$5=17,Z93,IF(Arrangörslista!$U$5=18,AA93,IF(Arrangörslista!$U$5=19,AB93,IF(Arrangörslista!$U$5=20,AC93,IF(Arrangörslista!$U$5=21,AD93,IF(Arrangörslista!$U$5=22,AE93,IF(Arrangörslista!$U$5=23,AF93, IF(Arrangörslista!$U$5=24,AG93, IF(Arrangörslista!$U$5=25,AH93, IF(Arrangörslista!$U$5=26,AI93, IF(Arrangörslista!$U$5=27,AJ93, IF(Arrangörslista!$U$5=28,AK93, IF(Arrangörslista!$U$5=29,AL93, IF(Arrangörslista!$U$5=30,AM93, IF(Arrangörslista!$U$5=31,AN93, IF(Arrangörslista!$U$5=32,AO93, IF(Arrangörslista!$U$5=33,AP93, IF(Arrangörslista!$U$5=34,AQ93, IF(Arrangörslista!$U$5=35,AR93, IF(Arrangörslista!$U$5=36,AS93, IF(Arrangörslista!$U$5=37,AT93, IF(Arrangörslista!$U$5=38,AU93, IF(Arrangörslista!$U$5=39,AV93, IF(Arrangörslista!$U$5=40,AW93, IF(Arrangörslista!$U$5=41,AX93, IF(Arrangörslista!$U$5=42,AY93, IF(Arrangörslista!$U$5=43,AZ93, IF(Arrangörslista!$U$5=44,BA93, IF(Arrangörslista!$U$5=45,BB93, IF(Arrangörslista!$U$5=46,BC93, IF(Arrangörslista!$U$5=47,BD93, IF(Arrangörslista!$U$5=48,BE93, IF(Arrangörslista!$U$5=49,BF93, IF(Arrangörslista!$U$5=50,BG93, IF(Arrangörslista!$U$5=51,BH93, IF(Arrangörslista!$U$5=52,BI93, IF(Arrangörslista!$U$5=53,BJ93, IF(Arrangörslista!$U$5=54,BK93, IF(Arrangörslista!$U$5=55,BL93, IF(Arrangörslista!$U$5=56,BM93, IF(Arrangörslista!$U$5=57,BN93, IF(Arrangörslista!$U$5=58,BO93, IF(Arrangörslista!$U$5=59,BP93, IF(Arrangörslista!$U$5=60,BQ93,0))))))))))))))))))))))))))))))))))))))))))))))))))))))))))))
))</f>
        <v>0</v>
      </c>
      <c r="GV30" s="65" t="str">
        <f>IFERROR(IF(VLOOKUP(F30,Deltagarlista!$E$5:$I$64,5,FALSE)="Grön","Gr",IF(VLOOKUP(F30,Deltagarlista!$E$5:$I$64,5,FALSE)="Röd","R",IF(VLOOKUP(F30,Deltagarlista!$E$5:$I$64,5,FALSE)="Blå","B","Gu"))),"")</f>
        <v/>
      </c>
      <c r="GW30" s="62" t="str">
        <f t="shared" si="124"/>
        <v/>
      </c>
    </row>
    <row r="31" spans="2:205" ht="15.75" customHeight="1" x14ac:dyDescent="0.3">
      <c r="B31" s="23" t="str">
        <f>IF((COUNTIF(Deltagarlista!$H$5:$H$64,"GM"))&gt;27,28,"")</f>
        <v/>
      </c>
      <c r="C31" s="92" t="str">
        <f>IF(ISBLANK(Deltagarlista!C32),"",Deltagarlista!C32)</f>
        <v/>
      </c>
      <c r="D31" s="109" t="str">
        <f>CONCATENATE(IF(Deltagarlista!H32="GM","GM   ",""), IF(OR(Deltagarlista!$K$3=4,Deltagarlista!$K$3=2),Deltagarlista!I32,""))</f>
        <v/>
      </c>
      <c r="E31" s="8" t="str">
        <f>IF(ISBLANK(Deltagarlista!D32),"",Deltagarlista!D32)</f>
        <v/>
      </c>
      <c r="F31" s="8" t="str">
        <f>IF(ISBLANK(Deltagarlista!E32),"",Deltagarlista!E32)</f>
        <v/>
      </c>
      <c r="G31" s="95" t="str">
        <f>IF(ISBLANK(Deltagarlista!F32),"",Deltagarlista!F32)</f>
        <v/>
      </c>
      <c r="H31" s="72" t="str">
        <f>IF(ISBLANK(Deltagarlista!C32),"",BU31-EE31)</f>
        <v/>
      </c>
      <c r="I31" s="13" t="str">
        <f>IF(ISBLANK(Deltagarlista!C32),"",IF(AND(Deltagarlista!$K$3=2,Deltagarlista!$L$3&lt;37),SUM(SUM(BV31:EC31)-(ROUNDDOWN(Arrangörslista!$U$5/3,1))*($BW$3+1)),SUM(BV31:EC31)))</f>
        <v/>
      </c>
      <c r="J31" s="79" t="str">
        <f>IF(Deltagarlista!$K$3=4,IF(ISBLANK(Deltagarlista!$C32),"",IF(ISBLANK(Arrangörslista!C$8),"",IFERROR(VLOOKUP($F31,Arrangörslista!C$8:$AG$45,16,FALSE),IF(ISBLANK(Deltagarlista!$C32),"",IF(ISBLANK(Arrangörslista!C$8),"",IFERROR(VLOOKUP($F31,Arrangörslista!D$8:$AG$45,16,FALSE),"DNS")))))),IF(Deltagarlista!$K$3=2,
IF(ISBLANK(Deltagarlista!$C32),"",IF(ISBLANK(Arrangörslista!C$8),"",IF($GV31=J$64," DNS ",IFERROR(VLOOKUP($F31,Arrangörslista!C$8:$AG$45,16,FALSE),"DNS")))),IF(ISBLANK(Deltagarlista!$C32),"",IF(ISBLANK(Arrangörslista!C$8),"",IFERROR(VLOOKUP($F31,Arrangörslista!C$8:$AG$45,16,FALSE),"DNS")))))</f>
        <v/>
      </c>
      <c r="K31" s="5" t="str">
        <f>IF(Deltagarlista!$K$3=4,IF(ISBLANK(Deltagarlista!$C32),"",IF(ISBLANK(Arrangörslista!E$8),"",IFERROR(VLOOKUP($F31,Arrangörslista!E$8:$AG$45,16,FALSE),IF(ISBLANK(Deltagarlista!$C32),"",IF(ISBLANK(Arrangörslista!E$8),"",IFERROR(VLOOKUP($F31,Arrangörslista!F$8:$AG$45,16,FALSE),"DNS")))))),IF(Deltagarlista!$K$3=2,
IF(ISBLANK(Deltagarlista!$C32),"",IF(ISBLANK(Arrangörslista!D$8),"",IF($GV31=K$64," DNS ",IFERROR(VLOOKUP($F31,Arrangörslista!D$8:$AG$45,16,FALSE),"DNS")))),IF(ISBLANK(Deltagarlista!$C32),"",IF(ISBLANK(Arrangörslista!D$8),"",IFERROR(VLOOKUP($F31,Arrangörslista!D$8:$AG$45,16,FALSE),"DNS")))))</f>
        <v/>
      </c>
      <c r="L31" s="5" t="str">
        <f>IF(Deltagarlista!$K$3=4,IF(ISBLANK(Deltagarlista!$C32),"",IF(ISBLANK(Arrangörslista!G$8),"",IFERROR(VLOOKUP($F31,Arrangörslista!G$8:$AG$45,16,FALSE),IF(ISBLANK(Deltagarlista!$C32),"",IF(ISBLANK(Arrangörslista!G$8),"",IFERROR(VLOOKUP($F31,Arrangörslista!H$8:$AG$45,16,FALSE),"DNS")))))),IF(Deltagarlista!$K$3=2,
IF(ISBLANK(Deltagarlista!$C32),"",IF(ISBLANK(Arrangörslista!E$8),"",IF($GV31=L$64," DNS ",IFERROR(VLOOKUP($F31,Arrangörslista!E$8:$AG$45,16,FALSE),"DNS")))),IF(ISBLANK(Deltagarlista!$C32),"",IF(ISBLANK(Arrangörslista!E$8),"",IFERROR(VLOOKUP($F31,Arrangörslista!E$8:$AG$45,16,FALSE),"DNS")))))</f>
        <v/>
      </c>
      <c r="M31" s="5" t="str">
        <f>IF(Deltagarlista!$K$3=4,IF(ISBLANK(Deltagarlista!$C32),"",IF(ISBLANK(Arrangörslista!I$8),"",IFERROR(VLOOKUP($F31,Arrangörslista!I$8:$AG$45,16,FALSE),IF(ISBLANK(Deltagarlista!$C32),"",IF(ISBLANK(Arrangörslista!I$8),"",IFERROR(VLOOKUP($F31,Arrangörslista!J$8:$AG$45,16,FALSE),"DNS")))))),IF(Deltagarlista!$K$3=2,
IF(ISBLANK(Deltagarlista!$C32),"",IF(ISBLANK(Arrangörslista!F$8),"",IF($GV31=M$64," DNS ",IFERROR(VLOOKUP($F31,Arrangörslista!F$8:$AG$45,16,FALSE),"DNS")))),IF(ISBLANK(Deltagarlista!$C32),"",IF(ISBLANK(Arrangörslista!F$8),"",IFERROR(VLOOKUP($F31,Arrangörslista!F$8:$AG$45,16,FALSE),"DNS")))))</f>
        <v/>
      </c>
      <c r="N31" s="5" t="str">
        <f>IF(Deltagarlista!$K$3=4,IF(ISBLANK(Deltagarlista!$C32),"",IF(ISBLANK(Arrangörslista!K$8),"",IFERROR(VLOOKUP($F31,Arrangörslista!K$8:$AG$45,16,FALSE),IF(ISBLANK(Deltagarlista!$C32),"",IF(ISBLANK(Arrangörslista!K$8),"",IFERROR(VLOOKUP($F31,Arrangörslista!L$8:$AG$45,16,FALSE),"DNS")))))),IF(Deltagarlista!$K$3=2,
IF(ISBLANK(Deltagarlista!$C32),"",IF(ISBLANK(Arrangörslista!G$8),"",IF($GV31=N$64," DNS ",IFERROR(VLOOKUP($F31,Arrangörslista!G$8:$AG$45,16,FALSE),"DNS")))),IF(ISBLANK(Deltagarlista!$C32),"",IF(ISBLANK(Arrangörslista!G$8),"",IFERROR(VLOOKUP($F31,Arrangörslista!G$8:$AG$45,16,FALSE),"DNS")))))</f>
        <v/>
      </c>
      <c r="O31" s="5" t="str">
        <f>IF(Deltagarlista!$K$3=4,IF(ISBLANK(Deltagarlista!$C32),"",IF(ISBLANK(Arrangörslista!M$8),"",IFERROR(VLOOKUP($F31,Arrangörslista!M$8:$AG$45,16,FALSE),IF(ISBLANK(Deltagarlista!$C32),"",IF(ISBLANK(Arrangörslista!M$8),"",IFERROR(VLOOKUP($F31,Arrangörslista!N$8:$AG$45,16,FALSE),"DNS")))))),IF(Deltagarlista!$K$3=2,
IF(ISBLANK(Deltagarlista!$C32),"",IF(ISBLANK(Arrangörslista!H$8),"",IF($GV31=O$64," DNS ",IFERROR(VLOOKUP($F31,Arrangörslista!H$8:$AG$45,16,FALSE),"DNS")))),IF(ISBLANK(Deltagarlista!$C32),"",IF(ISBLANK(Arrangörslista!H$8),"",IFERROR(VLOOKUP($F31,Arrangörslista!H$8:$AG$45,16,FALSE),"DNS")))))</f>
        <v/>
      </c>
      <c r="P31" s="5" t="str">
        <f>IF(Deltagarlista!$K$3=4,IF(ISBLANK(Deltagarlista!$C32),"",IF(ISBLANK(Arrangörslista!O$8),"",IFERROR(VLOOKUP($F31,Arrangörslista!O$8:$AG$45,16,FALSE),IF(ISBLANK(Deltagarlista!$C32),"",IF(ISBLANK(Arrangörslista!O$8),"",IFERROR(VLOOKUP($F31,Arrangörslista!P$8:$AG$45,16,FALSE),"DNS")))))),IF(Deltagarlista!$K$3=2,
IF(ISBLANK(Deltagarlista!$C32),"",IF(ISBLANK(Arrangörslista!I$8),"",IF($GV31=P$64," DNS ",IFERROR(VLOOKUP($F31,Arrangörslista!I$8:$AG$45,16,FALSE),"DNS")))),IF(ISBLANK(Deltagarlista!$C32),"",IF(ISBLANK(Arrangörslista!I$8),"",IFERROR(VLOOKUP($F31,Arrangörslista!I$8:$AG$45,16,FALSE),"DNS")))))</f>
        <v/>
      </c>
      <c r="Q31" s="5" t="str">
        <f>IF(Deltagarlista!$K$3=4,IF(ISBLANK(Deltagarlista!$C32),"",IF(ISBLANK(Arrangörslista!Q$8),"",IFERROR(VLOOKUP($F31,Arrangörslista!Q$8:$AG$45,16,FALSE),IF(ISBLANK(Deltagarlista!$C32),"",IF(ISBLANK(Arrangörslista!Q$8),"",IFERROR(VLOOKUP($F31,Arrangörslista!C$53:$AG$90,16,FALSE),"DNS")))))),IF(Deltagarlista!$K$3=2,
IF(ISBLANK(Deltagarlista!$C32),"",IF(ISBLANK(Arrangörslista!J$8),"",IF($GV31=Q$64," DNS ",IFERROR(VLOOKUP($F31,Arrangörslista!J$8:$AG$45,16,FALSE),"DNS")))),IF(ISBLANK(Deltagarlista!$C32),"",IF(ISBLANK(Arrangörslista!J$8),"",IFERROR(VLOOKUP($F31,Arrangörslista!J$8:$AG$45,16,FALSE),"DNS")))))</f>
        <v/>
      </c>
      <c r="R31" s="5" t="str">
        <f>IF(Deltagarlista!$K$3=4,IF(ISBLANK(Deltagarlista!$C32),"",IF(ISBLANK(Arrangörslista!D$53),"",IFERROR(VLOOKUP($F31,Arrangörslista!D$53:$AG$90,16,FALSE),IF(ISBLANK(Deltagarlista!$C32),"",IF(ISBLANK(Arrangörslista!D$53),"",IFERROR(VLOOKUP($F31,Arrangörslista!E$53:$AG$90,16,FALSE),"DNS")))))),IF(Deltagarlista!$K$3=2,
IF(ISBLANK(Deltagarlista!$C32),"",IF(ISBLANK(Arrangörslista!K$8),"",IF($GV31=R$64," DNS ",IFERROR(VLOOKUP($F31,Arrangörslista!K$8:$AG$45,16,FALSE),"DNS")))),IF(ISBLANK(Deltagarlista!$C32),"",IF(ISBLANK(Arrangörslista!K$8),"",IFERROR(VLOOKUP($F31,Arrangörslista!K$8:$AG$45,16,FALSE),"DNS")))))</f>
        <v/>
      </c>
      <c r="S31" s="5" t="str">
        <f>IF(Deltagarlista!$K$3=4,IF(ISBLANK(Deltagarlista!$C32),"",IF(ISBLANK(Arrangörslista!F$53),"",IFERROR(VLOOKUP($F31,Arrangörslista!F$53:$AG$90,16,FALSE),IF(ISBLANK(Deltagarlista!$C32),"",IF(ISBLANK(Arrangörslista!F$53),"",IFERROR(VLOOKUP($F31,Arrangörslista!G$53:$AG$90,16,FALSE),"DNS")))))),IF(Deltagarlista!$K$3=2,
IF(ISBLANK(Deltagarlista!$C32),"",IF(ISBLANK(Arrangörslista!L$8),"",IF($GV31=S$64," DNS ",IFERROR(VLOOKUP($F31,Arrangörslista!L$8:$AG$45,16,FALSE),"DNS")))),IF(ISBLANK(Deltagarlista!$C32),"",IF(ISBLANK(Arrangörslista!L$8),"",IFERROR(VLOOKUP($F31,Arrangörslista!L$8:$AG$45,16,FALSE),"DNS")))))</f>
        <v/>
      </c>
      <c r="T31" s="5" t="str">
        <f>IF(Deltagarlista!$K$3=4,IF(ISBLANK(Deltagarlista!$C32),"",IF(ISBLANK(Arrangörslista!H$53),"",IFERROR(VLOOKUP($F31,Arrangörslista!H$53:$AG$90,16,FALSE),IF(ISBLANK(Deltagarlista!$C32),"",IF(ISBLANK(Arrangörslista!H$53),"",IFERROR(VLOOKUP($F31,Arrangörslista!I$53:$AG$90,16,FALSE),"DNS")))))),IF(Deltagarlista!$K$3=2,
IF(ISBLANK(Deltagarlista!$C32),"",IF(ISBLANK(Arrangörslista!M$8),"",IF($GV31=T$64," DNS ",IFERROR(VLOOKUP($F31,Arrangörslista!M$8:$AG$45,16,FALSE),"DNS")))),IF(ISBLANK(Deltagarlista!$C32),"",IF(ISBLANK(Arrangörslista!M$8),"",IFERROR(VLOOKUP($F31,Arrangörslista!M$8:$AG$45,16,FALSE),"DNS")))))</f>
        <v/>
      </c>
      <c r="U31" s="5" t="str">
        <f>IF(Deltagarlista!$K$3=4,IF(ISBLANK(Deltagarlista!$C32),"",IF(ISBLANK(Arrangörslista!J$53),"",IFERROR(VLOOKUP($F31,Arrangörslista!J$53:$AG$90,16,FALSE),IF(ISBLANK(Deltagarlista!$C32),"",IF(ISBLANK(Arrangörslista!J$53),"",IFERROR(VLOOKUP($F31,Arrangörslista!K$53:$AG$90,16,FALSE),"DNS")))))),IF(Deltagarlista!$K$3=2,
IF(ISBLANK(Deltagarlista!$C32),"",IF(ISBLANK(Arrangörslista!N$8),"",IF($GV31=U$64," DNS ",IFERROR(VLOOKUP($F31,Arrangörslista!N$8:$AG$45,16,FALSE),"DNS")))),IF(ISBLANK(Deltagarlista!$C32),"",IF(ISBLANK(Arrangörslista!N$8),"",IFERROR(VLOOKUP($F31,Arrangörslista!N$8:$AG$45,16,FALSE),"DNS")))))</f>
        <v/>
      </c>
      <c r="V31" s="5" t="str">
        <f>IF(Deltagarlista!$K$3=4,IF(ISBLANK(Deltagarlista!$C32),"",IF(ISBLANK(Arrangörslista!L$53),"",IFERROR(VLOOKUP($F31,Arrangörslista!L$53:$AG$90,16,FALSE),IF(ISBLANK(Deltagarlista!$C32),"",IF(ISBLANK(Arrangörslista!L$53),"",IFERROR(VLOOKUP($F31,Arrangörslista!M$53:$AG$90,16,FALSE),"DNS")))))),IF(Deltagarlista!$K$3=2,
IF(ISBLANK(Deltagarlista!$C32),"",IF(ISBLANK(Arrangörslista!O$8),"",IF($GV31=V$64," DNS ",IFERROR(VLOOKUP($F31,Arrangörslista!O$8:$AG$45,16,FALSE),"DNS")))),IF(ISBLANK(Deltagarlista!$C32),"",IF(ISBLANK(Arrangörslista!O$8),"",IFERROR(VLOOKUP($F31,Arrangörslista!O$8:$AG$45,16,FALSE),"DNS")))))</f>
        <v/>
      </c>
      <c r="W31" s="5" t="str">
        <f>IF(Deltagarlista!$K$3=4,IF(ISBLANK(Deltagarlista!$C32),"",IF(ISBLANK(Arrangörslista!N$53),"",IFERROR(VLOOKUP($F31,Arrangörslista!N$53:$AG$90,16,FALSE),IF(ISBLANK(Deltagarlista!$C32),"",IF(ISBLANK(Arrangörslista!N$53),"",IFERROR(VLOOKUP($F31,Arrangörslista!O$53:$AG$90,16,FALSE),"DNS")))))),IF(Deltagarlista!$K$3=2,
IF(ISBLANK(Deltagarlista!$C32),"",IF(ISBLANK(Arrangörslista!P$8),"",IF($GV31=W$64," DNS ",IFERROR(VLOOKUP($F31,Arrangörslista!P$8:$AG$45,16,FALSE),"DNS")))),IF(ISBLANK(Deltagarlista!$C32),"",IF(ISBLANK(Arrangörslista!P$8),"",IFERROR(VLOOKUP($F31,Arrangörslista!P$8:$AG$45,16,FALSE),"DNS")))))</f>
        <v/>
      </c>
      <c r="X31" s="5" t="str">
        <f>IF(Deltagarlista!$K$3=4,IF(ISBLANK(Deltagarlista!$C32),"",IF(ISBLANK(Arrangörslista!P$53),"",IFERROR(VLOOKUP($F31,Arrangörslista!P$53:$AG$90,16,FALSE),IF(ISBLANK(Deltagarlista!$C32),"",IF(ISBLANK(Arrangörslista!P$53),"",IFERROR(VLOOKUP($F31,Arrangörslista!Q$53:$AG$90,16,FALSE),"DNS")))))),IF(Deltagarlista!$K$3=2,
IF(ISBLANK(Deltagarlista!$C32),"",IF(ISBLANK(Arrangörslista!Q$8),"",IF($GV31=X$64," DNS ",IFERROR(VLOOKUP($F31,Arrangörslista!Q$8:$AG$45,16,FALSE),"DNS")))),IF(ISBLANK(Deltagarlista!$C32),"",IF(ISBLANK(Arrangörslista!Q$8),"",IFERROR(VLOOKUP($F31,Arrangörslista!Q$8:$AG$45,16,FALSE),"DNS")))))</f>
        <v/>
      </c>
      <c r="Y31" s="5" t="str">
        <f>IF(Deltagarlista!$K$3=4,IF(ISBLANK(Deltagarlista!$C32),"",IF(ISBLANK(Arrangörslista!C$98),"",IFERROR(VLOOKUP($F31,Arrangörslista!C$98:$AG$135,16,FALSE),IF(ISBLANK(Deltagarlista!$C32),"",IF(ISBLANK(Arrangörslista!C$98),"",IFERROR(VLOOKUP($F31,Arrangörslista!D$98:$AG$135,16,FALSE),"DNS")))))),IF(Deltagarlista!$K$3=2,
IF(ISBLANK(Deltagarlista!$C32),"",IF(ISBLANK(Arrangörslista!C$53),"",IF($GV31=Y$64," DNS ",IFERROR(VLOOKUP($F31,Arrangörslista!C$53:$AG$90,16,FALSE),"DNS")))),IF(ISBLANK(Deltagarlista!$C32),"",IF(ISBLANK(Arrangörslista!C$53),"",IFERROR(VLOOKUP($F31,Arrangörslista!C$53:$AG$90,16,FALSE),"DNS")))))</f>
        <v/>
      </c>
      <c r="Z31" s="5" t="str">
        <f>IF(Deltagarlista!$K$3=4,IF(ISBLANK(Deltagarlista!$C32),"",IF(ISBLANK(Arrangörslista!E$98),"",IFERROR(VLOOKUP($F31,Arrangörslista!E$98:$AG$135,16,FALSE),IF(ISBLANK(Deltagarlista!$C32),"",IF(ISBLANK(Arrangörslista!E$98),"",IFERROR(VLOOKUP($F31,Arrangörslista!F$98:$AG$135,16,FALSE),"DNS")))))),IF(Deltagarlista!$K$3=2,
IF(ISBLANK(Deltagarlista!$C32),"",IF(ISBLANK(Arrangörslista!D$53),"",IF($GV31=Z$64," DNS ",IFERROR(VLOOKUP($F31,Arrangörslista!D$53:$AG$90,16,FALSE),"DNS")))),IF(ISBLANK(Deltagarlista!$C32),"",IF(ISBLANK(Arrangörslista!D$53),"",IFERROR(VLOOKUP($F31,Arrangörslista!D$53:$AG$90,16,FALSE),"DNS")))))</f>
        <v/>
      </c>
      <c r="AA31" s="5" t="str">
        <f>IF(Deltagarlista!$K$3=4,IF(ISBLANK(Deltagarlista!$C32),"",IF(ISBLANK(Arrangörslista!G$98),"",IFERROR(VLOOKUP($F31,Arrangörslista!G$98:$AG$135,16,FALSE),IF(ISBLANK(Deltagarlista!$C32),"",IF(ISBLANK(Arrangörslista!G$98),"",IFERROR(VLOOKUP($F31,Arrangörslista!H$98:$AG$135,16,FALSE),"DNS")))))),IF(Deltagarlista!$K$3=2,
IF(ISBLANK(Deltagarlista!$C32),"",IF(ISBLANK(Arrangörslista!E$53),"",IF($GV31=AA$64," DNS ",IFERROR(VLOOKUP($F31,Arrangörslista!E$53:$AG$90,16,FALSE),"DNS")))),IF(ISBLANK(Deltagarlista!$C32),"",IF(ISBLANK(Arrangörslista!E$53),"",IFERROR(VLOOKUP($F31,Arrangörslista!E$53:$AG$90,16,FALSE),"DNS")))))</f>
        <v/>
      </c>
      <c r="AB31" s="5" t="str">
        <f>IF(Deltagarlista!$K$3=4,IF(ISBLANK(Deltagarlista!$C32),"",IF(ISBLANK(Arrangörslista!I$98),"",IFERROR(VLOOKUP($F31,Arrangörslista!I$98:$AG$135,16,FALSE),IF(ISBLANK(Deltagarlista!$C32),"",IF(ISBLANK(Arrangörslista!I$98),"",IFERROR(VLOOKUP($F31,Arrangörslista!J$98:$AG$135,16,FALSE),"DNS")))))),IF(Deltagarlista!$K$3=2,
IF(ISBLANK(Deltagarlista!$C32),"",IF(ISBLANK(Arrangörslista!F$53),"",IF($GV31=AB$64," DNS ",IFERROR(VLOOKUP($F31,Arrangörslista!F$53:$AG$90,16,FALSE),"DNS")))),IF(ISBLANK(Deltagarlista!$C32),"",IF(ISBLANK(Arrangörslista!F$53),"",IFERROR(VLOOKUP($F31,Arrangörslista!F$53:$AG$90,16,FALSE),"DNS")))))</f>
        <v/>
      </c>
      <c r="AC31" s="5" t="str">
        <f>IF(Deltagarlista!$K$3=4,IF(ISBLANK(Deltagarlista!$C32),"",IF(ISBLANK(Arrangörslista!K$98),"",IFERROR(VLOOKUP($F31,Arrangörslista!K$98:$AG$135,16,FALSE),IF(ISBLANK(Deltagarlista!$C32),"",IF(ISBLANK(Arrangörslista!K$98),"",IFERROR(VLOOKUP($F31,Arrangörslista!L$98:$AG$135,16,FALSE),"DNS")))))),IF(Deltagarlista!$K$3=2,
IF(ISBLANK(Deltagarlista!$C32),"",IF(ISBLANK(Arrangörslista!G$53),"",IF($GV31=AC$64," DNS ",IFERROR(VLOOKUP($F31,Arrangörslista!G$53:$AG$90,16,FALSE),"DNS")))),IF(ISBLANK(Deltagarlista!$C32),"",IF(ISBLANK(Arrangörslista!G$53),"",IFERROR(VLOOKUP($F31,Arrangörslista!G$53:$AG$90,16,FALSE),"DNS")))))</f>
        <v/>
      </c>
      <c r="AD31" s="5" t="str">
        <f>IF(Deltagarlista!$K$3=4,IF(ISBLANK(Deltagarlista!$C32),"",IF(ISBLANK(Arrangörslista!M$98),"",IFERROR(VLOOKUP($F31,Arrangörslista!M$98:$AG$135,16,FALSE),IF(ISBLANK(Deltagarlista!$C32),"",IF(ISBLANK(Arrangörslista!M$98),"",IFERROR(VLOOKUP($F31,Arrangörslista!N$98:$AG$135,16,FALSE),"DNS")))))),IF(Deltagarlista!$K$3=2,
IF(ISBLANK(Deltagarlista!$C32),"",IF(ISBLANK(Arrangörslista!H$53),"",IF($GV31=AD$64," DNS ",IFERROR(VLOOKUP($F31,Arrangörslista!H$53:$AG$90,16,FALSE),"DNS")))),IF(ISBLANK(Deltagarlista!$C32),"",IF(ISBLANK(Arrangörslista!H$53),"",IFERROR(VLOOKUP($F31,Arrangörslista!H$53:$AG$90,16,FALSE),"DNS")))))</f>
        <v/>
      </c>
      <c r="AE31" s="5" t="str">
        <f>IF(Deltagarlista!$K$3=4,IF(ISBLANK(Deltagarlista!$C32),"",IF(ISBLANK(Arrangörslista!O$98),"",IFERROR(VLOOKUP($F31,Arrangörslista!O$98:$AG$135,16,FALSE),IF(ISBLANK(Deltagarlista!$C32),"",IF(ISBLANK(Arrangörslista!O$98),"",IFERROR(VLOOKUP($F31,Arrangörslista!P$98:$AG$135,16,FALSE),"DNS")))))),IF(Deltagarlista!$K$3=2,
IF(ISBLANK(Deltagarlista!$C32),"",IF(ISBLANK(Arrangörslista!I$53),"",IF($GV31=AE$64," DNS ",IFERROR(VLOOKUP($F31,Arrangörslista!I$53:$AG$90,16,FALSE),"DNS")))),IF(ISBLANK(Deltagarlista!$C32),"",IF(ISBLANK(Arrangörslista!I$53),"",IFERROR(VLOOKUP($F31,Arrangörslista!I$53:$AG$90,16,FALSE),"DNS")))))</f>
        <v/>
      </c>
      <c r="AF31" s="5" t="str">
        <f>IF(Deltagarlista!$K$3=4,IF(ISBLANK(Deltagarlista!$C32),"",IF(ISBLANK(Arrangörslista!Q$98),"",IFERROR(VLOOKUP($F31,Arrangörslista!Q$98:$AG$135,16,FALSE),IF(ISBLANK(Deltagarlista!$C32),"",IF(ISBLANK(Arrangörslista!Q$98),"",IFERROR(VLOOKUP($F31,Arrangörslista!C$143:$AG$180,16,FALSE),"DNS")))))),IF(Deltagarlista!$K$3=2,
IF(ISBLANK(Deltagarlista!$C32),"",IF(ISBLANK(Arrangörslista!J$53),"",IF($GV31=AF$64," DNS ",IFERROR(VLOOKUP($F31,Arrangörslista!J$53:$AG$90,16,FALSE),"DNS")))),IF(ISBLANK(Deltagarlista!$C32),"",IF(ISBLANK(Arrangörslista!J$53),"",IFERROR(VLOOKUP($F31,Arrangörslista!J$53:$AG$90,16,FALSE),"DNS")))))</f>
        <v/>
      </c>
      <c r="AG31" s="5" t="str">
        <f>IF(Deltagarlista!$K$3=4,IF(ISBLANK(Deltagarlista!$C32),"",IF(ISBLANK(Arrangörslista!D$143),"",IFERROR(VLOOKUP($F31,Arrangörslista!D$143:$AG$180,16,FALSE),IF(ISBLANK(Deltagarlista!$C32),"",IF(ISBLANK(Arrangörslista!D$143),"",IFERROR(VLOOKUP($F31,Arrangörslista!E$143:$AG$180,16,FALSE),"DNS")))))),IF(Deltagarlista!$K$3=2,
IF(ISBLANK(Deltagarlista!$C32),"",IF(ISBLANK(Arrangörslista!K$53),"",IF($GV31=AG$64," DNS ",IFERROR(VLOOKUP($F31,Arrangörslista!K$53:$AG$90,16,FALSE),"DNS")))),IF(ISBLANK(Deltagarlista!$C32),"",IF(ISBLANK(Arrangörslista!K$53),"",IFERROR(VLOOKUP($F31,Arrangörslista!K$53:$AG$90,16,FALSE),"DNS")))))</f>
        <v/>
      </c>
      <c r="AH31" s="5" t="str">
        <f>IF(Deltagarlista!$K$3=4,IF(ISBLANK(Deltagarlista!$C32),"",IF(ISBLANK(Arrangörslista!F$143),"",IFERROR(VLOOKUP($F31,Arrangörslista!F$143:$AG$180,16,FALSE),IF(ISBLANK(Deltagarlista!$C32),"",IF(ISBLANK(Arrangörslista!F$143),"",IFERROR(VLOOKUP($F31,Arrangörslista!G$143:$AG$180,16,FALSE),"DNS")))))),IF(Deltagarlista!$K$3=2,
IF(ISBLANK(Deltagarlista!$C32),"",IF(ISBLANK(Arrangörslista!L$53),"",IF($GV31=AH$64," DNS ",IFERROR(VLOOKUP($F31,Arrangörslista!L$53:$AG$90,16,FALSE),"DNS")))),IF(ISBLANK(Deltagarlista!$C32),"",IF(ISBLANK(Arrangörslista!L$53),"",IFERROR(VLOOKUP($F31,Arrangörslista!L$53:$AG$90,16,FALSE),"DNS")))))</f>
        <v/>
      </c>
      <c r="AI31" s="5" t="str">
        <f>IF(Deltagarlista!$K$3=4,IF(ISBLANK(Deltagarlista!$C32),"",IF(ISBLANK(Arrangörslista!H$143),"",IFERROR(VLOOKUP($F31,Arrangörslista!H$143:$AG$180,16,FALSE),IF(ISBLANK(Deltagarlista!$C32),"",IF(ISBLANK(Arrangörslista!H$143),"",IFERROR(VLOOKUP($F31,Arrangörslista!I$143:$AG$180,16,FALSE),"DNS")))))),IF(Deltagarlista!$K$3=2,
IF(ISBLANK(Deltagarlista!$C32),"",IF(ISBLANK(Arrangörslista!M$53),"",IF($GV31=AI$64," DNS ",IFERROR(VLOOKUP($F31,Arrangörslista!M$53:$AG$90,16,FALSE),"DNS")))),IF(ISBLANK(Deltagarlista!$C32),"",IF(ISBLANK(Arrangörslista!M$53),"",IFERROR(VLOOKUP($F31,Arrangörslista!M$53:$AG$90,16,FALSE),"DNS")))))</f>
        <v/>
      </c>
      <c r="AJ31" s="5" t="str">
        <f>IF(Deltagarlista!$K$3=4,IF(ISBLANK(Deltagarlista!$C32),"",IF(ISBLANK(Arrangörslista!J$143),"",IFERROR(VLOOKUP($F31,Arrangörslista!J$143:$AG$180,16,FALSE),IF(ISBLANK(Deltagarlista!$C32),"",IF(ISBLANK(Arrangörslista!J$143),"",IFERROR(VLOOKUP($F31,Arrangörslista!K$143:$AG$180,16,FALSE),"DNS")))))),IF(Deltagarlista!$K$3=2,
IF(ISBLANK(Deltagarlista!$C32),"",IF(ISBLANK(Arrangörslista!N$53),"",IF($GV31=AJ$64," DNS ",IFERROR(VLOOKUP($F31,Arrangörslista!N$53:$AG$90,16,FALSE),"DNS")))),IF(ISBLANK(Deltagarlista!$C32),"",IF(ISBLANK(Arrangörslista!N$53),"",IFERROR(VLOOKUP($F31,Arrangörslista!N$53:$AG$90,16,FALSE),"DNS")))))</f>
        <v/>
      </c>
      <c r="AK31" s="5" t="str">
        <f>IF(Deltagarlista!$K$3=4,IF(ISBLANK(Deltagarlista!$C32),"",IF(ISBLANK(Arrangörslista!L$143),"",IFERROR(VLOOKUP($F31,Arrangörslista!L$143:$AG$180,16,FALSE),IF(ISBLANK(Deltagarlista!$C32),"",IF(ISBLANK(Arrangörslista!L$143),"",IFERROR(VLOOKUP($F31,Arrangörslista!M$143:$AG$180,16,FALSE),"DNS")))))),IF(Deltagarlista!$K$3=2,
IF(ISBLANK(Deltagarlista!$C32),"",IF(ISBLANK(Arrangörslista!O$53),"",IF($GV31=AK$64," DNS ",IFERROR(VLOOKUP($F31,Arrangörslista!O$53:$AG$90,16,FALSE),"DNS")))),IF(ISBLANK(Deltagarlista!$C32),"",IF(ISBLANK(Arrangörslista!O$53),"",IFERROR(VLOOKUP($F31,Arrangörslista!O$53:$AG$90,16,FALSE),"DNS")))))</f>
        <v/>
      </c>
      <c r="AL31" s="5" t="str">
        <f>IF(Deltagarlista!$K$3=4,IF(ISBLANK(Deltagarlista!$C32),"",IF(ISBLANK(Arrangörslista!N$143),"",IFERROR(VLOOKUP($F31,Arrangörslista!N$143:$AG$180,16,FALSE),IF(ISBLANK(Deltagarlista!$C32),"",IF(ISBLANK(Arrangörslista!N$143),"",IFERROR(VLOOKUP($F31,Arrangörslista!O$143:$AG$180,16,FALSE),"DNS")))))),IF(Deltagarlista!$K$3=2,
IF(ISBLANK(Deltagarlista!$C32),"",IF(ISBLANK(Arrangörslista!P$53),"",IF($GV31=AL$64," DNS ",IFERROR(VLOOKUP($F31,Arrangörslista!P$53:$AG$90,16,FALSE),"DNS")))),IF(ISBLANK(Deltagarlista!$C32),"",IF(ISBLANK(Arrangörslista!P$53),"",IFERROR(VLOOKUP($F31,Arrangörslista!P$53:$AG$90,16,FALSE),"DNS")))))</f>
        <v/>
      </c>
      <c r="AM31" s="5" t="str">
        <f>IF(Deltagarlista!$K$3=4,IF(ISBLANK(Deltagarlista!$C32),"",IF(ISBLANK(Arrangörslista!P$143),"",IFERROR(VLOOKUP($F31,Arrangörslista!P$143:$AG$180,16,FALSE),IF(ISBLANK(Deltagarlista!$C32),"",IF(ISBLANK(Arrangörslista!P$143),"",IFERROR(VLOOKUP($F31,Arrangörslista!Q$143:$AG$180,16,FALSE),"DNS")))))),IF(Deltagarlista!$K$3=2,
IF(ISBLANK(Deltagarlista!$C32),"",IF(ISBLANK(Arrangörslista!Q$53),"",IF($GV31=AM$64," DNS ",IFERROR(VLOOKUP($F31,Arrangörslista!Q$53:$AG$90,16,FALSE),"DNS")))),IF(ISBLANK(Deltagarlista!$C32),"",IF(ISBLANK(Arrangörslista!Q$53),"",IFERROR(VLOOKUP($F31,Arrangörslista!Q$53:$AG$90,16,FALSE),"DNS")))))</f>
        <v/>
      </c>
      <c r="AN31" s="5" t="str">
        <f>IF(Deltagarlista!$K$3=2,
IF(ISBLANK(Deltagarlista!$C32),"",IF(ISBLANK(Arrangörslista!C$98),"",IF($GV31=AN$64," DNS ",IFERROR(VLOOKUP($F31,Arrangörslista!C$98:$AG$135,16,FALSE), "DNS")))), IF(Deltagarlista!$K$3=1,IF(ISBLANK(Deltagarlista!$C32),"",IF(ISBLANK(Arrangörslista!C$98),"",IFERROR(VLOOKUP($F31,Arrangörslista!C$98:$AG$135,16,FALSE), "DNS"))),""))</f>
        <v/>
      </c>
      <c r="AO31" s="5" t="str">
        <f>IF(Deltagarlista!$K$3=2,
IF(ISBLANK(Deltagarlista!$C32),"",IF(ISBLANK(Arrangörslista!D$98),"",IF($GV31=AO$64," DNS ",IFERROR(VLOOKUP($F31,Arrangörslista!D$98:$AG$135,16,FALSE), "DNS")))), IF(Deltagarlista!$K$3=1,IF(ISBLANK(Deltagarlista!$C32),"",IF(ISBLANK(Arrangörslista!D$98),"",IFERROR(VLOOKUP($F31,Arrangörslista!D$98:$AG$135,16,FALSE), "DNS"))),""))</f>
        <v/>
      </c>
      <c r="AP31" s="5" t="str">
        <f>IF(Deltagarlista!$K$3=2,
IF(ISBLANK(Deltagarlista!$C32),"",IF(ISBLANK(Arrangörslista!E$98),"",IF($GV31=AP$64," DNS ",IFERROR(VLOOKUP($F31,Arrangörslista!E$98:$AG$135,16,FALSE), "DNS")))), IF(Deltagarlista!$K$3=1,IF(ISBLANK(Deltagarlista!$C32),"",IF(ISBLANK(Arrangörslista!E$98),"",IFERROR(VLOOKUP($F31,Arrangörslista!E$98:$AG$135,16,FALSE), "DNS"))),""))</f>
        <v/>
      </c>
      <c r="AQ31" s="5" t="str">
        <f>IF(Deltagarlista!$K$3=2,
IF(ISBLANK(Deltagarlista!$C32),"",IF(ISBLANK(Arrangörslista!F$98),"",IF($GV31=AQ$64," DNS ",IFERROR(VLOOKUP($F31,Arrangörslista!F$98:$AG$135,16,FALSE), "DNS")))), IF(Deltagarlista!$K$3=1,IF(ISBLANK(Deltagarlista!$C32),"",IF(ISBLANK(Arrangörslista!F$98),"",IFERROR(VLOOKUP($F31,Arrangörslista!F$98:$AG$135,16,FALSE), "DNS"))),""))</f>
        <v/>
      </c>
      <c r="AR31" s="5" t="str">
        <f>IF(Deltagarlista!$K$3=2,
IF(ISBLANK(Deltagarlista!$C32),"",IF(ISBLANK(Arrangörslista!G$98),"",IF($GV31=AR$64," DNS ",IFERROR(VLOOKUP($F31,Arrangörslista!G$98:$AG$135,16,FALSE), "DNS")))), IF(Deltagarlista!$K$3=1,IF(ISBLANK(Deltagarlista!$C32),"",IF(ISBLANK(Arrangörslista!G$98),"",IFERROR(VLOOKUP($F31,Arrangörslista!G$98:$AG$135,16,FALSE), "DNS"))),""))</f>
        <v/>
      </c>
      <c r="AS31" s="5" t="str">
        <f>IF(Deltagarlista!$K$3=2,
IF(ISBLANK(Deltagarlista!$C32),"",IF(ISBLANK(Arrangörslista!H$98),"",IF($GV31=AS$64," DNS ",IFERROR(VLOOKUP($F31,Arrangörslista!H$98:$AG$135,16,FALSE), "DNS")))), IF(Deltagarlista!$K$3=1,IF(ISBLANK(Deltagarlista!$C32),"",IF(ISBLANK(Arrangörslista!H$98),"",IFERROR(VLOOKUP($F31,Arrangörslista!H$98:$AG$135,16,FALSE), "DNS"))),""))</f>
        <v/>
      </c>
      <c r="AT31" s="5" t="str">
        <f>IF(Deltagarlista!$K$3=2,
IF(ISBLANK(Deltagarlista!$C32),"",IF(ISBLANK(Arrangörslista!I$98),"",IF($GV31=AT$64," DNS ",IFERROR(VLOOKUP($F31,Arrangörslista!I$98:$AG$135,16,FALSE), "DNS")))), IF(Deltagarlista!$K$3=1,IF(ISBLANK(Deltagarlista!$C32),"",IF(ISBLANK(Arrangörslista!I$98),"",IFERROR(VLOOKUP($F31,Arrangörslista!I$98:$AG$135,16,FALSE), "DNS"))),""))</f>
        <v/>
      </c>
      <c r="AU31" s="5" t="str">
        <f>IF(Deltagarlista!$K$3=2,
IF(ISBLANK(Deltagarlista!$C32),"",IF(ISBLANK(Arrangörslista!J$98),"",IF($GV31=AU$64," DNS ",IFERROR(VLOOKUP($F31,Arrangörslista!J$98:$AG$135,16,FALSE), "DNS")))), IF(Deltagarlista!$K$3=1,IF(ISBLANK(Deltagarlista!$C32),"",IF(ISBLANK(Arrangörslista!J$98),"",IFERROR(VLOOKUP($F31,Arrangörslista!J$98:$AG$135,16,FALSE), "DNS"))),""))</f>
        <v/>
      </c>
      <c r="AV31" s="5" t="str">
        <f>IF(Deltagarlista!$K$3=2,
IF(ISBLANK(Deltagarlista!$C32),"",IF(ISBLANK(Arrangörslista!K$98),"",IF($GV31=AV$64," DNS ",IFERROR(VLOOKUP($F31,Arrangörslista!K$98:$AG$135,16,FALSE), "DNS")))), IF(Deltagarlista!$K$3=1,IF(ISBLANK(Deltagarlista!$C32),"",IF(ISBLANK(Arrangörslista!K$98),"",IFERROR(VLOOKUP($F31,Arrangörslista!K$98:$AG$135,16,FALSE), "DNS"))),""))</f>
        <v/>
      </c>
      <c r="AW31" s="5" t="str">
        <f>IF(Deltagarlista!$K$3=2,
IF(ISBLANK(Deltagarlista!$C32),"",IF(ISBLANK(Arrangörslista!L$98),"",IF($GV31=AW$64," DNS ",IFERROR(VLOOKUP($F31,Arrangörslista!L$98:$AG$135,16,FALSE), "DNS")))), IF(Deltagarlista!$K$3=1,IF(ISBLANK(Deltagarlista!$C32),"",IF(ISBLANK(Arrangörslista!L$98),"",IFERROR(VLOOKUP($F31,Arrangörslista!L$98:$AG$135,16,FALSE), "DNS"))),""))</f>
        <v/>
      </c>
      <c r="AX31" s="5" t="str">
        <f>IF(Deltagarlista!$K$3=2,
IF(ISBLANK(Deltagarlista!$C32),"",IF(ISBLANK(Arrangörslista!M$98),"",IF($GV31=AX$64," DNS ",IFERROR(VLOOKUP($F31,Arrangörslista!M$98:$AG$135,16,FALSE), "DNS")))), IF(Deltagarlista!$K$3=1,IF(ISBLANK(Deltagarlista!$C32),"",IF(ISBLANK(Arrangörslista!M$98),"",IFERROR(VLOOKUP($F31,Arrangörslista!M$98:$AG$135,16,FALSE), "DNS"))),""))</f>
        <v/>
      </c>
      <c r="AY31" s="5" t="str">
        <f>IF(Deltagarlista!$K$3=2,
IF(ISBLANK(Deltagarlista!$C32),"",IF(ISBLANK(Arrangörslista!N$98),"",IF($GV31=AY$64," DNS ",IFERROR(VLOOKUP($F31,Arrangörslista!N$98:$AG$135,16,FALSE), "DNS")))), IF(Deltagarlista!$K$3=1,IF(ISBLANK(Deltagarlista!$C32),"",IF(ISBLANK(Arrangörslista!N$98),"",IFERROR(VLOOKUP($F31,Arrangörslista!N$98:$AG$135,16,FALSE), "DNS"))),""))</f>
        <v/>
      </c>
      <c r="AZ31" s="5" t="str">
        <f>IF(Deltagarlista!$K$3=2,
IF(ISBLANK(Deltagarlista!$C32),"",IF(ISBLANK(Arrangörslista!O$98),"",IF($GV31=AZ$64," DNS ",IFERROR(VLOOKUP($F31,Arrangörslista!O$98:$AG$135,16,FALSE), "DNS")))), IF(Deltagarlista!$K$3=1,IF(ISBLANK(Deltagarlista!$C32),"",IF(ISBLANK(Arrangörslista!O$98),"",IFERROR(VLOOKUP($F31,Arrangörslista!O$98:$AG$135,16,FALSE), "DNS"))),""))</f>
        <v/>
      </c>
      <c r="BA31" s="5" t="str">
        <f>IF(Deltagarlista!$K$3=2,
IF(ISBLANK(Deltagarlista!$C32),"",IF(ISBLANK(Arrangörslista!P$98),"",IF($GV31=BA$64," DNS ",IFERROR(VLOOKUP($F31,Arrangörslista!P$98:$AG$135,16,FALSE), "DNS")))), IF(Deltagarlista!$K$3=1,IF(ISBLANK(Deltagarlista!$C32),"",IF(ISBLANK(Arrangörslista!P$98),"",IFERROR(VLOOKUP($F31,Arrangörslista!P$98:$AG$135,16,FALSE), "DNS"))),""))</f>
        <v/>
      </c>
      <c r="BB31" s="5" t="str">
        <f>IF(Deltagarlista!$K$3=2,
IF(ISBLANK(Deltagarlista!$C32),"",IF(ISBLANK(Arrangörslista!Q$98),"",IF($GV31=BB$64," DNS ",IFERROR(VLOOKUP($F31,Arrangörslista!Q$98:$AG$135,16,FALSE), "DNS")))), IF(Deltagarlista!$K$3=1,IF(ISBLANK(Deltagarlista!$C32),"",IF(ISBLANK(Arrangörslista!Q$98),"",IFERROR(VLOOKUP($F31,Arrangörslista!Q$98:$AG$135,16,FALSE), "DNS"))),""))</f>
        <v/>
      </c>
      <c r="BC31" s="5" t="str">
        <f>IF(Deltagarlista!$K$3=2,
IF(ISBLANK(Deltagarlista!$C32),"",IF(ISBLANK(Arrangörslista!C$143),"",IF($GV31=BC$64," DNS ",IFERROR(VLOOKUP($F31,Arrangörslista!C$143:$AG$180,16,FALSE), "DNS")))), IF(Deltagarlista!$K$3=1,IF(ISBLANK(Deltagarlista!$C32),"",IF(ISBLANK(Arrangörslista!C$143),"",IFERROR(VLOOKUP($F31,Arrangörslista!C$143:$AG$180,16,FALSE), "DNS"))),""))</f>
        <v/>
      </c>
      <c r="BD31" s="5" t="str">
        <f>IF(Deltagarlista!$K$3=2,
IF(ISBLANK(Deltagarlista!$C32),"",IF(ISBLANK(Arrangörslista!D$143),"",IF($GV31=BD$64," DNS ",IFERROR(VLOOKUP($F31,Arrangörslista!D$143:$AG$180,16,FALSE), "DNS")))), IF(Deltagarlista!$K$3=1,IF(ISBLANK(Deltagarlista!$C32),"",IF(ISBLANK(Arrangörslista!D$143),"",IFERROR(VLOOKUP($F31,Arrangörslista!D$143:$AG$180,16,FALSE), "DNS"))),""))</f>
        <v/>
      </c>
      <c r="BE31" s="5" t="str">
        <f>IF(Deltagarlista!$K$3=2,
IF(ISBLANK(Deltagarlista!$C32),"",IF(ISBLANK(Arrangörslista!E$143),"",IF($GV31=BE$64," DNS ",IFERROR(VLOOKUP($F31,Arrangörslista!E$143:$AG$180,16,FALSE), "DNS")))), IF(Deltagarlista!$K$3=1,IF(ISBLANK(Deltagarlista!$C32),"",IF(ISBLANK(Arrangörslista!E$143),"",IFERROR(VLOOKUP($F31,Arrangörslista!E$143:$AG$180,16,FALSE), "DNS"))),""))</f>
        <v/>
      </c>
      <c r="BF31" s="5" t="str">
        <f>IF(Deltagarlista!$K$3=2,
IF(ISBLANK(Deltagarlista!$C32),"",IF(ISBLANK(Arrangörslista!F$143),"",IF($GV31=BF$64," DNS ",IFERROR(VLOOKUP($F31,Arrangörslista!F$143:$AG$180,16,FALSE), "DNS")))), IF(Deltagarlista!$K$3=1,IF(ISBLANK(Deltagarlista!$C32),"",IF(ISBLANK(Arrangörslista!F$143),"",IFERROR(VLOOKUP($F31,Arrangörslista!F$143:$AG$180,16,FALSE), "DNS"))),""))</f>
        <v/>
      </c>
      <c r="BG31" s="5" t="str">
        <f>IF(Deltagarlista!$K$3=2,
IF(ISBLANK(Deltagarlista!$C32),"",IF(ISBLANK(Arrangörslista!G$143),"",IF($GV31=BG$64," DNS ",IFERROR(VLOOKUP($F31,Arrangörslista!G$143:$AG$180,16,FALSE), "DNS")))), IF(Deltagarlista!$K$3=1,IF(ISBLANK(Deltagarlista!$C32),"",IF(ISBLANK(Arrangörslista!G$143),"",IFERROR(VLOOKUP($F31,Arrangörslista!G$143:$AG$180,16,FALSE), "DNS"))),""))</f>
        <v/>
      </c>
      <c r="BH31" s="5" t="str">
        <f>IF(Deltagarlista!$K$3=2,
IF(ISBLANK(Deltagarlista!$C32),"",IF(ISBLANK(Arrangörslista!H$143),"",IF($GV31=BH$64," DNS ",IFERROR(VLOOKUP($F31,Arrangörslista!H$143:$AG$180,16,FALSE), "DNS")))), IF(Deltagarlista!$K$3=1,IF(ISBLANK(Deltagarlista!$C32),"",IF(ISBLANK(Arrangörslista!H$143),"",IFERROR(VLOOKUP($F31,Arrangörslista!H$143:$AG$180,16,FALSE), "DNS"))),""))</f>
        <v/>
      </c>
      <c r="BI31" s="5" t="str">
        <f>IF(Deltagarlista!$K$3=2,
IF(ISBLANK(Deltagarlista!$C32),"",IF(ISBLANK(Arrangörslista!I$143),"",IF($GV31=BI$64," DNS ",IFERROR(VLOOKUP($F31,Arrangörslista!I$143:$AG$180,16,FALSE), "DNS")))), IF(Deltagarlista!$K$3=1,IF(ISBLANK(Deltagarlista!$C32),"",IF(ISBLANK(Arrangörslista!I$143),"",IFERROR(VLOOKUP($F31,Arrangörslista!I$143:$AG$180,16,FALSE), "DNS"))),""))</f>
        <v/>
      </c>
      <c r="BJ31" s="5" t="str">
        <f>IF(Deltagarlista!$K$3=2,
IF(ISBLANK(Deltagarlista!$C32),"",IF(ISBLANK(Arrangörslista!J$143),"",IF($GV31=BJ$64," DNS ",IFERROR(VLOOKUP($F31,Arrangörslista!J$143:$AG$180,16,FALSE), "DNS")))), IF(Deltagarlista!$K$3=1,IF(ISBLANK(Deltagarlista!$C32),"",IF(ISBLANK(Arrangörslista!J$143),"",IFERROR(VLOOKUP($F31,Arrangörslista!J$143:$AG$180,16,FALSE), "DNS"))),""))</f>
        <v/>
      </c>
      <c r="BK31" s="5" t="str">
        <f>IF(Deltagarlista!$K$3=2,
IF(ISBLANK(Deltagarlista!$C32),"",IF(ISBLANK(Arrangörslista!K$143),"",IF($GV31=BK$64," DNS ",IFERROR(VLOOKUP($F31,Arrangörslista!K$143:$AG$180,16,FALSE), "DNS")))), IF(Deltagarlista!$K$3=1,IF(ISBLANK(Deltagarlista!$C32),"",IF(ISBLANK(Arrangörslista!K$143),"",IFERROR(VLOOKUP($F31,Arrangörslista!K$143:$AG$180,16,FALSE), "DNS"))),""))</f>
        <v/>
      </c>
      <c r="BL31" s="5" t="str">
        <f>IF(Deltagarlista!$K$3=2,
IF(ISBLANK(Deltagarlista!$C32),"",IF(ISBLANK(Arrangörslista!L$143),"",IF($GV31=BL$64," DNS ",IFERROR(VLOOKUP($F31,Arrangörslista!L$143:$AG$180,16,FALSE), "DNS")))), IF(Deltagarlista!$K$3=1,IF(ISBLANK(Deltagarlista!$C32),"",IF(ISBLANK(Arrangörslista!L$143),"",IFERROR(VLOOKUP($F31,Arrangörslista!L$143:$AG$180,16,FALSE), "DNS"))),""))</f>
        <v/>
      </c>
      <c r="BM31" s="5" t="str">
        <f>IF(Deltagarlista!$K$3=2,
IF(ISBLANK(Deltagarlista!$C32),"",IF(ISBLANK(Arrangörslista!M$143),"",IF($GV31=BM$64," DNS ",IFERROR(VLOOKUP($F31,Arrangörslista!M$143:$AG$180,16,FALSE), "DNS")))), IF(Deltagarlista!$K$3=1,IF(ISBLANK(Deltagarlista!$C32),"",IF(ISBLANK(Arrangörslista!M$143),"",IFERROR(VLOOKUP($F31,Arrangörslista!M$143:$AG$180,16,FALSE), "DNS"))),""))</f>
        <v/>
      </c>
      <c r="BN31" s="5" t="str">
        <f>IF(Deltagarlista!$K$3=2,
IF(ISBLANK(Deltagarlista!$C32),"",IF(ISBLANK(Arrangörslista!N$143),"",IF($GV31=BN$64," DNS ",IFERROR(VLOOKUP($F31,Arrangörslista!N$143:$AG$180,16,FALSE), "DNS")))), IF(Deltagarlista!$K$3=1,IF(ISBLANK(Deltagarlista!$C32),"",IF(ISBLANK(Arrangörslista!N$143),"",IFERROR(VLOOKUP($F31,Arrangörslista!N$143:$AG$180,16,FALSE), "DNS"))),""))</f>
        <v/>
      </c>
      <c r="BO31" s="5" t="str">
        <f>IF(Deltagarlista!$K$3=2,
IF(ISBLANK(Deltagarlista!$C32),"",IF(ISBLANK(Arrangörslista!O$143),"",IF($GV31=BO$64," DNS ",IFERROR(VLOOKUP($F31,Arrangörslista!O$143:$AG$180,16,FALSE), "DNS")))), IF(Deltagarlista!$K$3=1,IF(ISBLANK(Deltagarlista!$C32),"",IF(ISBLANK(Arrangörslista!O$143),"",IFERROR(VLOOKUP($F31,Arrangörslista!O$143:$AG$180,16,FALSE), "DNS"))),""))</f>
        <v/>
      </c>
      <c r="BP31" s="5" t="str">
        <f>IF(Deltagarlista!$K$3=2,
IF(ISBLANK(Deltagarlista!$C32),"",IF(ISBLANK(Arrangörslista!P$143),"",IF($GV31=BP$64," DNS ",IFERROR(VLOOKUP($F31,Arrangörslista!P$143:$AG$180,16,FALSE), "DNS")))), IF(Deltagarlista!$K$3=1,IF(ISBLANK(Deltagarlista!$C32),"",IF(ISBLANK(Arrangörslista!P$143),"",IFERROR(VLOOKUP($F31,Arrangörslista!P$143:$AG$180,16,FALSE), "DNS"))),""))</f>
        <v/>
      </c>
      <c r="BQ31" s="80" t="str">
        <f>IF(Deltagarlista!$K$3=2,
IF(ISBLANK(Deltagarlista!$C32),"",IF(ISBLANK(Arrangörslista!Q$143),"",IF($GV31=BQ$64," DNS ",IFERROR(VLOOKUP($F31,Arrangörslista!Q$143:$AG$180,16,FALSE), "DNS")))), IF(Deltagarlista!$K$3=1,IF(ISBLANK(Deltagarlista!$C32),"",IF(ISBLANK(Arrangörslista!Q$143),"",IFERROR(VLOOKUP($F31,Arrangörslista!Q$143:$AG$180,16,FALSE), "DNS"))),""))</f>
        <v/>
      </c>
      <c r="BR31" s="51"/>
      <c r="BS31" s="50" t="str">
        <f t="shared" si="0"/>
        <v>2</v>
      </c>
      <c r="BT31" s="51"/>
      <c r="BU31" s="71">
        <f t="shared" si="1"/>
        <v>0</v>
      </c>
      <c r="BV31" s="61">
        <f t="shared" si="2"/>
        <v>0</v>
      </c>
      <c r="BW31" s="61">
        <f t="shared" si="3"/>
        <v>0</v>
      </c>
      <c r="BX31" s="61">
        <f t="shared" si="4"/>
        <v>0</v>
      </c>
      <c r="BY31" s="61">
        <f t="shared" si="5"/>
        <v>0</v>
      </c>
      <c r="BZ31" s="61">
        <f t="shared" si="6"/>
        <v>0</v>
      </c>
      <c r="CA31" s="61">
        <f t="shared" si="7"/>
        <v>0</v>
      </c>
      <c r="CB31" s="61">
        <f t="shared" si="8"/>
        <v>0</v>
      </c>
      <c r="CC31" s="61">
        <f t="shared" si="9"/>
        <v>0</v>
      </c>
      <c r="CD31" s="61">
        <f t="shared" si="10"/>
        <v>0</v>
      </c>
      <c r="CE31" s="61">
        <f t="shared" si="11"/>
        <v>0</v>
      </c>
      <c r="CF31" s="61">
        <f t="shared" si="12"/>
        <v>0</v>
      </c>
      <c r="CG31" s="61">
        <f t="shared" si="13"/>
        <v>0</v>
      </c>
      <c r="CH31" s="61">
        <f t="shared" si="14"/>
        <v>0</v>
      </c>
      <c r="CI31" s="61">
        <f t="shared" si="15"/>
        <v>0</v>
      </c>
      <c r="CJ31" s="61">
        <f t="shared" si="16"/>
        <v>0</v>
      </c>
      <c r="CK31" s="61">
        <f t="shared" si="17"/>
        <v>0</v>
      </c>
      <c r="CL31" s="61">
        <f t="shared" si="18"/>
        <v>0</v>
      </c>
      <c r="CM31" s="61">
        <f t="shared" si="19"/>
        <v>0</v>
      </c>
      <c r="CN31" s="61">
        <f t="shared" si="20"/>
        <v>0</v>
      </c>
      <c r="CO31" s="61">
        <f t="shared" si="21"/>
        <v>0</v>
      </c>
      <c r="CP31" s="61">
        <f t="shared" si="22"/>
        <v>0</v>
      </c>
      <c r="CQ31" s="61">
        <f t="shared" si="23"/>
        <v>0</v>
      </c>
      <c r="CR31" s="61">
        <f t="shared" si="24"/>
        <v>0</v>
      </c>
      <c r="CS31" s="61">
        <f t="shared" si="25"/>
        <v>0</v>
      </c>
      <c r="CT31" s="61">
        <f t="shared" si="26"/>
        <v>0</v>
      </c>
      <c r="CU31" s="61">
        <f t="shared" si="27"/>
        <v>0</v>
      </c>
      <c r="CV31" s="61">
        <f t="shared" si="28"/>
        <v>0</v>
      </c>
      <c r="CW31" s="61">
        <f t="shared" si="29"/>
        <v>0</v>
      </c>
      <c r="CX31" s="61">
        <f t="shared" si="30"/>
        <v>0</v>
      </c>
      <c r="CY31" s="61">
        <f t="shared" si="31"/>
        <v>0</v>
      </c>
      <c r="CZ31" s="61">
        <f t="shared" si="32"/>
        <v>0</v>
      </c>
      <c r="DA31" s="61">
        <f t="shared" si="33"/>
        <v>0</v>
      </c>
      <c r="DB31" s="61">
        <f t="shared" si="34"/>
        <v>0</v>
      </c>
      <c r="DC31" s="61">
        <f t="shared" si="35"/>
        <v>0</v>
      </c>
      <c r="DD31" s="61">
        <f t="shared" si="36"/>
        <v>0</v>
      </c>
      <c r="DE31" s="61">
        <f t="shared" si="37"/>
        <v>0</v>
      </c>
      <c r="DF31" s="61">
        <f t="shared" si="38"/>
        <v>0</v>
      </c>
      <c r="DG31" s="61">
        <f t="shared" si="39"/>
        <v>0</v>
      </c>
      <c r="DH31" s="61">
        <f t="shared" si="40"/>
        <v>0</v>
      </c>
      <c r="DI31" s="61">
        <f t="shared" si="41"/>
        <v>0</v>
      </c>
      <c r="DJ31" s="61">
        <f t="shared" si="42"/>
        <v>0</v>
      </c>
      <c r="DK31" s="61">
        <f t="shared" si="43"/>
        <v>0</v>
      </c>
      <c r="DL31" s="61">
        <f t="shared" si="44"/>
        <v>0</v>
      </c>
      <c r="DM31" s="61">
        <f t="shared" si="45"/>
        <v>0</v>
      </c>
      <c r="DN31" s="61">
        <f t="shared" si="46"/>
        <v>0</v>
      </c>
      <c r="DO31" s="61">
        <f t="shared" si="47"/>
        <v>0</v>
      </c>
      <c r="DP31" s="61">
        <f t="shared" si="48"/>
        <v>0</v>
      </c>
      <c r="DQ31" s="61">
        <f t="shared" si="49"/>
        <v>0</v>
      </c>
      <c r="DR31" s="61">
        <f t="shared" si="50"/>
        <v>0</v>
      </c>
      <c r="DS31" s="61">
        <f t="shared" si="51"/>
        <v>0</v>
      </c>
      <c r="DT31" s="61">
        <f t="shared" si="52"/>
        <v>0</v>
      </c>
      <c r="DU31" s="61">
        <f t="shared" si="53"/>
        <v>0</v>
      </c>
      <c r="DV31" s="61">
        <f t="shared" si="54"/>
        <v>0</v>
      </c>
      <c r="DW31" s="61">
        <f t="shared" si="55"/>
        <v>0</v>
      </c>
      <c r="DX31" s="61">
        <f t="shared" si="56"/>
        <v>0</v>
      </c>
      <c r="DY31" s="61">
        <f t="shared" si="57"/>
        <v>0</v>
      </c>
      <c r="DZ31" s="61">
        <f t="shared" si="58"/>
        <v>0</v>
      </c>
      <c r="EA31" s="61">
        <f t="shared" si="59"/>
        <v>0</v>
      </c>
      <c r="EB31" s="61">
        <f t="shared" si="60"/>
        <v>0</v>
      </c>
      <c r="EC31" s="61">
        <f t="shared" si="61"/>
        <v>0</v>
      </c>
      <c r="EE31" s="61">
        <f xml:space="preserve">
IF(OR(Deltagarlista!$K$3=3,Deltagarlista!$K$3=4),
IF(Arrangörslista!$U$5&lt;8,0,
IF(Arrangörslista!$U$5&lt;16,SUM(LARGE(BV31:CJ31,1)),
IF(Arrangörslista!$U$5&lt;24,SUM(LARGE(BV31:CR31,{1;2})),
IF(Arrangörslista!$U$5&lt;32,SUM(LARGE(BV31:CZ31,{1;2;3})),
IF(Arrangörslista!$U$5&lt;40,SUM(LARGE(BV31:DH31,{1;2;3;4})),
IF(Arrangörslista!$U$5&lt;48,SUM(LARGE(BV31:DP31,{1;2;3;4;5})),
IF(Arrangörslista!$U$5&lt;56,SUM(LARGE(BV31:DX31,{1;2;3;4;5;6})),
IF(Arrangörslista!$U$5&lt;64,SUM(LARGE(BV31:EC31,{1;2;3;4;5;6;7})),0)))))))),
IF(Deltagarlista!$K$3=2,
IF(Arrangörslista!$U$5&lt;4,LARGE(BV31:BX31,1),
IF(Arrangörslista!$U$5&lt;7,SUM(LARGE(BV31:CA31,{1;2;3})),
IF(Arrangörslista!$U$5&lt;10,SUM(LARGE(BV31:CD31,{1;2;3;4})),
IF(Arrangörslista!$U$5&lt;13,SUM(LARGE(BV31:CG31,{1;2;3;4;5;6})),
IF(Arrangörslista!$U$5&lt;16,SUM(LARGE(BV31:CJ31,{1;2;3;4;5;6;7})),
IF(Arrangörslista!$U$5&lt;19,SUM(LARGE(BV31:CM31,{1;2;3;4;5;6;7;8;9})),
IF(Arrangörslista!$U$5&lt;22,SUM(LARGE(BV31:CP31,{1;2;3;4;5;6;7;8;9;10})),
IF(Arrangörslista!$U$5&lt;25,SUM(LARGE(BV31:CS31,{1;2;3;4;5;6;7;8;9;10;11;12})),
IF(Arrangörslista!$U$5&lt;28,SUM(LARGE(BV31:CV31,{1;2;3;4;5;6;7;8;9;10;11;12;13})),
IF(Arrangörslista!$U$5&lt;31,SUM(LARGE(BV31:CY31,{1;2;3;4;5;6;7;8;9;10;11;12;13;14;15})),
IF(Arrangörslista!$U$5&lt;34,SUM(LARGE(BV31:DB31,{1;2;3;4;5;6;7;8;9;10;11;12;13;14;15;16})),
IF(Arrangörslista!$U$5&lt;37,SUM(LARGE(BV31:DE31,{1;2;3;4;5;6;7;8;9;10;11;12;13;14;15;16;17;18})),
IF(Arrangörslista!$U$5&lt;40,SUM(LARGE(BV31:DH31,{1;2;3;4;5;6;7;8;9;10;11;12;13;14;15;16;17;18;19})),
IF(Arrangörslista!$U$5&lt;43,SUM(LARGE(BV31:DK31,{1;2;3;4;5;6;7;8;9;10;11;12;13;14;15;16;17;18;19;20;21})),
IF(Arrangörslista!$U$5&lt;46,SUM(LARGE(BV31:DN31,{1;2;3;4;5;6;7;8;9;10;11;12;13;14;15;16;17;18;19;20;21;22})),
IF(Arrangörslista!$U$5&lt;49,SUM(LARGE(BV31:DQ31,{1;2;3;4;5;6;7;8;9;10;11;12;13;14;15;16;17;18;19;20;21;22;23;24})),
IF(Arrangörslista!$U$5&lt;52,SUM(LARGE(BV31:DT31,{1;2;3;4;5;6;7;8;9;10;11;12;13;14;15;16;17;18;19;20;21;22;23;24;25})),
IF(Arrangörslista!$U$5&lt;55,SUM(LARGE(BV31:DW31,{1;2;3;4;5;6;7;8;9;10;11;12;13;14;15;16;17;18;19;20;21;22;23;24;25;26;27})),
IF(Arrangörslista!$U$5&lt;58,SUM(LARGE(BV31:DZ31,{1;2;3;4;5;6;7;8;9;10;11;12;13;14;15;16;17;18;19;20;21;22;23;24;25;26;27;28})),
IF(Arrangörslista!$U$5&lt;61,SUM(LARGE(BV31:EC31,{1;2;3;4;5;6;7;8;9;10;11;12;13;14;15;16;17;18;19;20;21;22;23;24;25;26;27;28;29;30})),0)))))))))))))))))))),
IF(Arrangörslista!$U$5&lt;4,0,
IF(Arrangörslista!$U$5&lt;8,SUM(LARGE(BV31:CB31,1)),
IF(Arrangörslista!$U$5&lt;12,SUM(LARGE(BV31:CF31,{1;2})),
IF(Arrangörslista!$U$5&lt;16,SUM(LARGE(BV31:CJ31,{1;2;3})),
IF(Arrangörslista!$U$5&lt;20,SUM(LARGE(BV31:CN31,{1;2;3;4})),
IF(Arrangörslista!$U$5&lt;24,SUM(LARGE(BV31:CR31,{1;2;3;4;5})),
IF(Arrangörslista!$U$5&lt;28,SUM(LARGE(BV31:CV31,{1;2;3;4;5;6})),
IF(Arrangörslista!$U$5&lt;32,SUM(LARGE(BV31:CZ31,{1;2;3;4;5;6;7})),
IF(Arrangörslista!$U$5&lt;36,SUM(LARGE(BV31:DD31,{1;2;3;4;5;6;7;8})),
IF(Arrangörslista!$U$5&lt;40,SUM(LARGE(BV31:DH31,{1;2;3;4;5;6;7;8;9})),
IF(Arrangörslista!$U$5&lt;44,SUM(LARGE(BV31:DL31,{1;2;3;4;5;6;7;8;9;10})),
IF(Arrangörslista!$U$5&lt;48,SUM(LARGE(BV31:DP31,{1;2;3;4;5;6;7;8;9;10;11})),
IF(Arrangörslista!$U$5&lt;52,SUM(LARGE(BV31:DT31,{1;2;3;4;5;6;7;8;9;10;11;12})),
IF(Arrangörslista!$U$5&lt;56,SUM(LARGE(BV31:DX31,{1;2;3;4;5;6;7;8;9;10;11;12;13})),
IF(Arrangörslista!$U$5&lt;60,SUM(LARGE(BV31:EB31,{1;2;3;4;5;6;7;8;9;10;11;12;13;14})),
IF(Arrangörslista!$U$5=60,SUM(LARGE(BV31:EC31,{1;2;3;4;5;6;7;8;9;10;11;12;13;14;15})),0))))))))))))))))))</f>
        <v>0</v>
      </c>
      <c r="EG31" s="67">
        <f t="shared" si="62"/>
        <v>0</v>
      </c>
      <c r="EH31" s="61"/>
      <c r="EI31" s="61"/>
      <c r="EK31" s="62">
        <f t="shared" si="63"/>
        <v>61</v>
      </c>
      <c r="EL31" s="62">
        <f t="shared" si="64"/>
        <v>61</v>
      </c>
      <c r="EM31" s="62">
        <f t="shared" si="65"/>
        <v>61</v>
      </c>
      <c r="EN31" s="62">
        <f t="shared" si="66"/>
        <v>61</v>
      </c>
      <c r="EO31" s="62">
        <f t="shared" si="67"/>
        <v>61</v>
      </c>
      <c r="EP31" s="62">
        <f t="shared" si="68"/>
        <v>61</v>
      </c>
      <c r="EQ31" s="62">
        <f t="shared" si="69"/>
        <v>61</v>
      </c>
      <c r="ER31" s="62">
        <f t="shared" si="70"/>
        <v>61</v>
      </c>
      <c r="ES31" s="62">
        <f t="shared" si="71"/>
        <v>61</v>
      </c>
      <c r="ET31" s="62">
        <f t="shared" si="72"/>
        <v>61</v>
      </c>
      <c r="EU31" s="62">
        <f t="shared" si="73"/>
        <v>61</v>
      </c>
      <c r="EV31" s="62">
        <f t="shared" si="74"/>
        <v>61</v>
      </c>
      <c r="EW31" s="62">
        <f t="shared" si="75"/>
        <v>61</v>
      </c>
      <c r="EX31" s="62">
        <f t="shared" si="76"/>
        <v>61</v>
      </c>
      <c r="EY31" s="62">
        <f t="shared" si="77"/>
        <v>61</v>
      </c>
      <c r="EZ31" s="62">
        <f t="shared" si="78"/>
        <v>61</v>
      </c>
      <c r="FA31" s="62">
        <f t="shared" si="79"/>
        <v>61</v>
      </c>
      <c r="FB31" s="62">
        <f t="shared" si="80"/>
        <v>61</v>
      </c>
      <c r="FC31" s="62">
        <f t="shared" si="81"/>
        <v>61</v>
      </c>
      <c r="FD31" s="62">
        <f t="shared" si="82"/>
        <v>61</v>
      </c>
      <c r="FE31" s="62">
        <f t="shared" si="83"/>
        <v>61</v>
      </c>
      <c r="FF31" s="62">
        <f t="shared" si="84"/>
        <v>61</v>
      </c>
      <c r="FG31" s="62">
        <f t="shared" si="85"/>
        <v>61</v>
      </c>
      <c r="FH31" s="62">
        <f t="shared" si="86"/>
        <v>61</v>
      </c>
      <c r="FI31" s="62">
        <f t="shared" si="87"/>
        <v>61</v>
      </c>
      <c r="FJ31" s="62">
        <f t="shared" si="88"/>
        <v>61</v>
      </c>
      <c r="FK31" s="62">
        <f t="shared" si="89"/>
        <v>61</v>
      </c>
      <c r="FL31" s="62">
        <f t="shared" si="90"/>
        <v>61</v>
      </c>
      <c r="FM31" s="62">
        <f t="shared" si="91"/>
        <v>61</v>
      </c>
      <c r="FN31" s="62">
        <f t="shared" si="92"/>
        <v>61</v>
      </c>
      <c r="FO31" s="62">
        <f t="shared" si="93"/>
        <v>61</v>
      </c>
      <c r="FP31" s="62">
        <f t="shared" si="94"/>
        <v>61</v>
      </c>
      <c r="FQ31" s="62">
        <f t="shared" si="95"/>
        <v>61</v>
      </c>
      <c r="FR31" s="62">
        <f t="shared" si="96"/>
        <v>61</v>
      </c>
      <c r="FS31" s="62">
        <f t="shared" si="97"/>
        <v>61</v>
      </c>
      <c r="FT31" s="62">
        <f t="shared" si="98"/>
        <v>61</v>
      </c>
      <c r="FU31" s="62">
        <f t="shared" si="99"/>
        <v>61</v>
      </c>
      <c r="FV31" s="62">
        <f t="shared" si="100"/>
        <v>61</v>
      </c>
      <c r="FW31" s="62">
        <f t="shared" si="101"/>
        <v>61</v>
      </c>
      <c r="FX31" s="62">
        <f t="shared" si="102"/>
        <v>61</v>
      </c>
      <c r="FY31" s="62">
        <f t="shared" si="103"/>
        <v>61</v>
      </c>
      <c r="FZ31" s="62">
        <f t="shared" si="104"/>
        <v>61</v>
      </c>
      <c r="GA31" s="62">
        <f t="shared" si="105"/>
        <v>61</v>
      </c>
      <c r="GB31" s="62">
        <f t="shared" si="106"/>
        <v>61</v>
      </c>
      <c r="GC31" s="62">
        <f t="shared" si="107"/>
        <v>61</v>
      </c>
      <c r="GD31" s="62">
        <f t="shared" si="108"/>
        <v>61</v>
      </c>
      <c r="GE31" s="62">
        <f t="shared" si="109"/>
        <v>61</v>
      </c>
      <c r="GF31" s="62">
        <f t="shared" si="110"/>
        <v>61</v>
      </c>
      <c r="GG31" s="62">
        <f t="shared" si="111"/>
        <v>61</v>
      </c>
      <c r="GH31" s="62">
        <f t="shared" si="112"/>
        <v>61</v>
      </c>
      <c r="GI31" s="62">
        <f t="shared" si="113"/>
        <v>61</v>
      </c>
      <c r="GJ31" s="62">
        <f t="shared" si="114"/>
        <v>61</v>
      </c>
      <c r="GK31" s="62">
        <f t="shared" si="115"/>
        <v>61</v>
      </c>
      <c r="GL31" s="62">
        <f t="shared" si="116"/>
        <v>61</v>
      </c>
      <c r="GM31" s="62">
        <f t="shared" si="117"/>
        <v>61</v>
      </c>
      <c r="GN31" s="62">
        <f t="shared" si="118"/>
        <v>61</v>
      </c>
      <c r="GO31" s="62">
        <f t="shared" si="119"/>
        <v>61</v>
      </c>
      <c r="GP31" s="62">
        <f t="shared" si="120"/>
        <v>61</v>
      </c>
      <c r="GQ31" s="62">
        <f t="shared" si="121"/>
        <v>61</v>
      </c>
      <c r="GR31" s="62">
        <f t="shared" si="122"/>
        <v>61</v>
      </c>
      <c r="GT31" s="62">
        <f>IF(Deltagarlista!$K$3=2,
IF(GW31="1",
      IF(Arrangörslista!$U$5=1,J94,
IF(Arrangörslista!$U$5=2,K94,
IF(Arrangörslista!$U$5=3,L94,
IF(Arrangörslista!$U$5=4,M94,
IF(Arrangörslista!$U$5=5,N94,
IF(Arrangörslista!$U$5=6,O94,
IF(Arrangörslista!$U$5=7,P94,
IF(Arrangörslista!$U$5=8,Q94,
IF(Arrangörslista!$U$5=9,R94,
IF(Arrangörslista!$U$5=10,S94,
IF(Arrangörslista!$U$5=11,T94,
IF(Arrangörslista!$U$5=12,U94,
IF(Arrangörslista!$U$5=13,V94,
IF(Arrangörslista!$U$5=14,W94,
IF(Arrangörslista!$U$5=15,X94,
IF(Arrangörslista!$U$5=16,Y94,IF(Arrangörslista!$U$5=17,Z94,IF(Arrangörslista!$U$5=18,AA94,IF(Arrangörslista!$U$5=19,AB94,IF(Arrangörslista!$U$5=20,AC94,IF(Arrangörslista!$U$5=21,AD94,IF(Arrangörslista!$U$5=22,AE94,IF(Arrangörslista!$U$5=23,AF94, IF(Arrangörslista!$U$5=24,AG94, IF(Arrangörslista!$U$5=25,AH94, IF(Arrangörslista!$U$5=26,AI94, IF(Arrangörslista!$U$5=27,AJ94, IF(Arrangörslista!$U$5=28,AK94, IF(Arrangörslista!$U$5=29,AL94, IF(Arrangörslista!$U$5=30,AM94, IF(Arrangörslista!$U$5=31,AN94, IF(Arrangörslista!$U$5=32,AO94, IF(Arrangörslista!$U$5=33,AP94, IF(Arrangörslista!$U$5=34,AQ94, IF(Arrangörslista!$U$5=35,AR94, IF(Arrangörslista!$U$5=36,AS94, IF(Arrangörslista!$U$5=37,AT94, IF(Arrangörslista!$U$5=38,AU94, IF(Arrangörslista!$U$5=39,AV94, IF(Arrangörslista!$U$5=40,AW94, IF(Arrangörslista!$U$5=41,AX94, IF(Arrangörslista!$U$5=42,AY94, IF(Arrangörslista!$U$5=43,AZ94, IF(Arrangörslista!$U$5=44,BA94, IF(Arrangörslista!$U$5=45,BB94, IF(Arrangörslista!$U$5=46,BC94, IF(Arrangörslista!$U$5=47,BD94, IF(Arrangörslista!$U$5=48,BE94, IF(Arrangörslista!$U$5=49,BF94, IF(Arrangörslista!$U$5=50,BG94, IF(Arrangörslista!$U$5=51,BH94, IF(Arrangörslista!$U$5=52,BI94, IF(Arrangörslista!$U$5=53,BJ94, IF(Arrangörslista!$U$5=54,BK94, IF(Arrangörslista!$U$5=55,BL94, IF(Arrangörslista!$U$5=56,BM94, IF(Arrangörslista!$U$5=57,BN94, IF(Arrangörslista!$U$5=58,BO94, IF(Arrangörslista!$U$5=59,BP94, IF(Arrangörslista!$U$5=60,BQ94,0))))))))))))))))))))))))))))))))))))))))))))))))))))))))))))),IF(Deltagarlista!$K$3=4, IF(Arrangörslista!$U$5=1,J94,
IF(Arrangörslista!$U$5=2,J94,
IF(Arrangörslista!$U$5=3,K94,
IF(Arrangörslista!$U$5=4,K94,
IF(Arrangörslista!$U$5=5,L94,
IF(Arrangörslista!$U$5=6,L94,
IF(Arrangörslista!$U$5=7,M94,
IF(Arrangörslista!$U$5=8,M94,
IF(Arrangörslista!$U$5=9,N94,
IF(Arrangörslista!$U$5=10,N94,
IF(Arrangörslista!$U$5=11,O94,
IF(Arrangörslista!$U$5=12,O94,
IF(Arrangörslista!$U$5=13,P94,
IF(Arrangörslista!$U$5=14,P94,
IF(Arrangörslista!$U$5=15,Q94,
IF(Arrangörslista!$U$5=16,Q94,
IF(Arrangörslista!$U$5=17,R94,
IF(Arrangörslista!$U$5=18,R94,
IF(Arrangörslista!$U$5=19,S94,
IF(Arrangörslista!$U$5=20,S94,
IF(Arrangörslista!$U$5=21,T94,
IF(Arrangörslista!$U$5=22,T94,IF(Arrangörslista!$U$5=23,U94, IF(Arrangörslista!$U$5=24,U94, IF(Arrangörslista!$U$5=25,V94, IF(Arrangörslista!$U$5=26,V94, IF(Arrangörslista!$U$5=27,W94, IF(Arrangörslista!$U$5=28,W94, IF(Arrangörslista!$U$5=29,X94, IF(Arrangörslista!$U$5=30,X94, IF(Arrangörslista!$U$5=31,X94, IF(Arrangörslista!$U$5=32,Y94, IF(Arrangörslista!$U$5=33,AO94, IF(Arrangörslista!$U$5=34,Y94, IF(Arrangörslista!$U$5=35,Z94, IF(Arrangörslista!$U$5=36,AR94, IF(Arrangörslista!$U$5=37,Z94, IF(Arrangörslista!$U$5=38,AA94, IF(Arrangörslista!$U$5=39,AU94, IF(Arrangörslista!$U$5=40,AA94, IF(Arrangörslista!$U$5=41,AB94, IF(Arrangörslista!$U$5=42,AX94, IF(Arrangörslista!$U$5=43,AB94, IF(Arrangörslista!$U$5=44,AC94, IF(Arrangörslista!$U$5=45,BA94, IF(Arrangörslista!$U$5=46,AC94, IF(Arrangörslista!$U$5=47,AD94, IF(Arrangörslista!$U$5=48,BD94, IF(Arrangörslista!$U$5=49,AD94, IF(Arrangörslista!$U$5=50,AE94, IF(Arrangörslista!$U$5=51,BG94, IF(Arrangörslista!$U$5=52,AE94, IF(Arrangörslista!$U$5=53,AF94, IF(Arrangörslista!$U$5=54,BJ94, IF(Arrangörslista!$U$5=55,AF94, IF(Arrangörslista!$U$5=56,AG94, IF(Arrangörslista!$U$5=57,BM94, IF(Arrangörslista!$U$5=58,AG94, IF(Arrangörslista!$U$5=59,AH94, IF(Arrangörslista!$U$5=60,AH94,0)))))))))))))))))))))))))))))))))))))))))))))))))))))))))))),IF(Arrangörslista!$U$5=1,J94,
IF(Arrangörslista!$U$5=2,K94,
IF(Arrangörslista!$U$5=3,L94,
IF(Arrangörslista!$U$5=4,M94,
IF(Arrangörslista!$U$5=5,N94,
IF(Arrangörslista!$U$5=6,O94,
IF(Arrangörslista!$U$5=7,P94,
IF(Arrangörslista!$U$5=8,Q94,
IF(Arrangörslista!$U$5=9,R94,
IF(Arrangörslista!$U$5=10,S94,
IF(Arrangörslista!$U$5=11,T94,
IF(Arrangörslista!$U$5=12,U94,
IF(Arrangörslista!$U$5=13,V94,
IF(Arrangörslista!$U$5=14,W94,
IF(Arrangörslista!$U$5=15,X94,
IF(Arrangörslista!$U$5=16,Y94,IF(Arrangörslista!$U$5=17,Z94,IF(Arrangörslista!$U$5=18,AA94,IF(Arrangörslista!$U$5=19,AB94,IF(Arrangörslista!$U$5=20,AC94,IF(Arrangörslista!$U$5=21,AD94,IF(Arrangörslista!$U$5=22,AE94,IF(Arrangörslista!$U$5=23,AF94, IF(Arrangörslista!$U$5=24,AG94, IF(Arrangörslista!$U$5=25,AH94, IF(Arrangörslista!$U$5=26,AI94, IF(Arrangörslista!$U$5=27,AJ94, IF(Arrangörslista!$U$5=28,AK94, IF(Arrangörslista!$U$5=29,AL94, IF(Arrangörslista!$U$5=30,AM94, IF(Arrangörslista!$U$5=31,AN94, IF(Arrangörslista!$U$5=32,AO94, IF(Arrangörslista!$U$5=33,AP94, IF(Arrangörslista!$U$5=34,AQ94, IF(Arrangörslista!$U$5=35,AR94, IF(Arrangörslista!$U$5=36,AS94, IF(Arrangörslista!$U$5=37,AT94, IF(Arrangörslista!$U$5=38,AU94, IF(Arrangörslista!$U$5=39,AV94, IF(Arrangörslista!$U$5=40,AW94, IF(Arrangörslista!$U$5=41,AX94, IF(Arrangörslista!$U$5=42,AY94, IF(Arrangörslista!$U$5=43,AZ94, IF(Arrangörslista!$U$5=44,BA94, IF(Arrangörslista!$U$5=45,BB94, IF(Arrangörslista!$U$5=46,BC94, IF(Arrangörslista!$U$5=47,BD94, IF(Arrangörslista!$U$5=48,BE94, IF(Arrangörslista!$U$5=49,BF94, IF(Arrangörslista!$U$5=50,BG94, IF(Arrangörslista!$U$5=51,BH94, IF(Arrangörslista!$U$5=52,BI94, IF(Arrangörslista!$U$5=53,BJ94, IF(Arrangörslista!$U$5=54,BK94, IF(Arrangörslista!$U$5=55,BL94, IF(Arrangörslista!$U$5=56,BM94, IF(Arrangörslista!$U$5=57,BN94, IF(Arrangörslista!$U$5=58,BO94, IF(Arrangörslista!$U$5=59,BP94, IF(Arrangörslista!$U$5=60,BQ94,0))))))))))))))))))))))))))))))))))))))))))))))))))))))))))))
))</f>
        <v>0</v>
      </c>
      <c r="GV31" s="65" t="str">
        <f>IFERROR(IF(VLOOKUP(F31,Deltagarlista!$E$5:$I$64,5,FALSE)="Grön","Gr",IF(VLOOKUP(F31,Deltagarlista!$E$5:$I$64,5,FALSE)="Röd","R",IF(VLOOKUP(F31,Deltagarlista!$E$5:$I$64,5,FALSE)="Blå","B","Gu"))),"")</f>
        <v/>
      </c>
      <c r="GW31" s="62" t="str">
        <f t="shared" si="124"/>
        <v/>
      </c>
    </row>
    <row r="32" spans="2:205" ht="15.75" customHeight="1" x14ac:dyDescent="0.3">
      <c r="B32" s="23" t="str">
        <f>IF((COUNTIF(Deltagarlista!$H$5:$H$64,"GM"))&gt;28,29,"")</f>
        <v/>
      </c>
      <c r="C32" s="92" t="str">
        <f>IF(ISBLANK(Deltagarlista!C41),"",Deltagarlista!C41)</f>
        <v/>
      </c>
      <c r="D32" s="109" t="str">
        <f>CONCATENATE(IF(Deltagarlista!H41="GM","GM   ",""), IF(OR(Deltagarlista!$K$3=4,Deltagarlista!$K$3=2),Deltagarlista!I41,""))</f>
        <v/>
      </c>
      <c r="E32" s="8" t="str">
        <f>IF(ISBLANK(Deltagarlista!D41),"",Deltagarlista!D41)</f>
        <v/>
      </c>
      <c r="F32" s="8" t="str">
        <f>IF(ISBLANK(Deltagarlista!E41),"",Deltagarlista!E41)</f>
        <v/>
      </c>
      <c r="G32" s="95" t="str">
        <f>IF(ISBLANK(Deltagarlista!F41),"",Deltagarlista!F41)</f>
        <v/>
      </c>
      <c r="H32" s="72" t="str">
        <f>IF(ISBLANK(Deltagarlista!C41),"",BU32-EE32)</f>
        <v/>
      </c>
      <c r="I32" s="13" t="str">
        <f>IF(ISBLANK(Deltagarlista!C41),"",IF(AND(Deltagarlista!$K$3=2,Deltagarlista!$L$3&lt;37),SUM(SUM(BV32:EC32)-(ROUNDDOWN(Arrangörslista!$U$5/3,1))*($BW$3+1)),SUM(BV32:EC32)))</f>
        <v/>
      </c>
      <c r="J32" s="79" t="str">
        <f>IF(Deltagarlista!$K$3=4,IF(ISBLANK(Deltagarlista!$C41),"",IF(ISBLANK(Arrangörslista!C$8),"",IFERROR(VLOOKUP($F32,Arrangörslista!C$8:$AG$45,16,FALSE),IF(ISBLANK(Deltagarlista!$C41),"",IF(ISBLANK(Arrangörslista!C$8),"",IFERROR(VLOOKUP($F32,Arrangörslista!D$8:$AG$45,16,FALSE),"DNS")))))),IF(Deltagarlista!$K$3=2,
IF(ISBLANK(Deltagarlista!$C41),"",IF(ISBLANK(Arrangörslista!C$8),"",IF($GV32=J$64," DNS ",IFERROR(VLOOKUP($F32,Arrangörslista!C$8:$AG$45,16,FALSE),"DNS")))),IF(ISBLANK(Deltagarlista!$C41),"",IF(ISBLANK(Arrangörslista!C$8),"",IFERROR(VLOOKUP($F32,Arrangörslista!C$8:$AG$45,16,FALSE),"DNS")))))</f>
        <v/>
      </c>
      <c r="K32" s="5" t="str">
        <f>IF(Deltagarlista!$K$3=4,IF(ISBLANK(Deltagarlista!$C41),"",IF(ISBLANK(Arrangörslista!E$8),"",IFERROR(VLOOKUP($F32,Arrangörslista!E$8:$AG$45,16,FALSE),IF(ISBLANK(Deltagarlista!$C41),"",IF(ISBLANK(Arrangörslista!E$8),"",IFERROR(VLOOKUP($F32,Arrangörslista!F$8:$AG$45,16,FALSE),"DNS")))))),IF(Deltagarlista!$K$3=2,
IF(ISBLANK(Deltagarlista!$C41),"",IF(ISBLANK(Arrangörslista!D$8),"",IF($GV32=K$64," DNS ",IFERROR(VLOOKUP($F32,Arrangörslista!D$8:$AG$45,16,FALSE),"DNS")))),IF(ISBLANK(Deltagarlista!$C41),"",IF(ISBLANK(Arrangörslista!D$8),"",IFERROR(VLOOKUP($F32,Arrangörslista!D$8:$AG$45,16,FALSE),"DNS")))))</f>
        <v/>
      </c>
      <c r="L32" s="5" t="str">
        <f>IF(Deltagarlista!$K$3=4,IF(ISBLANK(Deltagarlista!$C41),"",IF(ISBLANK(Arrangörslista!G$8),"",IFERROR(VLOOKUP($F32,Arrangörslista!G$8:$AG$45,16,FALSE),IF(ISBLANK(Deltagarlista!$C41),"",IF(ISBLANK(Arrangörslista!G$8),"",IFERROR(VLOOKUP($F32,Arrangörslista!H$8:$AG$45,16,FALSE),"DNS")))))),IF(Deltagarlista!$K$3=2,
IF(ISBLANK(Deltagarlista!$C41),"",IF(ISBLANK(Arrangörslista!E$8),"",IF($GV32=L$64," DNS ",IFERROR(VLOOKUP($F32,Arrangörslista!E$8:$AG$45,16,FALSE),"DNS")))),IF(ISBLANK(Deltagarlista!$C41),"",IF(ISBLANK(Arrangörslista!E$8),"",IFERROR(VLOOKUP($F32,Arrangörslista!E$8:$AG$45,16,FALSE),"DNS")))))</f>
        <v/>
      </c>
      <c r="M32" s="5" t="str">
        <f>IF(Deltagarlista!$K$3=4,IF(ISBLANK(Deltagarlista!$C41),"",IF(ISBLANK(Arrangörslista!I$8),"",IFERROR(VLOOKUP($F32,Arrangörslista!I$8:$AG$45,16,FALSE),IF(ISBLANK(Deltagarlista!$C41),"",IF(ISBLANK(Arrangörslista!I$8),"",IFERROR(VLOOKUP($F32,Arrangörslista!J$8:$AG$45,16,FALSE),"DNS")))))),IF(Deltagarlista!$K$3=2,
IF(ISBLANK(Deltagarlista!$C41),"",IF(ISBLANK(Arrangörslista!F$8),"",IF($GV32=M$64," DNS ",IFERROR(VLOOKUP($F32,Arrangörslista!F$8:$AG$45,16,FALSE),"DNS")))),IF(ISBLANK(Deltagarlista!$C41),"",IF(ISBLANK(Arrangörslista!F$8),"",IFERROR(VLOOKUP($F32,Arrangörslista!F$8:$AG$45,16,FALSE),"DNS")))))</f>
        <v/>
      </c>
      <c r="N32" s="5" t="str">
        <f>IF(Deltagarlista!$K$3=4,IF(ISBLANK(Deltagarlista!$C41),"",IF(ISBLANK(Arrangörslista!K$8),"",IFERROR(VLOOKUP($F32,Arrangörslista!K$8:$AG$45,16,FALSE),IF(ISBLANK(Deltagarlista!$C41),"",IF(ISBLANK(Arrangörslista!K$8),"",IFERROR(VLOOKUP($F32,Arrangörslista!L$8:$AG$45,16,FALSE),"DNS")))))),IF(Deltagarlista!$K$3=2,
IF(ISBLANK(Deltagarlista!$C41),"",IF(ISBLANK(Arrangörslista!G$8),"",IF($GV32=N$64," DNS ",IFERROR(VLOOKUP($F32,Arrangörslista!G$8:$AG$45,16,FALSE),"DNS")))),IF(ISBLANK(Deltagarlista!$C41),"",IF(ISBLANK(Arrangörslista!G$8),"",IFERROR(VLOOKUP($F32,Arrangörslista!G$8:$AG$45,16,FALSE),"DNS")))))</f>
        <v/>
      </c>
      <c r="O32" s="5" t="str">
        <f>IF(Deltagarlista!$K$3=4,IF(ISBLANK(Deltagarlista!$C41),"",IF(ISBLANK(Arrangörslista!M$8),"",IFERROR(VLOOKUP($F32,Arrangörslista!M$8:$AG$45,16,FALSE),IF(ISBLANK(Deltagarlista!$C41),"",IF(ISBLANK(Arrangörslista!M$8),"",IFERROR(VLOOKUP($F32,Arrangörslista!N$8:$AG$45,16,FALSE),"DNS")))))),IF(Deltagarlista!$K$3=2,
IF(ISBLANK(Deltagarlista!$C41),"",IF(ISBLANK(Arrangörslista!H$8),"",IF($GV32=O$64," DNS ",IFERROR(VLOOKUP($F32,Arrangörslista!H$8:$AG$45,16,FALSE),"DNS")))),IF(ISBLANK(Deltagarlista!$C41),"",IF(ISBLANK(Arrangörslista!H$8),"",IFERROR(VLOOKUP($F32,Arrangörslista!H$8:$AG$45,16,FALSE),"DNS")))))</f>
        <v/>
      </c>
      <c r="P32" s="5" t="str">
        <f>IF(Deltagarlista!$K$3=4,IF(ISBLANK(Deltagarlista!$C41),"",IF(ISBLANK(Arrangörslista!O$8),"",IFERROR(VLOOKUP($F32,Arrangörslista!O$8:$AG$45,16,FALSE),IF(ISBLANK(Deltagarlista!$C41),"",IF(ISBLANK(Arrangörslista!O$8),"",IFERROR(VLOOKUP($F32,Arrangörslista!P$8:$AG$45,16,FALSE),"DNS")))))),IF(Deltagarlista!$K$3=2,
IF(ISBLANK(Deltagarlista!$C41),"",IF(ISBLANK(Arrangörslista!I$8),"",IF($GV32=P$64," DNS ",IFERROR(VLOOKUP($F32,Arrangörslista!I$8:$AG$45,16,FALSE),"DNS")))),IF(ISBLANK(Deltagarlista!$C41),"",IF(ISBLANK(Arrangörslista!I$8),"",IFERROR(VLOOKUP($F32,Arrangörslista!I$8:$AG$45,16,FALSE),"DNS")))))</f>
        <v/>
      </c>
      <c r="Q32" s="5" t="str">
        <f>IF(Deltagarlista!$K$3=4,IF(ISBLANK(Deltagarlista!$C41),"",IF(ISBLANK(Arrangörslista!Q$8),"",IFERROR(VLOOKUP($F32,Arrangörslista!Q$8:$AG$45,16,FALSE),IF(ISBLANK(Deltagarlista!$C41),"",IF(ISBLANK(Arrangörslista!Q$8),"",IFERROR(VLOOKUP($F32,Arrangörslista!C$53:$AG$90,16,FALSE),"DNS")))))),IF(Deltagarlista!$K$3=2,
IF(ISBLANK(Deltagarlista!$C41),"",IF(ISBLANK(Arrangörslista!J$8),"",IF($GV32=Q$64," DNS ",IFERROR(VLOOKUP($F32,Arrangörslista!J$8:$AG$45,16,FALSE),"DNS")))),IF(ISBLANK(Deltagarlista!$C41),"",IF(ISBLANK(Arrangörslista!J$8),"",IFERROR(VLOOKUP($F32,Arrangörslista!J$8:$AG$45,16,FALSE),"DNS")))))</f>
        <v/>
      </c>
      <c r="R32" s="5" t="str">
        <f>IF(Deltagarlista!$K$3=4,IF(ISBLANK(Deltagarlista!$C41),"",IF(ISBLANK(Arrangörslista!D$53),"",IFERROR(VLOOKUP($F32,Arrangörslista!D$53:$AG$90,16,FALSE),IF(ISBLANK(Deltagarlista!$C41),"",IF(ISBLANK(Arrangörslista!D$53),"",IFERROR(VLOOKUP($F32,Arrangörslista!E$53:$AG$90,16,FALSE),"DNS")))))),IF(Deltagarlista!$K$3=2,
IF(ISBLANK(Deltagarlista!$C41),"",IF(ISBLANK(Arrangörslista!K$8),"",IF($GV32=R$64," DNS ",IFERROR(VLOOKUP($F32,Arrangörslista!K$8:$AG$45,16,FALSE),"DNS")))),IF(ISBLANK(Deltagarlista!$C41),"",IF(ISBLANK(Arrangörslista!K$8),"",IFERROR(VLOOKUP($F32,Arrangörslista!K$8:$AG$45,16,FALSE),"DNS")))))</f>
        <v/>
      </c>
      <c r="S32" s="5" t="str">
        <f>IF(Deltagarlista!$K$3=4,IF(ISBLANK(Deltagarlista!$C41),"",IF(ISBLANK(Arrangörslista!F$53),"",IFERROR(VLOOKUP($F32,Arrangörslista!F$53:$AG$90,16,FALSE),IF(ISBLANK(Deltagarlista!$C41),"",IF(ISBLANK(Arrangörslista!F$53),"",IFERROR(VLOOKUP($F32,Arrangörslista!G$53:$AG$90,16,FALSE),"DNS")))))),IF(Deltagarlista!$K$3=2,
IF(ISBLANK(Deltagarlista!$C41),"",IF(ISBLANK(Arrangörslista!L$8),"",IF($GV32=S$64," DNS ",IFERROR(VLOOKUP($F32,Arrangörslista!L$8:$AG$45,16,FALSE),"DNS")))),IF(ISBLANK(Deltagarlista!$C41),"",IF(ISBLANK(Arrangörslista!L$8),"",IFERROR(VLOOKUP($F32,Arrangörslista!L$8:$AG$45,16,FALSE),"DNS")))))</f>
        <v/>
      </c>
      <c r="T32" s="5" t="str">
        <f>IF(Deltagarlista!$K$3=4,IF(ISBLANK(Deltagarlista!$C41),"",IF(ISBLANK(Arrangörslista!H$53),"",IFERROR(VLOOKUP($F32,Arrangörslista!H$53:$AG$90,16,FALSE),IF(ISBLANK(Deltagarlista!$C41),"",IF(ISBLANK(Arrangörslista!H$53),"",IFERROR(VLOOKUP($F32,Arrangörslista!I$53:$AG$90,16,FALSE),"DNS")))))),IF(Deltagarlista!$K$3=2,
IF(ISBLANK(Deltagarlista!$C41),"",IF(ISBLANK(Arrangörslista!M$8),"",IF($GV32=T$64," DNS ",IFERROR(VLOOKUP($F32,Arrangörslista!M$8:$AG$45,16,FALSE),"DNS")))),IF(ISBLANK(Deltagarlista!$C41),"",IF(ISBLANK(Arrangörslista!M$8),"",IFERROR(VLOOKUP($F32,Arrangörslista!M$8:$AG$45,16,FALSE),"DNS")))))</f>
        <v/>
      </c>
      <c r="U32" s="5" t="str">
        <f>IF(Deltagarlista!$K$3=4,IF(ISBLANK(Deltagarlista!$C41),"",IF(ISBLANK(Arrangörslista!J$53),"",IFERROR(VLOOKUP($F32,Arrangörslista!J$53:$AG$90,16,FALSE),IF(ISBLANK(Deltagarlista!$C41),"",IF(ISBLANK(Arrangörslista!J$53),"",IFERROR(VLOOKUP($F32,Arrangörslista!K$53:$AG$90,16,FALSE),"DNS")))))),IF(Deltagarlista!$K$3=2,
IF(ISBLANK(Deltagarlista!$C41),"",IF(ISBLANK(Arrangörslista!N$8),"",IF($GV32=U$64," DNS ",IFERROR(VLOOKUP($F32,Arrangörslista!N$8:$AG$45,16,FALSE),"DNS")))),IF(ISBLANK(Deltagarlista!$C41),"",IF(ISBLANK(Arrangörslista!N$8),"",IFERROR(VLOOKUP($F32,Arrangörslista!N$8:$AG$45,16,FALSE),"DNS")))))</f>
        <v/>
      </c>
      <c r="V32" s="5" t="str">
        <f>IF(Deltagarlista!$K$3=4,IF(ISBLANK(Deltagarlista!$C41),"",IF(ISBLANK(Arrangörslista!L$53),"",IFERROR(VLOOKUP($F32,Arrangörslista!L$53:$AG$90,16,FALSE),IF(ISBLANK(Deltagarlista!$C41),"",IF(ISBLANK(Arrangörslista!L$53),"",IFERROR(VLOOKUP($F32,Arrangörslista!M$53:$AG$90,16,FALSE),"DNS")))))),IF(Deltagarlista!$K$3=2,
IF(ISBLANK(Deltagarlista!$C41),"",IF(ISBLANK(Arrangörslista!O$8),"",IF($GV32=V$64," DNS ",IFERROR(VLOOKUP($F32,Arrangörslista!O$8:$AG$45,16,FALSE),"DNS")))),IF(ISBLANK(Deltagarlista!$C41),"",IF(ISBLANK(Arrangörslista!O$8),"",IFERROR(VLOOKUP($F32,Arrangörslista!O$8:$AG$45,16,FALSE),"DNS")))))</f>
        <v/>
      </c>
      <c r="W32" s="5" t="str">
        <f>IF(Deltagarlista!$K$3=4,IF(ISBLANK(Deltagarlista!$C41),"",IF(ISBLANK(Arrangörslista!N$53),"",IFERROR(VLOOKUP($F32,Arrangörslista!N$53:$AG$90,16,FALSE),IF(ISBLANK(Deltagarlista!$C41),"",IF(ISBLANK(Arrangörslista!N$53),"",IFERROR(VLOOKUP($F32,Arrangörslista!O$53:$AG$90,16,FALSE),"DNS")))))),IF(Deltagarlista!$K$3=2,
IF(ISBLANK(Deltagarlista!$C41),"",IF(ISBLANK(Arrangörslista!P$8),"",IF($GV32=W$64," DNS ",IFERROR(VLOOKUP($F32,Arrangörslista!P$8:$AG$45,16,FALSE),"DNS")))),IF(ISBLANK(Deltagarlista!$C41),"",IF(ISBLANK(Arrangörslista!P$8),"",IFERROR(VLOOKUP($F32,Arrangörslista!P$8:$AG$45,16,FALSE),"DNS")))))</f>
        <v/>
      </c>
      <c r="X32" s="5" t="str">
        <f>IF(Deltagarlista!$K$3=4,IF(ISBLANK(Deltagarlista!$C41),"",IF(ISBLANK(Arrangörslista!P$53),"",IFERROR(VLOOKUP($F32,Arrangörslista!P$53:$AG$90,16,FALSE),IF(ISBLANK(Deltagarlista!$C41),"",IF(ISBLANK(Arrangörslista!P$53),"",IFERROR(VLOOKUP($F32,Arrangörslista!Q$53:$AG$90,16,FALSE),"DNS")))))),IF(Deltagarlista!$K$3=2,
IF(ISBLANK(Deltagarlista!$C41),"",IF(ISBLANK(Arrangörslista!Q$8),"",IF($GV32=X$64," DNS ",IFERROR(VLOOKUP($F32,Arrangörslista!Q$8:$AG$45,16,FALSE),"DNS")))),IF(ISBLANK(Deltagarlista!$C41),"",IF(ISBLANK(Arrangörslista!Q$8),"",IFERROR(VLOOKUP($F32,Arrangörslista!Q$8:$AG$45,16,FALSE),"DNS")))))</f>
        <v/>
      </c>
      <c r="Y32" s="5" t="str">
        <f>IF(Deltagarlista!$K$3=4,IF(ISBLANK(Deltagarlista!$C41),"",IF(ISBLANK(Arrangörslista!C$98),"",IFERROR(VLOOKUP($F32,Arrangörslista!C$98:$AG$135,16,FALSE),IF(ISBLANK(Deltagarlista!$C41),"",IF(ISBLANK(Arrangörslista!C$98),"",IFERROR(VLOOKUP($F32,Arrangörslista!D$98:$AG$135,16,FALSE),"DNS")))))),IF(Deltagarlista!$K$3=2,
IF(ISBLANK(Deltagarlista!$C41),"",IF(ISBLANK(Arrangörslista!C$53),"",IF($GV32=Y$64," DNS ",IFERROR(VLOOKUP($F32,Arrangörslista!C$53:$AG$90,16,FALSE),"DNS")))),IF(ISBLANK(Deltagarlista!$C41),"",IF(ISBLANK(Arrangörslista!C$53),"",IFERROR(VLOOKUP($F32,Arrangörslista!C$53:$AG$90,16,FALSE),"DNS")))))</f>
        <v/>
      </c>
      <c r="Z32" s="5" t="str">
        <f>IF(Deltagarlista!$K$3=4,IF(ISBLANK(Deltagarlista!$C41),"",IF(ISBLANK(Arrangörslista!E$98),"",IFERROR(VLOOKUP($F32,Arrangörslista!E$98:$AG$135,16,FALSE),IF(ISBLANK(Deltagarlista!$C41),"",IF(ISBLANK(Arrangörslista!E$98),"",IFERROR(VLOOKUP($F32,Arrangörslista!F$98:$AG$135,16,FALSE),"DNS")))))),IF(Deltagarlista!$K$3=2,
IF(ISBLANK(Deltagarlista!$C41),"",IF(ISBLANK(Arrangörslista!D$53),"",IF($GV32=Z$64," DNS ",IFERROR(VLOOKUP($F32,Arrangörslista!D$53:$AG$90,16,FALSE),"DNS")))),IF(ISBLANK(Deltagarlista!$C41),"",IF(ISBLANK(Arrangörslista!D$53),"",IFERROR(VLOOKUP($F32,Arrangörslista!D$53:$AG$90,16,FALSE),"DNS")))))</f>
        <v/>
      </c>
      <c r="AA32" s="5" t="str">
        <f>IF(Deltagarlista!$K$3=4,IF(ISBLANK(Deltagarlista!$C41),"",IF(ISBLANK(Arrangörslista!G$98),"",IFERROR(VLOOKUP($F32,Arrangörslista!G$98:$AG$135,16,FALSE),IF(ISBLANK(Deltagarlista!$C41),"",IF(ISBLANK(Arrangörslista!G$98),"",IFERROR(VLOOKUP($F32,Arrangörslista!H$98:$AG$135,16,FALSE),"DNS")))))),IF(Deltagarlista!$K$3=2,
IF(ISBLANK(Deltagarlista!$C41),"",IF(ISBLANK(Arrangörslista!E$53),"",IF($GV32=AA$64," DNS ",IFERROR(VLOOKUP($F32,Arrangörslista!E$53:$AG$90,16,FALSE),"DNS")))),IF(ISBLANK(Deltagarlista!$C41),"",IF(ISBLANK(Arrangörslista!E$53),"",IFERROR(VLOOKUP($F32,Arrangörslista!E$53:$AG$90,16,FALSE),"DNS")))))</f>
        <v/>
      </c>
      <c r="AB32" s="5" t="str">
        <f>IF(Deltagarlista!$K$3=4,IF(ISBLANK(Deltagarlista!$C41),"",IF(ISBLANK(Arrangörslista!I$98),"",IFERROR(VLOOKUP($F32,Arrangörslista!I$98:$AG$135,16,FALSE),IF(ISBLANK(Deltagarlista!$C41),"",IF(ISBLANK(Arrangörslista!I$98),"",IFERROR(VLOOKUP($F32,Arrangörslista!J$98:$AG$135,16,FALSE),"DNS")))))),IF(Deltagarlista!$K$3=2,
IF(ISBLANK(Deltagarlista!$C41),"",IF(ISBLANK(Arrangörslista!F$53),"",IF($GV32=AB$64," DNS ",IFERROR(VLOOKUP($F32,Arrangörslista!F$53:$AG$90,16,FALSE),"DNS")))),IF(ISBLANK(Deltagarlista!$C41),"",IF(ISBLANK(Arrangörslista!F$53),"",IFERROR(VLOOKUP($F32,Arrangörslista!F$53:$AG$90,16,FALSE),"DNS")))))</f>
        <v/>
      </c>
      <c r="AC32" s="5" t="str">
        <f>IF(Deltagarlista!$K$3=4,IF(ISBLANK(Deltagarlista!$C41),"",IF(ISBLANK(Arrangörslista!K$98),"",IFERROR(VLOOKUP($F32,Arrangörslista!K$98:$AG$135,16,FALSE),IF(ISBLANK(Deltagarlista!$C41),"",IF(ISBLANK(Arrangörslista!K$98),"",IFERROR(VLOOKUP($F32,Arrangörslista!L$98:$AG$135,16,FALSE),"DNS")))))),IF(Deltagarlista!$K$3=2,
IF(ISBLANK(Deltagarlista!$C41),"",IF(ISBLANK(Arrangörslista!G$53),"",IF($GV32=AC$64," DNS ",IFERROR(VLOOKUP($F32,Arrangörslista!G$53:$AG$90,16,FALSE),"DNS")))),IF(ISBLANK(Deltagarlista!$C41),"",IF(ISBLANK(Arrangörslista!G$53),"",IFERROR(VLOOKUP($F32,Arrangörslista!G$53:$AG$90,16,FALSE),"DNS")))))</f>
        <v/>
      </c>
      <c r="AD32" s="5" t="str">
        <f>IF(Deltagarlista!$K$3=4,IF(ISBLANK(Deltagarlista!$C41),"",IF(ISBLANK(Arrangörslista!M$98),"",IFERROR(VLOOKUP($F32,Arrangörslista!M$98:$AG$135,16,FALSE),IF(ISBLANK(Deltagarlista!$C41),"",IF(ISBLANK(Arrangörslista!M$98),"",IFERROR(VLOOKUP($F32,Arrangörslista!N$98:$AG$135,16,FALSE),"DNS")))))),IF(Deltagarlista!$K$3=2,
IF(ISBLANK(Deltagarlista!$C41),"",IF(ISBLANK(Arrangörslista!H$53),"",IF($GV32=AD$64," DNS ",IFERROR(VLOOKUP($F32,Arrangörslista!H$53:$AG$90,16,FALSE),"DNS")))),IF(ISBLANK(Deltagarlista!$C41),"",IF(ISBLANK(Arrangörslista!H$53),"",IFERROR(VLOOKUP($F32,Arrangörslista!H$53:$AG$90,16,FALSE),"DNS")))))</f>
        <v/>
      </c>
      <c r="AE32" s="5" t="str">
        <f>IF(Deltagarlista!$K$3=4,IF(ISBLANK(Deltagarlista!$C41),"",IF(ISBLANK(Arrangörslista!O$98),"",IFERROR(VLOOKUP($F32,Arrangörslista!O$98:$AG$135,16,FALSE),IF(ISBLANK(Deltagarlista!$C41),"",IF(ISBLANK(Arrangörslista!O$98),"",IFERROR(VLOOKUP($F32,Arrangörslista!P$98:$AG$135,16,FALSE),"DNS")))))),IF(Deltagarlista!$K$3=2,
IF(ISBLANK(Deltagarlista!$C41),"",IF(ISBLANK(Arrangörslista!I$53),"",IF($GV32=AE$64," DNS ",IFERROR(VLOOKUP($F32,Arrangörslista!I$53:$AG$90,16,FALSE),"DNS")))),IF(ISBLANK(Deltagarlista!$C41),"",IF(ISBLANK(Arrangörslista!I$53),"",IFERROR(VLOOKUP($F32,Arrangörslista!I$53:$AG$90,16,FALSE),"DNS")))))</f>
        <v/>
      </c>
      <c r="AF32" s="5" t="str">
        <f>IF(Deltagarlista!$K$3=4,IF(ISBLANK(Deltagarlista!$C41),"",IF(ISBLANK(Arrangörslista!Q$98),"",IFERROR(VLOOKUP($F32,Arrangörslista!Q$98:$AG$135,16,FALSE),IF(ISBLANK(Deltagarlista!$C41),"",IF(ISBLANK(Arrangörslista!Q$98),"",IFERROR(VLOOKUP($F32,Arrangörslista!C$143:$AG$180,16,FALSE),"DNS")))))),IF(Deltagarlista!$K$3=2,
IF(ISBLANK(Deltagarlista!$C41),"",IF(ISBLANK(Arrangörslista!J$53),"",IF($GV32=AF$64," DNS ",IFERROR(VLOOKUP($F32,Arrangörslista!J$53:$AG$90,16,FALSE),"DNS")))),IF(ISBLANK(Deltagarlista!$C41),"",IF(ISBLANK(Arrangörslista!J$53),"",IFERROR(VLOOKUP($F32,Arrangörslista!J$53:$AG$90,16,FALSE),"DNS")))))</f>
        <v/>
      </c>
      <c r="AG32" s="5" t="str">
        <f>IF(Deltagarlista!$K$3=4,IF(ISBLANK(Deltagarlista!$C41),"",IF(ISBLANK(Arrangörslista!D$143),"",IFERROR(VLOOKUP($F32,Arrangörslista!D$143:$AG$180,16,FALSE),IF(ISBLANK(Deltagarlista!$C41),"",IF(ISBLANK(Arrangörslista!D$143),"",IFERROR(VLOOKUP($F32,Arrangörslista!E$143:$AG$180,16,FALSE),"DNS")))))),IF(Deltagarlista!$K$3=2,
IF(ISBLANK(Deltagarlista!$C41),"",IF(ISBLANK(Arrangörslista!K$53),"",IF($GV32=AG$64," DNS ",IFERROR(VLOOKUP($F32,Arrangörslista!K$53:$AG$90,16,FALSE),"DNS")))),IF(ISBLANK(Deltagarlista!$C41),"",IF(ISBLANK(Arrangörslista!K$53),"",IFERROR(VLOOKUP($F32,Arrangörslista!K$53:$AG$90,16,FALSE),"DNS")))))</f>
        <v/>
      </c>
      <c r="AH32" s="5" t="str">
        <f>IF(Deltagarlista!$K$3=4,IF(ISBLANK(Deltagarlista!$C41),"",IF(ISBLANK(Arrangörslista!F$143),"",IFERROR(VLOOKUP($F32,Arrangörslista!F$143:$AG$180,16,FALSE),IF(ISBLANK(Deltagarlista!$C41),"",IF(ISBLANK(Arrangörslista!F$143),"",IFERROR(VLOOKUP($F32,Arrangörslista!G$143:$AG$180,16,FALSE),"DNS")))))),IF(Deltagarlista!$K$3=2,
IF(ISBLANK(Deltagarlista!$C41),"",IF(ISBLANK(Arrangörslista!L$53),"",IF($GV32=AH$64," DNS ",IFERROR(VLOOKUP($F32,Arrangörslista!L$53:$AG$90,16,FALSE),"DNS")))),IF(ISBLANK(Deltagarlista!$C41),"",IF(ISBLANK(Arrangörslista!L$53),"",IFERROR(VLOOKUP($F32,Arrangörslista!L$53:$AG$90,16,FALSE),"DNS")))))</f>
        <v/>
      </c>
      <c r="AI32" s="5" t="str">
        <f>IF(Deltagarlista!$K$3=4,IF(ISBLANK(Deltagarlista!$C41),"",IF(ISBLANK(Arrangörslista!H$143),"",IFERROR(VLOOKUP($F32,Arrangörslista!H$143:$AG$180,16,FALSE),IF(ISBLANK(Deltagarlista!$C41),"",IF(ISBLANK(Arrangörslista!H$143),"",IFERROR(VLOOKUP($F32,Arrangörslista!I$143:$AG$180,16,FALSE),"DNS")))))),IF(Deltagarlista!$K$3=2,
IF(ISBLANK(Deltagarlista!$C41),"",IF(ISBLANK(Arrangörslista!M$53),"",IF($GV32=AI$64," DNS ",IFERROR(VLOOKUP($F32,Arrangörslista!M$53:$AG$90,16,FALSE),"DNS")))),IF(ISBLANK(Deltagarlista!$C41),"",IF(ISBLANK(Arrangörslista!M$53),"",IFERROR(VLOOKUP($F32,Arrangörslista!M$53:$AG$90,16,FALSE),"DNS")))))</f>
        <v/>
      </c>
      <c r="AJ32" s="5" t="str">
        <f>IF(Deltagarlista!$K$3=4,IF(ISBLANK(Deltagarlista!$C41),"",IF(ISBLANK(Arrangörslista!J$143),"",IFERROR(VLOOKUP($F32,Arrangörslista!J$143:$AG$180,16,FALSE),IF(ISBLANK(Deltagarlista!$C41),"",IF(ISBLANK(Arrangörslista!J$143),"",IFERROR(VLOOKUP($F32,Arrangörslista!K$143:$AG$180,16,FALSE),"DNS")))))),IF(Deltagarlista!$K$3=2,
IF(ISBLANK(Deltagarlista!$C41),"",IF(ISBLANK(Arrangörslista!N$53),"",IF($GV32=AJ$64," DNS ",IFERROR(VLOOKUP($F32,Arrangörslista!N$53:$AG$90,16,FALSE),"DNS")))),IF(ISBLANK(Deltagarlista!$C41),"",IF(ISBLANK(Arrangörslista!N$53),"",IFERROR(VLOOKUP($F32,Arrangörslista!N$53:$AG$90,16,FALSE),"DNS")))))</f>
        <v/>
      </c>
      <c r="AK32" s="5" t="str">
        <f>IF(Deltagarlista!$K$3=4,IF(ISBLANK(Deltagarlista!$C41),"",IF(ISBLANK(Arrangörslista!L$143),"",IFERROR(VLOOKUP($F32,Arrangörslista!L$143:$AG$180,16,FALSE),IF(ISBLANK(Deltagarlista!$C41),"",IF(ISBLANK(Arrangörslista!L$143),"",IFERROR(VLOOKUP($F32,Arrangörslista!M$143:$AG$180,16,FALSE),"DNS")))))),IF(Deltagarlista!$K$3=2,
IF(ISBLANK(Deltagarlista!$C41),"",IF(ISBLANK(Arrangörslista!O$53),"",IF($GV32=AK$64," DNS ",IFERROR(VLOOKUP($F32,Arrangörslista!O$53:$AG$90,16,FALSE),"DNS")))),IF(ISBLANK(Deltagarlista!$C41),"",IF(ISBLANK(Arrangörslista!O$53),"",IFERROR(VLOOKUP($F32,Arrangörslista!O$53:$AG$90,16,FALSE),"DNS")))))</f>
        <v/>
      </c>
      <c r="AL32" s="5" t="str">
        <f>IF(Deltagarlista!$K$3=4,IF(ISBLANK(Deltagarlista!$C41),"",IF(ISBLANK(Arrangörslista!N$143),"",IFERROR(VLOOKUP($F32,Arrangörslista!N$143:$AG$180,16,FALSE),IF(ISBLANK(Deltagarlista!$C41),"",IF(ISBLANK(Arrangörslista!N$143),"",IFERROR(VLOOKUP($F32,Arrangörslista!O$143:$AG$180,16,FALSE),"DNS")))))),IF(Deltagarlista!$K$3=2,
IF(ISBLANK(Deltagarlista!$C41),"",IF(ISBLANK(Arrangörslista!P$53),"",IF($GV32=AL$64," DNS ",IFERROR(VLOOKUP($F32,Arrangörslista!P$53:$AG$90,16,FALSE),"DNS")))),IF(ISBLANK(Deltagarlista!$C41),"",IF(ISBLANK(Arrangörslista!P$53),"",IFERROR(VLOOKUP($F32,Arrangörslista!P$53:$AG$90,16,FALSE),"DNS")))))</f>
        <v/>
      </c>
      <c r="AM32" s="5" t="str">
        <f>IF(Deltagarlista!$K$3=4,IF(ISBLANK(Deltagarlista!$C41),"",IF(ISBLANK(Arrangörslista!P$143),"",IFERROR(VLOOKUP($F32,Arrangörslista!P$143:$AG$180,16,FALSE),IF(ISBLANK(Deltagarlista!$C41),"",IF(ISBLANK(Arrangörslista!P$143),"",IFERROR(VLOOKUP($F32,Arrangörslista!Q$143:$AG$180,16,FALSE),"DNS")))))),IF(Deltagarlista!$K$3=2,
IF(ISBLANK(Deltagarlista!$C41),"",IF(ISBLANK(Arrangörslista!Q$53),"",IF($GV32=AM$64," DNS ",IFERROR(VLOOKUP($F32,Arrangörslista!Q$53:$AG$90,16,FALSE),"DNS")))),IF(ISBLANK(Deltagarlista!$C41),"",IF(ISBLANK(Arrangörslista!Q$53),"",IFERROR(VLOOKUP($F32,Arrangörslista!Q$53:$AG$90,16,FALSE),"DNS")))))</f>
        <v/>
      </c>
      <c r="AN32" s="5" t="str">
        <f>IF(Deltagarlista!$K$3=2,
IF(ISBLANK(Deltagarlista!$C41),"",IF(ISBLANK(Arrangörslista!C$98),"",IF($GV32=AN$64," DNS ",IFERROR(VLOOKUP($F32,Arrangörslista!C$98:$AG$135,16,FALSE), "DNS")))), IF(Deltagarlista!$K$3=1,IF(ISBLANK(Deltagarlista!$C41),"",IF(ISBLANK(Arrangörslista!C$98),"",IFERROR(VLOOKUP($F32,Arrangörslista!C$98:$AG$135,16,FALSE), "DNS"))),""))</f>
        <v/>
      </c>
      <c r="AO32" s="5" t="str">
        <f>IF(Deltagarlista!$K$3=2,
IF(ISBLANK(Deltagarlista!$C41),"",IF(ISBLANK(Arrangörslista!D$98),"",IF($GV32=AO$64," DNS ",IFERROR(VLOOKUP($F32,Arrangörslista!D$98:$AG$135,16,FALSE), "DNS")))), IF(Deltagarlista!$K$3=1,IF(ISBLANK(Deltagarlista!$C41),"",IF(ISBLANK(Arrangörslista!D$98),"",IFERROR(VLOOKUP($F32,Arrangörslista!D$98:$AG$135,16,FALSE), "DNS"))),""))</f>
        <v/>
      </c>
      <c r="AP32" s="5" t="str">
        <f>IF(Deltagarlista!$K$3=2,
IF(ISBLANK(Deltagarlista!$C41),"",IF(ISBLANK(Arrangörslista!E$98),"",IF($GV32=AP$64," DNS ",IFERROR(VLOOKUP($F32,Arrangörslista!E$98:$AG$135,16,FALSE), "DNS")))), IF(Deltagarlista!$K$3=1,IF(ISBLANK(Deltagarlista!$C41),"",IF(ISBLANK(Arrangörslista!E$98),"",IFERROR(VLOOKUP($F32,Arrangörslista!E$98:$AG$135,16,FALSE), "DNS"))),""))</f>
        <v/>
      </c>
      <c r="AQ32" s="5" t="str">
        <f>IF(Deltagarlista!$K$3=2,
IF(ISBLANK(Deltagarlista!$C41),"",IF(ISBLANK(Arrangörslista!F$98),"",IF($GV32=AQ$64," DNS ",IFERROR(VLOOKUP($F32,Arrangörslista!F$98:$AG$135,16,FALSE), "DNS")))), IF(Deltagarlista!$K$3=1,IF(ISBLANK(Deltagarlista!$C41),"",IF(ISBLANK(Arrangörslista!F$98),"",IFERROR(VLOOKUP($F32,Arrangörslista!F$98:$AG$135,16,FALSE), "DNS"))),""))</f>
        <v/>
      </c>
      <c r="AR32" s="5" t="str">
        <f>IF(Deltagarlista!$K$3=2,
IF(ISBLANK(Deltagarlista!$C41),"",IF(ISBLANK(Arrangörslista!G$98),"",IF($GV32=AR$64," DNS ",IFERROR(VLOOKUP($F32,Arrangörslista!G$98:$AG$135,16,FALSE), "DNS")))), IF(Deltagarlista!$K$3=1,IF(ISBLANK(Deltagarlista!$C41),"",IF(ISBLANK(Arrangörslista!G$98),"",IFERROR(VLOOKUP($F32,Arrangörslista!G$98:$AG$135,16,FALSE), "DNS"))),""))</f>
        <v/>
      </c>
      <c r="AS32" s="5" t="str">
        <f>IF(Deltagarlista!$K$3=2,
IF(ISBLANK(Deltagarlista!$C41),"",IF(ISBLANK(Arrangörslista!H$98),"",IF($GV32=AS$64," DNS ",IFERROR(VLOOKUP($F32,Arrangörslista!H$98:$AG$135,16,FALSE), "DNS")))), IF(Deltagarlista!$K$3=1,IF(ISBLANK(Deltagarlista!$C41),"",IF(ISBLANK(Arrangörslista!H$98),"",IFERROR(VLOOKUP($F32,Arrangörslista!H$98:$AG$135,16,FALSE), "DNS"))),""))</f>
        <v/>
      </c>
      <c r="AT32" s="5" t="str">
        <f>IF(Deltagarlista!$K$3=2,
IF(ISBLANK(Deltagarlista!$C41),"",IF(ISBLANK(Arrangörslista!I$98),"",IF($GV32=AT$64," DNS ",IFERROR(VLOOKUP($F32,Arrangörslista!I$98:$AG$135,16,FALSE), "DNS")))), IF(Deltagarlista!$K$3=1,IF(ISBLANK(Deltagarlista!$C41),"",IF(ISBLANK(Arrangörslista!I$98),"",IFERROR(VLOOKUP($F32,Arrangörslista!I$98:$AG$135,16,FALSE), "DNS"))),""))</f>
        <v/>
      </c>
      <c r="AU32" s="5" t="str">
        <f>IF(Deltagarlista!$K$3=2,
IF(ISBLANK(Deltagarlista!$C41),"",IF(ISBLANK(Arrangörslista!J$98),"",IF($GV32=AU$64," DNS ",IFERROR(VLOOKUP($F32,Arrangörslista!J$98:$AG$135,16,FALSE), "DNS")))), IF(Deltagarlista!$K$3=1,IF(ISBLANK(Deltagarlista!$C41),"",IF(ISBLANK(Arrangörslista!J$98),"",IFERROR(VLOOKUP($F32,Arrangörslista!J$98:$AG$135,16,FALSE), "DNS"))),""))</f>
        <v/>
      </c>
      <c r="AV32" s="5" t="str">
        <f>IF(Deltagarlista!$K$3=2,
IF(ISBLANK(Deltagarlista!$C41),"",IF(ISBLANK(Arrangörslista!K$98),"",IF($GV32=AV$64," DNS ",IFERROR(VLOOKUP($F32,Arrangörslista!K$98:$AG$135,16,FALSE), "DNS")))), IF(Deltagarlista!$K$3=1,IF(ISBLANK(Deltagarlista!$C41),"",IF(ISBLANK(Arrangörslista!K$98),"",IFERROR(VLOOKUP($F32,Arrangörslista!K$98:$AG$135,16,FALSE), "DNS"))),""))</f>
        <v/>
      </c>
      <c r="AW32" s="5" t="str">
        <f>IF(Deltagarlista!$K$3=2,
IF(ISBLANK(Deltagarlista!$C41),"",IF(ISBLANK(Arrangörslista!L$98),"",IF($GV32=AW$64," DNS ",IFERROR(VLOOKUP($F32,Arrangörslista!L$98:$AG$135,16,FALSE), "DNS")))), IF(Deltagarlista!$K$3=1,IF(ISBLANK(Deltagarlista!$C41),"",IF(ISBLANK(Arrangörslista!L$98),"",IFERROR(VLOOKUP($F32,Arrangörslista!L$98:$AG$135,16,FALSE), "DNS"))),""))</f>
        <v/>
      </c>
      <c r="AX32" s="5" t="str">
        <f>IF(Deltagarlista!$K$3=2,
IF(ISBLANK(Deltagarlista!$C41),"",IF(ISBLANK(Arrangörslista!M$98),"",IF($GV32=AX$64," DNS ",IFERROR(VLOOKUP($F32,Arrangörslista!M$98:$AG$135,16,FALSE), "DNS")))), IF(Deltagarlista!$K$3=1,IF(ISBLANK(Deltagarlista!$C41),"",IF(ISBLANK(Arrangörslista!M$98),"",IFERROR(VLOOKUP($F32,Arrangörslista!M$98:$AG$135,16,FALSE), "DNS"))),""))</f>
        <v/>
      </c>
      <c r="AY32" s="5" t="str">
        <f>IF(Deltagarlista!$K$3=2,
IF(ISBLANK(Deltagarlista!$C41),"",IF(ISBLANK(Arrangörslista!N$98),"",IF($GV32=AY$64," DNS ",IFERROR(VLOOKUP($F32,Arrangörslista!N$98:$AG$135,16,FALSE), "DNS")))), IF(Deltagarlista!$K$3=1,IF(ISBLANK(Deltagarlista!$C41),"",IF(ISBLANK(Arrangörslista!N$98),"",IFERROR(VLOOKUP($F32,Arrangörslista!N$98:$AG$135,16,FALSE), "DNS"))),""))</f>
        <v/>
      </c>
      <c r="AZ32" s="5" t="str">
        <f>IF(Deltagarlista!$K$3=2,
IF(ISBLANK(Deltagarlista!$C41),"",IF(ISBLANK(Arrangörslista!O$98),"",IF($GV32=AZ$64," DNS ",IFERROR(VLOOKUP($F32,Arrangörslista!O$98:$AG$135,16,FALSE), "DNS")))), IF(Deltagarlista!$K$3=1,IF(ISBLANK(Deltagarlista!$C41),"",IF(ISBLANK(Arrangörslista!O$98),"",IFERROR(VLOOKUP($F32,Arrangörslista!O$98:$AG$135,16,FALSE), "DNS"))),""))</f>
        <v/>
      </c>
      <c r="BA32" s="5" t="str">
        <f>IF(Deltagarlista!$K$3=2,
IF(ISBLANK(Deltagarlista!$C41),"",IF(ISBLANK(Arrangörslista!P$98),"",IF($GV32=BA$64," DNS ",IFERROR(VLOOKUP($F32,Arrangörslista!P$98:$AG$135,16,FALSE), "DNS")))), IF(Deltagarlista!$K$3=1,IF(ISBLANK(Deltagarlista!$C41),"",IF(ISBLANK(Arrangörslista!P$98),"",IFERROR(VLOOKUP($F32,Arrangörslista!P$98:$AG$135,16,FALSE), "DNS"))),""))</f>
        <v/>
      </c>
      <c r="BB32" s="5" t="str">
        <f>IF(Deltagarlista!$K$3=2,
IF(ISBLANK(Deltagarlista!$C41),"",IF(ISBLANK(Arrangörslista!Q$98),"",IF($GV32=BB$64," DNS ",IFERROR(VLOOKUP($F32,Arrangörslista!Q$98:$AG$135,16,FALSE), "DNS")))), IF(Deltagarlista!$K$3=1,IF(ISBLANK(Deltagarlista!$C41),"",IF(ISBLANK(Arrangörslista!Q$98),"",IFERROR(VLOOKUP($F32,Arrangörslista!Q$98:$AG$135,16,FALSE), "DNS"))),""))</f>
        <v/>
      </c>
      <c r="BC32" s="5" t="str">
        <f>IF(Deltagarlista!$K$3=2,
IF(ISBLANK(Deltagarlista!$C41),"",IF(ISBLANK(Arrangörslista!C$143),"",IF($GV32=BC$64," DNS ",IFERROR(VLOOKUP($F32,Arrangörslista!C$143:$AG$180,16,FALSE), "DNS")))), IF(Deltagarlista!$K$3=1,IF(ISBLANK(Deltagarlista!$C41),"",IF(ISBLANK(Arrangörslista!C$143),"",IFERROR(VLOOKUP($F32,Arrangörslista!C$143:$AG$180,16,FALSE), "DNS"))),""))</f>
        <v/>
      </c>
      <c r="BD32" s="5" t="str">
        <f>IF(Deltagarlista!$K$3=2,
IF(ISBLANK(Deltagarlista!$C41),"",IF(ISBLANK(Arrangörslista!D$143),"",IF($GV32=BD$64," DNS ",IFERROR(VLOOKUP($F32,Arrangörslista!D$143:$AG$180,16,FALSE), "DNS")))), IF(Deltagarlista!$K$3=1,IF(ISBLANK(Deltagarlista!$C41),"",IF(ISBLANK(Arrangörslista!D$143),"",IFERROR(VLOOKUP($F32,Arrangörslista!D$143:$AG$180,16,FALSE), "DNS"))),""))</f>
        <v/>
      </c>
      <c r="BE32" s="5" t="str">
        <f>IF(Deltagarlista!$K$3=2,
IF(ISBLANK(Deltagarlista!$C41),"",IF(ISBLANK(Arrangörslista!E$143),"",IF($GV32=BE$64," DNS ",IFERROR(VLOOKUP($F32,Arrangörslista!E$143:$AG$180,16,FALSE), "DNS")))), IF(Deltagarlista!$K$3=1,IF(ISBLANK(Deltagarlista!$C41),"",IF(ISBLANK(Arrangörslista!E$143),"",IFERROR(VLOOKUP($F32,Arrangörslista!E$143:$AG$180,16,FALSE), "DNS"))),""))</f>
        <v/>
      </c>
      <c r="BF32" s="5" t="str">
        <f>IF(Deltagarlista!$K$3=2,
IF(ISBLANK(Deltagarlista!$C41),"",IF(ISBLANK(Arrangörslista!F$143),"",IF($GV32=BF$64," DNS ",IFERROR(VLOOKUP($F32,Arrangörslista!F$143:$AG$180,16,FALSE), "DNS")))), IF(Deltagarlista!$K$3=1,IF(ISBLANK(Deltagarlista!$C41),"",IF(ISBLANK(Arrangörslista!F$143),"",IFERROR(VLOOKUP($F32,Arrangörslista!F$143:$AG$180,16,FALSE), "DNS"))),""))</f>
        <v/>
      </c>
      <c r="BG32" s="5" t="str">
        <f>IF(Deltagarlista!$K$3=2,
IF(ISBLANK(Deltagarlista!$C41),"",IF(ISBLANK(Arrangörslista!G$143),"",IF($GV32=BG$64," DNS ",IFERROR(VLOOKUP($F32,Arrangörslista!G$143:$AG$180,16,FALSE), "DNS")))), IF(Deltagarlista!$K$3=1,IF(ISBLANK(Deltagarlista!$C41),"",IF(ISBLANK(Arrangörslista!G$143),"",IFERROR(VLOOKUP($F32,Arrangörslista!G$143:$AG$180,16,FALSE), "DNS"))),""))</f>
        <v/>
      </c>
      <c r="BH32" s="5" t="str">
        <f>IF(Deltagarlista!$K$3=2,
IF(ISBLANK(Deltagarlista!$C41),"",IF(ISBLANK(Arrangörslista!H$143),"",IF($GV32=BH$64," DNS ",IFERROR(VLOOKUP($F32,Arrangörslista!H$143:$AG$180,16,FALSE), "DNS")))), IF(Deltagarlista!$K$3=1,IF(ISBLANK(Deltagarlista!$C41),"",IF(ISBLANK(Arrangörslista!H$143),"",IFERROR(VLOOKUP($F32,Arrangörslista!H$143:$AG$180,16,FALSE), "DNS"))),""))</f>
        <v/>
      </c>
      <c r="BI32" s="5" t="str">
        <f>IF(Deltagarlista!$K$3=2,
IF(ISBLANK(Deltagarlista!$C41),"",IF(ISBLANK(Arrangörslista!I$143),"",IF($GV32=BI$64," DNS ",IFERROR(VLOOKUP($F32,Arrangörslista!I$143:$AG$180,16,FALSE), "DNS")))), IF(Deltagarlista!$K$3=1,IF(ISBLANK(Deltagarlista!$C41),"",IF(ISBLANK(Arrangörslista!I$143),"",IFERROR(VLOOKUP($F32,Arrangörslista!I$143:$AG$180,16,FALSE), "DNS"))),""))</f>
        <v/>
      </c>
      <c r="BJ32" s="5" t="str">
        <f>IF(Deltagarlista!$K$3=2,
IF(ISBLANK(Deltagarlista!$C41),"",IF(ISBLANK(Arrangörslista!J$143),"",IF($GV32=BJ$64," DNS ",IFERROR(VLOOKUP($F32,Arrangörslista!J$143:$AG$180,16,FALSE), "DNS")))), IF(Deltagarlista!$K$3=1,IF(ISBLANK(Deltagarlista!$C41),"",IF(ISBLANK(Arrangörslista!J$143),"",IFERROR(VLOOKUP($F32,Arrangörslista!J$143:$AG$180,16,FALSE), "DNS"))),""))</f>
        <v/>
      </c>
      <c r="BK32" s="5" t="str">
        <f>IF(Deltagarlista!$K$3=2,
IF(ISBLANK(Deltagarlista!$C41),"",IF(ISBLANK(Arrangörslista!K$143),"",IF($GV32=BK$64," DNS ",IFERROR(VLOOKUP($F32,Arrangörslista!K$143:$AG$180,16,FALSE), "DNS")))), IF(Deltagarlista!$K$3=1,IF(ISBLANK(Deltagarlista!$C41),"",IF(ISBLANK(Arrangörslista!K$143),"",IFERROR(VLOOKUP($F32,Arrangörslista!K$143:$AG$180,16,FALSE), "DNS"))),""))</f>
        <v/>
      </c>
      <c r="BL32" s="5" t="str">
        <f>IF(Deltagarlista!$K$3=2,
IF(ISBLANK(Deltagarlista!$C41),"",IF(ISBLANK(Arrangörslista!L$143),"",IF($GV32=BL$64," DNS ",IFERROR(VLOOKUP($F32,Arrangörslista!L$143:$AG$180,16,FALSE), "DNS")))), IF(Deltagarlista!$K$3=1,IF(ISBLANK(Deltagarlista!$C41),"",IF(ISBLANK(Arrangörslista!L$143),"",IFERROR(VLOOKUP($F32,Arrangörslista!L$143:$AG$180,16,FALSE), "DNS"))),""))</f>
        <v/>
      </c>
      <c r="BM32" s="5" t="str">
        <f>IF(Deltagarlista!$K$3=2,
IF(ISBLANK(Deltagarlista!$C41),"",IF(ISBLANK(Arrangörslista!M$143),"",IF($GV32=BM$64," DNS ",IFERROR(VLOOKUP($F32,Arrangörslista!M$143:$AG$180,16,FALSE), "DNS")))), IF(Deltagarlista!$K$3=1,IF(ISBLANK(Deltagarlista!$C41),"",IF(ISBLANK(Arrangörslista!M$143),"",IFERROR(VLOOKUP($F32,Arrangörslista!M$143:$AG$180,16,FALSE), "DNS"))),""))</f>
        <v/>
      </c>
      <c r="BN32" s="5" t="str">
        <f>IF(Deltagarlista!$K$3=2,
IF(ISBLANK(Deltagarlista!$C41),"",IF(ISBLANK(Arrangörslista!N$143),"",IF($GV32=BN$64," DNS ",IFERROR(VLOOKUP($F32,Arrangörslista!N$143:$AG$180,16,FALSE), "DNS")))), IF(Deltagarlista!$K$3=1,IF(ISBLANK(Deltagarlista!$C41),"",IF(ISBLANK(Arrangörslista!N$143),"",IFERROR(VLOOKUP($F32,Arrangörslista!N$143:$AG$180,16,FALSE), "DNS"))),""))</f>
        <v/>
      </c>
      <c r="BO32" s="5" t="str">
        <f>IF(Deltagarlista!$K$3=2,
IF(ISBLANK(Deltagarlista!$C41),"",IF(ISBLANK(Arrangörslista!O$143),"",IF($GV32=BO$64," DNS ",IFERROR(VLOOKUP($F32,Arrangörslista!O$143:$AG$180,16,FALSE), "DNS")))), IF(Deltagarlista!$K$3=1,IF(ISBLANK(Deltagarlista!$C41),"",IF(ISBLANK(Arrangörslista!O$143),"",IFERROR(VLOOKUP($F32,Arrangörslista!O$143:$AG$180,16,FALSE), "DNS"))),""))</f>
        <v/>
      </c>
      <c r="BP32" s="5" t="str">
        <f>IF(Deltagarlista!$K$3=2,
IF(ISBLANK(Deltagarlista!$C41),"",IF(ISBLANK(Arrangörslista!P$143),"",IF($GV32=BP$64," DNS ",IFERROR(VLOOKUP($F32,Arrangörslista!P$143:$AG$180,16,FALSE), "DNS")))), IF(Deltagarlista!$K$3=1,IF(ISBLANK(Deltagarlista!$C41),"",IF(ISBLANK(Arrangörslista!P$143),"",IFERROR(VLOOKUP($F32,Arrangörslista!P$143:$AG$180,16,FALSE), "DNS"))),""))</f>
        <v/>
      </c>
      <c r="BQ32" s="80" t="str">
        <f>IF(Deltagarlista!$K$3=2,
IF(ISBLANK(Deltagarlista!$C41),"",IF(ISBLANK(Arrangörslista!Q$143),"",IF($GV32=BQ$64," DNS ",IFERROR(VLOOKUP($F32,Arrangörslista!Q$143:$AG$180,16,FALSE), "DNS")))), IF(Deltagarlista!$K$3=1,IF(ISBLANK(Deltagarlista!$C41),"",IF(ISBLANK(Arrangörslista!Q$143),"",IFERROR(VLOOKUP($F32,Arrangörslista!Q$143:$AG$180,16,FALSE), "DNS"))),""))</f>
        <v/>
      </c>
      <c r="BR32" s="51"/>
      <c r="BS32" s="50" t="str">
        <f t="shared" si="0"/>
        <v>2</v>
      </c>
      <c r="BT32" s="51"/>
      <c r="BU32" s="71">
        <f t="shared" si="1"/>
        <v>0</v>
      </c>
      <c r="BV32" s="61">
        <f t="shared" si="2"/>
        <v>0</v>
      </c>
      <c r="BW32" s="61">
        <f t="shared" si="3"/>
        <v>0</v>
      </c>
      <c r="BX32" s="61">
        <f t="shared" si="4"/>
        <v>0</v>
      </c>
      <c r="BY32" s="61">
        <f t="shared" si="5"/>
        <v>0</v>
      </c>
      <c r="BZ32" s="61">
        <f t="shared" si="6"/>
        <v>0</v>
      </c>
      <c r="CA32" s="61">
        <f t="shared" si="7"/>
        <v>0</v>
      </c>
      <c r="CB32" s="61">
        <f t="shared" si="8"/>
        <v>0</v>
      </c>
      <c r="CC32" s="61">
        <f t="shared" si="9"/>
        <v>0</v>
      </c>
      <c r="CD32" s="61">
        <f t="shared" si="10"/>
        <v>0</v>
      </c>
      <c r="CE32" s="61">
        <f t="shared" si="11"/>
        <v>0</v>
      </c>
      <c r="CF32" s="61">
        <f t="shared" si="12"/>
        <v>0</v>
      </c>
      <c r="CG32" s="61">
        <f t="shared" si="13"/>
        <v>0</v>
      </c>
      <c r="CH32" s="61">
        <f t="shared" si="14"/>
        <v>0</v>
      </c>
      <c r="CI32" s="61">
        <f t="shared" si="15"/>
        <v>0</v>
      </c>
      <c r="CJ32" s="61">
        <f t="shared" si="16"/>
        <v>0</v>
      </c>
      <c r="CK32" s="61">
        <f t="shared" si="17"/>
        <v>0</v>
      </c>
      <c r="CL32" s="61">
        <f t="shared" si="18"/>
        <v>0</v>
      </c>
      <c r="CM32" s="61">
        <f t="shared" si="19"/>
        <v>0</v>
      </c>
      <c r="CN32" s="61">
        <f t="shared" si="20"/>
        <v>0</v>
      </c>
      <c r="CO32" s="61">
        <f t="shared" si="21"/>
        <v>0</v>
      </c>
      <c r="CP32" s="61">
        <f t="shared" si="22"/>
        <v>0</v>
      </c>
      <c r="CQ32" s="61">
        <f t="shared" si="23"/>
        <v>0</v>
      </c>
      <c r="CR32" s="61">
        <f t="shared" si="24"/>
        <v>0</v>
      </c>
      <c r="CS32" s="61">
        <f t="shared" si="25"/>
        <v>0</v>
      </c>
      <c r="CT32" s="61">
        <f t="shared" si="26"/>
        <v>0</v>
      </c>
      <c r="CU32" s="61">
        <f t="shared" si="27"/>
        <v>0</v>
      </c>
      <c r="CV32" s="61">
        <f t="shared" si="28"/>
        <v>0</v>
      </c>
      <c r="CW32" s="61">
        <f t="shared" si="29"/>
        <v>0</v>
      </c>
      <c r="CX32" s="61">
        <f t="shared" si="30"/>
        <v>0</v>
      </c>
      <c r="CY32" s="61">
        <f t="shared" si="31"/>
        <v>0</v>
      </c>
      <c r="CZ32" s="61">
        <f t="shared" si="32"/>
        <v>0</v>
      </c>
      <c r="DA32" s="61">
        <f t="shared" si="33"/>
        <v>0</v>
      </c>
      <c r="DB32" s="61">
        <f t="shared" si="34"/>
        <v>0</v>
      </c>
      <c r="DC32" s="61">
        <f t="shared" si="35"/>
        <v>0</v>
      </c>
      <c r="DD32" s="61">
        <f t="shared" si="36"/>
        <v>0</v>
      </c>
      <c r="DE32" s="61">
        <f t="shared" si="37"/>
        <v>0</v>
      </c>
      <c r="DF32" s="61">
        <f t="shared" si="38"/>
        <v>0</v>
      </c>
      <c r="DG32" s="61">
        <f t="shared" si="39"/>
        <v>0</v>
      </c>
      <c r="DH32" s="61">
        <f t="shared" si="40"/>
        <v>0</v>
      </c>
      <c r="DI32" s="61">
        <f t="shared" si="41"/>
        <v>0</v>
      </c>
      <c r="DJ32" s="61">
        <f t="shared" si="42"/>
        <v>0</v>
      </c>
      <c r="DK32" s="61">
        <f t="shared" si="43"/>
        <v>0</v>
      </c>
      <c r="DL32" s="61">
        <f t="shared" si="44"/>
        <v>0</v>
      </c>
      <c r="DM32" s="61">
        <f t="shared" si="45"/>
        <v>0</v>
      </c>
      <c r="DN32" s="61">
        <f t="shared" si="46"/>
        <v>0</v>
      </c>
      <c r="DO32" s="61">
        <f t="shared" si="47"/>
        <v>0</v>
      </c>
      <c r="DP32" s="61">
        <f t="shared" si="48"/>
        <v>0</v>
      </c>
      <c r="DQ32" s="61">
        <f t="shared" si="49"/>
        <v>0</v>
      </c>
      <c r="DR32" s="61">
        <f t="shared" si="50"/>
        <v>0</v>
      </c>
      <c r="DS32" s="61">
        <f t="shared" si="51"/>
        <v>0</v>
      </c>
      <c r="DT32" s="61">
        <f t="shared" si="52"/>
        <v>0</v>
      </c>
      <c r="DU32" s="61">
        <f t="shared" si="53"/>
        <v>0</v>
      </c>
      <c r="DV32" s="61">
        <f t="shared" si="54"/>
        <v>0</v>
      </c>
      <c r="DW32" s="61">
        <f t="shared" si="55"/>
        <v>0</v>
      </c>
      <c r="DX32" s="61">
        <f t="shared" si="56"/>
        <v>0</v>
      </c>
      <c r="DY32" s="61">
        <f t="shared" si="57"/>
        <v>0</v>
      </c>
      <c r="DZ32" s="61">
        <f t="shared" si="58"/>
        <v>0</v>
      </c>
      <c r="EA32" s="61">
        <f t="shared" si="59"/>
        <v>0</v>
      </c>
      <c r="EB32" s="61">
        <f t="shared" si="60"/>
        <v>0</v>
      </c>
      <c r="EC32" s="61">
        <f t="shared" si="61"/>
        <v>0</v>
      </c>
      <c r="EE32" s="61">
        <f xml:space="preserve">
IF(OR(Deltagarlista!$K$3=3,Deltagarlista!$K$3=4),
IF(Arrangörslista!$U$5&lt;8,0,
IF(Arrangörslista!$U$5&lt;16,SUM(LARGE(BV32:CJ32,1)),
IF(Arrangörslista!$U$5&lt;24,SUM(LARGE(BV32:CR32,{1;2})),
IF(Arrangörslista!$U$5&lt;32,SUM(LARGE(BV32:CZ32,{1;2;3})),
IF(Arrangörslista!$U$5&lt;40,SUM(LARGE(BV32:DH32,{1;2;3;4})),
IF(Arrangörslista!$U$5&lt;48,SUM(LARGE(BV32:DP32,{1;2;3;4;5})),
IF(Arrangörslista!$U$5&lt;56,SUM(LARGE(BV32:DX32,{1;2;3;4;5;6})),
IF(Arrangörslista!$U$5&lt;64,SUM(LARGE(BV32:EC32,{1;2;3;4;5;6;7})),0)))))))),
IF(Deltagarlista!$K$3=2,
IF(Arrangörslista!$U$5&lt;4,LARGE(BV32:BX32,1),
IF(Arrangörslista!$U$5&lt;7,SUM(LARGE(BV32:CA32,{1;2;3})),
IF(Arrangörslista!$U$5&lt;10,SUM(LARGE(BV32:CD32,{1;2;3;4})),
IF(Arrangörslista!$U$5&lt;13,SUM(LARGE(BV32:CG32,{1;2;3;4;5;6})),
IF(Arrangörslista!$U$5&lt;16,SUM(LARGE(BV32:CJ32,{1;2;3;4;5;6;7})),
IF(Arrangörslista!$U$5&lt;19,SUM(LARGE(BV32:CM32,{1;2;3;4;5;6;7;8;9})),
IF(Arrangörslista!$U$5&lt;22,SUM(LARGE(BV32:CP32,{1;2;3;4;5;6;7;8;9;10})),
IF(Arrangörslista!$U$5&lt;25,SUM(LARGE(BV32:CS32,{1;2;3;4;5;6;7;8;9;10;11;12})),
IF(Arrangörslista!$U$5&lt;28,SUM(LARGE(BV32:CV32,{1;2;3;4;5;6;7;8;9;10;11;12;13})),
IF(Arrangörslista!$U$5&lt;31,SUM(LARGE(BV32:CY32,{1;2;3;4;5;6;7;8;9;10;11;12;13;14;15})),
IF(Arrangörslista!$U$5&lt;34,SUM(LARGE(BV32:DB32,{1;2;3;4;5;6;7;8;9;10;11;12;13;14;15;16})),
IF(Arrangörslista!$U$5&lt;37,SUM(LARGE(BV32:DE32,{1;2;3;4;5;6;7;8;9;10;11;12;13;14;15;16;17;18})),
IF(Arrangörslista!$U$5&lt;40,SUM(LARGE(BV32:DH32,{1;2;3;4;5;6;7;8;9;10;11;12;13;14;15;16;17;18;19})),
IF(Arrangörslista!$U$5&lt;43,SUM(LARGE(BV32:DK32,{1;2;3;4;5;6;7;8;9;10;11;12;13;14;15;16;17;18;19;20;21})),
IF(Arrangörslista!$U$5&lt;46,SUM(LARGE(BV32:DN32,{1;2;3;4;5;6;7;8;9;10;11;12;13;14;15;16;17;18;19;20;21;22})),
IF(Arrangörslista!$U$5&lt;49,SUM(LARGE(BV32:DQ32,{1;2;3;4;5;6;7;8;9;10;11;12;13;14;15;16;17;18;19;20;21;22;23;24})),
IF(Arrangörslista!$U$5&lt;52,SUM(LARGE(BV32:DT32,{1;2;3;4;5;6;7;8;9;10;11;12;13;14;15;16;17;18;19;20;21;22;23;24;25})),
IF(Arrangörslista!$U$5&lt;55,SUM(LARGE(BV32:DW32,{1;2;3;4;5;6;7;8;9;10;11;12;13;14;15;16;17;18;19;20;21;22;23;24;25;26;27})),
IF(Arrangörslista!$U$5&lt;58,SUM(LARGE(BV32:DZ32,{1;2;3;4;5;6;7;8;9;10;11;12;13;14;15;16;17;18;19;20;21;22;23;24;25;26;27;28})),
IF(Arrangörslista!$U$5&lt;61,SUM(LARGE(BV32:EC32,{1;2;3;4;5;6;7;8;9;10;11;12;13;14;15;16;17;18;19;20;21;22;23;24;25;26;27;28;29;30})),0)))))))))))))))))))),
IF(Arrangörslista!$U$5&lt;4,0,
IF(Arrangörslista!$U$5&lt;8,SUM(LARGE(BV32:CB32,1)),
IF(Arrangörslista!$U$5&lt;12,SUM(LARGE(BV32:CF32,{1;2})),
IF(Arrangörslista!$U$5&lt;16,SUM(LARGE(BV32:CJ32,{1;2;3})),
IF(Arrangörslista!$U$5&lt;20,SUM(LARGE(BV32:CN32,{1;2;3;4})),
IF(Arrangörslista!$U$5&lt;24,SUM(LARGE(BV32:CR32,{1;2;3;4;5})),
IF(Arrangörslista!$U$5&lt;28,SUM(LARGE(BV32:CV32,{1;2;3;4;5;6})),
IF(Arrangörslista!$U$5&lt;32,SUM(LARGE(BV32:CZ32,{1;2;3;4;5;6;7})),
IF(Arrangörslista!$U$5&lt;36,SUM(LARGE(BV32:DD32,{1;2;3;4;5;6;7;8})),
IF(Arrangörslista!$U$5&lt;40,SUM(LARGE(BV32:DH32,{1;2;3;4;5;6;7;8;9})),
IF(Arrangörslista!$U$5&lt;44,SUM(LARGE(BV32:DL32,{1;2;3;4;5;6;7;8;9;10})),
IF(Arrangörslista!$U$5&lt;48,SUM(LARGE(BV32:DP32,{1;2;3;4;5;6;7;8;9;10;11})),
IF(Arrangörslista!$U$5&lt;52,SUM(LARGE(BV32:DT32,{1;2;3;4;5;6;7;8;9;10;11;12})),
IF(Arrangörslista!$U$5&lt;56,SUM(LARGE(BV32:DX32,{1;2;3;4;5;6;7;8;9;10;11;12;13})),
IF(Arrangörslista!$U$5&lt;60,SUM(LARGE(BV32:EB32,{1;2;3;4;5;6;7;8;9;10;11;12;13;14})),
IF(Arrangörslista!$U$5=60,SUM(LARGE(BV32:EC32,{1;2;3;4;5;6;7;8;9;10;11;12;13;14;15})),0))))))))))))))))))</f>
        <v>0</v>
      </c>
      <c r="EG32" s="67">
        <f t="shared" si="62"/>
        <v>0</v>
      </c>
      <c r="EH32" s="61"/>
      <c r="EI32" s="61"/>
      <c r="EK32" s="62">
        <f t="shared" si="63"/>
        <v>61</v>
      </c>
      <c r="EL32" s="62">
        <f t="shared" si="64"/>
        <v>61</v>
      </c>
      <c r="EM32" s="62">
        <f t="shared" si="65"/>
        <v>61</v>
      </c>
      <c r="EN32" s="62">
        <f t="shared" si="66"/>
        <v>61</v>
      </c>
      <c r="EO32" s="62">
        <f t="shared" si="67"/>
        <v>61</v>
      </c>
      <c r="EP32" s="62">
        <f t="shared" si="68"/>
        <v>61</v>
      </c>
      <c r="EQ32" s="62">
        <f t="shared" si="69"/>
        <v>61</v>
      </c>
      <c r="ER32" s="62">
        <f t="shared" si="70"/>
        <v>61</v>
      </c>
      <c r="ES32" s="62">
        <f t="shared" si="71"/>
        <v>61</v>
      </c>
      <c r="ET32" s="62">
        <f t="shared" si="72"/>
        <v>61</v>
      </c>
      <c r="EU32" s="62">
        <f t="shared" si="73"/>
        <v>61</v>
      </c>
      <c r="EV32" s="62">
        <f t="shared" si="74"/>
        <v>61</v>
      </c>
      <c r="EW32" s="62">
        <f t="shared" si="75"/>
        <v>61</v>
      </c>
      <c r="EX32" s="62">
        <f t="shared" si="76"/>
        <v>61</v>
      </c>
      <c r="EY32" s="62">
        <f t="shared" si="77"/>
        <v>61</v>
      </c>
      <c r="EZ32" s="62">
        <f t="shared" si="78"/>
        <v>61</v>
      </c>
      <c r="FA32" s="62">
        <f t="shared" si="79"/>
        <v>61</v>
      </c>
      <c r="FB32" s="62">
        <f t="shared" si="80"/>
        <v>61</v>
      </c>
      <c r="FC32" s="62">
        <f t="shared" si="81"/>
        <v>61</v>
      </c>
      <c r="FD32" s="62">
        <f t="shared" si="82"/>
        <v>61</v>
      </c>
      <c r="FE32" s="62">
        <f t="shared" si="83"/>
        <v>61</v>
      </c>
      <c r="FF32" s="62">
        <f t="shared" si="84"/>
        <v>61</v>
      </c>
      <c r="FG32" s="62">
        <f t="shared" si="85"/>
        <v>61</v>
      </c>
      <c r="FH32" s="62">
        <f t="shared" si="86"/>
        <v>61</v>
      </c>
      <c r="FI32" s="62">
        <f t="shared" si="87"/>
        <v>61</v>
      </c>
      <c r="FJ32" s="62">
        <f t="shared" si="88"/>
        <v>61</v>
      </c>
      <c r="FK32" s="62">
        <f t="shared" si="89"/>
        <v>61</v>
      </c>
      <c r="FL32" s="62">
        <f t="shared" si="90"/>
        <v>61</v>
      </c>
      <c r="FM32" s="62">
        <f t="shared" si="91"/>
        <v>61</v>
      </c>
      <c r="FN32" s="62">
        <f t="shared" si="92"/>
        <v>61</v>
      </c>
      <c r="FO32" s="62">
        <f t="shared" si="93"/>
        <v>61</v>
      </c>
      <c r="FP32" s="62">
        <f t="shared" si="94"/>
        <v>61</v>
      </c>
      <c r="FQ32" s="62">
        <f t="shared" si="95"/>
        <v>61</v>
      </c>
      <c r="FR32" s="62">
        <f t="shared" si="96"/>
        <v>61</v>
      </c>
      <c r="FS32" s="62">
        <f t="shared" si="97"/>
        <v>61</v>
      </c>
      <c r="FT32" s="62">
        <f t="shared" si="98"/>
        <v>61</v>
      </c>
      <c r="FU32" s="62">
        <f t="shared" si="99"/>
        <v>61</v>
      </c>
      <c r="FV32" s="62">
        <f t="shared" si="100"/>
        <v>61</v>
      </c>
      <c r="FW32" s="62">
        <f t="shared" si="101"/>
        <v>61</v>
      </c>
      <c r="FX32" s="62">
        <f t="shared" si="102"/>
        <v>61</v>
      </c>
      <c r="FY32" s="62">
        <f t="shared" si="103"/>
        <v>61</v>
      </c>
      <c r="FZ32" s="62">
        <f t="shared" si="104"/>
        <v>61</v>
      </c>
      <c r="GA32" s="62">
        <f t="shared" si="105"/>
        <v>61</v>
      </c>
      <c r="GB32" s="62">
        <f t="shared" si="106"/>
        <v>61</v>
      </c>
      <c r="GC32" s="62">
        <f t="shared" si="107"/>
        <v>61</v>
      </c>
      <c r="GD32" s="62">
        <f t="shared" si="108"/>
        <v>61</v>
      </c>
      <c r="GE32" s="62">
        <f t="shared" si="109"/>
        <v>61</v>
      </c>
      <c r="GF32" s="62">
        <f t="shared" si="110"/>
        <v>61</v>
      </c>
      <c r="GG32" s="62">
        <f t="shared" si="111"/>
        <v>61</v>
      </c>
      <c r="GH32" s="62">
        <f t="shared" si="112"/>
        <v>61</v>
      </c>
      <c r="GI32" s="62">
        <f t="shared" si="113"/>
        <v>61</v>
      </c>
      <c r="GJ32" s="62">
        <f t="shared" si="114"/>
        <v>61</v>
      </c>
      <c r="GK32" s="62">
        <f t="shared" si="115"/>
        <v>61</v>
      </c>
      <c r="GL32" s="62">
        <f t="shared" si="116"/>
        <v>61</v>
      </c>
      <c r="GM32" s="62">
        <f t="shared" si="117"/>
        <v>61</v>
      </c>
      <c r="GN32" s="62">
        <f t="shared" si="118"/>
        <v>61</v>
      </c>
      <c r="GO32" s="62">
        <f t="shared" si="119"/>
        <v>61</v>
      </c>
      <c r="GP32" s="62">
        <f t="shared" si="120"/>
        <v>61</v>
      </c>
      <c r="GQ32" s="62">
        <f t="shared" si="121"/>
        <v>61</v>
      </c>
      <c r="GR32" s="62">
        <f t="shared" si="122"/>
        <v>61</v>
      </c>
      <c r="GT32" s="62">
        <f>IF(Deltagarlista!$K$3=2,
IF(GW32="1",
      IF(Arrangörslista!$U$5=1,J95,
IF(Arrangörslista!$U$5=2,K95,
IF(Arrangörslista!$U$5=3,L95,
IF(Arrangörslista!$U$5=4,M95,
IF(Arrangörslista!$U$5=5,N95,
IF(Arrangörslista!$U$5=6,O95,
IF(Arrangörslista!$U$5=7,P95,
IF(Arrangörslista!$U$5=8,Q95,
IF(Arrangörslista!$U$5=9,R95,
IF(Arrangörslista!$U$5=10,S95,
IF(Arrangörslista!$U$5=11,T95,
IF(Arrangörslista!$U$5=12,U95,
IF(Arrangörslista!$U$5=13,V95,
IF(Arrangörslista!$U$5=14,W95,
IF(Arrangörslista!$U$5=15,X95,
IF(Arrangörslista!$U$5=16,Y95,IF(Arrangörslista!$U$5=17,Z95,IF(Arrangörslista!$U$5=18,AA95,IF(Arrangörslista!$U$5=19,AB95,IF(Arrangörslista!$U$5=20,AC95,IF(Arrangörslista!$U$5=21,AD95,IF(Arrangörslista!$U$5=22,AE95,IF(Arrangörslista!$U$5=23,AF95, IF(Arrangörslista!$U$5=24,AG95, IF(Arrangörslista!$U$5=25,AH95, IF(Arrangörslista!$U$5=26,AI95, IF(Arrangörslista!$U$5=27,AJ95, IF(Arrangörslista!$U$5=28,AK95, IF(Arrangörslista!$U$5=29,AL95, IF(Arrangörslista!$U$5=30,AM95, IF(Arrangörslista!$U$5=31,AN95, IF(Arrangörslista!$U$5=32,AO95, IF(Arrangörslista!$U$5=33,AP95, IF(Arrangörslista!$U$5=34,AQ95, IF(Arrangörslista!$U$5=35,AR95, IF(Arrangörslista!$U$5=36,AS95, IF(Arrangörslista!$U$5=37,AT95, IF(Arrangörslista!$U$5=38,AU95, IF(Arrangörslista!$U$5=39,AV95, IF(Arrangörslista!$U$5=40,AW95, IF(Arrangörslista!$U$5=41,AX95, IF(Arrangörslista!$U$5=42,AY95, IF(Arrangörslista!$U$5=43,AZ95, IF(Arrangörslista!$U$5=44,BA95, IF(Arrangörslista!$U$5=45,BB95, IF(Arrangörslista!$U$5=46,BC95, IF(Arrangörslista!$U$5=47,BD95, IF(Arrangörslista!$U$5=48,BE95, IF(Arrangörslista!$U$5=49,BF95, IF(Arrangörslista!$U$5=50,BG95, IF(Arrangörslista!$U$5=51,BH95, IF(Arrangörslista!$U$5=52,BI95, IF(Arrangörslista!$U$5=53,BJ95, IF(Arrangörslista!$U$5=54,BK95, IF(Arrangörslista!$U$5=55,BL95, IF(Arrangörslista!$U$5=56,BM95, IF(Arrangörslista!$U$5=57,BN95, IF(Arrangörslista!$U$5=58,BO95, IF(Arrangörslista!$U$5=59,BP95, IF(Arrangörslista!$U$5=60,BQ95,0))))))))))))))))))))))))))))))))))))))))))))))))))))))))))))),IF(Deltagarlista!$K$3=4, IF(Arrangörslista!$U$5=1,J95,
IF(Arrangörslista!$U$5=2,J95,
IF(Arrangörslista!$U$5=3,K95,
IF(Arrangörslista!$U$5=4,K95,
IF(Arrangörslista!$U$5=5,L95,
IF(Arrangörslista!$U$5=6,L95,
IF(Arrangörslista!$U$5=7,M95,
IF(Arrangörslista!$U$5=8,M95,
IF(Arrangörslista!$U$5=9,N95,
IF(Arrangörslista!$U$5=10,N95,
IF(Arrangörslista!$U$5=11,O95,
IF(Arrangörslista!$U$5=12,O95,
IF(Arrangörslista!$U$5=13,P95,
IF(Arrangörslista!$U$5=14,P95,
IF(Arrangörslista!$U$5=15,Q95,
IF(Arrangörslista!$U$5=16,Q95,
IF(Arrangörslista!$U$5=17,R95,
IF(Arrangörslista!$U$5=18,R95,
IF(Arrangörslista!$U$5=19,S95,
IF(Arrangörslista!$U$5=20,S95,
IF(Arrangörslista!$U$5=21,T95,
IF(Arrangörslista!$U$5=22,T95,IF(Arrangörslista!$U$5=23,U95, IF(Arrangörslista!$U$5=24,U95, IF(Arrangörslista!$U$5=25,V95, IF(Arrangörslista!$U$5=26,V95, IF(Arrangörslista!$U$5=27,W95, IF(Arrangörslista!$U$5=28,W95, IF(Arrangörslista!$U$5=29,X95, IF(Arrangörslista!$U$5=30,X95, IF(Arrangörslista!$U$5=31,X95, IF(Arrangörslista!$U$5=32,Y95, IF(Arrangörslista!$U$5=33,AO95, IF(Arrangörslista!$U$5=34,Y95, IF(Arrangörslista!$U$5=35,Z95, IF(Arrangörslista!$U$5=36,AR95, IF(Arrangörslista!$U$5=37,Z95, IF(Arrangörslista!$U$5=38,AA95, IF(Arrangörslista!$U$5=39,AU95, IF(Arrangörslista!$U$5=40,AA95, IF(Arrangörslista!$U$5=41,AB95, IF(Arrangörslista!$U$5=42,AX95, IF(Arrangörslista!$U$5=43,AB95, IF(Arrangörslista!$U$5=44,AC95, IF(Arrangörslista!$U$5=45,BA95, IF(Arrangörslista!$U$5=46,AC95, IF(Arrangörslista!$U$5=47,AD95, IF(Arrangörslista!$U$5=48,BD95, IF(Arrangörslista!$U$5=49,AD95, IF(Arrangörslista!$U$5=50,AE95, IF(Arrangörslista!$U$5=51,BG95, IF(Arrangörslista!$U$5=52,AE95, IF(Arrangörslista!$U$5=53,AF95, IF(Arrangörslista!$U$5=54,BJ95, IF(Arrangörslista!$U$5=55,AF95, IF(Arrangörslista!$U$5=56,AG95, IF(Arrangörslista!$U$5=57,BM95, IF(Arrangörslista!$U$5=58,AG95, IF(Arrangörslista!$U$5=59,AH95, IF(Arrangörslista!$U$5=60,AH95,0)))))))))))))))))))))))))))))))))))))))))))))))))))))))))))),IF(Arrangörslista!$U$5=1,J95,
IF(Arrangörslista!$U$5=2,K95,
IF(Arrangörslista!$U$5=3,L95,
IF(Arrangörslista!$U$5=4,M95,
IF(Arrangörslista!$U$5=5,N95,
IF(Arrangörslista!$U$5=6,O95,
IF(Arrangörslista!$U$5=7,P95,
IF(Arrangörslista!$U$5=8,Q95,
IF(Arrangörslista!$U$5=9,R95,
IF(Arrangörslista!$U$5=10,S95,
IF(Arrangörslista!$U$5=11,T95,
IF(Arrangörslista!$U$5=12,U95,
IF(Arrangörslista!$U$5=13,V95,
IF(Arrangörslista!$U$5=14,W95,
IF(Arrangörslista!$U$5=15,X95,
IF(Arrangörslista!$U$5=16,Y95,IF(Arrangörslista!$U$5=17,Z95,IF(Arrangörslista!$U$5=18,AA95,IF(Arrangörslista!$U$5=19,AB95,IF(Arrangörslista!$U$5=20,AC95,IF(Arrangörslista!$U$5=21,AD95,IF(Arrangörslista!$U$5=22,AE95,IF(Arrangörslista!$U$5=23,AF95, IF(Arrangörslista!$U$5=24,AG95, IF(Arrangörslista!$U$5=25,AH95, IF(Arrangörslista!$U$5=26,AI95, IF(Arrangörslista!$U$5=27,AJ95, IF(Arrangörslista!$U$5=28,AK95, IF(Arrangörslista!$U$5=29,AL95, IF(Arrangörslista!$U$5=30,AM95, IF(Arrangörslista!$U$5=31,AN95, IF(Arrangörslista!$U$5=32,AO95, IF(Arrangörslista!$U$5=33,AP95, IF(Arrangörslista!$U$5=34,AQ95, IF(Arrangörslista!$U$5=35,AR95, IF(Arrangörslista!$U$5=36,AS95, IF(Arrangörslista!$U$5=37,AT95, IF(Arrangörslista!$U$5=38,AU95, IF(Arrangörslista!$U$5=39,AV95, IF(Arrangörslista!$U$5=40,AW95, IF(Arrangörslista!$U$5=41,AX95, IF(Arrangörslista!$U$5=42,AY95, IF(Arrangörslista!$U$5=43,AZ95, IF(Arrangörslista!$U$5=44,BA95, IF(Arrangörslista!$U$5=45,BB95, IF(Arrangörslista!$U$5=46,BC95, IF(Arrangörslista!$U$5=47,BD95, IF(Arrangörslista!$U$5=48,BE95, IF(Arrangörslista!$U$5=49,BF95, IF(Arrangörslista!$U$5=50,BG95, IF(Arrangörslista!$U$5=51,BH95, IF(Arrangörslista!$U$5=52,BI95, IF(Arrangörslista!$U$5=53,BJ95, IF(Arrangörslista!$U$5=54,BK95, IF(Arrangörslista!$U$5=55,BL95, IF(Arrangörslista!$U$5=56,BM95, IF(Arrangörslista!$U$5=57,BN95, IF(Arrangörslista!$U$5=58,BO95, IF(Arrangörslista!$U$5=59,BP95, IF(Arrangörslista!$U$5=60,BQ95,0))))))))))))))))))))))))))))))))))))))))))))))))))))))))))))
))</f>
        <v>0</v>
      </c>
      <c r="GV32" s="65" t="str">
        <f>IFERROR(IF(VLOOKUP(F32,Deltagarlista!$E$5:$I$64,5,FALSE)="Grön","Gr",IF(VLOOKUP(F32,Deltagarlista!$E$5:$I$64,5,FALSE)="Röd","R",IF(VLOOKUP(F32,Deltagarlista!$E$5:$I$64,5,FALSE)="Blå","B","Gu"))),"")</f>
        <v/>
      </c>
      <c r="GW32" s="62" t="str">
        <f t="shared" si="124"/>
        <v/>
      </c>
    </row>
    <row r="33" spans="2:205" ht="15.75" customHeight="1" x14ac:dyDescent="0.3">
      <c r="B33" s="23" t="str">
        <f>IF((COUNTIF(Deltagarlista!$H$5:$H$64,"GM"))&gt;29,30,"")</f>
        <v/>
      </c>
      <c r="C33" s="92" t="str">
        <f>IF(ISBLANK(Deltagarlista!C39),"",Deltagarlista!C39)</f>
        <v/>
      </c>
      <c r="D33" s="109" t="str">
        <f>CONCATENATE(IF(Deltagarlista!H39="GM","GM   ",""), IF(OR(Deltagarlista!$K$3=4,Deltagarlista!$K$3=2),Deltagarlista!I39,""))</f>
        <v/>
      </c>
      <c r="E33" s="8" t="str">
        <f>IF(ISBLANK(Deltagarlista!D39),"",Deltagarlista!D39)</f>
        <v/>
      </c>
      <c r="F33" s="8" t="str">
        <f>IF(ISBLANK(Deltagarlista!E39),"",Deltagarlista!E39)</f>
        <v/>
      </c>
      <c r="G33" s="95" t="str">
        <f>IF(ISBLANK(Deltagarlista!F39),"",Deltagarlista!F39)</f>
        <v/>
      </c>
      <c r="H33" s="72" t="str">
        <f>IF(ISBLANK(Deltagarlista!C39),"",BU33-EE33)</f>
        <v/>
      </c>
      <c r="I33" s="13" t="str">
        <f>IF(ISBLANK(Deltagarlista!C39),"",IF(AND(Deltagarlista!$K$3=2,Deltagarlista!$L$3&lt;37),SUM(SUM(BV33:EC33)-(ROUNDDOWN(Arrangörslista!$U$5/3,1))*($BW$3+1)),SUM(BV33:EC33)))</f>
        <v/>
      </c>
      <c r="J33" s="79" t="str">
        <f>IF(Deltagarlista!$K$3=4,IF(ISBLANK(Deltagarlista!$C39),"",IF(ISBLANK(Arrangörslista!C$8),"",IFERROR(VLOOKUP($F33,Arrangörslista!C$8:$AG$45,16,FALSE),IF(ISBLANK(Deltagarlista!$C39),"",IF(ISBLANK(Arrangörslista!C$8),"",IFERROR(VLOOKUP($F33,Arrangörslista!D$8:$AG$45,16,FALSE),"DNS")))))),IF(Deltagarlista!$K$3=2,
IF(ISBLANK(Deltagarlista!$C39),"",IF(ISBLANK(Arrangörslista!C$8),"",IF($GV33=J$64," DNS ",IFERROR(VLOOKUP($F33,Arrangörslista!C$8:$AG$45,16,FALSE),"DNS")))),IF(ISBLANK(Deltagarlista!$C39),"",IF(ISBLANK(Arrangörslista!C$8),"",IFERROR(VLOOKUP($F33,Arrangörslista!C$8:$AG$45,16,FALSE),"DNS")))))</f>
        <v/>
      </c>
      <c r="K33" s="5" t="str">
        <f>IF(Deltagarlista!$K$3=4,IF(ISBLANK(Deltagarlista!$C39),"",IF(ISBLANK(Arrangörslista!E$8),"",IFERROR(VLOOKUP($F33,Arrangörslista!E$8:$AG$45,16,FALSE),IF(ISBLANK(Deltagarlista!$C39),"",IF(ISBLANK(Arrangörslista!E$8),"",IFERROR(VLOOKUP($F33,Arrangörslista!F$8:$AG$45,16,FALSE),"DNS")))))),IF(Deltagarlista!$K$3=2,
IF(ISBLANK(Deltagarlista!$C39),"",IF(ISBLANK(Arrangörslista!D$8),"",IF($GV33=K$64," DNS ",IFERROR(VLOOKUP($F33,Arrangörslista!D$8:$AG$45,16,FALSE),"DNS")))),IF(ISBLANK(Deltagarlista!$C39),"",IF(ISBLANK(Arrangörslista!D$8),"",IFERROR(VLOOKUP($F33,Arrangörslista!D$8:$AG$45,16,FALSE),"DNS")))))</f>
        <v/>
      </c>
      <c r="L33" s="5" t="str">
        <f>IF(Deltagarlista!$K$3=4,IF(ISBLANK(Deltagarlista!$C39),"",IF(ISBLANK(Arrangörslista!G$8),"",IFERROR(VLOOKUP($F33,Arrangörslista!G$8:$AG$45,16,FALSE),IF(ISBLANK(Deltagarlista!$C39),"",IF(ISBLANK(Arrangörslista!G$8),"",IFERROR(VLOOKUP($F33,Arrangörslista!H$8:$AG$45,16,FALSE),"DNS")))))),IF(Deltagarlista!$K$3=2,
IF(ISBLANK(Deltagarlista!$C39),"",IF(ISBLANK(Arrangörslista!E$8),"",IF($GV33=L$64," DNS ",IFERROR(VLOOKUP($F33,Arrangörslista!E$8:$AG$45,16,FALSE),"DNS")))),IF(ISBLANK(Deltagarlista!$C39),"",IF(ISBLANK(Arrangörslista!E$8),"",IFERROR(VLOOKUP($F33,Arrangörslista!E$8:$AG$45,16,FALSE),"DNS")))))</f>
        <v/>
      </c>
      <c r="M33" s="5" t="str">
        <f>IF(Deltagarlista!$K$3=4,IF(ISBLANK(Deltagarlista!$C39),"",IF(ISBLANK(Arrangörslista!I$8),"",IFERROR(VLOOKUP($F33,Arrangörslista!I$8:$AG$45,16,FALSE),IF(ISBLANK(Deltagarlista!$C39),"",IF(ISBLANK(Arrangörslista!I$8),"",IFERROR(VLOOKUP($F33,Arrangörslista!J$8:$AG$45,16,FALSE),"DNS")))))),IF(Deltagarlista!$K$3=2,
IF(ISBLANK(Deltagarlista!$C39),"",IF(ISBLANK(Arrangörslista!F$8),"",IF($GV33=M$64," DNS ",IFERROR(VLOOKUP($F33,Arrangörslista!F$8:$AG$45,16,FALSE),"DNS")))),IF(ISBLANK(Deltagarlista!$C39),"",IF(ISBLANK(Arrangörslista!F$8),"",IFERROR(VLOOKUP($F33,Arrangörslista!F$8:$AG$45,16,FALSE),"DNS")))))</f>
        <v/>
      </c>
      <c r="N33" s="5" t="str">
        <f>IF(Deltagarlista!$K$3=4,IF(ISBLANK(Deltagarlista!$C39),"",IF(ISBLANK(Arrangörslista!K$8),"",IFERROR(VLOOKUP($F33,Arrangörslista!K$8:$AG$45,16,FALSE),IF(ISBLANK(Deltagarlista!$C39),"",IF(ISBLANK(Arrangörslista!K$8),"",IFERROR(VLOOKUP($F33,Arrangörslista!L$8:$AG$45,16,FALSE),"DNS")))))),IF(Deltagarlista!$K$3=2,
IF(ISBLANK(Deltagarlista!$C39),"",IF(ISBLANK(Arrangörslista!G$8),"",IF($GV33=N$64," DNS ",IFERROR(VLOOKUP($F33,Arrangörslista!G$8:$AG$45,16,FALSE),"DNS")))),IF(ISBLANK(Deltagarlista!$C39),"",IF(ISBLANK(Arrangörslista!G$8),"",IFERROR(VLOOKUP($F33,Arrangörslista!G$8:$AG$45,16,FALSE),"DNS")))))</f>
        <v/>
      </c>
      <c r="O33" s="5" t="str">
        <f>IF(Deltagarlista!$K$3=4,IF(ISBLANK(Deltagarlista!$C39),"",IF(ISBLANK(Arrangörslista!M$8),"",IFERROR(VLOOKUP($F33,Arrangörslista!M$8:$AG$45,16,FALSE),IF(ISBLANK(Deltagarlista!$C39),"",IF(ISBLANK(Arrangörslista!M$8),"",IFERROR(VLOOKUP($F33,Arrangörslista!N$8:$AG$45,16,FALSE),"DNS")))))),IF(Deltagarlista!$K$3=2,
IF(ISBLANK(Deltagarlista!$C39),"",IF(ISBLANK(Arrangörslista!H$8),"",IF($GV33=O$64," DNS ",IFERROR(VLOOKUP($F33,Arrangörslista!H$8:$AG$45,16,FALSE),"DNS")))),IF(ISBLANK(Deltagarlista!$C39),"",IF(ISBLANK(Arrangörslista!H$8),"",IFERROR(VLOOKUP($F33,Arrangörslista!H$8:$AG$45,16,FALSE),"DNS")))))</f>
        <v/>
      </c>
      <c r="P33" s="5" t="str">
        <f>IF(Deltagarlista!$K$3=4,IF(ISBLANK(Deltagarlista!$C39),"",IF(ISBLANK(Arrangörslista!O$8),"",IFERROR(VLOOKUP($F33,Arrangörslista!O$8:$AG$45,16,FALSE),IF(ISBLANK(Deltagarlista!$C39),"",IF(ISBLANK(Arrangörslista!O$8),"",IFERROR(VLOOKUP($F33,Arrangörslista!P$8:$AG$45,16,FALSE),"DNS")))))),IF(Deltagarlista!$K$3=2,
IF(ISBLANK(Deltagarlista!$C39),"",IF(ISBLANK(Arrangörslista!I$8),"",IF($GV33=P$64," DNS ",IFERROR(VLOOKUP($F33,Arrangörslista!I$8:$AG$45,16,FALSE),"DNS")))),IF(ISBLANK(Deltagarlista!$C39),"",IF(ISBLANK(Arrangörslista!I$8),"",IFERROR(VLOOKUP($F33,Arrangörslista!I$8:$AG$45,16,FALSE),"DNS")))))</f>
        <v/>
      </c>
      <c r="Q33" s="5" t="str">
        <f>IF(Deltagarlista!$K$3=4,IF(ISBLANK(Deltagarlista!$C39),"",IF(ISBLANK(Arrangörslista!Q$8),"",IFERROR(VLOOKUP($F33,Arrangörslista!Q$8:$AG$45,16,FALSE),IF(ISBLANK(Deltagarlista!$C39),"",IF(ISBLANK(Arrangörslista!Q$8),"",IFERROR(VLOOKUP($F33,Arrangörslista!C$53:$AG$90,16,FALSE),"DNS")))))),IF(Deltagarlista!$K$3=2,
IF(ISBLANK(Deltagarlista!$C39),"",IF(ISBLANK(Arrangörslista!J$8),"",IF($GV33=Q$64," DNS ",IFERROR(VLOOKUP($F33,Arrangörslista!J$8:$AG$45,16,FALSE),"DNS")))),IF(ISBLANK(Deltagarlista!$C39),"",IF(ISBLANK(Arrangörslista!J$8),"",IFERROR(VLOOKUP($F33,Arrangörslista!J$8:$AG$45,16,FALSE),"DNS")))))</f>
        <v/>
      </c>
      <c r="R33" s="5" t="str">
        <f>IF(Deltagarlista!$K$3=4,IF(ISBLANK(Deltagarlista!$C39),"",IF(ISBLANK(Arrangörslista!D$53),"",IFERROR(VLOOKUP($F33,Arrangörslista!D$53:$AG$90,16,FALSE),IF(ISBLANK(Deltagarlista!$C39),"",IF(ISBLANK(Arrangörslista!D$53),"",IFERROR(VLOOKUP($F33,Arrangörslista!E$53:$AG$90,16,FALSE),"DNS")))))),IF(Deltagarlista!$K$3=2,
IF(ISBLANK(Deltagarlista!$C39),"",IF(ISBLANK(Arrangörslista!K$8),"",IF($GV33=R$64," DNS ",IFERROR(VLOOKUP($F33,Arrangörslista!K$8:$AG$45,16,FALSE),"DNS")))),IF(ISBLANK(Deltagarlista!$C39),"",IF(ISBLANK(Arrangörslista!K$8),"",IFERROR(VLOOKUP($F33,Arrangörslista!K$8:$AG$45,16,FALSE),"DNS")))))</f>
        <v/>
      </c>
      <c r="S33" s="5" t="str">
        <f>IF(Deltagarlista!$K$3=4,IF(ISBLANK(Deltagarlista!$C39),"",IF(ISBLANK(Arrangörslista!F$53),"",IFERROR(VLOOKUP($F33,Arrangörslista!F$53:$AG$90,16,FALSE),IF(ISBLANK(Deltagarlista!$C39),"",IF(ISBLANK(Arrangörslista!F$53),"",IFERROR(VLOOKUP($F33,Arrangörslista!G$53:$AG$90,16,FALSE),"DNS")))))),IF(Deltagarlista!$K$3=2,
IF(ISBLANK(Deltagarlista!$C39),"",IF(ISBLANK(Arrangörslista!L$8),"",IF($GV33=S$64," DNS ",IFERROR(VLOOKUP($F33,Arrangörslista!L$8:$AG$45,16,FALSE),"DNS")))),IF(ISBLANK(Deltagarlista!$C39),"",IF(ISBLANK(Arrangörslista!L$8),"",IFERROR(VLOOKUP($F33,Arrangörslista!L$8:$AG$45,16,FALSE),"DNS")))))</f>
        <v/>
      </c>
      <c r="T33" s="5" t="str">
        <f>IF(Deltagarlista!$K$3=4,IF(ISBLANK(Deltagarlista!$C39),"",IF(ISBLANK(Arrangörslista!H$53),"",IFERROR(VLOOKUP($F33,Arrangörslista!H$53:$AG$90,16,FALSE),IF(ISBLANK(Deltagarlista!$C39),"",IF(ISBLANK(Arrangörslista!H$53),"",IFERROR(VLOOKUP($F33,Arrangörslista!I$53:$AG$90,16,FALSE),"DNS")))))),IF(Deltagarlista!$K$3=2,
IF(ISBLANK(Deltagarlista!$C39),"",IF(ISBLANK(Arrangörslista!M$8),"",IF($GV33=T$64," DNS ",IFERROR(VLOOKUP($F33,Arrangörslista!M$8:$AG$45,16,FALSE),"DNS")))),IF(ISBLANK(Deltagarlista!$C39),"",IF(ISBLANK(Arrangörslista!M$8),"",IFERROR(VLOOKUP($F33,Arrangörslista!M$8:$AG$45,16,FALSE),"DNS")))))</f>
        <v/>
      </c>
      <c r="U33" s="5" t="str">
        <f>IF(Deltagarlista!$K$3=4,IF(ISBLANK(Deltagarlista!$C39),"",IF(ISBLANK(Arrangörslista!J$53),"",IFERROR(VLOOKUP($F33,Arrangörslista!J$53:$AG$90,16,FALSE),IF(ISBLANK(Deltagarlista!$C39),"",IF(ISBLANK(Arrangörslista!J$53),"",IFERROR(VLOOKUP($F33,Arrangörslista!K$53:$AG$90,16,FALSE),"DNS")))))),IF(Deltagarlista!$K$3=2,
IF(ISBLANK(Deltagarlista!$C39),"",IF(ISBLANK(Arrangörslista!N$8),"",IF($GV33=U$64," DNS ",IFERROR(VLOOKUP($F33,Arrangörslista!N$8:$AG$45,16,FALSE),"DNS")))),IF(ISBLANK(Deltagarlista!$C39),"",IF(ISBLANK(Arrangörslista!N$8),"",IFERROR(VLOOKUP($F33,Arrangörslista!N$8:$AG$45,16,FALSE),"DNS")))))</f>
        <v/>
      </c>
      <c r="V33" s="5" t="str">
        <f>IF(Deltagarlista!$K$3=4,IF(ISBLANK(Deltagarlista!$C39),"",IF(ISBLANK(Arrangörslista!L$53),"",IFERROR(VLOOKUP($F33,Arrangörslista!L$53:$AG$90,16,FALSE),IF(ISBLANK(Deltagarlista!$C39),"",IF(ISBLANK(Arrangörslista!L$53),"",IFERROR(VLOOKUP($F33,Arrangörslista!M$53:$AG$90,16,FALSE),"DNS")))))),IF(Deltagarlista!$K$3=2,
IF(ISBLANK(Deltagarlista!$C39),"",IF(ISBLANK(Arrangörslista!O$8),"",IF($GV33=V$64," DNS ",IFERROR(VLOOKUP($F33,Arrangörslista!O$8:$AG$45,16,FALSE),"DNS")))),IF(ISBLANK(Deltagarlista!$C39),"",IF(ISBLANK(Arrangörslista!O$8),"",IFERROR(VLOOKUP($F33,Arrangörslista!O$8:$AG$45,16,FALSE),"DNS")))))</f>
        <v/>
      </c>
      <c r="W33" s="5" t="str">
        <f>IF(Deltagarlista!$K$3=4,IF(ISBLANK(Deltagarlista!$C39),"",IF(ISBLANK(Arrangörslista!N$53),"",IFERROR(VLOOKUP($F33,Arrangörslista!N$53:$AG$90,16,FALSE),IF(ISBLANK(Deltagarlista!$C39),"",IF(ISBLANK(Arrangörslista!N$53),"",IFERROR(VLOOKUP($F33,Arrangörslista!O$53:$AG$90,16,FALSE),"DNS")))))),IF(Deltagarlista!$K$3=2,
IF(ISBLANK(Deltagarlista!$C39),"",IF(ISBLANK(Arrangörslista!P$8),"",IF($GV33=W$64," DNS ",IFERROR(VLOOKUP($F33,Arrangörslista!P$8:$AG$45,16,FALSE),"DNS")))),IF(ISBLANK(Deltagarlista!$C39),"",IF(ISBLANK(Arrangörslista!P$8),"",IFERROR(VLOOKUP($F33,Arrangörslista!P$8:$AG$45,16,FALSE),"DNS")))))</f>
        <v/>
      </c>
      <c r="X33" s="5" t="str">
        <f>IF(Deltagarlista!$K$3=4,IF(ISBLANK(Deltagarlista!$C39),"",IF(ISBLANK(Arrangörslista!P$53),"",IFERROR(VLOOKUP($F33,Arrangörslista!P$53:$AG$90,16,FALSE),IF(ISBLANK(Deltagarlista!$C39),"",IF(ISBLANK(Arrangörslista!P$53),"",IFERROR(VLOOKUP($F33,Arrangörslista!Q$53:$AG$90,16,FALSE),"DNS")))))),IF(Deltagarlista!$K$3=2,
IF(ISBLANK(Deltagarlista!$C39),"",IF(ISBLANK(Arrangörslista!Q$8),"",IF($GV33=X$64," DNS ",IFERROR(VLOOKUP($F33,Arrangörslista!Q$8:$AG$45,16,FALSE),"DNS")))),IF(ISBLANK(Deltagarlista!$C39),"",IF(ISBLANK(Arrangörslista!Q$8),"",IFERROR(VLOOKUP($F33,Arrangörslista!Q$8:$AG$45,16,FALSE),"DNS")))))</f>
        <v/>
      </c>
      <c r="Y33" s="5" t="str">
        <f>IF(Deltagarlista!$K$3=4,IF(ISBLANK(Deltagarlista!$C39),"",IF(ISBLANK(Arrangörslista!C$98),"",IFERROR(VLOOKUP($F33,Arrangörslista!C$98:$AG$135,16,FALSE),IF(ISBLANK(Deltagarlista!$C39),"",IF(ISBLANK(Arrangörslista!C$98),"",IFERROR(VLOOKUP($F33,Arrangörslista!D$98:$AG$135,16,FALSE),"DNS")))))),IF(Deltagarlista!$K$3=2,
IF(ISBLANK(Deltagarlista!$C39),"",IF(ISBLANK(Arrangörslista!C$53),"",IF($GV33=Y$64," DNS ",IFERROR(VLOOKUP($F33,Arrangörslista!C$53:$AG$90,16,FALSE),"DNS")))),IF(ISBLANK(Deltagarlista!$C39),"",IF(ISBLANK(Arrangörslista!C$53),"",IFERROR(VLOOKUP($F33,Arrangörslista!C$53:$AG$90,16,FALSE),"DNS")))))</f>
        <v/>
      </c>
      <c r="Z33" s="5" t="str">
        <f>IF(Deltagarlista!$K$3=4,IF(ISBLANK(Deltagarlista!$C39),"",IF(ISBLANK(Arrangörslista!E$98),"",IFERROR(VLOOKUP($F33,Arrangörslista!E$98:$AG$135,16,FALSE),IF(ISBLANK(Deltagarlista!$C39),"",IF(ISBLANK(Arrangörslista!E$98),"",IFERROR(VLOOKUP($F33,Arrangörslista!F$98:$AG$135,16,FALSE),"DNS")))))),IF(Deltagarlista!$K$3=2,
IF(ISBLANK(Deltagarlista!$C39),"",IF(ISBLANK(Arrangörslista!D$53),"",IF($GV33=Z$64," DNS ",IFERROR(VLOOKUP($F33,Arrangörslista!D$53:$AG$90,16,FALSE),"DNS")))),IF(ISBLANK(Deltagarlista!$C39),"",IF(ISBLANK(Arrangörslista!D$53),"",IFERROR(VLOOKUP($F33,Arrangörslista!D$53:$AG$90,16,FALSE),"DNS")))))</f>
        <v/>
      </c>
      <c r="AA33" s="5" t="str">
        <f>IF(Deltagarlista!$K$3=4,IF(ISBLANK(Deltagarlista!$C39),"",IF(ISBLANK(Arrangörslista!G$98),"",IFERROR(VLOOKUP($F33,Arrangörslista!G$98:$AG$135,16,FALSE),IF(ISBLANK(Deltagarlista!$C39),"",IF(ISBLANK(Arrangörslista!G$98),"",IFERROR(VLOOKUP($F33,Arrangörslista!H$98:$AG$135,16,FALSE),"DNS")))))),IF(Deltagarlista!$K$3=2,
IF(ISBLANK(Deltagarlista!$C39),"",IF(ISBLANK(Arrangörslista!E$53),"",IF($GV33=AA$64," DNS ",IFERROR(VLOOKUP($F33,Arrangörslista!E$53:$AG$90,16,FALSE),"DNS")))),IF(ISBLANK(Deltagarlista!$C39),"",IF(ISBLANK(Arrangörslista!E$53),"",IFERROR(VLOOKUP($F33,Arrangörslista!E$53:$AG$90,16,FALSE),"DNS")))))</f>
        <v/>
      </c>
      <c r="AB33" s="5" t="str">
        <f>IF(Deltagarlista!$K$3=4,IF(ISBLANK(Deltagarlista!$C39),"",IF(ISBLANK(Arrangörslista!I$98),"",IFERROR(VLOOKUP($F33,Arrangörslista!I$98:$AG$135,16,FALSE),IF(ISBLANK(Deltagarlista!$C39),"",IF(ISBLANK(Arrangörslista!I$98),"",IFERROR(VLOOKUP($F33,Arrangörslista!J$98:$AG$135,16,FALSE),"DNS")))))),IF(Deltagarlista!$K$3=2,
IF(ISBLANK(Deltagarlista!$C39),"",IF(ISBLANK(Arrangörslista!F$53),"",IF($GV33=AB$64," DNS ",IFERROR(VLOOKUP($F33,Arrangörslista!F$53:$AG$90,16,FALSE),"DNS")))),IF(ISBLANK(Deltagarlista!$C39),"",IF(ISBLANK(Arrangörslista!F$53),"",IFERROR(VLOOKUP($F33,Arrangörslista!F$53:$AG$90,16,FALSE),"DNS")))))</f>
        <v/>
      </c>
      <c r="AC33" s="5" t="str">
        <f>IF(Deltagarlista!$K$3=4,IF(ISBLANK(Deltagarlista!$C39),"",IF(ISBLANK(Arrangörslista!K$98),"",IFERROR(VLOOKUP($F33,Arrangörslista!K$98:$AG$135,16,FALSE),IF(ISBLANK(Deltagarlista!$C39),"",IF(ISBLANK(Arrangörslista!K$98),"",IFERROR(VLOOKUP($F33,Arrangörslista!L$98:$AG$135,16,FALSE),"DNS")))))),IF(Deltagarlista!$K$3=2,
IF(ISBLANK(Deltagarlista!$C39),"",IF(ISBLANK(Arrangörslista!G$53),"",IF($GV33=AC$64," DNS ",IFERROR(VLOOKUP($F33,Arrangörslista!G$53:$AG$90,16,FALSE),"DNS")))),IF(ISBLANK(Deltagarlista!$C39),"",IF(ISBLANK(Arrangörslista!G$53),"",IFERROR(VLOOKUP($F33,Arrangörslista!G$53:$AG$90,16,FALSE),"DNS")))))</f>
        <v/>
      </c>
      <c r="AD33" s="5" t="str">
        <f>IF(Deltagarlista!$K$3=4,IF(ISBLANK(Deltagarlista!$C39),"",IF(ISBLANK(Arrangörslista!M$98),"",IFERROR(VLOOKUP($F33,Arrangörslista!M$98:$AG$135,16,FALSE),IF(ISBLANK(Deltagarlista!$C39),"",IF(ISBLANK(Arrangörslista!M$98),"",IFERROR(VLOOKUP($F33,Arrangörslista!N$98:$AG$135,16,FALSE),"DNS")))))),IF(Deltagarlista!$K$3=2,
IF(ISBLANK(Deltagarlista!$C39),"",IF(ISBLANK(Arrangörslista!H$53),"",IF($GV33=AD$64," DNS ",IFERROR(VLOOKUP($F33,Arrangörslista!H$53:$AG$90,16,FALSE),"DNS")))),IF(ISBLANK(Deltagarlista!$C39),"",IF(ISBLANK(Arrangörslista!H$53),"",IFERROR(VLOOKUP($F33,Arrangörslista!H$53:$AG$90,16,FALSE),"DNS")))))</f>
        <v/>
      </c>
      <c r="AE33" s="5" t="str">
        <f>IF(Deltagarlista!$K$3=4,IF(ISBLANK(Deltagarlista!$C39),"",IF(ISBLANK(Arrangörslista!O$98),"",IFERROR(VLOOKUP($F33,Arrangörslista!O$98:$AG$135,16,FALSE),IF(ISBLANK(Deltagarlista!$C39),"",IF(ISBLANK(Arrangörslista!O$98),"",IFERROR(VLOOKUP($F33,Arrangörslista!P$98:$AG$135,16,FALSE),"DNS")))))),IF(Deltagarlista!$K$3=2,
IF(ISBLANK(Deltagarlista!$C39),"",IF(ISBLANK(Arrangörslista!I$53),"",IF($GV33=AE$64," DNS ",IFERROR(VLOOKUP($F33,Arrangörslista!I$53:$AG$90,16,FALSE),"DNS")))),IF(ISBLANK(Deltagarlista!$C39),"",IF(ISBLANK(Arrangörslista!I$53),"",IFERROR(VLOOKUP($F33,Arrangörslista!I$53:$AG$90,16,FALSE),"DNS")))))</f>
        <v/>
      </c>
      <c r="AF33" s="5" t="str">
        <f>IF(Deltagarlista!$K$3=4,IF(ISBLANK(Deltagarlista!$C39),"",IF(ISBLANK(Arrangörslista!Q$98),"",IFERROR(VLOOKUP($F33,Arrangörslista!Q$98:$AG$135,16,FALSE),IF(ISBLANK(Deltagarlista!$C39),"",IF(ISBLANK(Arrangörslista!Q$98),"",IFERROR(VLOOKUP($F33,Arrangörslista!C$143:$AG$180,16,FALSE),"DNS")))))),IF(Deltagarlista!$K$3=2,
IF(ISBLANK(Deltagarlista!$C39),"",IF(ISBLANK(Arrangörslista!J$53),"",IF($GV33=AF$64," DNS ",IFERROR(VLOOKUP($F33,Arrangörslista!J$53:$AG$90,16,FALSE),"DNS")))),IF(ISBLANK(Deltagarlista!$C39),"",IF(ISBLANK(Arrangörslista!J$53),"",IFERROR(VLOOKUP($F33,Arrangörslista!J$53:$AG$90,16,FALSE),"DNS")))))</f>
        <v/>
      </c>
      <c r="AG33" s="5" t="str">
        <f>IF(Deltagarlista!$K$3=4,IF(ISBLANK(Deltagarlista!$C39),"",IF(ISBLANK(Arrangörslista!D$143),"",IFERROR(VLOOKUP($F33,Arrangörslista!D$143:$AG$180,16,FALSE),IF(ISBLANK(Deltagarlista!$C39),"",IF(ISBLANK(Arrangörslista!D$143),"",IFERROR(VLOOKUP($F33,Arrangörslista!E$143:$AG$180,16,FALSE),"DNS")))))),IF(Deltagarlista!$K$3=2,
IF(ISBLANK(Deltagarlista!$C39),"",IF(ISBLANK(Arrangörslista!K$53),"",IF($GV33=AG$64," DNS ",IFERROR(VLOOKUP($F33,Arrangörslista!K$53:$AG$90,16,FALSE),"DNS")))),IF(ISBLANK(Deltagarlista!$C39),"",IF(ISBLANK(Arrangörslista!K$53),"",IFERROR(VLOOKUP($F33,Arrangörslista!K$53:$AG$90,16,FALSE),"DNS")))))</f>
        <v/>
      </c>
      <c r="AH33" s="5" t="str">
        <f>IF(Deltagarlista!$K$3=4,IF(ISBLANK(Deltagarlista!$C39),"",IF(ISBLANK(Arrangörslista!F$143),"",IFERROR(VLOOKUP($F33,Arrangörslista!F$143:$AG$180,16,FALSE),IF(ISBLANK(Deltagarlista!$C39),"",IF(ISBLANK(Arrangörslista!F$143),"",IFERROR(VLOOKUP($F33,Arrangörslista!G$143:$AG$180,16,FALSE),"DNS")))))),IF(Deltagarlista!$K$3=2,
IF(ISBLANK(Deltagarlista!$C39),"",IF(ISBLANK(Arrangörslista!L$53),"",IF($GV33=AH$64," DNS ",IFERROR(VLOOKUP($F33,Arrangörslista!L$53:$AG$90,16,FALSE),"DNS")))),IF(ISBLANK(Deltagarlista!$C39),"",IF(ISBLANK(Arrangörslista!L$53),"",IFERROR(VLOOKUP($F33,Arrangörslista!L$53:$AG$90,16,FALSE),"DNS")))))</f>
        <v/>
      </c>
      <c r="AI33" s="5" t="str">
        <f>IF(Deltagarlista!$K$3=4,IF(ISBLANK(Deltagarlista!$C39),"",IF(ISBLANK(Arrangörslista!H$143),"",IFERROR(VLOOKUP($F33,Arrangörslista!H$143:$AG$180,16,FALSE),IF(ISBLANK(Deltagarlista!$C39),"",IF(ISBLANK(Arrangörslista!H$143),"",IFERROR(VLOOKUP($F33,Arrangörslista!I$143:$AG$180,16,FALSE),"DNS")))))),IF(Deltagarlista!$K$3=2,
IF(ISBLANK(Deltagarlista!$C39),"",IF(ISBLANK(Arrangörslista!M$53),"",IF($GV33=AI$64," DNS ",IFERROR(VLOOKUP($F33,Arrangörslista!M$53:$AG$90,16,FALSE),"DNS")))),IF(ISBLANK(Deltagarlista!$C39),"",IF(ISBLANK(Arrangörslista!M$53),"",IFERROR(VLOOKUP($F33,Arrangörslista!M$53:$AG$90,16,FALSE),"DNS")))))</f>
        <v/>
      </c>
      <c r="AJ33" s="5" t="str">
        <f>IF(Deltagarlista!$K$3=4,IF(ISBLANK(Deltagarlista!$C39),"",IF(ISBLANK(Arrangörslista!J$143),"",IFERROR(VLOOKUP($F33,Arrangörslista!J$143:$AG$180,16,FALSE),IF(ISBLANK(Deltagarlista!$C39),"",IF(ISBLANK(Arrangörslista!J$143),"",IFERROR(VLOOKUP($F33,Arrangörslista!K$143:$AG$180,16,FALSE),"DNS")))))),IF(Deltagarlista!$K$3=2,
IF(ISBLANK(Deltagarlista!$C39),"",IF(ISBLANK(Arrangörslista!N$53),"",IF($GV33=AJ$64," DNS ",IFERROR(VLOOKUP($F33,Arrangörslista!N$53:$AG$90,16,FALSE),"DNS")))),IF(ISBLANK(Deltagarlista!$C39),"",IF(ISBLANK(Arrangörslista!N$53),"",IFERROR(VLOOKUP($F33,Arrangörslista!N$53:$AG$90,16,FALSE),"DNS")))))</f>
        <v/>
      </c>
      <c r="AK33" s="5" t="str">
        <f>IF(Deltagarlista!$K$3=4,IF(ISBLANK(Deltagarlista!$C39),"",IF(ISBLANK(Arrangörslista!L$143),"",IFERROR(VLOOKUP($F33,Arrangörslista!L$143:$AG$180,16,FALSE),IF(ISBLANK(Deltagarlista!$C39),"",IF(ISBLANK(Arrangörslista!L$143),"",IFERROR(VLOOKUP($F33,Arrangörslista!M$143:$AG$180,16,FALSE),"DNS")))))),IF(Deltagarlista!$K$3=2,
IF(ISBLANK(Deltagarlista!$C39),"",IF(ISBLANK(Arrangörslista!O$53),"",IF($GV33=AK$64," DNS ",IFERROR(VLOOKUP($F33,Arrangörslista!O$53:$AG$90,16,FALSE),"DNS")))),IF(ISBLANK(Deltagarlista!$C39),"",IF(ISBLANK(Arrangörslista!O$53),"",IFERROR(VLOOKUP($F33,Arrangörslista!O$53:$AG$90,16,FALSE),"DNS")))))</f>
        <v/>
      </c>
      <c r="AL33" s="5" t="str">
        <f>IF(Deltagarlista!$K$3=4,IF(ISBLANK(Deltagarlista!$C39),"",IF(ISBLANK(Arrangörslista!N$143),"",IFERROR(VLOOKUP($F33,Arrangörslista!N$143:$AG$180,16,FALSE),IF(ISBLANK(Deltagarlista!$C39),"",IF(ISBLANK(Arrangörslista!N$143),"",IFERROR(VLOOKUP($F33,Arrangörslista!O$143:$AG$180,16,FALSE),"DNS")))))),IF(Deltagarlista!$K$3=2,
IF(ISBLANK(Deltagarlista!$C39),"",IF(ISBLANK(Arrangörslista!P$53),"",IF($GV33=AL$64," DNS ",IFERROR(VLOOKUP($F33,Arrangörslista!P$53:$AG$90,16,FALSE),"DNS")))),IF(ISBLANK(Deltagarlista!$C39),"",IF(ISBLANK(Arrangörslista!P$53),"",IFERROR(VLOOKUP($F33,Arrangörslista!P$53:$AG$90,16,FALSE),"DNS")))))</f>
        <v/>
      </c>
      <c r="AM33" s="5" t="str">
        <f>IF(Deltagarlista!$K$3=4,IF(ISBLANK(Deltagarlista!$C39),"",IF(ISBLANK(Arrangörslista!P$143),"",IFERROR(VLOOKUP($F33,Arrangörslista!P$143:$AG$180,16,FALSE),IF(ISBLANK(Deltagarlista!$C39),"",IF(ISBLANK(Arrangörslista!P$143),"",IFERROR(VLOOKUP($F33,Arrangörslista!Q$143:$AG$180,16,FALSE),"DNS")))))),IF(Deltagarlista!$K$3=2,
IF(ISBLANK(Deltagarlista!$C39),"",IF(ISBLANK(Arrangörslista!Q$53),"",IF($GV33=AM$64," DNS ",IFERROR(VLOOKUP($F33,Arrangörslista!Q$53:$AG$90,16,FALSE),"DNS")))),IF(ISBLANK(Deltagarlista!$C39),"",IF(ISBLANK(Arrangörslista!Q$53),"",IFERROR(VLOOKUP($F33,Arrangörslista!Q$53:$AG$90,16,FALSE),"DNS")))))</f>
        <v/>
      </c>
      <c r="AN33" s="5" t="str">
        <f>IF(Deltagarlista!$K$3=2,
IF(ISBLANK(Deltagarlista!$C39),"",IF(ISBLANK(Arrangörslista!C$98),"",IF($GV33=AN$64," DNS ",IFERROR(VLOOKUP($F33,Arrangörslista!C$98:$AG$135,16,FALSE), "DNS")))), IF(Deltagarlista!$K$3=1,IF(ISBLANK(Deltagarlista!$C39),"",IF(ISBLANK(Arrangörslista!C$98),"",IFERROR(VLOOKUP($F33,Arrangörslista!C$98:$AG$135,16,FALSE), "DNS"))),""))</f>
        <v/>
      </c>
      <c r="AO33" s="5" t="str">
        <f>IF(Deltagarlista!$K$3=2,
IF(ISBLANK(Deltagarlista!$C39),"",IF(ISBLANK(Arrangörslista!D$98),"",IF($GV33=AO$64," DNS ",IFERROR(VLOOKUP($F33,Arrangörslista!D$98:$AG$135,16,FALSE), "DNS")))), IF(Deltagarlista!$K$3=1,IF(ISBLANK(Deltagarlista!$C39),"",IF(ISBLANK(Arrangörslista!D$98),"",IFERROR(VLOOKUP($F33,Arrangörslista!D$98:$AG$135,16,FALSE), "DNS"))),""))</f>
        <v/>
      </c>
      <c r="AP33" s="5" t="str">
        <f>IF(Deltagarlista!$K$3=2,
IF(ISBLANK(Deltagarlista!$C39),"",IF(ISBLANK(Arrangörslista!E$98),"",IF($GV33=AP$64," DNS ",IFERROR(VLOOKUP($F33,Arrangörslista!E$98:$AG$135,16,FALSE), "DNS")))), IF(Deltagarlista!$K$3=1,IF(ISBLANK(Deltagarlista!$C39),"",IF(ISBLANK(Arrangörslista!E$98),"",IFERROR(VLOOKUP($F33,Arrangörslista!E$98:$AG$135,16,FALSE), "DNS"))),""))</f>
        <v/>
      </c>
      <c r="AQ33" s="5" t="str">
        <f>IF(Deltagarlista!$K$3=2,
IF(ISBLANK(Deltagarlista!$C39),"",IF(ISBLANK(Arrangörslista!F$98),"",IF($GV33=AQ$64," DNS ",IFERROR(VLOOKUP($F33,Arrangörslista!F$98:$AG$135,16,FALSE), "DNS")))), IF(Deltagarlista!$K$3=1,IF(ISBLANK(Deltagarlista!$C39),"",IF(ISBLANK(Arrangörslista!F$98),"",IFERROR(VLOOKUP($F33,Arrangörslista!F$98:$AG$135,16,FALSE), "DNS"))),""))</f>
        <v/>
      </c>
      <c r="AR33" s="5" t="str">
        <f>IF(Deltagarlista!$K$3=2,
IF(ISBLANK(Deltagarlista!$C39),"",IF(ISBLANK(Arrangörslista!G$98),"",IF($GV33=AR$64," DNS ",IFERROR(VLOOKUP($F33,Arrangörslista!G$98:$AG$135,16,FALSE), "DNS")))), IF(Deltagarlista!$K$3=1,IF(ISBLANK(Deltagarlista!$C39),"",IF(ISBLANK(Arrangörslista!G$98),"",IFERROR(VLOOKUP($F33,Arrangörslista!G$98:$AG$135,16,FALSE), "DNS"))),""))</f>
        <v/>
      </c>
      <c r="AS33" s="5" t="str">
        <f>IF(Deltagarlista!$K$3=2,
IF(ISBLANK(Deltagarlista!$C39),"",IF(ISBLANK(Arrangörslista!H$98),"",IF($GV33=AS$64," DNS ",IFERROR(VLOOKUP($F33,Arrangörslista!H$98:$AG$135,16,FALSE), "DNS")))), IF(Deltagarlista!$K$3=1,IF(ISBLANK(Deltagarlista!$C39),"",IF(ISBLANK(Arrangörslista!H$98),"",IFERROR(VLOOKUP($F33,Arrangörslista!H$98:$AG$135,16,FALSE), "DNS"))),""))</f>
        <v/>
      </c>
      <c r="AT33" s="5" t="str">
        <f>IF(Deltagarlista!$K$3=2,
IF(ISBLANK(Deltagarlista!$C39),"",IF(ISBLANK(Arrangörslista!I$98),"",IF($GV33=AT$64," DNS ",IFERROR(VLOOKUP($F33,Arrangörslista!I$98:$AG$135,16,FALSE), "DNS")))), IF(Deltagarlista!$K$3=1,IF(ISBLANK(Deltagarlista!$C39),"",IF(ISBLANK(Arrangörslista!I$98),"",IFERROR(VLOOKUP($F33,Arrangörslista!I$98:$AG$135,16,FALSE), "DNS"))),""))</f>
        <v/>
      </c>
      <c r="AU33" s="5" t="str">
        <f>IF(Deltagarlista!$K$3=2,
IF(ISBLANK(Deltagarlista!$C39),"",IF(ISBLANK(Arrangörslista!J$98),"",IF($GV33=AU$64," DNS ",IFERROR(VLOOKUP($F33,Arrangörslista!J$98:$AG$135,16,FALSE), "DNS")))), IF(Deltagarlista!$K$3=1,IF(ISBLANK(Deltagarlista!$C39),"",IF(ISBLANK(Arrangörslista!J$98),"",IFERROR(VLOOKUP($F33,Arrangörslista!J$98:$AG$135,16,FALSE), "DNS"))),""))</f>
        <v/>
      </c>
      <c r="AV33" s="5" t="str">
        <f>IF(Deltagarlista!$K$3=2,
IF(ISBLANK(Deltagarlista!$C39),"",IF(ISBLANK(Arrangörslista!K$98),"",IF($GV33=AV$64," DNS ",IFERROR(VLOOKUP($F33,Arrangörslista!K$98:$AG$135,16,FALSE), "DNS")))), IF(Deltagarlista!$K$3=1,IF(ISBLANK(Deltagarlista!$C39),"",IF(ISBLANK(Arrangörslista!K$98),"",IFERROR(VLOOKUP($F33,Arrangörslista!K$98:$AG$135,16,FALSE), "DNS"))),""))</f>
        <v/>
      </c>
      <c r="AW33" s="5" t="str">
        <f>IF(Deltagarlista!$K$3=2,
IF(ISBLANK(Deltagarlista!$C39),"",IF(ISBLANK(Arrangörslista!L$98),"",IF($GV33=AW$64," DNS ",IFERROR(VLOOKUP($F33,Arrangörslista!L$98:$AG$135,16,FALSE), "DNS")))), IF(Deltagarlista!$K$3=1,IF(ISBLANK(Deltagarlista!$C39),"",IF(ISBLANK(Arrangörslista!L$98),"",IFERROR(VLOOKUP($F33,Arrangörslista!L$98:$AG$135,16,FALSE), "DNS"))),""))</f>
        <v/>
      </c>
      <c r="AX33" s="5" t="str">
        <f>IF(Deltagarlista!$K$3=2,
IF(ISBLANK(Deltagarlista!$C39),"",IF(ISBLANK(Arrangörslista!M$98),"",IF($GV33=AX$64," DNS ",IFERROR(VLOOKUP($F33,Arrangörslista!M$98:$AG$135,16,FALSE), "DNS")))), IF(Deltagarlista!$K$3=1,IF(ISBLANK(Deltagarlista!$C39),"",IF(ISBLANK(Arrangörslista!M$98),"",IFERROR(VLOOKUP($F33,Arrangörslista!M$98:$AG$135,16,FALSE), "DNS"))),""))</f>
        <v/>
      </c>
      <c r="AY33" s="5" t="str">
        <f>IF(Deltagarlista!$K$3=2,
IF(ISBLANK(Deltagarlista!$C39),"",IF(ISBLANK(Arrangörslista!N$98),"",IF($GV33=AY$64," DNS ",IFERROR(VLOOKUP($F33,Arrangörslista!N$98:$AG$135,16,FALSE), "DNS")))), IF(Deltagarlista!$K$3=1,IF(ISBLANK(Deltagarlista!$C39),"",IF(ISBLANK(Arrangörslista!N$98),"",IFERROR(VLOOKUP($F33,Arrangörslista!N$98:$AG$135,16,FALSE), "DNS"))),""))</f>
        <v/>
      </c>
      <c r="AZ33" s="5" t="str">
        <f>IF(Deltagarlista!$K$3=2,
IF(ISBLANK(Deltagarlista!$C39),"",IF(ISBLANK(Arrangörslista!O$98),"",IF($GV33=AZ$64," DNS ",IFERROR(VLOOKUP($F33,Arrangörslista!O$98:$AG$135,16,FALSE), "DNS")))), IF(Deltagarlista!$K$3=1,IF(ISBLANK(Deltagarlista!$C39),"",IF(ISBLANK(Arrangörslista!O$98),"",IFERROR(VLOOKUP($F33,Arrangörslista!O$98:$AG$135,16,FALSE), "DNS"))),""))</f>
        <v/>
      </c>
      <c r="BA33" s="5" t="str">
        <f>IF(Deltagarlista!$K$3=2,
IF(ISBLANK(Deltagarlista!$C39),"",IF(ISBLANK(Arrangörslista!P$98),"",IF($GV33=BA$64," DNS ",IFERROR(VLOOKUP($F33,Arrangörslista!P$98:$AG$135,16,FALSE), "DNS")))), IF(Deltagarlista!$K$3=1,IF(ISBLANK(Deltagarlista!$C39),"",IF(ISBLANK(Arrangörslista!P$98),"",IFERROR(VLOOKUP($F33,Arrangörslista!P$98:$AG$135,16,FALSE), "DNS"))),""))</f>
        <v/>
      </c>
      <c r="BB33" s="5" t="str">
        <f>IF(Deltagarlista!$K$3=2,
IF(ISBLANK(Deltagarlista!$C39),"",IF(ISBLANK(Arrangörslista!Q$98),"",IF($GV33=BB$64," DNS ",IFERROR(VLOOKUP($F33,Arrangörslista!Q$98:$AG$135,16,FALSE), "DNS")))), IF(Deltagarlista!$K$3=1,IF(ISBLANK(Deltagarlista!$C39),"",IF(ISBLANK(Arrangörslista!Q$98),"",IFERROR(VLOOKUP($F33,Arrangörslista!Q$98:$AG$135,16,FALSE), "DNS"))),""))</f>
        <v/>
      </c>
      <c r="BC33" s="5" t="str">
        <f>IF(Deltagarlista!$K$3=2,
IF(ISBLANK(Deltagarlista!$C39),"",IF(ISBLANK(Arrangörslista!C$143),"",IF($GV33=BC$64," DNS ",IFERROR(VLOOKUP($F33,Arrangörslista!C$143:$AG$180,16,FALSE), "DNS")))), IF(Deltagarlista!$K$3=1,IF(ISBLANK(Deltagarlista!$C39),"",IF(ISBLANK(Arrangörslista!C$143),"",IFERROR(VLOOKUP($F33,Arrangörslista!C$143:$AG$180,16,FALSE), "DNS"))),""))</f>
        <v/>
      </c>
      <c r="BD33" s="5" t="str">
        <f>IF(Deltagarlista!$K$3=2,
IF(ISBLANK(Deltagarlista!$C39),"",IF(ISBLANK(Arrangörslista!D$143),"",IF($GV33=BD$64," DNS ",IFERROR(VLOOKUP($F33,Arrangörslista!D$143:$AG$180,16,FALSE), "DNS")))), IF(Deltagarlista!$K$3=1,IF(ISBLANK(Deltagarlista!$C39),"",IF(ISBLANK(Arrangörslista!D$143),"",IFERROR(VLOOKUP($F33,Arrangörslista!D$143:$AG$180,16,FALSE), "DNS"))),""))</f>
        <v/>
      </c>
      <c r="BE33" s="5" t="str">
        <f>IF(Deltagarlista!$K$3=2,
IF(ISBLANK(Deltagarlista!$C39),"",IF(ISBLANK(Arrangörslista!E$143),"",IF($GV33=BE$64," DNS ",IFERROR(VLOOKUP($F33,Arrangörslista!E$143:$AG$180,16,FALSE), "DNS")))), IF(Deltagarlista!$K$3=1,IF(ISBLANK(Deltagarlista!$C39),"",IF(ISBLANK(Arrangörslista!E$143),"",IFERROR(VLOOKUP($F33,Arrangörslista!E$143:$AG$180,16,FALSE), "DNS"))),""))</f>
        <v/>
      </c>
      <c r="BF33" s="5" t="str">
        <f>IF(Deltagarlista!$K$3=2,
IF(ISBLANK(Deltagarlista!$C39),"",IF(ISBLANK(Arrangörslista!F$143),"",IF($GV33=BF$64," DNS ",IFERROR(VLOOKUP($F33,Arrangörslista!F$143:$AG$180,16,FALSE), "DNS")))), IF(Deltagarlista!$K$3=1,IF(ISBLANK(Deltagarlista!$C39),"",IF(ISBLANK(Arrangörslista!F$143),"",IFERROR(VLOOKUP($F33,Arrangörslista!F$143:$AG$180,16,FALSE), "DNS"))),""))</f>
        <v/>
      </c>
      <c r="BG33" s="5" t="str">
        <f>IF(Deltagarlista!$K$3=2,
IF(ISBLANK(Deltagarlista!$C39),"",IF(ISBLANK(Arrangörslista!G$143),"",IF($GV33=BG$64," DNS ",IFERROR(VLOOKUP($F33,Arrangörslista!G$143:$AG$180,16,FALSE), "DNS")))), IF(Deltagarlista!$K$3=1,IF(ISBLANK(Deltagarlista!$C39),"",IF(ISBLANK(Arrangörslista!G$143),"",IFERROR(VLOOKUP($F33,Arrangörslista!G$143:$AG$180,16,FALSE), "DNS"))),""))</f>
        <v/>
      </c>
      <c r="BH33" s="5" t="str">
        <f>IF(Deltagarlista!$K$3=2,
IF(ISBLANK(Deltagarlista!$C39),"",IF(ISBLANK(Arrangörslista!H$143),"",IF($GV33=BH$64," DNS ",IFERROR(VLOOKUP($F33,Arrangörslista!H$143:$AG$180,16,FALSE), "DNS")))), IF(Deltagarlista!$K$3=1,IF(ISBLANK(Deltagarlista!$C39),"",IF(ISBLANK(Arrangörslista!H$143),"",IFERROR(VLOOKUP($F33,Arrangörslista!H$143:$AG$180,16,FALSE), "DNS"))),""))</f>
        <v/>
      </c>
      <c r="BI33" s="5" t="str">
        <f>IF(Deltagarlista!$K$3=2,
IF(ISBLANK(Deltagarlista!$C39),"",IF(ISBLANK(Arrangörslista!I$143),"",IF($GV33=BI$64," DNS ",IFERROR(VLOOKUP($F33,Arrangörslista!I$143:$AG$180,16,FALSE), "DNS")))), IF(Deltagarlista!$K$3=1,IF(ISBLANK(Deltagarlista!$C39),"",IF(ISBLANK(Arrangörslista!I$143),"",IFERROR(VLOOKUP($F33,Arrangörslista!I$143:$AG$180,16,FALSE), "DNS"))),""))</f>
        <v/>
      </c>
      <c r="BJ33" s="5" t="str">
        <f>IF(Deltagarlista!$K$3=2,
IF(ISBLANK(Deltagarlista!$C39),"",IF(ISBLANK(Arrangörslista!J$143),"",IF($GV33=BJ$64," DNS ",IFERROR(VLOOKUP($F33,Arrangörslista!J$143:$AG$180,16,FALSE), "DNS")))), IF(Deltagarlista!$K$3=1,IF(ISBLANK(Deltagarlista!$C39),"",IF(ISBLANK(Arrangörslista!J$143),"",IFERROR(VLOOKUP($F33,Arrangörslista!J$143:$AG$180,16,FALSE), "DNS"))),""))</f>
        <v/>
      </c>
      <c r="BK33" s="5" t="str">
        <f>IF(Deltagarlista!$K$3=2,
IF(ISBLANK(Deltagarlista!$C39),"",IF(ISBLANK(Arrangörslista!K$143),"",IF($GV33=BK$64," DNS ",IFERROR(VLOOKUP($F33,Arrangörslista!K$143:$AG$180,16,FALSE), "DNS")))), IF(Deltagarlista!$K$3=1,IF(ISBLANK(Deltagarlista!$C39),"",IF(ISBLANK(Arrangörslista!K$143),"",IFERROR(VLOOKUP($F33,Arrangörslista!K$143:$AG$180,16,FALSE), "DNS"))),""))</f>
        <v/>
      </c>
      <c r="BL33" s="5" t="str">
        <f>IF(Deltagarlista!$K$3=2,
IF(ISBLANK(Deltagarlista!$C39),"",IF(ISBLANK(Arrangörslista!L$143),"",IF($GV33=BL$64," DNS ",IFERROR(VLOOKUP($F33,Arrangörslista!L$143:$AG$180,16,FALSE), "DNS")))), IF(Deltagarlista!$K$3=1,IF(ISBLANK(Deltagarlista!$C39),"",IF(ISBLANK(Arrangörslista!L$143),"",IFERROR(VLOOKUP($F33,Arrangörslista!L$143:$AG$180,16,FALSE), "DNS"))),""))</f>
        <v/>
      </c>
      <c r="BM33" s="5" t="str">
        <f>IF(Deltagarlista!$K$3=2,
IF(ISBLANK(Deltagarlista!$C39),"",IF(ISBLANK(Arrangörslista!M$143),"",IF($GV33=BM$64," DNS ",IFERROR(VLOOKUP($F33,Arrangörslista!M$143:$AG$180,16,FALSE), "DNS")))), IF(Deltagarlista!$K$3=1,IF(ISBLANK(Deltagarlista!$C39),"",IF(ISBLANK(Arrangörslista!M$143),"",IFERROR(VLOOKUP($F33,Arrangörslista!M$143:$AG$180,16,FALSE), "DNS"))),""))</f>
        <v/>
      </c>
      <c r="BN33" s="5" t="str">
        <f>IF(Deltagarlista!$K$3=2,
IF(ISBLANK(Deltagarlista!$C39),"",IF(ISBLANK(Arrangörslista!N$143),"",IF($GV33=BN$64," DNS ",IFERROR(VLOOKUP($F33,Arrangörslista!N$143:$AG$180,16,FALSE), "DNS")))), IF(Deltagarlista!$K$3=1,IF(ISBLANK(Deltagarlista!$C39),"",IF(ISBLANK(Arrangörslista!N$143),"",IFERROR(VLOOKUP($F33,Arrangörslista!N$143:$AG$180,16,FALSE), "DNS"))),""))</f>
        <v/>
      </c>
      <c r="BO33" s="5" t="str">
        <f>IF(Deltagarlista!$K$3=2,
IF(ISBLANK(Deltagarlista!$C39),"",IF(ISBLANK(Arrangörslista!O$143),"",IF($GV33=BO$64," DNS ",IFERROR(VLOOKUP($F33,Arrangörslista!O$143:$AG$180,16,FALSE), "DNS")))), IF(Deltagarlista!$K$3=1,IF(ISBLANK(Deltagarlista!$C39),"",IF(ISBLANK(Arrangörslista!O$143),"",IFERROR(VLOOKUP($F33,Arrangörslista!O$143:$AG$180,16,FALSE), "DNS"))),""))</f>
        <v/>
      </c>
      <c r="BP33" s="5" t="str">
        <f>IF(Deltagarlista!$K$3=2,
IF(ISBLANK(Deltagarlista!$C39),"",IF(ISBLANK(Arrangörslista!P$143),"",IF($GV33=BP$64," DNS ",IFERROR(VLOOKUP($F33,Arrangörslista!P$143:$AG$180,16,FALSE), "DNS")))), IF(Deltagarlista!$K$3=1,IF(ISBLANK(Deltagarlista!$C39),"",IF(ISBLANK(Arrangörslista!P$143),"",IFERROR(VLOOKUP($F33,Arrangörslista!P$143:$AG$180,16,FALSE), "DNS"))),""))</f>
        <v/>
      </c>
      <c r="BQ33" s="80" t="str">
        <f>IF(Deltagarlista!$K$3=2,
IF(ISBLANK(Deltagarlista!$C39),"",IF(ISBLANK(Arrangörslista!Q$143),"",IF($GV33=BQ$64," DNS ",IFERROR(VLOOKUP($F33,Arrangörslista!Q$143:$AG$180,16,FALSE), "DNS")))), IF(Deltagarlista!$K$3=1,IF(ISBLANK(Deltagarlista!$C39),"",IF(ISBLANK(Arrangörslista!Q$143),"",IFERROR(VLOOKUP($F33,Arrangörslista!Q$143:$AG$180,16,FALSE), "DNS"))),""))</f>
        <v/>
      </c>
      <c r="BR33" s="51"/>
      <c r="BS33" s="50" t="str">
        <f t="shared" si="0"/>
        <v>2</v>
      </c>
      <c r="BT33" s="51"/>
      <c r="BU33" s="71">
        <f t="shared" si="1"/>
        <v>0</v>
      </c>
      <c r="BV33" s="61">
        <f t="shared" si="2"/>
        <v>0</v>
      </c>
      <c r="BW33" s="61">
        <f t="shared" si="3"/>
        <v>0</v>
      </c>
      <c r="BX33" s="61">
        <f t="shared" si="4"/>
        <v>0</v>
      </c>
      <c r="BY33" s="61">
        <f t="shared" si="5"/>
        <v>0</v>
      </c>
      <c r="BZ33" s="61">
        <f t="shared" si="6"/>
        <v>0</v>
      </c>
      <c r="CA33" s="61">
        <f t="shared" si="7"/>
        <v>0</v>
      </c>
      <c r="CB33" s="61">
        <f t="shared" si="8"/>
        <v>0</v>
      </c>
      <c r="CC33" s="61">
        <f t="shared" si="9"/>
        <v>0</v>
      </c>
      <c r="CD33" s="61">
        <f t="shared" si="10"/>
        <v>0</v>
      </c>
      <c r="CE33" s="61">
        <f t="shared" si="11"/>
        <v>0</v>
      </c>
      <c r="CF33" s="61">
        <f t="shared" si="12"/>
        <v>0</v>
      </c>
      <c r="CG33" s="61">
        <f t="shared" si="13"/>
        <v>0</v>
      </c>
      <c r="CH33" s="61">
        <f t="shared" si="14"/>
        <v>0</v>
      </c>
      <c r="CI33" s="61">
        <f t="shared" si="15"/>
        <v>0</v>
      </c>
      <c r="CJ33" s="61">
        <f t="shared" si="16"/>
        <v>0</v>
      </c>
      <c r="CK33" s="61">
        <f t="shared" si="17"/>
        <v>0</v>
      </c>
      <c r="CL33" s="61">
        <f t="shared" si="18"/>
        <v>0</v>
      </c>
      <c r="CM33" s="61">
        <f t="shared" si="19"/>
        <v>0</v>
      </c>
      <c r="CN33" s="61">
        <f t="shared" si="20"/>
        <v>0</v>
      </c>
      <c r="CO33" s="61">
        <f t="shared" si="21"/>
        <v>0</v>
      </c>
      <c r="CP33" s="61">
        <f t="shared" si="22"/>
        <v>0</v>
      </c>
      <c r="CQ33" s="61">
        <f t="shared" si="23"/>
        <v>0</v>
      </c>
      <c r="CR33" s="61">
        <f t="shared" si="24"/>
        <v>0</v>
      </c>
      <c r="CS33" s="61">
        <f t="shared" si="25"/>
        <v>0</v>
      </c>
      <c r="CT33" s="61">
        <f t="shared" si="26"/>
        <v>0</v>
      </c>
      <c r="CU33" s="61">
        <f t="shared" si="27"/>
        <v>0</v>
      </c>
      <c r="CV33" s="61">
        <f t="shared" si="28"/>
        <v>0</v>
      </c>
      <c r="CW33" s="61">
        <f t="shared" si="29"/>
        <v>0</v>
      </c>
      <c r="CX33" s="61">
        <f t="shared" si="30"/>
        <v>0</v>
      </c>
      <c r="CY33" s="61">
        <f t="shared" si="31"/>
        <v>0</v>
      </c>
      <c r="CZ33" s="61">
        <f t="shared" si="32"/>
        <v>0</v>
      </c>
      <c r="DA33" s="61">
        <f t="shared" si="33"/>
        <v>0</v>
      </c>
      <c r="DB33" s="61">
        <f t="shared" si="34"/>
        <v>0</v>
      </c>
      <c r="DC33" s="61">
        <f t="shared" si="35"/>
        <v>0</v>
      </c>
      <c r="DD33" s="61">
        <f t="shared" si="36"/>
        <v>0</v>
      </c>
      <c r="DE33" s="61">
        <f t="shared" si="37"/>
        <v>0</v>
      </c>
      <c r="DF33" s="61">
        <f t="shared" si="38"/>
        <v>0</v>
      </c>
      <c r="DG33" s="61">
        <f t="shared" si="39"/>
        <v>0</v>
      </c>
      <c r="DH33" s="61">
        <f t="shared" si="40"/>
        <v>0</v>
      </c>
      <c r="DI33" s="61">
        <f t="shared" si="41"/>
        <v>0</v>
      </c>
      <c r="DJ33" s="61">
        <f t="shared" si="42"/>
        <v>0</v>
      </c>
      <c r="DK33" s="61">
        <f t="shared" si="43"/>
        <v>0</v>
      </c>
      <c r="DL33" s="61">
        <f t="shared" si="44"/>
        <v>0</v>
      </c>
      <c r="DM33" s="61">
        <f t="shared" si="45"/>
        <v>0</v>
      </c>
      <c r="DN33" s="61">
        <f t="shared" si="46"/>
        <v>0</v>
      </c>
      <c r="DO33" s="61">
        <f t="shared" si="47"/>
        <v>0</v>
      </c>
      <c r="DP33" s="61">
        <f t="shared" si="48"/>
        <v>0</v>
      </c>
      <c r="DQ33" s="61">
        <f t="shared" si="49"/>
        <v>0</v>
      </c>
      <c r="DR33" s="61">
        <f t="shared" si="50"/>
        <v>0</v>
      </c>
      <c r="DS33" s="61">
        <f t="shared" si="51"/>
        <v>0</v>
      </c>
      <c r="DT33" s="61">
        <f t="shared" si="52"/>
        <v>0</v>
      </c>
      <c r="DU33" s="61">
        <f t="shared" si="53"/>
        <v>0</v>
      </c>
      <c r="DV33" s="61">
        <f t="shared" si="54"/>
        <v>0</v>
      </c>
      <c r="DW33" s="61">
        <f t="shared" si="55"/>
        <v>0</v>
      </c>
      <c r="DX33" s="61">
        <f t="shared" si="56"/>
        <v>0</v>
      </c>
      <c r="DY33" s="61">
        <f t="shared" si="57"/>
        <v>0</v>
      </c>
      <c r="DZ33" s="61">
        <f t="shared" si="58"/>
        <v>0</v>
      </c>
      <c r="EA33" s="61">
        <f t="shared" si="59"/>
        <v>0</v>
      </c>
      <c r="EB33" s="61">
        <f t="shared" si="60"/>
        <v>0</v>
      </c>
      <c r="EC33" s="61">
        <f t="shared" si="61"/>
        <v>0</v>
      </c>
      <c r="EE33" s="61">
        <f xml:space="preserve">
IF(OR(Deltagarlista!$K$3=3,Deltagarlista!$K$3=4),
IF(Arrangörslista!$U$5&lt;8,0,
IF(Arrangörslista!$U$5&lt;16,SUM(LARGE(BV33:CJ33,1)),
IF(Arrangörslista!$U$5&lt;24,SUM(LARGE(BV33:CR33,{1;2})),
IF(Arrangörslista!$U$5&lt;32,SUM(LARGE(BV33:CZ33,{1;2;3})),
IF(Arrangörslista!$U$5&lt;40,SUM(LARGE(BV33:DH33,{1;2;3;4})),
IF(Arrangörslista!$U$5&lt;48,SUM(LARGE(BV33:DP33,{1;2;3;4;5})),
IF(Arrangörslista!$U$5&lt;56,SUM(LARGE(BV33:DX33,{1;2;3;4;5;6})),
IF(Arrangörslista!$U$5&lt;64,SUM(LARGE(BV33:EC33,{1;2;3;4;5;6;7})),0)))))))),
IF(Deltagarlista!$K$3=2,
IF(Arrangörslista!$U$5&lt;4,LARGE(BV33:BX33,1),
IF(Arrangörslista!$U$5&lt;7,SUM(LARGE(BV33:CA33,{1;2;3})),
IF(Arrangörslista!$U$5&lt;10,SUM(LARGE(BV33:CD33,{1;2;3;4})),
IF(Arrangörslista!$U$5&lt;13,SUM(LARGE(BV33:CG33,{1;2;3;4;5;6})),
IF(Arrangörslista!$U$5&lt;16,SUM(LARGE(BV33:CJ33,{1;2;3;4;5;6;7})),
IF(Arrangörslista!$U$5&lt;19,SUM(LARGE(BV33:CM33,{1;2;3;4;5;6;7;8;9})),
IF(Arrangörslista!$U$5&lt;22,SUM(LARGE(BV33:CP33,{1;2;3;4;5;6;7;8;9;10})),
IF(Arrangörslista!$U$5&lt;25,SUM(LARGE(BV33:CS33,{1;2;3;4;5;6;7;8;9;10;11;12})),
IF(Arrangörslista!$U$5&lt;28,SUM(LARGE(BV33:CV33,{1;2;3;4;5;6;7;8;9;10;11;12;13})),
IF(Arrangörslista!$U$5&lt;31,SUM(LARGE(BV33:CY33,{1;2;3;4;5;6;7;8;9;10;11;12;13;14;15})),
IF(Arrangörslista!$U$5&lt;34,SUM(LARGE(BV33:DB33,{1;2;3;4;5;6;7;8;9;10;11;12;13;14;15;16})),
IF(Arrangörslista!$U$5&lt;37,SUM(LARGE(BV33:DE33,{1;2;3;4;5;6;7;8;9;10;11;12;13;14;15;16;17;18})),
IF(Arrangörslista!$U$5&lt;40,SUM(LARGE(BV33:DH33,{1;2;3;4;5;6;7;8;9;10;11;12;13;14;15;16;17;18;19})),
IF(Arrangörslista!$U$5&lt;43,SUM(LARGE(BV33:DK33,{1;2;3;4;5;6;7;8;9;10;11;12;13;14;15;16;17;18;19;20;21})),
IF(Arrangörslista!$U$5&lt;46,SUM(LARGE(BV33:DN33,{1;2;3;4;5;6;7;8;9;10;11;12;13;14;15;16;17;18;19;20;21;22})),
IF(Arrangörslista!$U$5&lt;49,SUM(LARGE(BV33:DQ33,{1;2;3;4;5;6;7;8;9;10;11;12;13;14;15;16;17;18;19;20;21;22;23;24})),
IF(Arrangörslista!$U$5&lt;52,SUM(LARGE(BV33:DT33,{1;2;3;4;5;6;7;8;9;10;11;12;13;14;15;16;17;18;19;20;21;22;23;24;25})),
IF(Arrangörslista!$U$5&lt;55,SUM(LARGE(BV33:DW33,{1;2;3;4;5;6;7;8;9;10;11;12;13;14;15;16;17;18;19;20;21;22;23;24;25;26;27})),
IF(Arrangörslista!$U$5&lt;58,SUM(LARGE(BV33:DZ33,{1;2;3;4;5;6;7;8;9;10;11;12;13;14;15;16;17;18;19;20;21;22;23;24;25;26;27;28})),
IF(Arrangörslista!$U$5&lt;61,SUM(LARGE(BV33:EC33,{1;2;3;4;5;6;7;8;9;10;11;12;13;14;15;16;17;18;19;20;21;22;23;24;25;26;27;28;29;30})),0)))))))))))))))))))),
IF(Arrangörslista!$U$5&lt;4,0,
IF(Arrangörslista!$U$5&lt;8,SUM(LARGE(BV33:CB33,1)),
IF(Arrangörslista!$U$5&lt;12,SUM(LARGE(BV33:CF33,{1;2})),
IF(Arrangörslista!$U$5&lt;16,SUM(LARGE(BV33:CJ33,{1;2;3})),
IF(Arrangörslista!$U$5&lt;20,SUM(LARGE(BV33:CN33,{1;2;3;4})),
IF(Arrangörslista!$U$5&lt;24,SUM(LARGE(BV33:CR33,{1;2;3;4;5})),
IF(Arrangörslista!$U$5&lt;28,SUM(LARGE(BV33:CV33,{1;2;3;4;5;6})),
IF(Arrangörslista!$U$5&lt;32,SUM(LARGE(BV33:CZ33,{1;2;3;4;5;6;7})),
IF(Arrangörslista!$U$5&lt;36,SUM(LARGE(BV33:DD33,{1;2;3;4;5;6;7;8})),
IF(Arrangörslista!$U$5&lt;40,SUM(LARGE(BV33:DH33,{1;2;3;4;5;6;7;8;9})),
IF(Arrangörslista!$U$5&lt;44,SUM(LARGE(BV33:DL33,{1;2;3;4;5;6;7;8;9;10})),
IF(Arrangörslista!$U$5&lt;48,SUM(LARGE(BV33:DP33,{1;2;3;4;5;6;7;8;9;10;11})),
IF(Arrangörslista!$U$5&lt;52,SUM(LARGE(BV33:DT33,{1;2;3;4;5;6;7;8;9;10;11;12})),
IF(Arrangörslista!$U$5&lt;56,SUM(LARGE(BV33:DX33,{1;2;3;4;5;6;7;8;9;10;11;12;13})),
IF(Arrangörslista!$U$5&lt;60,SUM(LARGE(BV33:EB33,{1;2;3;4;5;6;7;8;9;10;11;12;13;14})),
IF(Arrangörslista!$U$5=60,SUM(LARGE(BV33:EC33,{1;2;3;4;5;6;7;8;9;10;11;12;13;14;15})),0))))))))))))))))))</f>
        <v>0</v>
      </c>
      <c r="EG33" s="67">
        <f t="shared" si="62"/>
        <v>0</v>
      </c>
      <c r="EH33" s="61"/>
      <c r="EI33" s="61"/>
      <c r="EK33" s="62">
        <f t="shared" si="63"/>
        <v>61</v>
      </c>
      <c r="EL33" s="62">
        <f t="shared" si="64"/>
        <v>61</v>
      </c>
      <c r="EM33" s="62">
        <f t="shared" si="65"/>
        <v>61</v>
      </c>
      <c r="EN33" s="62">
        <f t="shared" si="66"/>
        <v>61</v>
      </c>
      <c r="EO33" s="62">
        <f t="shared" si="67"/>
        <v>61</v>
      </c>
      <c r="EP33" s="62">
        <f t="shared" si="68"/>
        <v>61</v>
      </c>
      <c r="EQ33" s="62">
        <f t="shared" si="69"/>
        <v>61</v>
      </c>
      <c r="ER33" s="62">
        <f t="shared" si="70"/>
        <v>61</v>
      </c>
      <c r="ES33" s="62">
        <f t="shared" si="71"/>
        <v>61</v>
      </c>
      <c r="ET33" s="62">
        <f t="shared" si="72"/>
        <v>61</v>
      </c>
      <c r="EU33" s="62">
        <f t="shared" si="73"/>
        <v>61</v>
      </c>
      <c r="EV33" s="62">
        <f t="shared" si="74"/>
        <v>61</v>
      </c>
      <c r="EW33" s="62">
        <f t="shared" si="75"/>
        <v>61</v>
      </c>
      <c r="EX33" s="62">
        <f t="shared" si="76"/>
        <v>61</v>
      </c>
      <c r="EY33" s="62">
        <f t="shared" si="77"/>
        <v>61</v>
      </c>
      <c r="EZ33" s="62">
        <f t="shared" si="78"/>
        <v>61</v>
      </c>
      <c r="FA33" s="62">
        <f t="shared" si="79"/>
        <v>61</v>
      </c>
      <c r="FB33" s="62">
        <f t="shared" si="80"/>
        <v>61</v>
      </c>
      <c r="FC33" s="62">
        <f t="shared" si="81"/>
        <v>61</v>
      </c>
      <c r="FD33" s="62">
        <f t="shared" si="82"/>
        <v>61</v>
      </c>
      <c r="FE33" s="62">
        <f t="shared" si="83"/>
        <v>61</v>
      </c>
      <c r="FF33" s="62">
        <f t="shared" si="84"/>
        <v>61</v>
      </c>
      <c r="FG33" s="62">
        <f t="shared" si="85"/>
        <v>61</v>
      </c>
      <c r="FH33" s="62">
        <f t="shared" si="86"/>
        <v>61</v>
      </c>
      <c r="FI33" s="62">
        <f t="shared" si="87"/>
        <v>61</v>
      </c>
      <c r="FJ33" s="62">
        <f t="shared" si="88"/>
        <v>61</v>
      </c>
      <c r="FK33" s="62">
        <f t="shared" si="89"/>
        <v>61</v>
      </c>
      <c r="FL33" s="62">
        <f t="shared" si="90"/>
        <v>61</v>
      </c>
      <c r="FM33" s="62">
        <f t="shared" si="91"/>
        <v>61</v>
      </c>
      <c r="FN33" s="62">
        <f t="shared" si="92"/>
        <v>61</v>
      </c>
      <c r="FO33" s="62">
        <f t="shared" si="93"/>
        <v>61</v>
      </c>
      <c r="FP33" s="62">
        <f t="shared" si="94"/>
        <v>61</v>
      </c>
      <c r="FQ33" s="62">
        <f t="shared" si="95"/>
        <v>61</v>
      </c>
      <c r="FR33" s="62">
        <f t="shared" si="96"/>
        <v>61</v>
      </c>
      <c r="FS33" s="62">
        <f t="shared" si="97"/>
        <v>61</v>
      </c>
      <c r="FT33" s="62">
        <f t="shared" si="98"/>
        <v>61</v>
      </c>
      <c r="FU33" s="62">
        <f t="shared" si="99"/>
        <v>61</v>
      </c>
      <c r="FV33" s="62">
        <f t="shared" si="100"/>
        <v>61</v>
      </c>
      <c r="FW33" s="62">
        <f t="shared" si="101"/>
        <v>61</v>
      </c>
      <c r="FX33" s="62">
        <f t="shared" si="102"/>
        <v>61</v>
      </c>
      <c r="FY33" s="62">
        <f t="shared" si="103"/>
        <v>61</v>
      </c>
      <c r="FZ33" s="62">
        <f t="shared" si="104"/>
        <v>61</v>
      </c>
      <c r="GA33" s="62">
        <f t="shared" si="105"/>
        <v>61</v>
      </c>
      <c r="GB33" s="62">
        <f t="shared" si="106"/>
        <v>61</v>
      </c>
      <c r="GC33" s="62">
        <f t="shared" si="107"/>
        <v>61</v>
      </c>
      <c r="GD33" s="62">
        <f t="shared" si="108"/>
        <v>61</v>
      </c>
      <c r="GE33" s="62">
        <f t="shared" si="109"/>
        <v>61</v>
      </c>
      <c r="GF33" s="62">
        <f t="shared" si="110"/>
        <v>61</v>
      </c>
      <c r="GG33" s="62">
        <f t="shared" si="111"/>
        <v>61</v>
      </c>
      <c r="GH33" s="62">
        <f t="shared" si="112"/>
        <v>61</v>
      </c>
      <c r="GI33" s="62">
        <f t="shared" si="113"/>
        <v>61</v>
      </c>
      <c r="GJ33" s="62">
        <f t="shared" si="114"/>
        <v>61</v>
      </c>
      <c r="GK33" s="62">
        <f t="shared" si="115"/>
        <v>61</v>
      </c>
      <c r="GL33" s="62">
        <f t="shared" si="116"/>
        <v>61</v>
      </c>
      <c r="GM33" s="62">
        <f t="shared" si="117"/>
        <v>61</v>
      </c>
      <c r="GN33" s="62">
        <f t="shared" si="118"/>
        <v>61</v>
      </c>
      <c r="GO33" s="62">
        <f t="shared" si="119"/>
        <v>61</v>
      </c>
      <c r="GP33" s="62">
        <f t="shared" si="120"/>
        <v>61</v>
      </c>
      <c r="GQ33" s="62">
        <f t="shared" si="121"/>
        <v>61</v>
      </c>
      <c r="GR33" s="62">
        <f t="shared" si="122"/>
        <v>61</v>
      </c>
      <c r="GT33" s="62">
        <f>IF(Deltagarlista!$K$3=2,
IF(GW33="1",
      IF(Arrangörslista!$U$5=1,J96,
IF(Arrangörslista!$U$5=2,K96,
IF(Arrangörslista!$U$5=3,L96,
IF(Arrangörslista!$U$5=4,M96,
IF(Arrangörslista!$U$5=5,N96,
IF(Arrangörslista!$U$5=6,O96,
IF(Arrangörslista!$U$5=7,P96,
IF(Arrangörslista!$U$5=8,Q96,
IF(Arrangörslista!$U$5=9,R96,
IF(Arrangörslista!$U$5=10,S96,
IF(Arrangörslista!$U$5=11,T96,
IF(Arrangörslista!$U$5=12,U96,
IF(Arrangörslista!$U$5=13,V96,
IF(Arrangörslista!$U$5=14,W96,
IF(Arrangörslista!$U$5=15,X96,
IF(Arrangörslista!$U$5=16,Y96,IF(Arrangörslista!$U$5=17,Z96,IF(Arrangörslista!$U$5=18,AA96,IF(Arrangörslista!$U$5=19,AB96,IF(Arrangörslista!$U$5=20,AC96,IF(Arrangörslista!$U$5=21,AD96,IF(Arrangörslista!$U$5=22,AE96,IF(Arrangörslista!$U$5=23,AF96, IF(Arrangörslista!$U$5=24,AG96, IF(Arrangörslista!$U$5=25,AH96, IF(Arrangörslista!$U$5=26,AI96, IF(Arrangörslista!$U$5=27,AJ96, IF(Arrangörslista!$U$5=28,AK96, IF(Arrangörslista!$U$5=29,AL96, IF(Arrangörslista!$U$5=30,AM96, IF(Arrangörslista!$U$5=31,AN96, IF(Arrangörslista!$U$5=32,AO96, IF(Arrangörslista!$U$5=33,AP96, IF(Arrangörslista!$U$5=34,AQ96, IF(Arrangörslista!$U$5=35,AR96, IF(Arrangörslista!$U$5=36,AS96, IF(Arrangörslista!$U$5=37,AT96, IF(Arrangörslista!$U$5=38,AU96, IF(Arrangörslista!$U$5=39,AV96, IF(Arrangörslista!$U$5=40,AW96, IF(Arrangörslista!$U$5=41,AX96, IF(Arrangörslista!$U$5=42,AY96, IF(Arrangörslista!$U$5=43,AZ96, IF(Arrangörslista!$U$5=44,BA96, IF(Arrangörslista!$U$5=45,BB96, IF(Arrangörslista!$U$5=46,BC96, IF(Arrangörslista!$U$5=47,BD96, IF(Arrangörslista!$U$5=48,BE96, IF(Arrangörslista!$U$5=49,BF96, IF(Arrangörslista!$U$5=50,BG96, IF(Arrangörslista!$U$5=51,BH96, IF(Arrangörslista!$U$5=52,BI96, IF(Arrangörslista!$U$5=53,BJ96, IF(Arrangörslista!$U$5=54,BK96, IF(Arrangörslista!$U$5=55,BL96, IF(Arrangörslista!$U$5=56,BM96, IF(Arrangörslista!$U$5=57,BN96, IF(Arrangörslista!$U$5=58,BO96, IF(Arrangörslista!$U$5=59,BP96, IF(Arrangörslista!$U$5=60,BQ96,0))))))))))))))))))))))))))))))))))))))))))))))))))))))))))))),IF(Deltagarlista!$K$3=4, IF(Arrangörslista!$U$5=1,J96,
IF(Arrangörslista!$U$5=2,J96,
IF(Arrangörslista!$U$5=3,K96,
IF(Arrangörslista!$U$5=4,K96,
IF(Arrangörslista!$U$5=5,L96,
IF(Arrangörslista!$U$5=6,L96,
IF(Arrangörslista!$U$5=7,M96,
IF(Arrangörslista!$U$5=8,M96,
IF(Arrangörslista!$U$5=9,N96,
IF(Arrangörslista!$U$5=10,N96,
IF(Arrangörslista!$U$5=11,O96,
IF(Arrangörslista!$U$5=12,O96,
IF(Arrangörslista!$U$5=13,P96,
IF(Arrangörslista!$U$5=14,P96,
IF(Arrangörslista!$U$5=15,Q96,
IF(Arrangörslista!$U$5=16,Q96,
IF(Arrangörslista!$U$5=17,R96,
IF(Arrangörslista!$U$5=18,R96,
IF(Arrangörslista!$U$5=19,S96,
IF(Arrangörslista!$U$5=20,S96,
IF(Arrangörslista!$U$5=21,T96,
IF(Arrangörslista!$U$5=22,T96,IF(Arrangörslista!$U$5=23,U96, IF(Arrangörslista!$U$5=24,U96, IF(Arrangörslista!$U$5=25,V96, IF(Arrangörslista!$U$5=26,V96, IF(Arrangörslista!$U$5=27,W96, IF(Arrangörslista!$U$5=28,W96, IF(Arrangörslista!$U$5=29,X96, IF(Arrangörslista!$U$5=30,X96, IF(Arrangörslista!$U$5=31,X96, IF(Arrangörslista!$U$5=32,Y96, IF(Arrangörslista!$U$5=33,AO96, IF(Arrangörslista!$U$5=34,Y96, IF(Arrangörslista!$U$5=35,Z96, IF(Arrangörslista!$U$5=36,AR96, IF(Arrangörslista!$U$5=37,Z96, IF(Arrangörslista!$U$5=38,AA96, IF(Arrangörslista!$U$5=39,AU96, IF(Arrangörslista!$U$5=40,AA96, IF(Arrangörslista!$U$5=41,AB96, IF(Arrangörslista!$U$5=42,AX96, IF(Arrangörslista!$U$5=43,AB96, IF(Arrangörslista!$U$5=44,AC96, IF(Arrangörslista!$U$5=45,BA96, IF(Arrangörslista!$U$5=46,AC96, IF(Arrangörslista!$U$5=47,AD96, IF(Arrangörslista!$U$5=48,BD96, IF(Arrangörslista!$U$5=49,AD96, IF(Arrangörslista!$U$5=50,AE96, IF(Arrangörslista!$U$5=51,BG96, IF(Arrangörslista!$U$5=52,AE96, IF(Arrangörslista!$U$5=53,AF96, IF(Arrangörslista!$U$5=54,BJ96, IF(Arrangörslista!$U$5=55,AF96, IF(Arrangörslista!$U$5=56,AG96, IF(Arrangörslista!$U$5=57,BM96, IF(Arrangörslista!$U$5=58,AG96, IF(Arrangörslista!$U$5=59,AH96, IF(Arrangörslista!$U$5=60,AH96,0)))))))))))))))))))))))))))))))))))))))))))))))))))))))))))),IF(Arrangörslista!$U$5=1,J96,
IF(Arrangörslista!$U$5=2,K96,
IF(Arrangörslista!$U$5=3,L96,
IF(Arrangörslista!$U$5=4,M96,
IF(Arrangörslista!$U$5=5,N96,
IF(Arrangörslista!$U$5=6,O96,
IF(Arrangörslista!$U$5=7,P96,
IF(Arrangörslista!$U$5=8,Q96,
IF(Arrangörslista!$U$5=9,R96,
IF(Arrangörslista!$U$5=10,S96,
IF(Arrangörslista!$U$5=11,T96,
IF(Arrangörslista!$U$5=12,U96,
IF(Arrangörslista!$U$5=13,V96,
IF(Arrangörslista!$U$5=14,W96,
IF(Arrangörslista!$U$5=15,X96,
IF(Arrangörslista!$U$5=16,Y96,IF(Arrangörslista!$U$5=17,Z96,IF(Arrangörslista!$U$5=18,AA96,IF(Arrangörslista!$U$5=19,AB96,IF(Arrangörslista!$U$5=20,AC96,IF(Arrangörslista!$U$5=21,AD96,IF(Arrangörslista!$U$5=22,AE96,IF(Arrangörslista!$U$5=23,AF96, IF(Arrangörslista!$U$5=24,AG96, IF(Arrangörslista!$U$5=25,AH96, IF(Arrangörslista!$U$5=26,AI96, IF(Arrangörslista!$U$5=27,AJ96, IF(Arrangörslista!$U$5=28,AK96, IF(Arrangörslista!$U$5=29,AL96, IF(Arrangörslista!$U$5=30,AM96, IF(Arrangörslista!$U$5=31,AN96, IF(Arrangörslista!$U$5=32,AO96, IF(Arrangörslista!$U$5=33,AP96, IF(Arrangörslista!$U$5=34,AQ96, IF(Arrangörslista!$U$5=35,AR96, IF(Arrangörslista!$U$5=36,AS96, IF(Arrangörslista!$U$5=37,AT96, IF(Arrangörslista!$U$5=38,AU96, IF(Arrangörslista!$U$5=39,AV96, IF(Arrangörslista!$U$5=40,AW96, IF(Arrangörslista!$U$5=41,AX96, IF(Arrangörslista!$U$5=42,AY96, IF(Arrangörslista!$U$5=43,AZ96, IF(Arrangörslista!$U$5=44,BA96, IF(Arrangörslista!$U$5=45,BB96, IF(Arrangörslista!$U$5=46,BC96, IF(Arrangörslista!$U$5=47,BD96, IF(Arrangörslista!$U$5=48,BE96, IF(Arrangörslista!$U$5=49,BF96, IF(Arrangörslista!$U$5=50,BG96, IF(Arrangörslista!$U$5=51,BH96, IF(Arrangörslista!$U$5=52,BI96, IF(Arrangörslista!$U$5=53,BJ96, IF(Arrangörslista!$U$5=54,BK96, IF(Arrangörslista!$U$5=55,BL96, IF(Arrangörslista!$U$5=56,BM96, IF(Arrangörslista!$U$5=57,BN96, IF(Arrangörslista!$U$5=58,BO96, IF(Arrangörslista!$U$5=59,BP96, IF(Arrangörslista!$U$5=60,BQ96,0))))))))))))))))))))))))))))))))))))))))))))))))))))))))))))
))</f>
        <v>0</v>
      </c>
      <c r="GV33" s="65" t="str">
        <f>IFERROR(IF(VLOOKUP(F33,Deltagarlista!$E$5:$I$64,5,FALSE)="Grön","Gr",IF(VLOOKUP(F33,Deltagarlista!$E$5:$I$64,5,FALSE)="Röd","R",IF(VLOOKUP(F33,Deltagarlista!$E$5:$I$64,5,FALSE)="Blå","B","Gu"))),"")</f>
        <v/>
      </c>
      <c r="GW33" s="62" t="str">
        <f t="shared" si="124"/>
        <v/>
      </c>
    </row>
    <row r="34" spans="2:205" ht="15.75" customHeight="1" x14ac:dyDescent="0.3">
      <c r="B34" s="23" t="str">
        <f>IF((COUNTIF(Deltagarlista!$H$5:$H$64,"GM"))&gt;30,31,"")</f>
        <v/>
      </c>
      <c r="C34" s="92" t="str">
        <f>IF(ISBLANK(Deltagarlista!C38),"",Deltagarlista!C38)</f>
        <v/>
      </c>
      <c r="D34" s="109" t="str">
        <f>CONCATENATE(IF(Deltagarlista!H38="GM","GM   ",""), IF(OR(Deltagarlista!$K$3=4,Deltagarlista!$K$3=2),Deltagarlista!I38,""))</f>
        <v/>
      </c>
      <c r="E34" s="8" t="str">
        <f>IF(ISBLANK(Deltagarlista!D38),"",Deltagarlista!D38)</f>
        <v/>
      </c>
      <c r="F34" s="8" t="str">
        <f>IF(ISBLANK(Deltagarlista!E38),"",Deltagarlista!E38)</f>
        <v/>
      </c>
      <c r="G34" s="95" t="str">
        <f>IF(ISBLANK(Deltagarlista!F38),"",Deltagarlista!F38)</f>
        <v/>
      </c>
      <c r="H34" s="72" t="str">
        <f>IF(ISBLANK(Deltagarlista!C38),"",BU34-EE34)</f>
        <v/>
      </c>
      <c r="I34" s="13" t="str">
        <f>IF(ISBLANK(Deltagarlista!C38),"",IF(AND(Deltagarlista!$K$3=2,Deltagarlista!$L$3&lt;37),SUM(SUM(BV34:EC34)-(ROUNDDOWN(Arrangörslista!$U$5/3,1))*($BW$3+1)),SUM(BV34:EC34)))</f>
        <v/>
      </c>
      <c r="J34" s="79" t="str">
        <f>IF(Deltagarlista!$K$3=4,IF(ISBLANK(Deltagarlista!$C38),"",IF(ISBLANK(Arrangörslista!C$8),"",IFERROR(VLOOKUP($F34,Arrangörslista!C$8:$AG$45,16,FALSE),IF(ISBLANK(Deltagarlista!$C38),"",IF(ISBLANK(Arrangörslista!C$8),"",IFERROR(VLOOKUP($F34,Arrangörslista!D$8:$AG$45,16,FALSE),"DNS")))))),IF(Deltagarlista!$K$3=2,
IF(ISBLANK(Deltagarlista!$C38),"",IF(ISBLANK(Arrangörslista!C$8),"",IF($GV34=J$64," DNS ",IFERROR(VLOOKUP($F34,Arrangörslista!C$8:$AG$45,16,FALSE),"DNS")))),IF(ISBLANK(Deltagarlista!$C38),"",IF(ISBLANK(Arrangörslista!C$8),"",IFERROR(VLOOKUP($F34,Arrangörslista!C$8:$AG$45,16,FALSE),"DNS")))))</f>
        <v/>
      </c>
      <c r="K34" s="5" t="str">
        <f>IF(Deltagarlista!$K$3=4,IF(ISBLANK(Deltagarlista!$C38),"",IF(ISBLANK(Arrangörslista!E$8),"",IFERROR(VLOOKUP($F34,Arrangörslista!E$8:$AG$45,16,FALSE),IF(ISBLANK(Deltagarlista!$C38),"",IF(ISBLANK(Arrangörslista!E$8),"",IFERROR(VLOOKUP($F34,Arrangörslista!F$8:$AG$45,16,FALSE),"DNS")))))),IF(Deltagarlista!$K$3=2,
IF(ISBLANK(Deltagarlista!$C38),"",IF(ISBLANK(Arrangörslista!D$8),"",IF($GV34=K$64," DNS ",IFERROR(VLOOKUP($F34,Arrangörslista!D$8:$AG$45,16,FALSE),"DNS")))),IF(ISBLANK(Deltagarlista!$C38),"",IF(ISBLANK(Arrangörslista!D$8),"",IFERROR(VLOOKUP($F34,Arrangörslista!D$8:$AG$45,16,FALSE),"DNS")))))</f>
        <v/>
      </c>
      <c r="L34" s="5" t="str">
        <f>IF(Deltagarlista!$K$3=4,IF(ISBLANK(Deltagarlista!$C38),"",IF(ISBLANK(Arrangörslista!G$8),"",IFERROR(VLOOKUP($F34,Arrangörslista!G$8:$AG$45,16,FALSE),IF(ISBLANK(Deltagarlista!$C38),"",IF(ISBLANK(Arrangörslista!G$8),"",IFERROR(VLOOKUP($F34,Arrangörslista!H$8:$AG$45,16,FALSE),"DNS")))))),IF(Deltagarlista!$K$3=2,
IF(ISBLANK(Deltagarlista!$C38),"",IF(ISBLANK(Arrangörslista!E$8),"",IF($GV34=L$64," DNS ",IFERROR(VLOOKUP($F34,Arrangörslista!E$8:$AG$45,16,FALSE),"DNS")))),IF(ISBLANK(Deltagarlista!$C38),"",IF(ISBLANK(Arrangörslista!E$8),"",IFERROR(VLOOKUP($F34,Arrangörslista!E$8:$AG$45,16,FALSE),"DNS")))))</f>
        <v/>
      </c>
      <c r="M34" s="5" t="str">
        <f>IF(Deltagarlista!$K$3=4,IF(ISBLANK(Deltagarlista!$C38),"",IF(ISBLANK(Arrangörslista!I$8),"",IFERROR(VLOOKUP($F34,Arrangörslista!I$8:$AG$45,16,FALSE),IF(ISBLANK(Deltagarlista!$C38),"",IF(ISBLANK(Arrangörslista!I$8),"",IFERROR(VLOOKUP($F34,Arrangörslista!J$8:$AG$45,16,FALSE),"DNS")))))),IF(Deltagarlista!$K$3=2,
IF(ISBLANK(Deltagarlista!$C38),"",IF(ISBLANK(Arrangörslista!F$8),"",IF($GV34=M$64," DNS ",IFERROR(VLOOKUP($F34,Arrangörslista!F$8:$AG$45,16,FALSE),"DNS")))),IF(ISBLANK(Deltagarlista!$C38),"",IF(ISBLANK(Arrangörslista!F$8),"",IFERROR(VLOOKUP($F34,Arrangörslista!F$8:$AG$45,16,FALSE),"DNS")))))</f>
        <v/>
      </c>
      <c r="N34" s="5" t="str">
        <f>IF(Deltagarlista!$K$3=4,IF(ISBLANK(Deltagarlista!$C38),"",IF(ISBLANK(Arrangörslista!K$8),"",IFERROR(VLOOKUP($F34,Arrangörslista!K$8:$AG$45,16,FALSE),IF(ISBLANK(Deltagarlista!$C38),"",IF(ISBLANK(Arrangörslista!K$8),"",IFERROR(VLOOKUP($F34,Arrangörslista!L$8:$AG$45,16,FALSE),"DNS")))))),IF(Deltagarlista!$K$3=2,
IF(ISBLANK(Deltagarlista!$C38),"",IF(ISBLANK(Arrangörslista!G$8),"",IF($GV34=N$64," DNS ",IFERROR(VLOOKUP($F34,Arrangörslista!G$8:$AG$45,16,FALSE),"DNS")))),IF(ISBLANK(Deltagarlista!$C38),"",IF(ISBLANK(Arrangörslista!G$8),"",IFERROR(VLOOKUP($F34,Arrangörslista!G$8:$AG$45,16,FALSE),"DNS")))))</f>
        <v/>
      </c>
      <c r="O34" s="5" t="str">
        <f>IF(Deltagarlista!$K$3=4,IF(ISBLANK(Deltagarlista!$C38),"",IF(ISBLANK(Arrangörslista!M$8),"",IFERROR(VLOOKUP($F34,Arrangörslista!M$8:$AG$45,16,FALSE),IF(ISBLANK(Deltagarlista!$C38),"",IF(ISBLANK(Arrangörslista!M$8),"",IFERROR(VLOOKUP($F34,Arrangörslista!N$8:$AG$45,16,FALSE),"DNS")))))),IF(Deltagarlista!$K$3=2,
IF(ISBLANK(Deltagarlista!$C38),"",IF(ISBLANK(Arrangörslista!H$8),"",IF($GV34=O$64," DNS ",IFERROR(VLOOKUP($F34,Arrangörslista!H$8:$AG$45,16,FALSE),"DNS")))),IF(ISBLANK(Deltagarlista!$C38),"",IF(ISBLANK(Arrangörslista!H$8),"",IFERROR(VLOOKUP($F34,Arrangörslista!H$8:$AG$45,16,FALSE),"DNS")))))</f>
        <v/>
      </c>
      <c r="P34" s="5" t="str">
        <f>IF(Deltagarlista!$K$3=4,IF(ISBLANK(Deltagarlista!$C38),"",IF(ISBLANK(Arrangörslista!O$8),"",IFERROR(VLOOKUP($F34,Arrangörslista!O$8:$AG$45,16,FALSE),IF(ISBLANK(Deltagarlista!$C38),"",IF(ISBLANK(Arrangörslista!O$8),"",IFERROR(VLOOKUP($F34,Arrangörslista!P$8:$AG$45,16,FALSE),"DNS")))))),IF(Deltagarlista!$K$3=2,
IF(ISBLANK(Deltagarlista!$C38),"",IF(ISBLANK(Arrangörslista!I$8),"",IF($GV34=P$64," DNS ",IFERROR(VLOOKUP($F34,Arrangörslista!I$8:$AG$45,16,FALSE),"DNS")))),IF(ISBLANK(Deltagarlista!$C38),"",IF(ISBLANK(Arrangörslista!I$8),"",IFERROR(VLOOKUP($F34,Arrangörslista!I$8:$AG$45,16,FALSE),"DNS")))))</f>
        <v/>
      </c>
      <c r="Q34" s="5" t="str">
        <f>IF(Deltagarlista!$K$3=4,IF(ISBLANK(Deltagarlista!$C38),"",IF(ISBLANK(Arrangörslista!Q$8),"",IFERROR(VLOOKUP($F34,Arrangörslista!Q$8:$AG$45,16,FALSE),IF(ISBLANK(Deltagarlista!$C38),"",IF(ISBLANK(Arrangörslista!Q$8),"",IFERROR(VLOOKUP($F34,Arrangörslista!C$53:$AG$90,16,FALSE),"DNS")))))),IF(Deltagarlista!$K$3=2,
IF(ISBLANK(Deltagarlista!$C38),"",IF(ISBLANK(Arrangörslista!J$8),"",IF($GV34=Q$64," DNS ",IFERROR(VLOOKUP($F34,Arrangörslista!J$8:$AG$45,16,FALSE),"DNS")))),IF(ISBLANK(Deltagarlista!$C38),"",IF(ISBLANK(Arrangörslista!J$8),"",IFERROR(VLOOKUP($F34,Arrangörslista!J$8:$AG$45,16,FALSE),"DNS")))))</f>
        <v/>
      </c>
      <c r="R34" s="5" t="str">
        <f>IF(Deltagarlista!$K$3=4,IF(ISBLANK(Deltagarlista!$C38),"",IF(ISBLANK(Arrangörslista!D$53),"",IFERROR(VLOOKUP($F34,Arrangörslista!D$53:$AG$90,16,FALSE),IF(ISBLANK(Deltagarlista!$C38),"",IF(ISBLANK(Arrangörslista!D$53),"",IFERROR(VLOOKUP($F34,Arrangörslista!E$53:$AG$90,16,FALSE),"DNS")))))),IF(Deltagarlista!$K$3=2,
IF(ISBLANK(Deltagarlista!$C38),"",IF(ISBLANK(Arrangörslista!K$8),"",IF($GV34=R$64," DNS ",IFERROR(VLOOKUP($F34,Arrangörslista!K$8:$AG$45,16,FALSE),"DNS")))),IF(ISBLANK(Deltagarlista!$C38),"",IF(ISBLANK(Arrangörslista!K$8),"",IFERROR(VLOOKUP($F34,Arrangörslista!K$8:$AG$45,16,FALSE),"DNS")))))</f>
        <v/>
      </c>
      <c r="S34" s="5" t="str">
        <f>IF(Deltagarlista!$K$3=4,IF(ISBLANK(Deltagarlista!$C38),"",IF(ISBLANK(Arrangörslista!F$53),"",IFERROR(VLOOKUP($F34,Arrangörslista!F$53:$AG$90,16,FALSE),IF(ISBLANK(Deltagarlista!$C38),"",IF(ISBLANK(Arrangörslista!F$53),"",IFERROR(VLOOKUP($F34,Arrangörslista!G$53:$AG$90,16,FALSE),"DNS")))))),IF(Deltagarlista!$K$3=2,
IF(ISBLANK(Deltagarlista!$C38),"",IF(ISBLANK(Arrangörslista!L$8),"",IF($GV34=S$64," DNS ",IFERROR(VLOOKUP($F34,Arrangörslista!L$8:$AG$45,16,FALSE),"DNS")))),IF(ISBLANK(Deltagarlista!$C38),"",IF(ISBLANK(Arrangörslista!L$8),"",IFERROR(VLOOKUP($F34,Arrangörslista!L$8:$AG$45,16,FALSE),"DNS")))))</f>
        <v/>
      </c>
      <c r="T34" s="5" t="str">
        <f>IF(Deltagarlista!$K$3=4,IF(ISBLANK(Deltagarlista!$C38),"",IF(ISBLANK(Arrangörslista!H$53),"",IFERROR(VLOOKUP($F34,Arrangörslista!H$53:$AG$90,16,FALSE),IF(ISBLANK(Deltagarlista!$C38),"",IF(ISBLANK(Arrangörslista!H$53),"",IFERROR(VLOOKUP($F34,Arrangörslista!I$53:$AG$90,16,FALSE),"DNS")))))),IF(Deltagarlista!$K$3=2,
IF(ISBLANK(Deltagarlista!$C38),"",IF(ISBLANK(Arrangörslista!M$8),"",IF($GV34=T$64," DNS ",IFERROR(VLOOKUP($F34,Arrangörslista!M$8:$AG$45,16,FALSE),"DNS")))),IF(ISBLANK(Deltagarlista!$C38),"",IF(ISBLANK(Arrangörslista!M$8),"",IFERROR(VLOOKUP($F34,Arrangörslista!M$8:$AG$45,16,FALSE),"DNS")))))</f>
        <v/>
      </c>
      <c r="U34" s="5" t="str">
        <f>IF(Deltagarlista!$K$3=4,IF(ISBLANK(Deltagarlista!$C38),"",IF(ISBLANK(Arrangörslista!J$53),"",IFERROR(VLOOKUP($F34,Arrangörslista!J$53:$AG$90,16,FALSE),IF(ISBLANK(Deltagarlista!$C38),"",IF(ISBLANK(Arrangörslista!J$53),"",IFERROR(VLOOKUP($F34,Arrangörslista!K$53:$AG$90,16,FALSE),"DNS")))))),IF(Deltagarlista!$K$3=2,
IF(ISBLANK(Deltagarlista!$C38),"",IF(ISBLANK(Arrangörslista!N$8),"",IF($GV34=U$64," DNS ",IFERROR(VLOOKUP($F34,Arrangörslista!N$8:$AG$45,16,FALSE),"DNS")))),IF(ISBLANK(Deltagarlista!$C38),"",IF(ISBLANK(Arrangörslista!N$8),"",IFERROR(VLOOKUP($F34,Arrangörslista!N$8:$AG$45,16,FALSE),"DNS")))))</f>
        <v/>
      </c>
      <c r="V34" s="5" t="str">
        <f>IF(Deltagarlista!$K$3=4,IF(ISBLANK(Deltagarlista!$C38),"",IF(ISBLANK(Arrangörslista!L$53),"",IFERROR(VLOOKUP($F34,Arrangörslista!L$53:$AG$90,16,FALSE),IF(ISBLANK(Deltagarlista!$C38),"",IF(ISBLANK(Arrangörslista!L$53),"",IFERROR(VLOOKUP($F34,Arrangörslista!M$53:$AG$90,16,FALSE),"DNS")))))),IF(Deltagarlista!$K$3=2,
IF(ISBLANK(Deltagarlista!$C38),"",IF(ISBLANK(Arrangörslista!O$8),"",IF($GV34=V$64," DNS ",IFERROR(VLOOKUP($F34,Arrangörslista!O$8:$AG$45,16,FALSE),"DNS")))),IF(ISBLANK(Deltagarlista!$C38),"",IF(ISBLANK(Arrangörslista!O$8),"",IFERROR(VLOOKUP($F34,Arrangörslista!O$8:$AG$45,16,FALSE),"DNS")))))</f>
        <v/>
      </c>
      <c r="W34" s="5" t="str">
        <f>IF(Deltagarlista!$K$3=4,IF(ISBLANK(Deltagarlista!$C38),"",IF(ISBLANK(Arrangörslista!N$53),"",IFERROR(VLOOKUP($F34,Arrangörslista!N$53:$AG$90,16,FALSE),IF(ISBLANK(Deltagarlista!$C38),"",IF(ISBLANK(Arrangörslista!N$53),"",IFERROR(VLOOKUP($F34,Arrangörslista!O$53:$AG$90,16,FALSE),"DNS")))))),IF(Deltagarlista!$K$3=2,
IF(ISBLANK(Deltagarlista!$C38),"",IF(ISBLANK(Arrangörslista!P$8),"",IF($GV34=W$64," DNS ",IFERROR(VLOOKUP($F34,Arrangörslista!P$8:$AG$45,16,FALSE),"DNS")))),IF(ISBLANK(Deltagarlista!$C38),"",IF(ISBLANK(Arrangörslista!P$8),"",IFERROR(VLOOKUP($F34,Arrangörslista!P$8:$AG$45,16,FALSE),"DNS")))))</f>
        <v/>
      </c>
      <c r="X34" s="5" t="str">
        <f>IF(Deltagarlista!$K$3=4,IF(ISBLANK(Deltagarlista!$C38),"",IF(ISBLANK(Arrangörslista!P$53),"",IFERROR(VLOOKUP($F34,Arrangörslista!P$53:$AG$90,16,FALSE),IF(ISBLANK(Deltagarlista!$C38),"",IF(ISBLANK(Arrangörslista!P$53),"",IFERROR(VLOOKUP($F34,Arrangörslista!Q$53:$AG$90,16,FALSE),"DNS")))))),IF(Deltagarlista!$K$3=2,
IF(ISBLANK(Deltagarlista!$C38),"",IF(ISBLANK(Arrangörslista!Q$8),"",IF($GV34=X$64," DNS ",IFERROR(VLOOKUP($F34,Arrangörslista!Q$8:$AG$45,16,FALSE),"DNS")))),IF(ISBLANK(Deltagarlista!$C38),"",IF(ISBLANK(Arrangörslista!Q$8),"",IFERROR(VLOOKUP($F34,Arrangörslista!Q$8:$AG$45,16,FALSE),"DNS")))))</f>
        <v/>
      </c>
      <c r="Y34" s="5" t="str">
        <f>IF(Deltagarlista!$K$3=4,IF(ISBLANK(Deltagarlista!$C38),"",IF(ISBLANK(Arrangörslista!C$98),"",IFERROR(VLOOKUP($F34,Arrangörslista!C$98:$AG$135,16,FALSE),IF(ISBLANK(Deltagarlista!$C38),"",IF(ISBLANK(Arrangörslista!C$98),"",IFERROR(VLOOKUP($F34,Arrangörslista!D$98:$AG$135,16,FALSE),"DNS")))))),IF(Deltagarlista!$K$3=2,
IF(ISBLANK(Deltagarlista!$C38),"",IF(ISBLANK(Arrangörslista!C$53),"",IF($GV34=Y$64," DNS ",IFERROR(VLOOKUP($F34,Arrangörslista!C$53:$AG$90,16,FALSE),"DNS")))),IF(ISBLANK(Deltagarlista!$C38),"",IF(ISBLANK(Arrangörslista!C$53),"",IFERROR(VLOOKUP($F34,Arrangörslista!C$53:$AG$90,16,FALSE),"DNS")))))</f>
        <v/>
      </c>
      <c r="Z34" s="5" t="str">
        <f>IF(Deltagarlista!$K$3=4,IF(ISBLANK(Deltagarlista!$C38),"",IF(ISBLANK(Arrangörslista!E$98),"",IFERROR(VLOOKUP($F34,Arrangörslista!E$98:$AG$135,16,FALSE),IF(ISBLANK(Deltagarlista!$C38),"",IF(ISBLANK(Arrangörslista!E$98),"",IFERROR(VLOOKUP($F34,Arrangörslista!F$98:$AG$135,16,FALSE),"DNS")))))),IF(Deltagarlista!$K$3=2,
IF(ISBLANK(Deltagarlista!$C38),"",IF(ISBLANK(Arrangörslista!D$53),"",IF($GV34=Z$64," DNS ",IFERROR(VLOOKUP($F34,Arrangörslista!D$53:$AG$90,16,FALSE),"DNS")))),IF(ISBLANK(Deltagarlista!$C38),"",IF(ISBLANK(Arrangörslista!D$53),"",IFERROR(VLOOKUP($F34,Arrangörslista!D$53:$AG$90,16,FALSE),"DNS")))))</f>
        <v/>
      </c>
      <c r="AA34" s="5" t="str">
        <f>IF(Deltagarlista!$K$3=4,IF(ISBLANK(Deltagarlista!$C38),"",IF(ISBLANK(Arrangörslista!G$98),"",IFERROR(VLOOKUP($F34,Arrangörslista!G$98:$AG$135,16,FALSE),IF(ISBLANK(Deltagarlista!$C38),"",IF(ISBLANK(Arrangörslista!G$98),"",IFERROR(VLOOKUP($F34,Arrangörslista!H$98:$AG$135,16,FALSE),"DNS")))))),IF(Deltagarlista!$K$3=2,
IF(ISBLANK(Deltagarlista!$C38),"",IF(ISBLANK(Arrangörslista!E$53),"",IF($GV34=AA$64," DNS ",IFERROR(VLOOKUP($F34,Arrangörslista!E$53:$AG$90,16,FALSE),"DNS")))),IF(ISBLANK(Deltagarlista!$C38),"",IF(ISBLANK(Arrangörslista!E$53),"",IFERROR(VLOOKUP($F34,Arrangörslista!E$53:$AG$90,16,FALSE),"DNS")))))</f>
        <v/>
      </c>
      <c r="AB34" s="5" t="str">
        <f>IF(Deltagarlista!$K$3=4,IF(ISBLANK(Deltagarlista!$C38),"",IF(ISBLANK(Arrangörslista!I$98),"",IFERROR(VLOOKUP($F34,Arrangörslista!I$98:$AG$135,16,FALSE),IF(ISBLANK(Deltagarlista!$C38),"",IF(ISBLANK(Arrangörslista!I$98),"",IFERROR(VLOOKUP($F34,Arrangörslista!J$98:$AG$135,16,FALSE),"DNS")))))),IF(Deltagarlista!$K$3=2,
IF(ISBLANK(Deltagarlista!$C38),"",IF(ISBLANK(Arrangörslista!F$53),"",IF($GV34=AB$64," DNS ",IFERROR(VLOOKUP($F34,Arrangörslista!F$53:$AG$90,16,FALSE),"DNS")))),IF(ISBLANK(Deltagarlista!$C38),"",IF(ISBLANK(Arrangörslista!F$53),"",IFERROR(VLOOKUP($F34,Arrangörslista!F$53:$AG$90,16,FALSE),"DNS")))))</f>
        <v/>
      </c>
      <c r="AC34" s="5" t="str">
        <f>IF(Deltagarlista!$K$3=4,IF(ISBLANK(Deltagarlista!$C38),"",IF(ISBLANK(Arrangörslista!K$98),"",IFERROR(VLOOKUP($F34,Arrangörslista!K$98:$AG$135,16,FALSE),IF(ISBLANK(Deltagarlista!$C38),"",IF(ISBLANK(Arrangörslista!K$98),"",IFERROR(VLOOKUP($F34,Arrangörslista!L$98:$AG$135,16,FALSE),"DNS")))))),IF(Deltagarlista!$K$3=2,
IF(ISBLANK(Deltagarlista!$C38),"",IF(ISBLANK(Arrangörslista!G$53),"",IF($GV34=AC$64," DNS ",IFERROR(VLOOKUP($F34,Arrangörslista!G$53:$AG$90,16,FALSE),"DNS")))),IF(ISBLANK(Deltagarlista!$C38),"",IF(ISBLANK(Arrangörslista!G$53),"",IFERROR(VLOOKUP($F34,Arrangörslista!G$53:$AG$90,16,FALSE),"DNS")))))</f>
        <v/>
      </c>
      <c r="AD34" s="5" t="str">
        <f>IF(Deltagarlista!$K$3=4,IF(ISBLANK(Deltagarlista!$C38),"",IF(ISBLANK(Arrangörslista!M$98),"",IFERROR(VLOOKUP($F34,Arrangörslista!M$98:$AG$135,16,FALSE),IF(ISBLANK(Deltagarlista!$C38),"",IF(ISBLANK(Arrangörslista!M$98),"",IFERROR(VLOOKUP($F34,Arrangörslista!N$98:$AG$135,16,FALSE),"DNS")))))),IF(Deltagarlista!$K$3=2,
IF(ISBLANK(Deltagarlista!$C38),"",IF(ISBLANK(Arrangörslista!H$53),"",IF($GV34=AD$64," DNS ",IFERROR(VLOOKUP($F34,Arrangörslista!H$53:$AG$90,16,FALSE),"DNS")))),IF(ISBLANK(Deltagarlista!$C38),"",IF(ISBLANK(Arrangörslista!H$53),"",IFERROR(VLOOKUP($F34,Arrangörslista!H$53:$AG$90,16,FALSE),"DNS")))))</f>
        <v/>
      </c>
      <c r="AE34" s="5" t="str">
        <f>IF(Deltagarlista!$K$3=4,IF(ISBLANK(Deltagarlista!$C38),"",IF(ISBLANK(Arrangörslista!O$98),"",IFERROR(VLOOKUP($F34,Arrangörslista!O$98:$AG$135,16,FALSE),IF(ISBLANK(Deltagarlista!$C38),"",IF(ISBLANK(Arrangörslista!O$98),"",IFERROR(VLOOKUP($F34,Arrangörslista!P$98:$AG$135,16,FALSE),"DNS")))))),IF(Deltagarlista!$K$3=2,
IF(ISBLANK(Deltagarlista!$C38),"",IF(ISBLANK(Arrangörslista!I$53),"",IF($GV34=AE$64," DNS ",IFERROR(VLOOKUP($F34,Arrangörslista!I$53:$AG$90,16,FALSE),"DNS")))),IF(ISBLANK(Deltagarlista!$C38),"",IF(ISBLANK(Arrangörslista!I$53),"",IFERROR(VLOOKUP($F34,Arrangörslista!I$53:$AG$90,16,FALSE),"DNS")))))</f>
        <v/>
      </c>
      <c r="AF34" s="5" t="str">
        <f>IF(Deltagarlista!$K$3=4,IF(ISBLANK(Deltagarlista!$C38),"",IF(ISBLANK(Arrangörslista!Q$98),"",IFERROR(VLOOKUP($F34,Arrangörslista!Q$98:$AG$135,16,FALSE),IF(ISBLANK(Deltagarlista!$C38),"",IF(ISBLANK(Arrangörslista!Q$98),"",IFERROR(VLOOKUP($F34,Arrangörslista!C$143:$AG$180,16,FALSE),"DNS")))))),IF(Deltagarlista!$K$3=2,
IF(ISBLANK(Deltagarlista!$C38),"",IF(ISBLANK(Arrangörslista!J$53),"",IF($GV34=AF$64," DNS ",IFERROR(VLOOKUP($F34,Arrangörslista!J$53:$AG$90,16,FALSE),"DNS")))),IF(ISBLANK(Deltagarlista!$C38),"",IF(ISBLANK(Arrangörslista!J$53),"",IFERROR(VLOOKUP($F34,Arrangörslista!J$53:$AG$90,16,FALSE),"DNS")))))</f>
        <v/>
      </c>
      <c r="AG34" s="5" t="str">
        <f>IF(Deltagarlista!$K$3=4,IF(ISBLANK(Deltagarlista!$C38),"",IF(ISBLANK(Arrangörslista!D$143),"",IFERROR(VLOOKUP($F34,Arrangörslista!D$143:$AG$180,16,FALSE),IF(ISBLANK(Deltagarlista!$C38),"",IF(ISBLANK(Arrangörslista!D$143),"",IFERROR(VLOOKUP($F34,Arrangörslista!E$143:$AG$180,16,FALSE),"DNS")))))),IF(Deltagarlista!$K$3=2,
IF(ISBLANK(Deltagarlista!$C38),"",IF(ISBLANK(Arrangörslista!K$53),"",IF($GV34=AG$64," DNS ",IFERROR(VLOOKUP($F34,Arrangörslista!K$53:$AG$90,16,FALSE),"DNS")))),IF(ISBLANK(Deltagarlista!$C38),"",IF(ISBLANK(Arrangörslista!K$53),"",IFERROR(VLOOKUP($F34,Arrangörslista!K$53:$AG$90,16,FALSE),"DNS")))))</f>
        <v/>
      </c>
      <c r="AH34" s="5" t="str">
        <f>IF(Deltagarlista!$K$3=4,IF(ISBLANK(Deltagarlista!$C38),"",IF(ISBLANK(Arrangörslista!F$143),"",IFERROR(VLOOKUP($F34,Arrangörslista!F$143:$AG$180,16,FALSE),IF(ISBLANK(Deltagarlista!$C38),"",IF(ISBLANK(Arrangörslista!F$143),"",IFERROR(VLOOKUP($F34,Arrangörslista!G$143:$AG$180,16,FALSE),"DNS")))))),IF(Deltagarlista!$K$3=2,
IF(ISBLANK(Deltagarlista!$C38),"",IF(ISBLANK(Arrangörslista!L$53),"",IF($GV34=AH$64," DNS ",IFERROR(VLOOKUP($F34,Arrangörslista!L$53:$AG$90,16,FALSE),"DNS")))),IF(ISBLANK(Deltagarlista!$C38),"",IF(ISBLANK(Arrangörslista!L$53),"",IFERROR(VLOOKUP($F34,Arrangörslista!L$53:$AG$90,16,FALSE),"DNS")))))</f>
        <v/>
      </c>
      <c r="AI34" s="5" t="str">
        <f>IF(Deltagarlista!$K$3=4,IF(ISBLANK(Deltagarlista!$C38),"",IF(ISBLANK(Arrangörslista!H$143),"",IFERROR(VLOOKUP($F34,Arrangörslista!H$143:$AG$180,16,FALSE),IF(ISBLANK(Deltagarlista!$C38),"",IF(ISBLANK(Arrangörslista!H$143),"",IFERROR(VLOOKUP($F34,Arrangörslista!I$143:$AG$180,16,FALSE),"DNS")))))),IF(Deltagarlista!$K$3=2,
IF(ISBLANK(Deltagarlista!$C38),"",IF(ISBLANK(Arrangörslista!M$53),"",IF($GV34=AI$64," DNS ",IFERROR(VLOOKUP($F34,Arrangörslista!M$53:$AG$90,16,FALSE),"DNS")))),IF(ISBLANK(Deltagarlista!$C38),"",IF(ISBLANK(Arrangörslista!M$53),"",IFERROR(VLOOKUP($F34,Arrangörslista!M$53:$AG$90,16,FALSE),"DNS")))))</f>
        <v/>
      </c>
      <c r="AJ34" s="5" t="str">
        <f>IF(Deltagarlista!$K$3=4,IF(ISBLANK(Deltagarlista!$C38),"",IF(ISBLANK(Arrangörslista!J$143),"",IFERROR(VLOOKUP($F34,Arrangörslista!J$143:$AG$180,16,FALSE),IF(ISBLANK(Deltagarlista!$C38),"",IF(ISBLANK(Arrangörslista!J$143),"",IFERROR(VLOOKUP($F34,Arrangörslista!K$143:$AG$180,16,FALSE),"DNS")))))),IF(Deltagarlista!$K$3=2,
IF(ISBLANK(Deltagarlista!$C38),"",IF(ISBLANK(Arrangörslista!N$53),"",IF($GV34=AJ$64," DNS ",IFERROR(VLOOKUP($F34,Arrangörslista!N$53:$AG$90,16,FALSE),"DNS")))),IF(ISBLANK(Deltagarlista!$C38),"",IF(ISBLANK(Arrangörslista!N$53),"",IFERROR(VLOOKUP($F34,Arrangörslista!N$53:$AG$90,16,FALSE),"DNS")))))</f>
        <v/>
      </c>
      <c r="AK34" s="5" t="str">
        <f>IF(Deltagarlista!$K$3=4,IF(ISBLANK(Deltagarlista!$C38),"",IF(ISBLANK(Arrangörslista!L$143),"",IFERROR(VLOOKUP($F34,Arrangörslista!L$143:$AG$180,16,FALSE),IF(ISBLANK(Deltagarlista!$C38),"",IF(ISBLANK(Arrangörslista!L$143),"",IFERROR(VLOOKUP($F34,Arrangörslista!M$143:$AG$180,16,FALSE),"DNS")))))),IF(Deltagarlista!$K$3=2,
IF(ISBLANK(Deltagarlista!$C38),"",IF(ISBLANK(Arrangörslista!O$53),"",IF($GV34=AK$64," DNS ",IFERROR(VLOOKUP($F34,Arrangörslista!O$53:$AG$90,16,FALSE),"DNS")))),IF(ISBLANK(Deltagarlista!$C38),"",IF(ISBLANK(Arrangörslista!O$53),"",IFERROR(VLOOKUP($F34,Arrangörslista!O$53:$AG$90,16,FALSE),"DNS")))))</f>
        <v/>
      </c>
      <c r="AL34" s="5" t="str">
        <f>IF(Deltagarlista!$K$3=4,IF(ISBLANK(Deltagarlista!$C38),"",IF(ISBLANK(Arrangörslista!N$143),"",IFERROR(VLOOKUP($F34,Arrangörslista!N$143:$AG$180,16,FALSE),IF(ISBLANK(Deltagarlista!$C38),"",IF(ISBLANK(Arrangörslista!N$143),"",IFERROR(VLOOKUP($F34,Arrangörslista!O$143:$AG$180,16,FALSE),"DNS")))))),IF(Deltagarlista!$K$3=2,
IF(ISBLANK(Deltagarlista!$C38),"",IF(ISBLANK(Arrangörslista!P$53),"",IF($GV34=AL$64," DNS ",IFERROR(VLOOKUP($F34,Arrangörslista!P$53:$AG$90,16,FALSE),"DNS")))),IF(ISBLANK(Deltagarlista!$C38),"",IF(ISBLANK(Arrangörslista!P$53),"",IFERROR(VLOOKUP($F34,Arrangörslista!P$53:$AG$90,16,FALSE),"DNS")))))</f>
        <v/>
      </c>
      <c r="AM34" s="5" t="str">
        <f>IF(Deltagarlista!$K$3=4,IF(ISBLANK(Deltagarlista!$C38),"",IF(ISBLANK(Arrangörslista!P$143),"",IFERROR(VLOOKUP($F34,Arrangörslista!P$143:$AG$180,16,FALSE),IF(ISBLANK(Deltagarlista!$C38),"",IF(ISBLANK(Arrangörslista!P$143),"",IFERROR(VLOOKUP($F34,Arrangörslista!Q$143:$AG$180,16,FALSE),"DNS")))))),IF(Deltagarlista!$K$3=2,
IF(ISBLANK(Deltagarlista!$C38),"",IF(ISBLANK(Arrangörslista!Q$53),"",IF($GV34=AM$64," DNS ",IFERROR(VLOOKUP($F34,Arrangörslista!Q$53:$AG$90,16,FALSE),"DNS")))),IF(ISBLANK(Deltagarlista!$C38),"",IF(ISBLANK(Arrangörslista!Q$53),"",IFERROR(VLOOKUP($F34,Arrangörslista!Q$53:$AG$90,16,FALSE),"DNS")))))</f>
        <v/>
      </c>
      <c r="AN34" s="5" t="str">
        <f>IF(Deltagarlista!$K$3=2,
IF(ISBLANK(Deltagarlista!$C38),"",IF(ISBLANK(Arrangörslista!C$98),"",IF($GV34=AN$64," DNS ",IFERROR(VLOOKUP($F34,Arrangörslista!C$98:$AG$135,16,FALSE), "DNS")))), IF(Deltagarlista!$K$3=1,IF(ISBLANK(Deltagarlista!$C38),"",IF(ISBLANK(Arrangörslista!C$98),"",IFERROR(VLOOKUP($F34,Arrangörslista!C$98:$AG$135,16,FALSE), "DNS"))),""))</f>
        <v/>
      </c>
      <c r="AO34" s="5" t="str">
        <f>IF(Deltagarlista!$K$3=2,
IF(ISBLANK(Deltagarlista!$C38),"",IF(ISBLANK(Arrangörslista!D$98),"",IF($GV34=AO$64," DNS ",IFERROR(VLOOKUP($F34,Arrangörslista!D$98:$AG$135,16,FALSE), "DNS")))), IF(Deltagarlista!$K$3=1,IF(ISBLANK(Deltagarlista!$C38),"",IF(ISBLANK(Arrangörslista!D$98),"",IFERROR(VLOOKUP($F34,Arrangörslista!D$98:$AG$135,16,FALSE), "DNS"))),""))</f>
        <v/>
      </c>
      <c r="AP34" s="5" t="str">
        <f>IF(Deltagarlista!$K$3=2,
IF(ISBLANK(Deltagarlista!$C38),"",IF(ISBLANK(Arrangörslista!E$98),"",IF($GV34=AP$64," DNS ",IFERROR(VLOOKUP($F34,Arrangörslista!E$98:$AG$135,16,FALSE), "DNS")))), IF(Deltagarlista!$K$3=1,IF(ISBLANK(Deltagarlista!$C38),"",IF(ISBLANK(Arrangörslista!E$98),"",IFERROR(VLOOKUP($F34,Arrangörslista!E$98:$AG$135,16,FALSE), "DNS"))),""))</f>
        <v/>
      </c>
      <c r="AQ34" s="5" t="str">
        <f>IF(Deltagarlista!$K$3=2,
IF(ISBLANK(Deltagarlista!$C38),"",IF(ISBLANK(Arrangörslista!F$98),"",IF($GV34=AQ$64," DNS ",IFERROR(VLOOKUP($F34,Arrangörslista!F$98:$AG$135,16,FALSE), "DNS")))), IF(Deltagarlista!$K$3=1,IF(ISBLANK(Deltagarlista!$C38),"",IF(ISBLANK(Arrangörslista!F$98),"",IFERROR(VLOOKUP($F34,Arrangörslista!F$98:$AG$135,16,FALSE), "DNS"))),""))</f>
        <v/>
      </c>
      <c r="AR34" s="5" t="str">
        <f>IF(Deltagarlista!$K$3=2,
IF(ISBLANK(Deltagarlista!$C38),"",IF(ISBLANK(Arrangörslista!G$98),"",IF($GV34=AR$64," DNS ",IFERROR(VLOOKUP($F34,Arrangörslista!G$98:$AG$135,16,FALSE), "DNS")))), IF(Deltagarlista!$K$3=1,IF(ISBLANK(Deltagarlista!$C38),"",IF(ISBLANK(Arrangörslista!G$98),"",IFERROR(VLOOKUP($F34,Arrangörslista!G$98:$AG$135,16,FALSE), "DNS"))),""))</f>
        <v/>
      </c>
      <c r="AS34" s="5" t="str">
        <f>IF(Deltagarlista!$K$3=2,
IF(ISBLANK(Deltagarlista!$C38),"",IF(ISBLANK(Arrangörslista!H$98),"",IF($GV34=AS$64," DNS ",IFERROR(VLOOKUP($F34,Arrangörslista!H$98:$AG$135,16,FALSE), "DNS")))), IF(Deltagarlista!$K$3=1,IF(ISBLANK(Deltagarlista!$C38),"",IF(ISBLANK(Arrangörslista!H$98),"",IFERROR(VLOOKUP($F34,Arrangörslista!H$98:$AG$135,16,FALSE), "DNS"))),""))</f>
        <v/>
      </c>
      <c r="AT34" s="5" t="str">
        <f>IF(Deltagarlista!$K$3=2,
IF(ISBLANK(Deltagarlista!$C38),"",IF(ISBLANK(Arrangörslista!I$98),"",IF($GV34=AT$64," DNS ",IFERROR(VLOOKUP($F34,Arrangörslista!I$98:$AG$135,16,FALSE), "DNS")))), IF(Deltagarlista!$K$3=1,IF(ISBLANK(Deltagarlista!$C38),"",IF(ISBLANK(Arrangörslista!I$98),"",IFERROR(VLOOKUP($F34,Arrangörslista!I$98:$AG$135,16,FALSE), "DNS"))),""))</f>
        <v/>
      </c>
      <c r="AU34" s="5" t="str">
        <f>IF(Deltagarlista!$K$3=2,
IF(ISBLANK(Deltagarlista!$C38),"",IF(ISBLANK(Arrangörslista!J$98),"",IF($GV34=AU$64," DNS ",IFERROR(VLOOKUP($F34,Arrangörslista!J$98:$AG$135,16,FALSE), "DNS")))), IF(Deltagarlista!$K$3=1,IF(ISBLANK(Deltagarlista!$C38),"",IF(ISBLANK(Arrangörslista!J$98),"",IFERROR(VLOOKUP($F34,Arrangörslista!J$98:$AG$135,16,FALSE), "DNS"))),""))</f>
        <v/>
      </c>
      <c r="AV34" s="5" t="str">
        <f>IF(Deltagarlista!$K$3=2,
IF(ISBLANK(Deltagarlista!$C38),"",IF(ISBLANK(Arrangörslista!K$98),"",IF($GV34=AV$64," DNS ",IFERROR(VLOOKUP($F34,Arrangörslista!K$98:$AG$135,16,FALSE), "DNS")))), IF(Deltagarlista!$K$3=1,IF(ISBLANK(Deltagarlista!$C38),"",IF(ISBLANK(Arrangörslista!K$98),"",IFERROR(VLOOKUP($F34,Arrangörslista!K$98:$AG$135,16,FALSE), "DNS"))),""))</f>
        <v/>
      </c>
      <c r="AW34" s="5" t="str">
        <f>IF(Deltagarlista!$K$3=2,
IF(ISBLANK(Deltagarlista!$C38),"",IF(ISBLANK(Arrangörslista!L$98),"",IF($GV34=AW$64," DNS ",IFERROR(VLOOKUP($F34,Arrangörslista!L$98:$AG$135,16,FALSE), "DNS")))), IF(Deltagarlista!$K$3=1,IF(ISBLANK(Deltagarlista!$C38),"",IF(ISBLANK(Arrangörslista!L$98),"",IFERROR(VLOOKUP($F34,Arrangörslista!L$98:$AG$135,16,FALSE), "DNS"))),""))</f>
        <v/>
      </c>
      <c r="AX34" s="5" t="str">
        <f>IF(Deltagarlista!$K$3=2,
IF(ISBLANK(Deltagarlista!$C38),"",IF(ISBLANK(Arrangörslista!M$98),"",IF($GV34=AX$64," DNS ",IFERROR(VLOOKUP($F34,Arrangörslista!M$98:$AG$135,16,FALSE), "DNS")))), IF(Deltagarlista!$K$3=1,IF(ISBLANK(Deltagarlista!$C38),"",IF(ISBLANK(Arrangörslista!M$98),"",IFERROR(VLOOKUP($F34,Arrangörslista!M$98:$AG$135,16,FALSE), "DNS"))),""))</f>
        <v/>
      </c>
      <c r="AY34" s="5" t="str">
        <f>IF(Deltagarlista!$K$3=2,
IF(ISBLANK(Deltagarlista!$C38),"",IF(ISBLANK(Arrangörslista!N$98),"",IF($GV34=AY$64," DNS ",IFERROR(VLOOKUP($F34,Arrangörslista!N$98:$AG$135,16,FALSE), "DNS")))), IF(Deltagarlista!$K$3=1,IF(ISBLANK(Deltagarlista!$C38),"",IF(ISBLANK(Arrangörslista!N$98),"",IFERROR(VLOOKUP($F34,Arrangörslista!N$98:$AG$135,16,FALSE), "DNS"))),""))</f>
        <v/>
      </c>
      <c r="AZ34" s="5" t="str">
        <f>IF(Deltagarlista!$K$3=2,
IF(ISBLANK(Deltagarlista!$C38),"",IF(ISBLANK(Arrangörslista!O$98),"",IF($GV34=AZ$64," DNS ",IFERROR(VLOOKUP($F34,Arrangörslista!O$98:$AG$135,16,FALSE), "DNS")))), IF(Deltagarlista!$K$3=1,IF(ISBLANK(Deltagarlista!$C38),"",IF(ISBLANK(Arrangörslista!O$98),"",IFERROR(VLOOKUP($F34,Arrangörslista!O$98:$AG$135,16,FALSE), "DNS"))),""))</f>
        <v/>
      </c>
      <c r="BA34" s="5" t="str">
        <f>IF(Deltagarlista!$K$3=2,
IF(ISBLANK(Deltagarlista!$C38),"",IF(ISBLANK(Arrangörslista!P$98),"",IF($GV34=BA$64," DNS ",IFERROR(VLOOKUP($F34,Arrangörslista!P$98:$AG$135,16,FALSE), "DNS")))), IF(Deltagarlista!$K$3=1,IF(ISBLANK(Deltagarlista!$C38),"",IF(ISBLANK(Arrangörslista!P$98),"",IFERROR(VLOOKUP($F34,Arrangörslista!P$98:$AG$135,16,FALSE), "DNS"))),""))</f>
        <v/>
      </c>
      <c r="BB34" s="5" t="str">
        <f>IF(Deltagarlista!$K$3=2,
IF(ISBLANK(Deltagarlista!$C38),"",IF(ISBLANK(Arrangörslista!Q$98),"",IF($GV34=BB$64," DNS ",IFERROR(VLOOKUP($F34,Arrangörslista!Q$98:$AG$135,16,FALSE), "DNS")))), IF(Deltagarlista!$K$3=1,IF(ISBLANK(Deltagarlista!$C38),"",IF(ISBLANK(Arrangörslista!Q$98),"",IFERROR(VLOOKUP($F34,Arrangörslista!Q$98:$AG$135,16,FALSE), "DNS"))),""))</f>
        <v/>
      </c>
      <c r="BC34" s="5" t="str">
        <f>IF(Deltagarlista!$K$3=2,
IF(ISBLANK(Deltagarlista!$C38),"",IF(ISBLANK(Arrangörslista!C$143),"",IF($GV34=BC$64," DNS ",IFERROR(VLOOKUP($F34,Arrangörslista!C$143:$AG$180,16,FALSE), "DNS")))), IF(Deltagarlista!$K$3=1,IF(ISBLANK(Deltagarlista!$C38),"",IF(ISBLANK(Arrangörslista!C$143),"",IFERROR(VLOOKUP($F34,Arrangörslista!C$143:$AG$180,16,FALSE), "DNS"))),""))</f>
        <v/>
      </c>
      <c r="BD34" s="5" t="str">
        <f>IF(Deltagarlista!$K$3=2,
IF(ISBLANK(Deltagarlista!$C38),"",IF(ISBLANK(Arrangörslista!D$143),"",IF($GV34=BD$64," DNS ",IFERROR(VLOOKUP($F34,Arrangörslista!D$143:$AG$180,16,FALSE), "DNS")))), IF(Deltagarlista!$K$3=1,IF(ISBLANK(Deltagarlista!$C38),"",IF(ISBLANK(Arrangörslista!D$143),"",IFERROR(VLOOKUP($F34,Arrangörslista!D$143:$AG$180,16,FALSE), "DNS"))),""))</f>
        <v/>
      </c>
      <c r="BE34" s="5" t="str">
        <f>IF(Deltagarlista!$K$3=2,
IF(ISBLANK(Deltagarlista!$C38),"",IF(ISBLANK(Arrangörslista!E$143),"",IF($GV34=BE$64," DNS ",IFERROR(VLOOKUP($F34,Arrangörslista!E$143:$AG$180,16,FALSE), "DNS")))), IF(Deltagarlista!$K$3=1,IF(ISBLANK(Deltagarlista!$C38),"",IF(ISBLANK(Arrangörslista!E$143),"",IFERROR(VLOOKUP($F34,Arrangörslista!E$143:$AG$180,16,FALSE), "DNS"))),""))</f>
        <v/>
      </c>
      <c r="BF34" s="5" t="str">
        <f>IF(Deltagarlista!$K$3=2,
IF(ISBLANK(Deltagarlista!$C38),"",IF(ISBLANK(Arrangörslista!F$143),"",IF($GV34=BF$64," DNS ",IFERROR(VLOOKUP($F34,Arrangörslista!F$143:$AG$180,16,FALSE), "DNS")))), IF(Deltagarlista!$K$3=1,IF(ISBLANK(Deltagarlista!$C38),"",IF(ISBLANK(Arrangörslista!F$143),"",IFERROR(VLOOKUP($F34,Arrangörslista!F$143:$AG$180,16,FALSE), "DNS"))),""))</f>
        <v/>
      </c>
      <c r="BG34" s="5" t="str">
        <f>IF(Deltagarlista!$K$3=2,
IF(ISBLANK(Deltagarlista!$C38),"",IF(ISBLANK(Arrangörslista!G$143),"",IF($GV34=BG$64," DNS ",IFERROR(VLOOKUP($F34,Arrangörslista!G$143:$AG$180,16,FALSE), "DNS")))), IF(Deltagarlista!$K$3=1,IF(ISBLANK(Deltagarlista!$C38),"",IF(ISBLANK(Arrangörslista!G$143),"",IFERROR(VLOOKUP($F34,Arrangörslista!G$143:$AG$180,16,FALSE), "DNS"))),""))</f>
        <v/>
      </c>
      <c r="BH34" s="5" t="str">
        <f>IF(Deltagarlista!$K$3=2,
IF(ISBLANK(Deltagarlista!$C38),"",IF(ISBLANK(Arrangörslista!H$143),"",IF($GV34=BH$64," DNS ",IFERROR(VLOOKUP($F34,Arrangörslista!H$143:$AG$180,16,FALSE), "DNS")))), IF(Deltagarlista!$K$3=1,IF(ISBLANK(Deltagarlista!$C38),"",IF(ISBLANK(Arrangörslista!H$143),"",IFERROR(VLOOKUP($F34,Arrangörslista!H$143:$AG$180,16,FALSE), "DNS"))),""))</f>
        <v/>
      </c>
      <c r="BI34" s="5" t="str">
        <f>IF(Deltagarlista!$K$3=2,
IF(ISBLANK(Deltagarlista!$C38),"",IF(ISBLANK(Arrangörslista!I$143),"",IF($GV34=BI$64," DNS ",IFERROR(VLOOKUP($F34,Arrangörslista!I$143:$AG$180,16,FALSE), "DNS")))), IF(Deltagarlista!$K$3=1,IF(ISBLANK(Deltagarlista!$C38),"",IF(ISBLANK(Arrangörslista!I$143),"",IFERROR(VLOOKUP($F34,Arrangörslista!I$143:$AG$180,16,FALSE), "DNS"))),""))</f>
        <v/>
      </c>
      <c r="BJ34" s="5" t="str">
        <f>IF(Deltagarlista!$K$3=2,
IF(ISBLANK(Deltagarlista!$C38),"",IF(ISBLANK(Arrangörslista!J$143),"",IF($GV34=BJ$64," DNS ",IFERROR(VLOOKUP($F34,Arrangörslista!J$143:$AG$180,16,FALSE), "DNS")))), IF(Deltagarlista!$K$3=1,IF(ISBLANK(Deltagarlista!$C38),"",IF(ISBLANK(Arrangörslista!J$143),"",IFERROR(VLOOKUP($F34,Arrangörslista!J$143:$AG$180,16,FALSE), "DNS"))),""))</f>
        <v/>
      </c>
      <c r="BK34" s="5" t="str">
        <f>IF(Deltagarlista!$K$3=2,
IF(ISBLANK(Deltagarlista!$C38),"",IF(ISBLANK(Arrangörslista!K$143),"",IF($GV34=BK$64," DNS ",IFERROR(VLOOKUP($F34,Arrangörslista!K$143:$AG$180,16,FALSE), "DNS")))), IF(Deltagarlista!$K$3=1,IF(ISBLANK(Deltagarlista!$C38),"",IF(ISBLANK(Arrangörslista!K$143),"",IFERROR(VLOOKUP($F34,Arrangörslista!K$143:$AG$180,16,FALSE), "DNS"))),""))</f>
        <v/>
      </c>
      <c r="BL34" s="5" t="str">
        <f>IF(Deltagarlista!$K$3=2,
IF(ISBLANK(Deltagarlista!$C38),"",IF(ISBLANK(Arrangörslista!L$143),"",IF($GV34=BL$64," DNS ",IFERROR(VLOOKUP($F34,Arrangörslista!L$143:$AG$180,16,FALSE), "DNS")))), IF(Deltagarlista!$K$3=1,IF(ISBLANK(Deltagarlista!$C38),"",IF(ISBLANK(Arrangörslista!L$143),"",IFERROR(VLOOKUP($F34,Arrangörslista!L$143:$AG$180,16,FALSE), "DNS"))),""))</f>
        <v/>
      </c>
      <c r="BM34" s="5" t="str">
        <f>IF(Deltagarlista!$K$3=2,
IF(ISBLANK(Deltagarlista!$C38),"",IF(ISBLANK(Arrangörslista!M$143),"",IF($GV34=BM$64," DNS ",IFERROR(VLOOKUP($F34,Arrangörslista!M$143:$AG$180,16,FALSE), "DNS")))), IF(Deltagarlista!$K$3=1,IF(ISBLANK(Deltagarlista!$C38),"",IF(ISBLANK(Arrangörslista!M$143),"",IFERROR(VLOOKUP($F34,Arrangörslista!M$143:$AG$180,16,FALSE), "DNS"))),""))</f>
        <v/>
      </c>
      <c r="BN34" s="5" t="str">
        <f>IF(Deltagarlista!$K$3=2,
IF(ISBLANK(Deltagarlista!$C38),"",IF(ISBLANK(Arrangörslista!N$143),"",IF($GV34=BN$64," DNS ",IFERROR(VLOOKUP($F34,Arrangörslista!N$143:$AG$180,16,FALSE), "DNS")))), IF(Deltagarlista!$K$3=1,IF(ISBLANK(Deltagarlista!$C38),"",IF(ISBLANK(Arrangörslista!N$143),"",IFERROR(VLOOKUP($F34,Arrangörslista!N$143:$AG$180,16,FALSE), "DNS"))),""))</f>
        <v/>
      </c>
      <c r="BO34" s="5" t="str">
        <f>IF(Deltagarlista!$K$3=2,
IF(ISBLANK(Deltagarlista!$C38),"",IF(ISBLANK(Arrangörslista!O$143),"",IF($GV34=BO$64," DNS ",IFERROR(VLOOKUP($F34,Arrangörslista!O$143:$AG$180,16,FALSE), "DNS")))), IF(Deltagarlista!$K$3=1,IF(ISBLANK(Deltagarlista!$C38),"",IF(ISBLANK(Arrangörslista!O$143),"",IFERROR(VLOOKUP($F34,Arrangörslista!O$143:$AG$180,16,FALSE), "DNS"))),""))</f>
        <v/>
      </c>
      <c r="BP34" s="5" t="str">
        <f>IF(Deltagarlista!$K$3=2,
IF(ISBLANK(Deltagarlista!$C38),"",IF(ISBLANK(Arrangörslista!P$143),"",IF($GV34=BP$64," DNS ",IFERROR(VLOOKUP($F34,Arrangörslista!P$143:$AG$180,16,FALSE), "DNS")))), IF(Deltagarlista!$K$3=1,IF(ISBLANK(Deltagarlista!$C38),"",IF(ISBLANK(Arrangörslista!P$143),"",IFERROR(VLOOKUP($F34,Arrangörslista!P$143:$AG$180,16,FALSE), "DNS"))),""))</f>
        <v/>
      </c>
      <c r="BQ34" s="80" t="str">
        <f>IF(Deltagarlista!$K$3=2,
IF(ISBLANK(Deltagarlista!$C38),"",IF(ISBLANK(Arrangörslista!Q$143),"",IF($GV34=BQ$64," DNS ",IFERROR(VLOOKUP($F34,Arrangörslista!Q$143:$AG$180,16,FALSE), "DNS")))), IF(Deltagarlista!$K$3=1,IF(ISBLANK(Deltagarlista!$C38),"",IF(ISBLANK(Arrangörslista!Q$143),"",IFERROR(VLOOKUP($F34,Arrangörslista!Q$143:$AG$180,16,FALSE), "DNS"))),""))</f>
        <v/>
      </c>
      <c r="BR34" s="51"/>
      <c r="BS34" s="50" t="str">
        <f t="shared" si="0"/>
        <v>2</v>
      </c>
      <c r="BT34" s="51"/>
      <c r="BU34" s="71">
        <f t="shared" si="1"/>
        <v>0</v>
      </c>
      <c r="BV34" s="61">
        <f t="shared" si="2"/>
        <v>0</v>
      </c>
      <c r="BW34" s="61">
        <f t="shared" si="3"/>
        <v>0</v>
      </c>
      <c r="BX34" s="61">
        <f t="shared" si="4"/>
        <v>0</v>
      </c>
      <c r="BY34" s="61">
        <f t="shared" si="5"/>
        <v>0</v>
      </c>
      <c r="BZ34" s="61">
        <f t="shared" si="6"/>
        <v>0</v>
      </c>
      <c r="CA34" s="61">
        <f t="shared" si="7"/>
        <v>0</v>
      </c>
      <c r="CB34" s="61">
        <f t="shared" si="8"/>
        <v>0</v>
      </c>
      <c r="CC34" s="61">
        <f t="shared" si="9"/>
        <v>0</v>
      </c>
      <c r="CD34" s="61">
        <f t="shared" si="10"/>
        <v>0</v>
      </c>
      <c r="CE34" s="61">
        <f t="shared" si="11"/>
        <v>0</v>
      </c>
      <c r="CF34" s="61">
        <f t="shared" si="12"/>
        <v>0</v>
      </c>
      <c r="CG34" s="61">
        <f t="shared" si="13"/>
        <v>0</v>
      </c>
      <c r="CH34" s="61">
        <f t="shared" si="14"/>
        <v>0</v>
      </c>
      <c r="CI34" s="61">
        <f t="shared" si="15"/>
        <v>0</v>
      </c>
      <c r="CJ34" s="61">
        <f t="shared" si="16"/>
        <v>0</v>
      </c>
      <c r="CK34" s="61">
        <f t="shared" si="17"/>
        <v>0</v>
      </c>
      <c r="CL34" s="61">
        <f t="shared" si="18"/>
        <v>0</v>
      </c>
      <c r="CM34" s="61">
        <f t="shared" si="19"/>
        <v>0</v>
      </c>
      <c r="CN34" s="61">
        <f t="shared" si="20"/>
        <v>0</v>
      </c>
      <c r="CO34" s="61">
        <f t="shared" si="21"/>
        <v>0</v>
      </c>
      <c r="CP34" s="61">
        <f t="shared" si="22"/>
        <v>0</v>
      </c>
      <c r="CQ34" s="61">
        <f t="shared" si="23"/>
        <v>0</v>
      </c>
      <c r="CR34" s="61">
        <f t="shared" si="24"/>
        <v>0</v>
      </c>
      <c r="CS34" s="61">
        <f t="shared" si="25"/>
        <v>0</v>
      </c>
      <c r="CT34" s="61">
        <f t="shared" si="26"/>
        <v>0</v>
      </c>
      <c r="CU34" s="61">
        <f t="shared" si="27"/>
        <v>0</v>
      </c>
      <c r="CV34" s="61">
        <f t="shared" si="28"/>
        <v>0</v>
      </c>
      <c r="CW34" s="61">
        <f t="shared" si="29"/>
        <v>0</v>
      </c>
      <c r="CX34" s="61">
        <f t="shared" si="30"/>
        <v>0</v>
      </c>
      <c r="CY34" s="61">
        <f t="shared" si="31"/>
        <v>0</v>
      </c>
      <c r="CZ34" s="61">
        <f t="shared" si="32"/>
        <v>0</v>
      </c>
      <c r="DA34" s="61">
        <f t="shared" si="33"/>
        <v>0</v>
      </c>
      <c r="DB34" s="61">
        <f t="shared" si="34"/>
        <v>0</v>
      </c>
      <c r="DC34" s="61">
        <f t="shared" si="35"/>
        <v>0</v>
      </c>
      <c r="DD34" s="61">
        <f t="shared" si="36"/>
        <v>0</v>
      </c>
      <c r="DE34" s="61">
        <f t="shared" si="37"/>
        <v>0</v>
      </c>
      <c r="DF34" s="61">
        <f t="shared" si="38"/>
        <v>0</v>
      </c>
      <c r="DG34" s="61">
        <f t="shared" si="39"/>
        <v>0</v>
      </c>
      <c r="DH34" s="61">
        <f t="shared" si="40"/>
        <v>0</v>
      </c>
      <c r="DI34" s="61">
        <f t="shared" si="41"/>
        <v>0</v>
      </c>
      <c r="DJ34" s="61">
        <f t="shared" si="42"/>
        <v>0</v>
      </c>
      <c r="DK34" s="61">
        <f t="shared" si="43"/>
        <v>0</v>
      </c>
      <c r="DL34" s="61">
        <f t="shared" si="44"/>
        <v>0</v>
      </c>
      <c r="DM34" s="61">
        <f t="shared" si="45"/>
        <v>0</v>
      </c>
      <c r="DN34" s="61">
        <f t="shared" si="46"/>
        <v>0</v>
      </c>
      <c r="DO34" s="61">
        <f t="shared" si="47"/>
        <v>0</v>
      </c>
      <c r="DP34" s="61">
        <f t="shared" si="48"/>
        <v>0</v>
      </c>
      <c r="DQ34" s="61">
        <f t="shared" si="49"/>
        <v>0</v>
      </c>
      <c r="DR34" s="61">
        <f t="shared" si="50"/>
        <v>0</v>
      </c>
      <c r="DS34" s="61">
        <f t="shared" si="51"/>
        <v>0</v>
      </c>
      <c r="DT34" s="61">
        <f t="shared" si="52"/>
        <v>0</v>
      </c>
      <c r="DU34" s="61">
        <f t="shared" si="53"/>
        <v>0</v>
      </c>
      <c r="DV34" s="61">
        <f t="shared" si="54"/>
        <v>0</v>
      </c>
      <c r="DW34" s="61">
        <f t="shared" si="55"/>
        <v>0</v>
      </c>
      <c r="DX34" s="61">
        <f t="shared" si="56"/>
        <v>0</v>
      </c>
      <c r="DY34" s="61">
        <f t="shared" si="57"/>
        <v>0</v>
      </c>
      <c r="DZ34" s="61">
        <f t="shared" si="58"/>
        <v>0</v>
      </c>
      <c r="EA34" s="61">
        <f t="shared" si="59"/>
        <v>0</v>
      </c>
      <c r="EB34" s="61">
        <f t="shared" si="60"/>
        <v>0</v>
      </c>
      <c r="EC34" s="61">
        <f t="shared" si="61"/>
        <v>0</v>
      </c>
      <c r="EE34" s="61">
        <f xml:space="preserve">
IF(OR(Deltagarlista!$K$3=3,Deltagarlista!$K$3=4),
IF(Arrangörslista!$U$5&lt;8,0,
IF(Arrangörslista!$U$5&lt;16,SUM(LARGE(BV34:CJ34,1)),
IF(Arrangörslista!$U$5&lt;24,SUM(LARGE(BV34:CR34,{1;2})),
IF(Arrangörslista!$U$5&lt;32,SUM(LARGE(BV34:CZ34,{1;2;3})),
IF(Arrangörslista!$U$5&lt;40,SUM(LARGE(BV34:DH34,{1;2;3;4})),
IF(Arrangörslista!$U$5&lt;48,SUM(LARGE(BV34:DP34,{1;2;3;4;5})),
IF(Arrangörslista!$U$5&lt;56,SUM(LARGE(BV34:DX34,{1;2;3;4;5;6})),
IF(Arrangörslista!$U$5&lt;64,SUM(LARGE(BV34:EC34,{1;2;3;4;5;6;7})),0)))))))),
IF(Deltagarlista!$K$3=2,
IF(Arrangörslista!$U$5&lt;4,LARGE(BV34:BX34,1),
IF(Arrangörslista!$U$5&lt;7,SUM(LARGE(BV34:CA34,{1;2;3})),
IF(Arrangörslista!$U$5&lt;10,SUM(LARGE(BV34:CD34,{1;2;3;4})),
IF(Arrangörslista!$U$5&lt;13,SUM(LARGE(BV34:CG34,{1;2;3;4;5;6})),
IF(Arrangörslista!$U$5&lt;16,SUM(LARGE(BV34:CJ34,{1;2;3;4;5;6;7})),
IF(Arrangörslista!$U$5&lt;19,SUM(LARGE(BV34:CM34,{1;2;3;4;5;6;7;8;9})),
IF(Arrangörslista!$U$5&lt;22,SUM(LARGE(BV34:CP34,{1;2;3;4;5;6;7;8;9;10})),
IF(Arrangörslista!$U$5&lt;25,SUM(LARGE(BV34:CS34,{1;2;3;4;5;6;7;8;9;10;11;12})),
IF(Arrangörslista!$U$5&lt;28,SUM(LARGE(BV34:CV34,{1;2;3;4;5;6;7;8;9;10;11;12;13})),
IF(Arrangörslista!$U$5&lt;31,SUM(LARGE(BV34:CY34,{1;2;3;4;5;6;7;8;9;10;11;12;13;14;15})),
IF(Arrangörslista!$U$5&lt;34,SUM(LARGE(BV34:DB34,{1;2;3;4;5;6;7;8;9;10;11;12;13;14;15;16})),
IF(Arrangörslista!$U$5&lt;37,SUM(LARGE(BV34:DE34,{1;2;3;4;5;6;7;8;9;10;11;12;13;14;15;16;17;18})),
IF(Arrangörslista!$U$5&lt;40,SUM(LARGE(BV34:DH34,{1;2;3;4;5;6;7;8;9;10;11;12;13;14;15;16;17;18;19})),
IF(Arrangörslista!$U$5&lt;43,SUM(LARGE(BV34:DK34,{1;2;3;4;5;6;7;8;9;10;11;12;13;14;15;16;17;18;19;20;21})),
IF(Arrangörslista!$U$5&lt;46,SUM(LARGE(BV34:DN34,{1;2;3;4;5;6;7;8;9;10;11;12;13;14;15;16;17;18;19;20;21;22})),
IF(Arrangörslista!$U$5&lt;49,SUM(LARGE(BV34:DQ34,{1;2;3;4;5;6;7;8;9;10;11;12;13;14;15;16;17;18;19;20;21;22;23;24})),
IF(Arrangörslista!$U$5&lt;52,SUM(LARGE(BV34:DT34,{1;2;3;4;5;6;7;8;9;10;11;12;13;14;15;16;17;18;19;20;21;22;23;24;25})),
IF(Arrangörslista!$U$5&lt;55,SUM(LARGE(BV34:DW34,{1;2;3;4;5;6;7;8;9;10;11;12;13;14;15;16;17;18;19;20;21;22;23;24;25;26;27})),
IF(Arrangörslista!$U$5&lt;58,SUM(LARGE(BV34:DZ34,{1;2;3;4;5;6;7;8;9;10;11;12;13;14;15;16;17;18;19;20;21;22;23;24;25;26;27;28})),
IF(Arrangörslista!$U$5&lt;61,SUM(LARGE(BV34:EC34,{1;2;3;4;5;6;7;8;9;10;11;12;13;14;15;16;17;18;19;20;21;22;23;24;25;26;27;28;29;30})),0)))))))))))))))))))),
IF(Arrangörslista!$U$5&lt;4,0,
IF(Arrangörslista!$U$5&lt;8,SUM(LARGE(BV34:CB34,1)),
IF(Arrangörslista!$U$5&lt;12,SUM(LARGE(BV34:CF34,{1;2})),
IF(Arrangörslista!$U$5&lt;16,SUM(LARGE(BV34:CJ34,{1;2;3})),
IF(Arrangörslista!$U$5&lt;20,SUM(LARGE(BV34:CN34,{1;2;3;4})),
IF(Arrangörslista!$U$5&lt;24,SUM(LARGE(BV34:CR34,{1;2;3;4;5})),
IF(Arrangörslista!$U$5&lt;28,SUM(LARGE(BV34:CV34,{1;2;3;4;5;6})),
IF(Arrangörslista!$U$5&lt;32,SUM(LARGE(BV34:CZ34,{1;2;3;4;5;6;7})),
IF(Arrangörslista!$U$5&lt;36,SUM(LARGE(BV34:DD34,{1;2;3;4;5;6;7;8})),
IF(Arrangörslista!$U$5&lt;40,SUM(LARGE(BV34:DH34,{1;2;3;4;5;6;7;8;9})),
IF(Arrangörslista!$U$5&lt;44,SUM(LARGE(BV34:DL34,{1;2;3;4;5;6;7;8;9;10})),
IF(Arrangörslista!$U$5&lt;48,SUM(LARGE(BV34:DP34,{1;2;3;4;5;6;7;8;9;10;11})),
IF(Arrangörslista!$U$5&lt;52,SUM(LARGE(BV34:DT34,{1;2;3;4;5;6;7;8;9;10;11;12})),
IF(Arrangörslista!$U$5&lt;56,SUM(LARGE(BV34:DX34,{1;2;3;4;5;6;7;8;9;10;11;12;13})),
IF(Arrangörslista!$U$5&lt;60,SUM(LARGE(BV34:EB34,{1;2;3;4;5;6;7;8;9;10;11;12;13;14})),
IF(Arrangörslista!$U$5=60,SUM(LARGE(BV34:EC34,{1;2;3;4;5;6;7;8;9;10;11;12;13;14;15})),0))))))))))))))))))</f>
        <v>0</v>
      </c>
      <c r="EG34" s="67">
        <f t="shared" si="62"/>
        <v>0</v>
      </c>
      <c r="EH34" s="61"/>
      <c r="EI34" s="61"/>
      <c r="EK34" s="62">
        <f t="shared" si="63"/>
        <v>61</v>
      </c>
      <c r="EL34" s="62">
        <f t="shared" si="64"/>
        <v>61</v>
      </c>
      <c r="EM34" s="62">
        <f t="shared" si="65"/>
        <v>61</v>
      </c>
      <c r="EN34" s="62">
        <f t="shared" si="66"/>
        <v>61</v>
      </c>
      <c r="EO34" s="62">
        <f t="shared" si="67"/>
        <v>61</v>
      </c>
      <c r="EP34" s="62">
        <f t="shared" si="68"/>
        <v>61</v>
      </c>
      <c r="EQ34" s="62">
        <f t="shared" si="69"/>
        <v>61</v>
      </c>
      <c r="ER34" s="62">
        <f t="shared" si="70"/>
        <v>61</v>
      </c>
      <c r="ES34" s="62">
        <f t="shared" si="71"/>
        <v>61</v>
      </c>
      <c r="ET34" s="62">
        <f t="shared" si="72"/>
        <v>61</v>
      </c>
      <c r="EU34" s="62">
        <f t="shared" si="73"/>
        <v>61</v>
      </c>
      <c r="EV34" s="62">
        <f t="shared" si="74"/>
        <v>61</v>
      </c>
      <c r="EW34" s="62">
        <f t="shared" si="75"/>
        <v>61</v>
      </c>
      <c r="EX34" s="62">
        <f t="shared" si="76"/>
        <v>61</v>
      </c>
      <c r="EY34" s="62">
        <f t="shared" si="77"/>
        <v>61</v>
      </c>
      <c r="EZ34" s="62">
        <f t="shared" si="78"/>
        <v>61</v>
      </c>
      <c r="FA34" s="62">
        <f t="shared" si="79"/>
        <v>61</v>
      </c>
      <c r="FB34" s="62">
        <f t="shared" si="80"/>
        <v>61</v>
      </c>
      <c r="FC34" s="62">
        <f t="shared" si="81"/>
        <v>61</v>
      </c>
      <c r="FD34" s="62">
        <f t="shared" si="82"/>
        <v>61</v>
      </c>
      <c r="FE34" s="62">
        <f t="shared" si="83"/>
        <v>61</v>
      </c>
      <c r="FF34" s="62">
        <f t="shared" si="84"/>
        <v>61</v>
      </c>
      <c r="FG34" s="62">
        <f t="shared" si="85"/>
        <v>61</v>
      </c>
      <c r="FH34" s="62">
        <f t="shared" si="86"/>
        <v>61</v>
      </c>
      <c r="FI34" s="62">
        <f t="shared" si="87"/>
        <v>61</v>
      </c>
      <c r="FJ34" s="62">
        <f t="shared" si="88"/>
        <v>61</v>
      </c>
      <c r="FK34" s="62">
        <f t="shared" si="89"/>
        <v>61</v>
      </c>
      <c r="FL34" s="62">
        <f t="shared" si="90"/>
        <v>61</v>
      </c>
      <c r="FM34" s="62">
        <f t="shared" si="91"/>
        <v>61</v>
      </c>
      <c r="FN34" s="62">
        <f t="shared" si="92"/>
        <v>61</v>
      </c>
      <c r="FO34" s="62">
        <f t="shared" si="93"/>
        <v>61</v>
      </c>
      <c r="FP34" s="62">
        <f t="shared" si="94"/>
        <v>61</v>
      </c>
      <c r="FQ34" s="62">
        <f t="shared" si="95"/>
        <v>61</v>
      </c>
      <c r="FR34" s="62">
        <f t="shared" si="96"/>
        <v>61</v>
      </c>
      <c r="FS34" s="62">
        <f t="shared" si="97"/>
        <v>61</v>
      </c>
      <c r="FT34" s="62">
        <f t="shared" si="98"/>
        <v>61</v>
      </c>
      <c r="FU34" s="62">
        <f t="shared" si="99"/>
        <v>61</v>
      </c>
      <c r="FV34" s="62">
        <f t="shared" si="100"/>
        <v>61</v>
      </c>
      <c r="FW34" s="62">
        <f t="shared" si="101"/>
        <v>61</v>
      </c>
      <c r="FX34" s="62">
        <f t="shared" si="102"/>
        <v>61</v>
      </c>
      <c r="FY34" s="62">
        <f t="shared" si="103"/>
        <v>61</v>
      </c>
      <c r="FZ34" s="62">
        <f t="shared" si="104"/>
        <v>61</v>
      </c>
      <c r="GA34" s="62">
        <f t="shared" si="105"/>
        <v>61</v>
      </c>
      <c r="GB34" s="62">
        <f t="shared" si="106"/>
        <v>61</v>
      </c>
      <c r="GC34" s="62">
        <f t="shared" si="107"/>
        <v>61</v>
      </c>
      <c r="GD34" s="62">
        <f t="shared" si="108"/>
        <v>61</v>
      </c>
      <c r="GE34" s="62">
        <f t="shared" si="109"/>
        <v>61</v>
      </c>
      <c r="GF34" s="62">
        <f t="shared" si="110"/>
        <v>61</v>
      </c>
      <c r="GG34" s="62">
        <f t="shared" si="111"/>
        <v>61</v>
      </c>
      <c r="GH34" s="62">
        <f t="shared" si="112"/>
        <v>61</v>
      </c>
      <c r="GI34" s="62">
        <f t="shared" si="113"/>
        <v>61</v>
      </c>
      <c r="GJ34" s="62">
        <f t="shared" si="114"/>
        <v>61</v>
      </c>
      <c r="GK34" s="62">
        <f t="shared" si="115"/>
        <v>61</v>
      </c>
      <c r="GL34" s="62">
        <f t="shared" si="116"/>
        <v>61</v>
      </c>
      <c r="GM34" s="62">
        <f t="shared" si="117"/>
        <v>61</v>
      </c>
      <c r="GN34" s="62">
        <f t="shared" si="118"/>
        <v>61</v>
      </c>
      <c r="GO34" s="62">
        <f t="shared" si="119"/>
        <v>61</v>
      </c>
      <c r="GP34" s="62">
        <f t="shared" si="120"/>
        <v>61</v>
      </c>
      <c r="GQ34" s="62">
        <f t="shared" si="121"/>
        <v>61</v>
      </c>
      <c r="GR34" s="62">
        <f t="shared" si="122"/>
        <v>61</v>
      </c>
      <c r="GT34" s="62">
        <f>IF(Deltagarlista!$K$3=2,
IF(GW34="1",
      IF(Arrangörslista!$U$5=1,J97,
IF(Arrangörslista!$U$5=2,K97,
IF(Arrangörslista!$U$5=3,L97,
IF(Arrangörslista!$U$5=4,M97,
IF(Arrangörslista!$U$5=5,N97,
IF(Arrangörslista!$U$5=6,O97,
IF(Arrangörslista!$U$5=7,P97,
IF(Arrangörslista!$U$5=8,Q97,
IF(Arrangörslista!$U$5=9,R97,
IF(Arrangörslista!$U$5=10,S97,
IF(Arrangörslista!$U$5=11,T97,
IF(Arrangörslista!$U$5=12,U97,
IF(Arrangörslista!$U$5=13,V97,
IF(Arrangörslista!$U$5=14,W97,
IF(Arrangörslista!$U$5=15,X97,
IF(Arrangörslista!$U$5=16,Y97,IF(Arrangörslista!$U$5=17,Z97,IF(Arrangörslista!$U$5=18,AA97,IF(Arrangörslista!$U$5=19,AB97,IF(Arrangörslista!$U$5=20,AC97,IF(Arrangörslista!$U$5=21,AD97,IF(Arrangörslista!$U$5=22,AE97,IF(Arrangörslista!$U$5=23,AF97, IF(Arrangörslista!$U$5=24,AG97, IF(Arrangörslista!$U$5=25,AH97, IF(Arrangörslista!$U$5=26,AI97, IF(Arrangörslista!$U$5=27,AJ97, IF(Arrangörslista!$U$5=28,AK97, IF(Arrangörslista!$U$5=29,AL97, IF(Arrangörslista!$U$5=30,AM97, IF(Arrangörslista!$U$5=31,AN97, IF(Arrangörslista!$U$5=32,AO97, IF(Arrangörslista!$U$5=33,AP97, IF(Arrangörslista!$U$5=34,AQ97, IF(Arrangörslista!$U$5=35,AR97, IF(Arrangörslista!$U$5=36,AS97, IF(Arrangörslista!$U$5=37,AT97, IF(Arrangörslista!$U$5=38,AU97, IF(Arrangörslista!$U$5=39,AV97, IF(Arrangörslista!$U$5=40,AW97, IF(Arrangörslista!$U$5=41,AX97, IF(Arrangörslista!$U$5=42,AY97, IF(Arrangörslista!$U$5=43,AZ97, IF(Arrangörslista!$U$5=44,BA97, IF(Arrangörslista!$U$5=45,BB97, IF(Arrangörslista!$U$5=46,BC97, IF(Arrangörslista!$U$5=47,BD97, IF(Arrangörslista!$U$5=48,BE97, IF(Arrangörslista!$U$5=49,BF97, IF(Arrangörslista!$U$5=50,BG97, IF(Arrangörslista!$U$5=51,BH97, IF(Arrangörslista!$U$5=52,BI97, IF(Arrangörslista!$U$5=53,BJ97, IF(Arrangörslista!$U$5=54,BK97, IF(Arrangörslista!$U$5=55,BL97, IF(Arrangörslista!$U$5=56,BM97, IF(Arrangörslista!$U$5=57,BN97, IF(Arrangörslista!$U$5=58,BO97, IF(Arrangörslista!$U$5=59,BP97, IF(Arrangörslista!$U$5=60,BQ97,0))))))))))))))))))))))))))))))))))))))))))))))))))))))))))))),IF(Deltagarlista!$K$3=4, IF(Arrangörslista!$U$5=1,J97,
IF(Arrangörslista!$U$5=2,J97,
IF(Arrangörslista!$U$5=3,K97,
IF(Arrangörslista!$U$5=4,K97,
IF(Arrangörslista!$U$5=5,L97,
IF(Arrangörslista!$U$5=6,L97,
IF(Arrangörslista!$U$5=7,M97,
IF(Arrangörslista!$U$5=8,M97,
IF(Arrangörslista!$U$5=9,N97,
IF(Arrangörslista!$U$5=10,N97,
IF(Arrangörslista!$U$5=11,O97,
IF(Arrangörslista!$U$5=12,O97,
IF(Arrangörslista!$U$5=13,P97,
IF(Arrangörslista!$U$5=14,P97,
IF(Arrangörslista!$U$5=15,Q97,
IF(Arrangörslista!$U$5=16,Q97,
IF(Arrangörslista!$U$5=17,R97,
IF(Arrangörslista!$U$5=18,R97,
IF(Arrangörslista!$U$5=19,S97,
IF(Arrangörslista!$U$5=20,S97,
IF(Arrangörslista!$U$5=21,T97,
IF(Arrangörslista!$U$5=22,T97,IF(Arrangörslista!$U$5=23,U97, IF(Arrangörslista!$U$5=24,U97, IF(Arrangörslista!$U$5=25,V97, IF(Arrangörslista!$U$5=26,V97, IF(Arrangörslista!$U$5=27,W97, IF(Arrangörslista!$U$5=28,W97, IF(Arrangörslista!$U$5=29,X97, IF(Arrangörslista!$U$5=30,X97, IF(Arrangörslista!$U$5=31,X97, IF(Arrangörslista!$U$5=32,Y97, IF(Arrangörslista!$U$5=33,AO97, IF(Arrangörslista!$U$5=34,Y97, IF(Arrangörslista!$U$5=35,Z97, IF(Arrangörslista!$U$5=36,AR97, IF(Arrangörslista!$U$5=37,Z97, IF(Arrangörslista!$U$5=38,AA97, IF(Arrangörslista!$U$5=39,AU97, IF(Arrangörslista!$U$5=40,AA97, IF(Arrangörslista!$U$5=41,AB97, IF(Arrangörslista!$U$5=42,AX97, IF(Arrangörslista!$U$5=43,AB97, IF(Arrangörslista!$U$5=44,AC97, IF(Arrangörslista!$U$5=45,BA97, IF(Arrangörslista!$U$5=46,AC97, IF(Arrangörslista!$U$5=47,AD97, IF(Arrangörslista!$U$5=48,BD97, IF(Arrangörslista!$U$5=49,AD97, IF(Arrangörslista!$U$5=50,AE97, IF(Arrangörslista!$U$5=51,BG97, IF(Arrangörslista!$U$5=52,AE97, IF(Arrangörslista!$U$5=53,AF97, IF(Arrangörslista!$U$5=54,BJ97, IF(Arrangörslista!$U$5=55,AF97, IF(Arrangörslista!$U$5=56,AG97, IF(Arrangörslista!$U$5=57,BM97, IF(Arrangörslista!$U$5=58,AG97, IF(Arrangörslista!$U$5=59,AH97, IF(Arrangörslista!$U$5=60,AH97,0)))))))))))))))))))))))))))))))))))))))))))))))))))))))))))),IF(Arrangörslista!$U$5=1,J97,
IF(Arrangörslista!$U$5=2,K97,
IF(Arrangörslista!$U$5=3,L97,
IF(Arrangörslista!$U$5=4,M97,
IF(Arrangörslista!$U$5=5,N97,
IF(Arrangörslista!$U$5=6,O97,
IF(Arrangörslista!$U$5=7,P97,
IF(Arrangörslista!$U$5=8,Q97,
IF(Arrangörslista!$U$5=9,R97,
IF(Arrangörslista!$U$5=10,S97,
IF(Arrangörslista!$U$5=11,T97,
IF(Arrangörslista!$U$5=12,U97,
IF(Arrangörslista!$U$5=13,V97,
IF(Arrangörslista!$U$5=14,W97,
IF(Arrangörslista!$U$5=15,X97,
IF(Arrangörslista!$U$5=16,Y97,IF(Arrangörslista!$U$5=17,Z97,IF(Arrangörslista!$U$5=18,AA97,IF(Arrangörslista!$U$5=19,AB97,IF(Arrangörslista!$U$5=20,AC97,IF(Arrangörslista!$U$5=21,AD97,IF(Arrangörslista!$U$5=22,AE97,IF(Arrangörslista!$U$5=23,AF97, IF(Arrangörslista!$U$5=24,AG97, IF(Arrangörslista!$U$5=25,AH97, IF(Arrangörslista!$U$5=26,AI97, IF(Arrangörslista!$U$5=27,AJ97, IF(Arrangörslista!$U$5=28,AK97, IF(Arrangörslista!$U$5=29,AL97, IF(Arrangörslista!$U$5=30,AM97, IF(Arrangörslista!$U$5=31,AN97, IF(Arrangörslista!$U$5=32,AO97, IF(Arrangörslista!$U$5=33,AP97, IF(Arrangörslista!$U$5=34,AQ97, IF(Arrangörslista!$U$5=35,AR97, IF(Arrangörslista!$U$5=36,AS97, IF(Arrangörslista!$U$5=37,AT97, IF(Arrangörslista!$U$5=38,AU97, IF(Arrangörslista!$U$5=39,AV97, IF(Arrangörslista!$U$5=40,AW97, IF(Arrangörslista!$U$5=41,AX97, IF(Arrangörslista!$U$5=42,AY97, IF(Arrangörslista!$U$5=43,AZ97, IF(Arrangörslista!$U$5=44,BA97, IF(Arrangörslista!$U$5=45,BB97, IF(Arrangörslista!$U$5=46,BC97, IF(Arrangörslista!$U$5=47,BD97, IF(Arrangörslista!$U$5=48,BE97, IF(Arrangörslista!$U$5=49,BF97, IF(Arrangörslista!$U$5=50,BG97, IF(Arrangörslista!$U$5=51,BH97, IF(Arrangörslista!$U$5=52,BI97, IF(Arrangörslista!$U$5=53,BJ97, IF(Arrangörslista!$U$5=54,BK97, IF(Arrangörslista!$U$5=55,BL97, IF(Arrangörslista!$U$5=56,BM97, IF(Arrangörslista!$U$5=57,BN97, IF(Arrangörslista!$U$5=58,BO97, IF(Arrangörslista!$U$5=59,BP97, IF(Arrangörslista!$U$5=60,BQ97,0))))))))))))))))))))))))))))))))))))))))))))))))))))))))))))
))</f>
        <v>0</v>
      </c>
      <c r="GV34" s="65" t="str">
        <f>IFERROR(IF(VLOOKUP(F34,Deltagarlista!$E$5:$I$64,5,FALSE)="Grön","Gr",IF(VLOOKUP(F34,Deltagarlista!$E$5:$I$64,5,FALSE)="Röd","R",IF(VLOOKUP(F34,Deltagarlista!$E$5:$I$64,5,FALSE)="Blå","B","Gu"))),"")</f>
        <v/>
      </c>
      <c r="GW34" s="62" t="str">
        <f t="shared" si="124"/>
        <v/>
      </c>
    </row>
    <row r="35" spans="2:205" ht="15.75" customHeight="1" x14ac:dyDescent="0.3">
      <c r="B35" s="23" t="str">
        <f>IF((COUNTIF(Deltagarlista!$H$5:$H$64,"GM"))&gt;31,32,"")</f>
        <v/>
      </c>
      <c r="C35" s="92" t="str">
        <f>IF(ISBLANK(Deltagarlista!C33),"",Deltagarlista!C33)</f>
        <v/>
      </c>
      <c r="D35" s="109" t="str">
        <f>CONCATENATE(IF(Deltagarlista!H33="GM","GM   ",""), IF(OR(Deltagarlista!$K$3=4,Deltagarlista!$K$3=2),Deltagarlista!I33,""))</f>
        <v/>
      </c>
      <c r="E35" s="8" t="str">
        <f>IF(ISBLANK(Deltagarlista!D33),"",Deltagarlista!D33)</f>
        <v/>
      </c>
      <c r="F35" s="8" t="str">
        <f>IF(ISBLANK(Deltagarlista!E33),"",Deltagarlista!E33)</f>
        <v/>
      </c>
      <c r="G35" s="95" t="str">
        <f>IF(ISBLANK(Deltagarlista!F33),"",Deltagarlista!F33)</f>
        <v/>
      </c>
      <c r="H35" s="72" t="str">
        <f>IF(ISBLANK(Deltagarlista!C33),"",BU35-EE35)</f>
        <v/>
      </c>
      <c r="I35" s="13" t="str">
        <f>IF(ISBLANK(Deltagarlista!C33),"",IF(AND(Deltagarlista!$K$3=2,Deltagarlista!$L$3&lt;37),SUM(SUM(BV35:EC35)-(ROUNDDOWN(Arrangörslista!$U$5/3,1))*($BW$3+1)),SUM(BV35:EC35)))</f>
        <v/>
      </c>
      <c r="J35" s="79" t="str">
        <f>IF(Deltagarlista!$K$3=4,IF(ISBLANK(Deltagarlista!$C33),"",IF(ISBLANK(Arrangörslista!C$8),"",IFERROR(VLOOKUP($F35,Arrangörslista!C$8:$AG$45,16,FALSE),IF(ISBLANK(Deltagarlista!$C33),"",IF(ISBLANK(Arrangörslista!C$8),"",IFERROR(VLOOKUP($F35,Arrangörslista!D$8:$AG$45,16,FALSE),"DNS")))))),IF(Deltagarlista!$K$3=2,
IF(ISBLANK(Deltagarlista!$C33),"",IF(ISBLANK(Arrangörslista!C$8),"",IF($GV35=J$64," DNS ",IFERROR(VLOOKUP($F35,Arrangörslista!C$8:$AG$45,16,FALSE),"DNS")))),IF(ISBLANK(Deltagarlista!$C33),"",IF(ISBLANK(Arrangörslista!C$8),"",IFERROR(VLOOKUP($F35,Arrangörslista!C$8:$AG$45,16,FALSE),"DNS")))))</f>
        <v/>
      </c>
      <c r="K35" s="5" t="str">
        <f>IF(Deltagarlista!$K$3=4,IF(ISBLANK(Deltagarlista!$C33),"",IF(ISBLANK(Arrangörslista!E$8),"",IFERROR(VLOOKUP($F35,Arrangörslista!E$8:$AG$45,16,FALSE),IF(ISBLANK(Deltagarlista!$C33),"",IF(ISBLANK(Arrangörslista!E$8),"",IFERROR(VLOOKUP($F35,Arrangörslista!F$8:$AG$45,16,FALSE),"DNS")))))),IF(Deltagarlista!$K$3=2,
IF(ISBLANK(Deltagarlista!$C33),"",IF(ISBLANK(Arrangörslista!D$8),"",IF($GV35=K$64," DNS ",IFERROR(VLOOKUP($F35,Arrangörslista!D$8:$AG$45,16,FALSE),"DNS")))),IF(ISBLANK(Deltagarlista!$C33),"",IF(ISBLANK(Arrangörslista!D$8),"",IFERROR(VLOOKUP($F35,Arrangörslista!D$8:$AG$45,16,FALSE),"DNS")))))</f>
        <v/>
      </c>
      <c r="L35" s="5" t="str">
        <f>IF(Deltagarlista!$K$3=4,IF(ISBLANK(Deltagarlista!$C33),"",IF(ISBLANK(Arrangörslista!G$8),"",IFERROR(VLOOKUP($F35,Arrangörslista!G$8:$AG$45,16,FALSE),IF(ISBLANK(Deltagarlista!$C33),"",IF(ISBLANK(Arrangörslista!G$8),"",IFERROR(VLOOKUP($F35,Arrangörslista!H$8:$AG$45,16,FALSE),"DNS")))))),IF(Deltagarlista!$K$3=2,
IF(ISBLANK(Deltagarlista!$C33),"",IF(ISBLANK(Arrangörslista!E$8),"",IF($GV35=L$64," DNS ",IFERROR(VLOOKUP($F35,Arrangörslista!E$8:$AG$45,16,FALSE),"DNS")))),IF(ISBLANK(Deltagarlista!$C33),"",IF(ISBLANK(Arrangörslista!E$8),"",IFERROR(VLOOKUP($F35,Arrangörslista!E$8:$AG$45,16,FALSE),"DNS")))))</f>
        <v/>
      </c>
      <c r="M35" s="5" t="str">
        <f>IF(Deltagarlista!$K$3=4,IF(ISBLANK(Deltagarlista!$C33),"",IF(ISBLANK(Arrangörslista!I$8),"",IFERROR(VLOOKUP($F35,Arrangörslista!I$8:$AG$45,16,FALSE),IF(ISBLANK(Deltagarlista!$C33),"",IF(ISBLANK(Arrangörslista!I$8),"",IFERROR(VLOOKUP($F35,Arrangörslista!J$8:$AG$45,16,FALSE),"DNS")))))),IF(Deltagarlista!$K$3=2,
IF(ISBLANK(Deltagarlista!$C33),"",IF(ISBLANK(Arrangörslista!F$8),"",IF($GV35=M$64," DNS ",IFERROR(VLOOKUP($F35,Arrangörslista!F$8:$AG$45,16,FALSE),"DNS")))),IF(ISBLANK(Deltagarlista!$C33),"",IF(ISBLANK(Arrangörslista!F$8),"",IFERROR(VLOOKUP($F35,Arrangörslista!F$8:$AG$45,16,FALSE),"DNS")))))</f>
        <v/>
      </c>
      <c r="N35" s="5" t="str">
        <f>IF(Deltagarlista!$K$3=4,IF(ISBLANK(Deltagarlista!$C33),"",IF(ISBLANK(Arrangörslista!K$8),"",IFERROR(VLOOKUP($F35,Arrangörslista!K$8:$AG$45,16,FALSE),IF(ISBLANK(Deltagarlista!$C33),"",IF(ISBLANK(Arrangörslista!K$8),"",IFERROR(VLOOKUP($F35,Arrangörslista!L$8:$AG$45,16,FALSE),"DNS")))))),IF(Deltagarlista!$K$3=2,
IF(ISBLANK(Deltagarlista!$C33),"",IF(ISBLANK(Arrangörslista!G$8),"",IF($GV35=N$64," DNS ",IFERROR(VLOOKUP($F35,Arrangörslista!G$8:$AG$45,16,FALSE),"DNS")))),IF(ISBLANK(Deltagarlista!$C33),"",IF(ISBLANK(Arrangörslista!G$8),"",IFERROR(VLOOKUP($F35,Arrangörslista!G$8:$AG$45,16,FALSE),"DNS")))))</f>
        <v/>
      </c>
      <c r="O35" s="5" t="str">
        <f>IF(Deltagarlista!$K$3=4,IF(ISBLANK(Deltagarlista!$C33),"",IF(ISBLANK(Arrangörslista!M$8),"",IFERROR(VLOOKUP($F35,Arrangörslista!M$8:$AG$45,16,FALSE),IF(ISBLANK(Deltagarlista!$C33),"",IF(ISBLANK(Arrangörslista!M$8),"",IFERROR(VLOOKUP($F35,Arrangörslista!N$8:$AG$45,16,FALSE),"DNS")))))),IF(Deltagarlista!$K$3=2,
IF(ISBLANK(Deltagarlista!$C33),"",IF(ISBLANK(Arrangörslista!H$8),"",IF($GV35=O$64," DNS ",IFERROR(VLOOKUP($F35,Arrangörslista!H$8:$AG$45,16,FALSE),"DNS")))),IF(ISBLANK(Deltagarlista!$C33),"",IF(ISBLANK(Arrangörslista!H$8),"",IFERROR(VLOOKUP($F35,Arrangörslista!H$8:$AG$45,16,FALSE),"DNS")))))</f>
        <v/>
      </c>
      <c r="P35" s="5" t="str">
        <f>IF(Deltagarlista!$K$3=4,IF(ISBLANK(Deltagarlista!$C33),"",IF(ISBLANK(Arrangörslista!O$8),"",IFERROR(VLOOKUP($F35,Arrangörslista!O$8:$AG$45,16,FALSE),IF(ISBLANK(Deltagarlista!$C33),"",IF(ISBLANK(Arrangörslista!O$8),"",IFERROR(VLOOKUP($F35,Arrangörslista!P$8:$AG$45,16,FALSE),"DNS")))))),IF(Deltagarlista!$K$3=2,
IF(ISBLANK(Deltagarlista!$C33),"",IF(ISBLANK(Arrangörslista!I$8),"",IF($GV35=P$64," DNS ",IFERROR(VLOOKUP($F35,Arrangörslista!I$8:$AG$45,16,FALSE),"DNS")))),IF(ISBLANK(Deltagarlista!$C33),"",IF(ISBLANK(Arrangörslista!I$8),"",IFERROR(VLOOKUP($F35,Arrangörslista!I$8:$AG$45,16,FALSE),"DNS")))))</f>
        <v/>
      </c>
      <c r="Q35" s="5" t="str">
        <f>IF(Deltagarlista!$K$3=4,IF(ISBLANK(Deltagarlista!$C33),"",IF(ISBLANK(Arrangörslista!Q$8),"",IFERROR(VLOOKUP($F35,Arrangörslista!Q$8:$AG$45,16,FALSE),IF(ISBLANK(Deltagarlista!$C33),"",IF(ISBLANK(Arrangörslista!Q$8),"",IFERROR(VLOOKUP($F35,Arrangörslista!C$53:$AG$90,16,FALSE),"DNS")))))),IF(Deltagarlista!$K$3=2,
IF(ISBLANK(Deltagarlista!$C33),"",IF(ISBLANK(Arrangörslista!J$8),"",IF($GV35=Q$64," DNS ",IFERROR(VLOOKUP($F35,Arrangörslista!J$8:$AG$45,16,FALSE),"DNS")))),IF(ISBLANK(Deltagarlista!$C33),"",IF(ISBLANK(Arrangörslista!J$8),"",IFERROR(VLOOKUP($F35,Arrangörslista!J$8:$AG$45,16,FALSE),"DNS")))))</f>
        <v/>
      </c>
      <c r="R35" s="5" t="str">
        <f>IF(Deltagarlista!$K$3=4,IF(ISBLANK(Deltagarlista!$C33),"",IF(ISBLANK(Arrangörslista!D$53),"",IFERROR(VLOOKUP($F35,Arrangörslista!D$53:$AG$90,16,FALSE),IF(ISBLANK(Deltagarlista!$C33),"",IF(ISBLANK(Arrangörslista!D$53),"",IFERROR(VLOOKUP($F35,Arrangörslista!E$53:$AG$90,16,FALSE),"DNS")))))),IF(Deltagarlista!$K$3=2,
IF(ISBLANK(Deltagarlista!$C33),"",IF(ISBLANK(Arrangörslista!K$8),"",IF($GV35=R$64," DNS ",IFERROR(VLOOKUP($F35,Arrangörslista!K$8:$AG$45,16,FALSE),"DNS")))),IF(ISBLANK(Deltagarlista!$C33),"",IF(ISBLANK(Arrangörslista!K$8),"",IFERROR(VLOOKUP($F35,Arrangörslista!K$8:$AG$45,16,FALSE),"DNS")))))</f>
        <v/>
      </c>
      <c r="S35" s="5" t="str">
        <f>IF(Deltagarlista!$K$3=4,IF(ISBLANK(Deltagarlista!$C33),"",IF(ISBLANK(Arrangörslista!F$53),"",IFERROR(VLOOKUP($F35,Arrangörslista!F$53:$AG$90,16,FALSE),IF(ISBLANK(Deltagarlista!$C33),"",IF(ISBLANK(Arrangörslista!F$53),"",IFERROR(VLOOKUP($F35,Arrangörslista!G$53:$AG$90,16,FALSE),"DNS")))))),IF(Deltagarlista!$K$3=2,
IF(ISBLANK(Deltagarlista!$C33),"",IF(ISBLANK(Arrangörslista!L$8),"",IF($GV35=S$64," DNS ",IFERROR(VLOOKUP($F35,Arrangörslista!L$8:$AG$45,16,FALSE),"DNS")))),IF(ISBLANK(Deltagarlista!$C33),"",IF(ISBLANK(Arrangörslista!L$8),"",IFERROR(VLOOKUP($F35,Arrangörslista!L$8:$AG$45,16,FALSE),"DNS")))))</f>
        <v/>
      </c>
      <c r="T35" s="5" t="str">
        <f>IF(Deltagarlista!$K$3=4,IF(ISBLANK(Deltagarlista!$C33),"",IF(ISBLANK(Arrangörslista!H$53),"",IFERROR(VLOOKUP($F35,Arrangörslista!H$53:$AG$90,16,FALSE),IF(ISBLANK(Deltagarlista!$C33),"",IF(ISBLANK(Arrangörslista!H$53),"",IFERROR(VLOOKUP($F35,Arrangörslista!I$53:$AG$90,16,FALSE),"DNS")))))),IF(Deltagarlista!$K$3=2,
IF(ISBLANK(Deltagarlista!$C33),"",IF(ISBLANK(Arrangörslista!M$8),"",IF($GV35=T$64," DNS ",IFERROR(VLOOKUP($F35,Arrangörslista!M$8:$AG$45,16,FALSE),"DNS")))),IF(ISBLANK(Deltagarlista!$C33),"",IF(ISBLANK(Arrangörslista!M$8),"",IFERROR(VLOOKUP($F35,Arrangörslista!M$8:$AG$45,16,FALSE),"DNS")))))</f>
        <v/>
      </c>
      <c r="U35" s="5" t="str">
        <f>IF(Deltagarlista!$K$3=4,IF(ISBLANK(Deltagarlista!$C33),"",IF(ISBLANK(Arrangörslista!J$53),"",IFERROR(VLOOKUP($F35,Arrangörslista!J$53:$AG$90,16,FALSE),IF(ISBLANK(Deltagarlista!$C33),"",IF(ISBLANK(Arrangörslista!J$53),"",IFERROR(VLOOKUP($F35,Arrangörslista!K$53:$AG$90,16,FALSE),"DNS")))))),IF(Deltagarlista!$K$3=2,
IF(ISBLANK(Deltagarlista!$C33),"",IF(ISBLANK(Arrangörslista!N$8),"",IF($GV35=U$64," DNS ",IFERROR(VLOOKUP($F35,Arrangörslista!N$8:$AG$45,16,FALSE),"DNS")))),IF(ISBLANK(Deltagarlista!$C33),"",IF(ISBLANK(Arrangörslista!N$8),"",IFERROR(VLOOKUP($F35,Arrangörslista!N$8:$AG$45,16,FALSE),"DNS")))))</f>
        <v/>
      </c>
      <c r="V35" s="5" t="str">
        <f>IF(Deltagarlista!$K$3=4,IF(ISBLANK(Deltagarlista!$C33),"",IF(ISBLANK(Arrangörslista!L$53),"",IFERROR(VLOOKUP($F35,Arrangörslista!L$53:$AG$90,16,FALSE),IF(ISBLANK(Deltagarlista!$C33),"",IF(ISBLANK(Arrangörslista!L$53),"",IFERROR(VLOOKUP($F35,Arrangörslista!M$53:$AG$90,16,FALSE),"DNS")))))),IF(Deltagarlista!$K$3=2,
IF(ISBLANK(Deltagarlista!$C33),"",IF(ISBLANK(Arrangörslista!O$8),"",IF($GV35=V$64," DNS ",IFERROR(VLOOKUP($F35,Arrangörslista!O$8:$AG$45,16,FALSE),"DNS")))),IF(ISBLANK(Deltagarlista!$C33),"",IF(ISBLANK(Arrangörslista!O$8),"",IFERROR(VLOOKUP($F35,Arrangörslista!O$8:$AG$45,16,FALSE),"DNS")))))</f>
        <v/>
      </c>
      <c r="W35" s="5" t="str">
        <f>IF(Deltagarlista!$K$3=4,IF(ISBLANK(Deltagarlista!$C33),"",IF(ISBLANK(Arrangörslista!N$53),"",IFERROR(VLOOKUP($F35,Arrangörslista!N$53:$AG$90,16,FALSE),IF(ISBLANK(Deltagarlista!$C33),"",IF(ISBLANK(Arrangörslista!N$53),"",IFERROR(VLOOKUP($F35,Arrangörslista!O$53:$AG$90,16,FALSE),"DNS")))))),IF(Deltagarlista!$K$3=2,
IF(ISBLANK(Deltagarlista!$C33),"",IF(ISBLANK(Arrangörslista!P$8),"",IF($GV35=W$64," DNS ",IFERROR(VLOOKUP($F35,Arrangörslista!P$8:$AG$45,16,FALSE),"DNS")))),IF(ISBLANK(Deltagarlista!$C33),"",IF(ISBLANK(Arrangörslista!P$8),"",IFERROR(VLOOKUP($F35,Arrangörslista!P$8:$AG$45,16,FALSE),"DNS")))))</f>
        <v/>
      </c>
      <c r="X35" s="5" t="str">
        <f>IF(Deltagarlista!$K$3=4,IF(ISBLANK(Deltagarlista!$C33),"",IF(ISBLANK(Arrangörslista!P$53),"",IFERROR(VLOOKUP($F35,Arrangörslista!P$53:$AG$90,16,FALSE),IF(ISBLANK(Deltagarlista!$C33),"",IF(ISBLANK(Arrangörslista!P$53),"",IFERROR(VLOOKUP($F35,Arrangörslista!Q$53:$AG$90,16,FALSE),"DNS")))))),IF(Deltagarlista!$K$3=2,
IF(ISBLANK(Deltagarlista!$C33),"",IF(ISBLANK(Arrangörslista!Q$8),"",IF($GV35=X$64," DNS ",IFERROR(VLOOKUP($F35,Arrangörslista!Q$8:$AG$45,16,FALSE),"DNS")))),IF(ISBLANK(Deltagarlista!$C33),"",IF(ISBLANK(Arrangörslista!Q$8),"",IFERROR(VLOOKUP($F35,Arrangörslista!Q$8:$AG$45,16,FALSE),"DNS")))))</f>
        <v/>
      </c>
      <c r="Y35" s="5" t="str">
        <f>IF(Deltagarlista!$K$3=4,IF(ISBLANK(Deltagarlista!$C33),"",IF(ISBLANK(Arrangörslista!C$98),"",IFERROR(VLOOKUP($F35,Arrangörslista!C$98:$AG$135,16,FALSE),IF(ISBLANK(Deltagarlista!$C33),"",IF(ISBLANK(Arrangörslista!C$98),"",IFERROR(VLOOKUP($F35,Arrangörslista!D$98:$AG$135,16,FALSE),"DNS")))))),IF(Deltagarlista!$K$3=2,
IF(ISBLANK(Deltagarlista!$C33),"",IF(ISBLANK(Arrangörslista!C$53),"",IF($GV35=Y$64," DNS ",IFERROR(VLOOKUP($F35,Arrangörslista!C$53:$AG$90,16,FALSE),"DNS")))),IF(ISBLANK(Deltagarlista!$C33),"",IF(ISBLANK(Arrangörslista!C$53),"",IFERROR(VLOOKUP($F35,Arrangörslista!C$53:$AG$90,16,FALSE),"DNS")))))</f>
        <v/>
      </c>
      <c r="Z35" s="5" t="str">
        <f>IF(Deltagarlista!$K$3=4,IF(ISBLANK(Deltagarlista!$C33),"",IF(ISBLANK(Arrangörslista!E$98),"",IFERROR(VLOOKUP($F35,Arrangörslista!E$98:$AG$135,16,FALSE),IF(ISBLANK(Deltagarlista!$C33),"",IF(ISBLANK(Arrangörslista!E$98),"",IFERROR(VLOOKUP($F35,Arrangörslista!F$98:$AG$135,16,FALSE),"DNS")))))),IF(Deltagarlista!$K$3=2,
IF(ISBLANK(Deltagarlista!$C33),"",IF(ISBLANK(Arrangörslista!D$53),"",IF($GV35=Z$64," DNS ",IFERROR(VLOOKUP($F35,Arrangörslista!D$53:$AG$90,16,FALSE),"DNS")))),IF(ISBLANK(Deltagarlista!$C33),"",IF(ISBLANK(Arrangörslista!D$53),"",IFERROR(VLOOKUP($F35,Arrangörslista!D$53:$AG$90,16,FALSE),"DNS")))))</f>
        <v/>
      </c>
      <c r="AA35" s="5" t="str">
        <f>IF(Deltagarlista!$K$3=4,IF(ISBLANK(Deltagarlista!$C33),"",IF(ISBLANK(Arrangörslista!G$98),"",IFERROR(VLOOKUP($F35,Arrangörslista!G$98:$AG$135,16,FALSE),IF(ISBLANK(Deltagarlista!$C33),"",IF(ISBLANK(Arrangörslista!G$98),"",IFERROR(VLOOKUP($F35,Arrangörslista!H$98:$AG$135,16,FALSE),"DNS")))))),IF(Deltagarlista!$K$3=2,
IF(ISBLANK(Deltagarlista!$C33),"",IF(ISBLANK(Arrangörslista!E$53),"",IF($GV35=AA$64," DNS ",IFERROR(VLOOKUP($F35,Arrangörslista!E$53:$AG$90,16,FALSE),"DNS")))),IF(ISBLANK(Deltagarlista!$C33),"",IF(ISBLANK(Arrangörslista!E$53),"",IFERROR(VLOOKUP($F35,Arrangörslista!E$53:$AG$90,16,FALSE),"DNS")))))</f>
        <v/>
      </c>
      <c r="AB35" s="5" t="str">
        <f>IF(Deltagarlista!$K$3=4,IF(ISBLANK(Deltagarlista!$C33),"",IF(ISBLANK(Arrangörslista!I$98),"",IFERROR(VLOOKUP($F35,Arrangörslista!I$98:$AG$135,16,FALSE),IF(ISBLANK(Deltagarlista!$C33),"",IF(ISBLANK(Arrangörslista!I$98),"",IFERROR(VLOOKUP($F35,Arrangörslista!J$98:$AG$135,16,FALSE),"DNS")))))),IF(Deltagarlista!$K$3=2,
IF(ISBLANK(Deltagarlista!$C33),"",IF(ISBLANK(Arrangörslista!F$53),"",IF($GV35=AB$64," DNS ",IFERROR(VLOOKUP($F35,Arrangörslista!F$53:$AG$90,16,FALSE),"DNS")))),IF(ISBLANK(Deltagarlista!$C33),"",IF(ISBLANK(Arrangörslista!F$53),"",IFERROR(VLOOKUP($F35,Arrangörslista!F$53:$AG$90,16,FALSE),"DNS")))))</f>
        <v/>
      </c>
      <c r="AC35" s="5" t="str">
        <f>IF(Deltagarlista!$K$3=4,IF(ISBLANK(Deltagarlista!$C33),"",IF(ISBLANK(Arrangörslista!K$98),"",IFERROR(VLOOKUP($F35,Arrangörslista!K$98:$AG$135,16,FALSE),IF(ISBLANK(Deltagarlista!$C33),"",IF(ISBLANK(Arrangörslista!K$98),"",IFERROR(VLOOKUP($F35,Arrangörslista!L$98:$AG$135,16,FALSE),"DNS")))))),IF(Deltagarlista!$K$3=2,
IF(ISBLANK(Deltagarlista!$C33),"",IF(ISBLANK(Arrangörslista!G$53),"",IF($GV35=AC$64," DNS ",IFERROR(VLOOKUP($F35,Arrangörslista!G$53:$AG$90,16,FALSE),"DNS")))),IF(ISBLANK(Deltagarlista!$C33),"",IF(ISBLANK(Arrangörslista!G$53),"",IFERROR(VLOOKUP($F35,Arrangörslista!G$53:$AG$90,16,FALSE),"DNS")))))</f>
        <v/>
      </c>
      <c r="AD35" s="5" t="str">
        <f>IF(Deltagarlista!$K$3=4,IF(ISBLANK(Deltagarlista!$C33),"",IF(ISBLANK(Arrangörslista!M$98),"",IFERROR(VLOOKUP($F35,Arrangörslista!M$98:$AG$135,16,FALSE),IF(ISBLANK(Deltagarlista!$C33),"",IF(ISBLANK(Arrangörslista!M$98),"",IFERROR(VLOOKUP($F35,Arrangörslista!N$98:$AG$135,16,FALSE),"DNS")))))),IF(Deltagarlista!$K$3=2,
IF(ISBLANK(Deltagarlista!$C33),"",IF(ISBLANK(Arrangörslista!H$53),"",IF($GV35=AD$64," DNS ",IFERROR(VLOOKUP($F35,Arrangörslista!H$53:$AG$90,16,FALSE),"DNS")))),IF(ISBLANK(Deltagarlista!$C33),"",IF(ISBLANK(Arrangörslista!H$53),"",IFERROR(VLOOKUP($F35,Arrangörslista!H$53:$AG$90,16,FALSE),"DNS")))))</f>
        <v/>
      </c>
      <c r="AE35" s="5" t="str">
        <f>IF(Deltagarlista!$K$3=4,IF(ISBLANK(Deltagarlista!$C33),"",IF(ISBLANK(Arrangörslista!O$98),"",IFERROR(VLOOKUP($F35,Arrangörslista!O$98:$AG$135,16,FALSE),IF(ISBLANK(Deltagarlista!$C33),"",IF(ISBLANK(Arrangörslista!O$98),"",IFERROR(VLOOKUP($F35,Arrangörslista!P$98:$AG$135,16,FALSE),"DNS")))))),IF(Deltagarlista!$K$3=2,
IF(ISBLANK(Deltagarlista!$C33),"",IF(ISBLANK(Arrangörslista!I$53),"",IF($GV35=AE$64," DNS ",IFERROR(VLOOKUP($F35,Arrangörslista!I$53:$AG$90,16,FALSE),"DNS")))),IF(ISBLANK(Deltagarlista!$C33),"",IF(ISBLANK(Arrangörslista!I$53),"",IFERROR(VLOOKUP($F35,Arrangörslista!I$53:$AG$90,16,FALSE),"DNS")))))</f>
        <v/>
      </c>
      <c r="AF35" s="5" t="str">
        <f>IF(Deltagarlista!$K$3=4,IF(ISBLANK(Deltagarlista!$C33),"",IF(ISBLANK(Arrangörslista!Q$98),"",IFERROR(VLOOKUP($F35,Arrangörslista!Q$98:$AG$135,16,FALSE),IF(ISBLANK(Deltagarlista!$C33),"",IF(ISBLANK(Arrangörslista!Q$98),"",IFERROR(VLOOKUP($F35,Arrangörslista!C$143:$AG$180,16,FALSE),"DNS")))))),IF(Deltagarlista!$K$3=2,
IF(ISBLANK(Deltagarlista!$C33),"",IF(ISBLANK(Arrangörslista!J$53),"",IF($GV35=AF$64," DNS ",IFERROR(VLOOKUP($F35,Arrangörslista!J$53:$AG$90,16,FALSE),"DNS")))),IF(ISBLANK(Deltagarlista!$C33),"",IF(ISBLANK(Arrangörslista!J$53),"",IFERROR(VLOOKUP($F35,Arrangörslista!J$53:$AG$90,16,FALSE),"DNS")))))</f>
        <v/>
      </c>
      <c r="AG35" s="5" t="str">
        <f>IF(Deltagarlista!$K$3=4,IF(ISBLANK(Deltagarlista!$C33),"",IF(ISBLANK(Arrangörslista!D$143),"",IFERROR(VLOOKUP($F35,Arrangörslista!D$143:$AG$180,16,FALSE),IF(ISBLANK(Deltagarlista!$C33),"",IF(ISBLANK(Arrangörslista!D$143),"",IFERROR(VLOOKUP($F35,Arrangörslista!E$143:$AG$180,16,FALSE),"DNS")))))),IF(Deltagarlista!$K$3=2,
IF(ISBLANK(Deltagarlista!$C33),"",IF(ISBLANK(Arrangörslista!K$53),"",IF($GV35=AG$64," DNS ",IFERROR(VLOOKUP($F35,Arrangörslista!K$53:$AG$90,16,FALSE),"DNS")))),IF(ISBLANK(Deltagarlista!$C33),"",IF(ISBLANK(Arrangörslista!K$53),"",IFERROR(VLOOKUP($F35,Arrangörslista!K$53:$AG$90,16,FALSE),"DNS")))))</f>
        <v/>
      </c>
      <c r="AH35" s="5" t="str">
        <f>IF(Deltagarlista!$K$3=4,IF(ISBLANK(Deltagarlista!$C33),"",IF(ISBLANK(Arrangörslista!F$143),"",IFERROR(VLOOKUP($F35,Arrangörslista!F$143:$AG$180,16,FALSE),IF(ISBLANK(Deltagarlista!$C33),"",IF(ISBLANK(Arrangörslista!F$143),"",IFERROR(VLOOKUP($F35,Arrangörslista!G$143:$AG$180,16,FALSE),"DNS")))))),IF(Deltagarlista!$K$3=2,
IF(ISBLANK(Deltagarlista!$C33),"",IF(ISBLANK(Arrangörslista!L$53),"",IF($GV35=AH$64," DNS ",IFERROR(VLOOKUP($F35,Arrangörslista!L$53:$AG$90,16,FALSE),"DNS")))),IF(ISBLANK(Deltagarlista!$C33),"",IF(ISBLANK(Arrangörslista!L$53),"",IFERROR(VLOOKUP($F35,Arrangörslista!L$53:$AG$90,16,FALSE),"DNS")))))</f>
        <v/>
      </c>
      <c r="AI35" s="5" t="str">
        <f>IF(Deltagarlista!$K$3=4,IF(ISBLANK(Deltagarlista!$C33),"",IF(ISBLANK(Arrangörslista!H$143),"",IFERROR(VLOOKUP($F35,Arrangörslista!H$143:$AG$180,16,FALSE),IF(ISBLANK(Deltagarlista!$C33),"",IF(ISBLANK(Arrangörslista!H$143),"",IFERROR(VLOOKUP($F35,Arrangörslista!I$143:$AG$180,16,FALSE),"DNS")))))),IF(Deltagarlista!$K$3=2,
IF(ISBLANK(Deltagarlista!$C33),"",IF(ISBLANK(Arrangörslista!M$53),"",IF($GV35=AI$64," DNS ",IFERROR(VLOOKUP($F35,Arrangörslista!M$53:$AG$90,16,FALSE),"DNS")))),IF(ISBLANK(Deltagarlista!$C33),"",IF(ISBLANK(Arrangörslista!M$53),"",IFERROR(VLOOKUP($F35,Arrangörslista!M$53:$AG$90,16,FALSE),"DNS")))))</f>
        <v/>
      </c>
      <c r="AJ35" s="5" t="str">
        <f>IF(Deltagarlista!$K$3=4,IF(ISBLANK(Deltagarlista!$C33),"",IF(ISBLANK(Arrangörslista!J$143),"",IFERROR(VLOOKUP($F35,Arrangörslista!J$143:$AG$180,16,FALSE),IF(ISBLANK(Deltagarlista!$C33),"",IF(ISBLANK(Arrangörslista!J$143),"",IFERROR(VLOOKUP($F35,Arrangörslista!K$143:$AG$180,16,FALSE),"DNS")))))),IF(Deltagarlista!$K$3=2,
IF(ISBLANK(Deltagarlista!$C33),"",IF(ISBLANK(Arrangörslista!N$53),"",IF($GV35=AJ$64," DNS ",IFERROR(VLOOKUP($F35,Arrangörslista!N$53:$AG$90,16,FALSE),"DNS")))),IF(ISBLANK(Deltagarlista!$C33),"",IF(ISBLANK(Arrangörslista!N$53),"",IFERROR(VLOOKUP($F35,Arrangörslista!N$53:$AG$90,16,FALSE),"DNS")))))</f>
        <v/>
      </c>
      <c r="AK35" s="5" t="str">
        <f>IF(Deltagarlista!$K$3=4,IF(ISBLANK(Deltagarlista!$C33),"",IF(ISBLANK(Arrangörslista!L$143),"",IFERROR(VLOOKUP($F35,Arrangörslista!L$143:$AG$180,16,FALSE),IF(ISBLANK(Deltagarlista!$C33),"",IF(ISBLANK(Arrangörslista!L$143),"",IFERROR(VLOOKUP($F35,Arrangörslista!M$143:$AG$180,16,FALSE),"DNS")))))),IF(Deltagarlista!$K$3=2,
IF(ISBLANK(Deltagarlista!$C33),"",IF(ISBLANK(Arrangörslista!O$53),"",IF($GV35=AK$64," DNS ",IFERROR(VLOOKUP($F35,Arrangörslista!O$53:$AG$90,16,FALSE),"DNS")))),IF(ISBLANK(Deltagarlista!$C33),"",IF(ISBLANK(Arrangörslista!O$53),"",IFERROR(VLOOKUP($F35,Arrangörslista!O$53:$AG$90,16,FALSE),"DNS")))))</f>
        <v/>
      </c>
      <c r="AL35" s="5" t="str">
        <f>IF(Deltagarlista!$K$3=4,IF(ISBLANK(Deltagarlista!$C33),"",IF(ISBLANK(Arrangörslista!N$143),"",IFERROR(VLOOKUP($F35,Arrangörslista!N$143:$AG$180,16,FALSE),IF(ISBLANK(Deltagarlista!$C33),"",IF(ISBLANK(Arrangörslista!N$143),"",IFERROR(VLOOKUP($F35,Arrangörslista!O$143:$AG$180,16,FALSE),"DNS")))))),IF(Deltagarlista!$K$3=2,
IF(ISBLANK(Deltagarlista!$C33),"",IF(ISBLANK(Arrangörslista!P$53),"",IF($GV35=AL$64," DNS ",IFERROR(VLOOKUP($F35,Arrangörslista!P$53:$AG$90,16,FALSE),"DNS")))),IF(ISBLANK(Deltagarlista!$C33),"",IF(ISBLANK(Arrangörslista!P$53),"",IFERROR(VLOOKUP($F35,Arrangörslista!P$53:$AG$90,16,FALSE),"DNS")))))</f>
        <v/>
      </c>
      <c r="AM35" s="5" t="str">
        <f>IF(Deltagarlista!$K$3=4,IF(ISBLANK(Deltagarlista!$C33),"",IF(ISBLANK(Arrangörslista!P$143),"",IFERROR(VLOOKUP($F35,Arrangörslista!P$143:$AG$180,16,FALSE),IF(ISBLANK(Deltagarlista!$C33),"",IF(ISBLANK(Arrangörslista!P$143),"",IFERROR(VLOOKUP($F35,Arrangörslista!Q$143:$AG$180,16,FALSE),"DNS")))))),IF(Deltagarlista!$K$3=2,
IF(ISBLANK(Deltagarlista!$C33),"",IF(ISBLANK(Arrangörslista!Q$53),"",IF($GV35=AM$64," DNS ",IFERROR(VLOOKUP($F35,Arrangörslista!Q$53:$AG$90,16,FALSE),"DNS")))),IF(ISBLANK(Deltagarlista!$C33),"",IF(ISBLANK(Arrangörslista!Q$53),"",IFERROR(VLOOKUP($F35,Arrangörslista!Q$53:$AG$90,16,FALSE),"DNS")))))</f>
        <v/>
      </c>
      <c r="AN35" s="5" t="str">
        <f>IF(Deltagarlista!$K$3=2,
IF(ISBLANK(Deltagarlista!$C33),"",IF(ISBLANK(Arrangörslista!C$98),"",IF($GV35=AN$64," DNS ",IFERROR(VLOOKUP($F35,Arrangörslista!C$98:$AG$135,16,FALSE), "DNS")))), IF(Deltagarlista!$K$3=1,IF(ISBLANK(Deltagarlista!$C33),"",IF(ISBLANK(Arrangörslista!C$98),"",IFERROR(VLOOKUP($F35,Arrangörslista!C$98:$AG$135,16,FALSE), "DNS"))),""))</f>
        <v/>
      </c>
      <c r="AO35" s="5" t="str">
        <f>IF(Deltagarlista!$K$3=2,
IF(ISBLANK(Deltagarlista!$C33),"",IF(ISBLANK(Arrangörslista!D$98),"",IF($GV35=AO$64," DNS ",IFERROR(VLOOKUP($F35,Arrangörslista!D$98:$AG$135,16,FALSE), "DNS")))), IF(Deltagarlista!$K$3=1,IF(ISBLANK(Deltagarlista!$C33),"",IF(ISBLANK(Arrangörslista!D$98),"",IFERROR(VLOOKUP($F35,Arrangörslista!D$98:$AG$135,16,FALSE), "DNS"))),""))</f>
        <v/>
      </c>
      <c r="AP35" s="5" t="str">
        <f>IF(Deltagarlista!$K$3=2,
IF(ISBLANK(Deltagarlista!$C33),"",IF(ISBLANK(Arrangörslista!E$98),"",IF($GV35=AP$64," DNS ",IFERROR(VLOOKUP($F35,Arrangörslista!E$98:$AG$135,16,FALSE), "DNS")))), IF(Deltagarlista!$K$3=1,IF(ISBLANK(Deltagarlista!$C33),"",IF(ISBLANK(Arrangörslista!E$98),"",IFERROR(VLOOKUP($F35,Arrangörslista!E$98:$AG$135,16,FALSE), "DNS"))),""))</f>
        <v/>
      </c>
      <c r="AQ35" s="5" t="str">
        <f>IF(Deltagarlista!$K$3=2,
IF(ISBLANK(Deltagarlista!$C33),"",IF(ISBLANK(Arrangörslista!F$98),"",IF($GV35=AQ$64," DNS ",IFERROR(VLOOKUP($F35,Arrangörslista!F$98:$AG$135,16,FALSE), "DNS")))), IF(Deltagarlista!$K$3=1,IF(ISBLANK(Deltagarlista!$C33),"",IF(ISBLANK(Arrangörslista!F$98),"",IFERROR(VLOOKUP($F35,Arrangörslista!F$98:$AG$135,16,FALSE), "DNS"))),""))</f>
        <v/>
      </c>
      <c r="AR35" s="5" t="str">
        <f>IF(Deltagarlista!$K$3=2,
IF(ISBLANK(Deltagarlista!$C33),"",IF(ISBLANK(Arrangörslista!G$98),"",IF($GV35=AR$64," DNS ",IFERROR(VLOOKUP($F35,Arrangörslista!G$98:$AG$135,16,FALSE), "DNS")))), IF(Deltagarlista!$K$3=1,IF(ISBLANK(Deltagarlista!$C33),"",IF(ISBLANK(Arrangörslista!G$98),"",IFERROR(VLOOKUP($F35,Arrangörslista!G$98:$AG$135,16,FALSE), "DNS"))),""))</f>
        <v/>
      </c>
      <c r="AS35" s="5" t="str">
        <f>IF(Deltagarlista!$K$3=2,
IF(ISBLANK(Deltagarlista!$C33),"",IF(ISBLANK(Arrangörslista!H$98),"",IF($GV35=AS$64," DNS ",IFERROR(VLOOKUP($F35,Arrangörslista!H$98:$AG$135,16,FALSE), "DNS")))), IF(Deltagarlista!$K$3=1,IF(ISBLANK(Deltagarlista!$C33),"",IF(ISBLANK(Arrangörslista!H$98),"",IFERROR(VLOOKUP($F35,Arrangörslista!H$98:$AG$135,16,FALSE), "DNS"))),""))</f>
        <v/>
      </c>
      <c r="AT35" s="5" t="str">
        <f>IF(Deltagarlista!$K$3=2,
IF(ISBLANK(Deltagarlista!$C33),"",IF(ISBLANK(Arrangörslista!I$98),"",IF($GV35=AT$64," DNS ",IFERROR(VLOOKUP($F35,Arrangörslista!I$98:$AG$135,16,FALSE), "DNS")))), IF(Deltagarlista!$K$3=1,IF(ISBLANK(Deltagarlista!$C33),"",IF(ISBLANK(Arrangörslista!I$98),"",IFERROR(VLOOKUP($F35,Arrangörslista!I$98:$AG$135,16,FALSE), "DNS"))),""))</f>
        <v/>
      </c>
      <c r="AU35" s="5" t="str">
        <f>IF(Deltagarlista!$K$3=2,
IF(ISBLANK(Deltagarlista!$C33),"",IF(ISBLANK(Arrangörslista!J$98),"",IF($GV35=AU$64," DNS ",IFERROR(VLOOKUP($F35,Arrangörslista!J$98:$AG$135,16,FALSE), "DNS")))), IF(Deltagarlista!$K$3=1,IF(ISBLANK(Deltagarlista!$C33),"",IF(ISBLANK(Arrangörslista!J$98),"",IFERROR(VLOOKUP($F35,Arrangörslista!J$98:$AG$135,16,FALSE), "DNS"))),""))</f>
        <v/>
      </c>
      <c r="AV35" s="5" t="str">
        <f>IF(Deltagarlista!$K$3=2,
IF(ISBLANK(Deltagarlista!$C33),"",IF(ISBLANK(Arrangörslista!K$98),"",IF($GV35=AV$64," DNS ",IFERROR(VLOOKUP($F35,Arrangörslista!K$98:$AG$135,16,FALSE), "DNS")))), IF(Deltagarlista!$K$3=1,IF(ISBLANK(Deltagarlista!$C33),"",IF(ISBLANK(Arrangörslista!K$98),"",IFERROR(VLOOKUP($F35,Arrangörslista!K$98:$AG$135,16,FALSE), "DNS"))),""))</f>
        <v/>
      </c>
      <c r="AW35" s="5" t="str">
        <f>IF(Deltagarlista!$K$3=2,
IF(ISBLANK(Deltagarlista!$C33),"",IF(ISBLANK(Arrangörslista!L$98),"",IF($GV35=AW$64," DNS ",IFERROR(VLOOKUP($F35,Arrangörslista!L$98:$AG$135,16,FALSE), "DNS")))), IF(Deltagarlista!$K$3=1,IF(ISBLANK(Deltagarlista!$C33),"",IF(ISBLANK(Arrangörslista!L$98),"",IFERROR(VLOOKUP($F35,Arrangörslista!L$98:$AG$135,16,FALSE), "DNS"))),""))</f>
        <v/>
      </c>
      <c r="AX35" s="5" t="str">
        <f>IF(Deltagarlista!$K$3=2,
IF(ISBLANK(Deltagarlista!$C33),"",IF(ISBLANK(Arrangörslista!M$98),"",IF($GV35=AX$64," DNS ",IFERROR(VLOOKUP($F35,Arrangörslista!M$98:$AG$135,16,FALSE), "DNS")))), IF(Deltagarlista!$K$3=1,IF(ISBLANK(Deltagarlista!$C33),"",IF(ISBLANK(Arrangörslista!M$98),"",IFERROR(VLOOKUP($F35,Arrangörslista!M$98:$AG$135,16,FALSE), "DNS"))),""))</f>
        <v/>
      </c>
      <c r="AY35" s="5" t="str">
        <f>IF(Deltagarlista!$K$3=2,
IF(ISBLANK(Deltagarlista!$C33),"",IF(ISBLANK(Arrangörslista!N$98),"",IF($GV35=AY$64," DNS ",IFERROR(VLOOKUP($F35,Arrangörslista!N$98:$AG$135,16,FALSE), "DNS")))), IF(Deltagarlista!$K$3=1,IF(ISBLANK(Deltagarlista!$C33),"",IF(ISBLANK(Arrangörslista!N$98),"",IFERROR(VLOOKUP($F35,Arrangörslista!N$98:$AG$135,16,FALSE), "DNS"))),""))</f>
        <v/>
      </c>
      <c r="AZ35" s="5" t="str">
        <f>IF(Deltagarlista!$K$3=2,
IF(ISBLANK(Deltagarlista!$C33),"",IF(ISBLANK(Arrangörslista!O$98),"",IF($GV35=AZ$64," DNS ",IFERROR(VLOOKUP($F35,Arrangörslista!O$98:$AG$135,16,FALSE), "DNS")))), IF(Deltagarlista!$K$3=1,IF(ISBLANK(Deltagarlista!$C33),"",IF(ISBLANK(Arrangörslista!O$98),"",IFERROR(VLOOKUP($F35,Arrangörslista!O$98:$AG$135,16,FALSE), "DNS"))),""))</f>
        <v/>
      </c>
      <c r="BA35" s="5" t="str">
        <f>IF(Deltagarlista!$K$3=2,
IF(ISBLANK(Deltagarlista!$C33),"",IF(ISBLANK(Arrangörslista!P$98),"",IF($GV35=BA$64," DNS ",IFERROR(VLOOKUP($F35,Arrangörslista!P$98:$AG$135,16,FALSE), "DNS")))), IF(Deltagarlista!$K$3=1,IF(ISBLANK(Deltagarlista!$C33),"",IF(ISBLANK(Arrangörslista!P$98),"",IFERROR(VLOOKUP($F35,Arrangörslista!P$98:$AG$135,16,FALSE), "DNS"))),""))</f>
        <v/>
      </c>
      <c r="BB35" s="5" t="str">
        <f>IF(Deltagarlista!$K$3=2,
IF(ISBLANK(Deltagarlista!$C33),"",IF(ISBLANK(Arrangörslista!Q$98),"",IF($GV35=BB$64," DNS ",IFERROR(VLOOKUP($F35,Arrangörslista!Q$98:$AG$135,16,FALSE), "DNS")))), IF(Deltagarlista!$K$3=1,IF(ISBLANK(Deltagarlista!$C33),"",IF(ISBLANK(Arrangörslista!Q$98),"",IFERROR(VLOOKUP($F35,Arrangörslista!Q$98:$AG$135,16,FALSE), "DNS"))),""))</f>
        <v/>
      </c>
      <c r="BC35" s="5" t="str">
        <f>IF(Deltagarlista!$K$3=2,
IF(ISBLANK(Deltagarlista!$C33),"",IF(ISBLANK(Arrangörslista!C$143),"",IF($GV35=BC$64," DNS ",IFERROR(VLOOKUP($F35,Arrangörslista!C$143:$AG$180,16,FALSE), "DNS")))), IF(Deltagarlista!$K$3=1,IF(ISBLANK(Deltagarlista!$C33),"",IF(ISBLANK(Arrangörslista!C$143),"",IFERROR(VLOOKUP($F35,Arrangörslista!C$143:$AG$180,16,FALSE), "DNS"))),""))</f>
        <v/>
      </c>
      <c r="BD35" s="5" t="str">
        <f>IF(Deltagarlista!$K$3=2,
IF(ISBLANK(Deltagarlista!$C33),"",IF(ISBLANK(Arrangörslista!D$143),"",IF($GV35=BD$64," DNS ",IFERROR(VLOOKUP($F35,Arrangörslista!D$143:$AG$180,16,FALSE), "DNS")))), IF(Deltagarlista!$K$3=1,IF(ISBLANK(Deltagarlista!$C33),"",IF(ISBLANK(Arrangörslista!D$143),"",IFERROR(VLOOKUP($F35,Arrangörslista!D$143:$AG$180,16,FALSE), "DNS"))),""))</f>
        <v/>
      </c>
      <c r="BE35" s="5" t="str">
        <f>IF(Deltagarlista!$K$3=2,
IF(ISBLANK(Deltagarlista!$C33),"",IF(ISBLANK(Arrangörslista!E$143),"",IF($GV35=BE$64," DNS ",IFERROR(VLOOKUP($F35,Arrangörslista!E$143:$AG$180,16,FALSE), "DNS")))), IF(Deltagarlista!$K$3=1,IF(ISBLANK(Deltagarlista!$C33),"",IF(ISBLANK(Arrangörslista!E$143),"",IFERROR(VLOOKUP($F35,Arrangörslista!E$143:$AG$180,16,FALSE), "DNS"))),""))</f>
        <v/>
      </c>
      <c r="BF35" s="5" t="str">
        <f>IF(Deltagarlista!$K$3=2,
IF(ISBLANK(Deltagarlista!$C33),"",IF(ISBLANK(Arrangörslista!F$143),"",IF($GV35=BF$64," DNS ",IFERROR(VLOOKUP($F35,Arrangörslista!F$143:$AG$180,16,FALSE), "DNS")))), IF(Deltagarlista!$K$3=1,IF(ISBLANK(Deltagarlista!$C33),"",IF(ISBLANK(Arrangörslista!F$143),"",IFERROR(VLOOKUP($F35,Arrangörslista!F$143:$AG$180,16,FALSE), "DNS"))),""))</f>
        <v/>
      </c>
      <c r="BG35" s="5" t="str">
        <f>IF(Deltagarlista!$K$3=2,
IF(ISBLANK(Deltagarlista!$C33),"",IF(ISBLANK(Arrangörslista!G$143),"",IF($GV35=BG$64," DNS ",IFERROR(VLOOKUP($F35,Arrangörslista!G$143:$AG$180,16,FALSE), "DNS")))), IF(Deltagarlista!$K$3=1,IF(ISBLANK(Deltagarlista!$C33),"",IF(ISBLANK(Arrangörslista!G$143),"",IFERROR(VLOOKUP($F35,Arrangörslista!G$143:$AG$180,16,FALSE), "DNS"))),""))</f>
        <v/>
      </c>
      <c r="BH35" s="5" t="str">
        <f>IF(Deltagarlista!$K$3=2,
IF(ISBLANK(Deltagarlista!$C33),"",IF(ISBLANK(Arrangörslista!H$143),"",IF($GV35=BH$64," DNS ",IFERROR(VLOOKUP($F35,Arrangörslista!H$143:$AG$180,16,FALSE), "DNS")))), IF(Deltagarlista!$K$3=1,IF(ISBLANK(Deltagarlista!$C33),"",IF(ISBLANK(Arrangörslista!H$143),"",IFERROR(VLOOKUP($F35,Arrangörslista!H$143:$AG$180,16,FALSE), "DNS"))),""))</f>
        <v/>
      </c>
      <c r="BI35" s="5" t="str">
        <f>IF(Deltagarlista!$K$3=2,
IF(ISBLANK(Deltagarlista!$C33),"",IF(ISBLANK(Arrangörslista!I$143),"",IF($GV35=BI$64," DNS ",IFERROR(VLOOKUP($F35,Arrangörslista!I$143:$AG$180,16,FALSE), "DNS")))), IF(Deltagarlista!$K$3=1,IF(ISBLANK(Deltagarlista!$C33),"",IF(ISBLANK(Arrangörslista!I$143),"",IFERROR(VLOOKUP($F35,Arrangörslista!I$143:$AG$180,16,FALSE), "DNS"))),""))</f>
        <v/>
      </c>
      <c r="BJ35" s="5" t="str">
        <f>IF(Deltagarlista!$K$3=2,
IF(ISBLANK(Deltagarlista!$C33),"",IF(ISBLANK(Arrangörslista!J$143),"",IF($GV35=BJ$64," DNS ",IFERROR(VLOOKUP($F35,Arrangörslista!J$143:$AG$180,16,FALSE), "DNS")))), IF(Deltagarlista!$K$3=1,IF(ISBLANK(Deltagarlista!$C33),"",IF(ISBLANK(Arrangörslista!J$143),"",IFERROR(VLOOKUP($F35,Arrangörslista!J$143:$AG$180,16,FALSE), "DNS"))),""))</f>
        <v/>
      </c>
      <c r="BK35" s="5" t="str">
        <f>IF(Deltagarlista!$K$3=2,
IF(ISBLANK(Deltagarlista!$C33),"",IF(ISBLANK(Arrangörslista!K$143),"",IF($GV35=BK$64," DNS ",IFERROR(VLOOKUP($F35,Arrangörslista!K$143:$AG$180,16,FALSE), "DNS")))), IF(Deltagarlista!$K$3=1,IF(ISBLANK(Deltagarlista!$C33),"",IF(ISBLANK(Arrangörslista!K$143),"",IFERROR(VLOOKUP($F35,Arrangörslista!K$143:$AG$180,16,FALSE), "DNS"))),""))</f>
        <v/>
      </c>
      <c r="BL35" s="5" t="str">
        <f>IF(Deltagarlista!$K$3=2,
IF(ISBLANK(Deltagarlista!$C33),"",IF(ISBLANK(Arrangörslista!L$143),"",IF($GV35=BL$64," DNS ",IFERROR(VLOOKUP($F35,Arrangörslista!L$143:$AG$180,16,FALSE), "DNS")))), IF(Deltagarlista!$K$3=1,IF(ISBLANK(Deltagarlista!$C33),"",IF(ISBLANK(Arrangörslista!L$143),"",IFERROR(VLOOKUP($F35,Arrangörslista!L$143:$AG$180,16,FALSE), "DNS"))),""))</f>
        <v/>
      </c>
      <c r="BM35" s="5" t="str">
        <f>IF(Deltagarlista!$K$3=2,
IF(ISBLANK(Deltagarlista!$C33),"",IF(ISBLANK(Arrangörslista!M$143),"",IF($GV35=BM$64," DNS ",IFERROR(VLOOKUP($F35,Arrangörslista!M$143:$AG$180,16,FALSE), "DNS")))), IF(Deltagarlista!$K$3=1,IF(ISBLANK(Deltagarlista!$C33),"",IF(ISBLANK(Arrangörslista!M$143),"",IFERROR(VLOOKUP($F35,Arrangörslista!M$143:$AG$180,16,FALSE), "DNS"))),""))</f>
        <v/>
      </c>
      <c r="BN35" s="5" t="str">
        <f>IF(Deltagarlista!$K$3=2,
IF(ISBLANK(Deltagarlista!$C33),"",IF(ISBLANK(Arrangörslista!N$143),"",IF($GV35=BN$64," DNS ",IFERROR(VLOOKUP($F35,Arrangörslista!N$143:$AG$180,16,FALSE), "DNS")))), IF(Deltagarlista!$K$3=1,IF(ISBLANK(Deltagarlista!$C33),"",IF(ISBLANK(Arrangörslista!N$143),"",IFERROR(VLOOKUP($F35,Arrangörslista!N$143:$AG$180,16,FALSE), "DNS"))),""))</f>
        <v/>
      </c>
      <c r="BO35" s="5" t="str">
        <f>IF(Deltagarlista!$K$3=2,
IF(ISBLANK(Deltagarlista!$C33),"",IF(ISBLANK(Arrangörslista!O$143),"",IF($GV35=BO$64," DNS ",IFERROR(VLOOKUP($F35,Arrangörslista!O$143:$AG$180,16,FALSE), "DNS")))), IF(Deltagarlista!$K$3=1,IF(ISBLANK(Deltagarlista!$C33),"",IF(ISBLANK(Arrangörslista!O$143),"",IFERROR(VLOOKUP($F35,Arrangörslista!O$143:$AG$180,16,FALSE), "DNS"))),""))</f>
        <v/>
      </c>
      <c r="BP35" s="5" t="str">
        <f>IF(Deltagarlista!$K$3=2,
IF(ISBLANK(Deltagarlista!$C33),"",IF(ISBLANK(Arrangörslista!P$143),"",IF($GV35=BP$64," DNS ",IFERROR(VLOOKUP($F35,Arrangörslista!P$143:$AG$180,16,FALSE), "DNS")))), IF(Deltagarlista!$K$3=1,IF(ISBLANK(Deltagarlista!$C33),"",IF(ISBLANK(Arrangörslista!P$143),"",IFERROR(VLOOKUP($F35,Arrangörslista!P$143:$AG$180,16,FALSE), "DNS"))),""))</f>
        <v/>
      </c>
      <c r="BQ35" s="80" t="str">
        <f>IF(Deltagarlista!$K$3=2,
IF(ISBLANK(Deltagarlista!$C33),"",IF(ISBLANK(Arrangörslista!Q$143),"",IF($GV35=BQ$64," DNS ",IFERROR(VLOOKUP($F35,Arrangörslista!Q$143:$AG$180,16,FALSE), "DNS")))), IF(Deltagarlista!$K$3=1,IF(ISBLANK(Deltagarlista!$C33),"",IF(ISBLANK(Arrangörslista!Q$143),"",IFERROR(VLOOKUP($F35,Arrangörslista!Q$143:$AG$180,16,FALSE), "DNS"))),""))</f>
        <v/>
      </c>
      <c r="BR35" s="51"/>
      <c r="BS35" s="50" t="str">
        <f t="shared" si="0"/>
        <v>2</v>
      </c>
      <c r="BT35" s="51"/>
      <c r="BU35" s="71">
        <f t="shared" si="1"/>
        <v>0</v>
      </c>
      <c r="BV35" s="61">
        <f t="shared" si="2"/>
        <v>0</v>
      </c>
      <c r="BW35" s="61">
        <f t="shared" si="3"/>
        <v>0</v>
      </c>
      <c r="BX35" s="61">
        <f t="shared" si="4"/>
        <v>0</v>
      </c>
      <c r="BY35" s="61">
        <f t="shared" si="5"/>
        <v>0</v>
      </c>
      <c r="BZ35" s="61">
        <f t="shared" si="6"/>
        <v>0</v>
      </c>
      <c r="CA35" s="61">
        <f t="shared" si="7"/>
        <v>0</v>
      </c>
      <c r="CB35" s="61">
        <f t="shared" si="8"/>
        <v>0</v>
      </c>
      <c r="CC35" s="61">
        <f t="shared" si="9"/>
        <v>0</v>
      </c>
      <c r="CD35" s="61">
        <f t="shared" si="10"/>
        <v>0</v>
      </c>
      <c r="CE35" s="61">
        <f t="shared" si="11"/>
        <v>0</v>
      </c>
      <c r="CF35" s="61">
        <f t="shared" si="12"/>
        <v>0</v>
      </c>
      <c r="CG35" s="61">
        <f t="shared" si="13"/>
        <v>0</v>
      </c>
      <c r="CH35" s="61">
        <f t="shared" si="14"/>
        <v>0</v>
      </c>
      <c r="CI35" s="61">
        <f t="shared" si="15"/>
        <v>0</v>
      </c>
      <c r="CJ35" s="61">
        <f t="shared" si="16"/>
        <v>0</v>
      </c>
      <c r="CK35" s="61">
        <f t="shared" si="17"/>
        <v>0</v>
      </c>
      <c r="CL35" s="61">
        <f t="shared" si="18"/>
        <v>0</v>
      </c>
      <c r="CM35" s="61">
        <f t="shared" si="19"/>
        <v>0</v>
      </c>
      <c r="CN35" s="61">
        <f t="shared" si="20"/>
        <v>0</v>
      </c>
      <c r="CO35" s="61">
        <f t="shared" si="21"/>
        <v>0</v>
      </c>
      <c r="CP35" s="61">
        <f t="shared" si="22"/>
        <v>0</v>
      </c>
      <c r="CQ35" s="61">
        <f t="shared" si="23"/>
        <v>0</v>
      </c>
      <c r="CR35" s="61">
        <f t="shared" si="24"/>
        <v>0</v>
      </c>
      <c r="CS35" s="61">
        <f t="shared" si="25"/>
        <v>0</v>
      </c>
      <c r="CT35" s="61">
        <f t="shared" si="26"/>
        <v>0</v>
      </c>
      <c r="CU35" s="61">
        <f t="shared" si="27"/>
        <v>0</v>
      </c>
      <c r="CV35" s="61">
        <f t="shared" si="28"/>
        <v>0</v>
      </c>
      <c r="CW35" s="61">
        <f t="shared" si="29"/>
        <v>0</v>
      </c>
      <c r="CX35" s="61">
        <f t="shared" si="30"/>
        <v>0</v>
      </c>
      <c r="CY35" s="61">
        <f t="shared" si="31"/>
        <v>0</v>
      </c>
      <c r="CZ35" s="61">
        <f t="shared" si="32"/>
        <v>0</v>
      </c>
      <c r="DA35" s="61">
        <f t="shared" si="33"/>
        <v>0</v>
      </c>
      <c r="DB35" s="61">
        <f t="shared" si="34"/>
        <v>0</v>
      </c>
      <c r="DC35" s="61">
        <f t="shared" si="35"/>
        <v>0</v>
      </c>
      <c r="DD35" s="61">
        <f t="shared" si="36"/>
        <v>0</v>
      </c>
      <c r="DE35" s="61">
        <f t="shared" si="37"/>
        <v>0</v>
      </c>
      <c r="DF35" s="61">
        <f t="shared" si="38"/>
        <v>0</v>
      </c>
      <c r="DG35" s="61">
        <f t="shared" si="39"/>
        <v>0</v>
      </c>
      <c r="DH35" s="61">
        <f t="shared" si="40"/>
        <v>0</v>
      </c>
      <c r="DI35" s="61">
        <f t="shared" si="41"/>
        <v>0</v>
      </c>
      <c r="DJ35" s="61">
        <f t="shared" si="42"/>
        <v>0</v>
      </c>
      <c r="DK35" s="61">
        <f t="shared" si="43"/>
        <v>0</v>
      </c>
      <c r="DL35" s="61">
        <f t="shared" si="44"/>
        <v>0</v>
      </c>
      <c r="DM35" s="61">
        <f t="shared" si="45"/>
        <v>0</v>
      </c>
      <c r="DN35" s="61">
        <f t="shared" si="46"/>
        <v>0</v>
      </c>
      <c r="DO35" s="61">
        <f t="shared" si="47"/>
        <v>0</v>
      </c>
      <c r="DP35" s="61">
        <f t="shared" si="48"/>
        <v>0</v>
      </c>
      <c r="DQ35" s="61">
        <f t="shared" si="49"/>
        <v>0</v>
      </c>
      <c r="DR35" s="61">
        <f t="shared" si="50"/>
        <v>0</v>
      </c>
      <c r="DS35" s="61">
        <f t="shared" si="51"/>
        <v>0</v>
      </c>
      <c r="DT35" s="61">
        <f t="shared" si="52"/>
        <v>0</v>
      </c>
      <c r="DU35" s="61">
        <f t="shared" si="53"/>
        <v>0</v>
      </c>
      <c r="DV35" s="61">
        <f t="shared" si="54"/>
        <v>0</v>
      </c>
      <c r="DW35" s="61">
        <f t="shared" si="55"/>
        <v>0</v>
      </c>
      <c r="DX35" s="61">
        <f t="shared" si="56"/>
        <v>0</v>
      </c>
      <c r="DY35" s="61">
        <f t="shared" si="57"/>
        <v>0</v>
      </c>
      <c r="DZ35" s="61">
        <f t="shared" si="58"/>
        <v>0</v>
      </c>
      <c r="EA35" s="61">
        <f t="shared" si="59"/>
        <v>0</v>
      </c>
      <c r="EB35" s="61">
        <f t="shared" si="60"/>
        <v>0</v>
      </c>
      <c r="EC35" s="61">
        <f t="shared" si="61"/>
        <v>0</v>
      </c>
      <c r="EE35" s="61">
        <f xml:space="preserve">
IF(OR(Deltagarlista!$K$3=3,Deltagarlista!$K$3=4),
IF(Arrangörslista!$U$5&lt;8,0,
IF(Arrangörslista!$U$5&lt;16,SUM(LARGE(BV35:CJ35,1)),
IF(Arrangörslista!$U$5&lt;24,SUM(LARGE(BV35:CR35,{1;2})),
IF(Arrangörslista!$U$5&lt;32,SUM(LARGE(BV35:CZ35,{1;2;3})),
IF(Arrangörslista!$U$5&lt;40,SUM(LARGE(BV35:DH35,{1;2;3;4})),
IF(Arrangörslista!$U$5&lt;48,SUM(LARGE(BV35:DP35,{1;2;3;4;5})),
IF(Arrangörslista!$U$5&lt;56,SUM(LARGE(BV35:DX35,{1;2;3;4;5;6})),
IF(Arrangörslista!$U$5&lt;64,SUM(LARGE(BV35:EC35,{1;2;3;4;5;6;7})),0)))))))),
IF(Deltagarlista!$K$3=2,
IF(Arrangörslista!$U$5&lt;4,LARGE(BV35:BX35,1),
IF(Arrangörslista!$U$5&lt;7,SUM(LARGE(BV35:CA35,{1;2;3})),
IF(Arrangörslista!$U$5&lt;10,SUM(LARGE(BV35:CD35,{1;2;3;4})),
IF(Arrangörslista!$U$5&lt;13,SUM(LARGE(BV35:CG35,{1;2;3;4;5;6})),
IF(Arrangörslista!$U$5&lt;16,SUM(LARGE(BV35:CJ35,{1;2;3;4;5;6;7})),
IF(Arrangörslista!$U$5&lt;19,SUM(LARGE(BV35:CM35,{1;2;3;4;5;6;7;8;9})),
IF(Arrangörslista!$U$5&lt;22,SUM(LARGE(BV35:CP35,{1;2;3;4;5;6;7;8;9;10})),
IF(Arrangörslista!$U$5&lt;25,SUM(LARGE(BV35:CS35,{1;2;3;4;5;6;7;8;9;10;11;12})),
IF(Arrangörslista!$U$5&lt;28,SUM(LARGE(BV35:CV35,{1;2;3;4;5;6;7;8;9;10;11;12;13})),
IF(Arrangörslista!$U$5&lt;31,SUM(LARGE(BV35:CY35,{1;2;3;4;5;6;7;8;9;10;11;12;13;14;15})),
IF(Arrangörslista!$U$5&lt;34,SUM(LARGE(BV35:DB35,{1;2;3;4;5;6;7;8;9;10;11;12;13;14;15;16})),
IF(Arrangörslista!$U$5&lt;37,SUM(LARGE(BV35:DE35,{1;2;3;4;5;6;7;8;9;10;11;12;13;14;15;16;17;18})),
IF(Arrangörslista!$U$5&lt;40,SUM(LARGE(BV35:DH35,{1;2;3;4;5;6;7;8;9;10;11;12;13;14;15;16;17;18;19})),
IF(Arrangörslista!$U$5&lt;43,SUM(LARGE(BV35:DK35,{1;2;3;4;5;6;7;8;9;10;11;12;13;14;15;16;17;18;19;20;21})),
IF(Arrangörslista!$U$5&lt;46,SUM(LARGE(BV35:DN35,{1;2;3;4;5;6;7;8;9;10;11;12;13;14;15;16;17;18;19;20;21;22})),
IF(Arrangörslista!$U$5&lt;49,SUM(LARGE(BV35:DQ35,{1;2;3;4;5;6;7;8;9;10;11;12;13;14;15;16;17;18;19;20;21;22;23;24})),
IF(Arrangörslista!$U$5&lt;52,SUM(LARGE(BV35:DT35,{1;2;3;4;5;6;7;8;9;10;11;12;13;14;15;16;17;18;19;20;21;22;23;24;25})),
IF(Arrangörslista!$U$5&lt;55,SUM(LARGE(BV35:DW35,{1;2;3;4;5;6;7;8;9;10;11;12;13;14;15;16;17;18;19;20;21;22;23;24;25;26;27})),
IF(Arrangörslista!$U$5&lt;58,SUM(LARGE(BV35:DZ35,{1;2;3;4;5;6;7;8;9;10;11;12;13;14;15;16;17;18;19;20;21;22;23;24;25;26;27;28})),
IF(Arrangörslista!$U$5&lt;61,SUM(LARGE(BV35:EC35,{1;2;3;4;5;6;7;8;9;10;11;12;13;14;15;16;17;18;19;20;21;22;23;24;25;26;27;28;29;30})),0)))))))))))))))))))),
IF(Arrangörslista!$U$5&lt;4,0,
IF(Arrangörslista!$U$5&lt;8,SUM(LARGE(BV35:CB35,1)),
IF(Arrangörslista!$U$5&lt;12,SUM(LARGE(BV35:CF35,{1;2})),
IF(Arrangörslista!$U$5&lt;16,SUM(LARGE(BV35:CJ35,{1;2;3})),
IF(Arrangörslista!$U$5&lt;20,SUM(LARGE(BV35:CN35,{1;2;3;4})),
IF(Arrangörslista!$U$5&lt;24,SUM(LARGE(BV35:CR35,{1;2;3;4;5})),
IF(Arrangörslista!$U$5&lt;28,SUM(LARGE(BV35:CV35,{1;2;3;4;5;6})),
IF(Arrangörslista!$U$5&lt;32,SUM(LARGE(BV35:CZ35,{1;2;3;4;5;6;7})),
IF(Arrangörslista!$U$5&lt;36,SUM(LARGE(BV35:DD35,{1;2;3;4;5;6;7;8})),
IF(Arrangörslista!$U$5&lt;40,SUM(LARGE(BV35:DH35,{1;2;3;4;5;6;7;8;9})),
IF(Arrangörslista!$U$5&lt;44,SUM(LARGE(BV35:DL35,{1;2;3;4;5;6;7;8;9;10})),
IF(Arrangörslista!$U$5&lt;48,SUM(LARGE(BV35:DP35,{1;2;3;4;5;6;7;8;9;10;11})),
IF(Arrangörslista!$U$5&lt;52,SUM(LARGE(BV35:DT35,{1;2;3;4;5;6;7;8;9;10;11;12})),
IF(Arrangörslista!$U$5&lt;56,SUM(LARGE(BV35:DX35,{1;2;3;4;5;6;7;8;9;10;11;12;13})),
IF(Arrangörslista!$U$5&lt;60,SUM(LARGE(BV35:EB35,{1;2;3;4;5;6;7;8;9;10;11;12;13;14})),
IF(Arrangörslista!$U$5=60,SUM(LARGE(BV35:EC35,{1;2;3;4;5;6;7;8;9;10;11;12;13;14;15})),0))))))))))))))))))</f>
        <v>0</v>
      </c>
      <c r="EG35" s="67">
        <f t="shared" si="62"/>
        <v>0</v>
      </c>
      <c r="EH35" s="61"/>
      <c r="EI35" s="61"/>
      <c r="EK35" s="62">
        <f t="shared" si="63"/>
        <v>61</v>
      </c>
      <c r="EL35" s="62">
        <f t="shared" si="64"/>
        <v>61</v>
      </c>
      <c r="EM35" s="62">
        <f t="shared" si="65"/>
        <v>61</v>
      </c>
      <c r="EN35" s="62">
        <f t="shared" si="66"/>
        <v>61</v>
      </c>
      <c r="EO35" s="62">
        <f t="shared" si="67"/>
        <v>61</v>
      </c>
      <c r="EP35" s="62">
        <f t="shared" si="68"/>
        <v>61</v>
      </c>
      <c r="EQ35" s="62">
        <f t="shared" si="69"/>
        <v>61</v>
      </c>
      <c r="ER35" s="62">
        <f t="shared" si="70"/>
        <v>61</v>
      </c>
      <c r="ES35" s="62">
        <f t="shared" si="71"/>
        <v>61</v>
      </c>
      <c r="ET35" s="62">
        <f t="shared" si="72"/>
        <v>61</v>
      </c>
      <c r="EU35" s="62">
        <f t="shared" si="73"/>
        <v>61</v>
      </c>
      <c r="EV35" s="62">
        <f t="shared" si="74"/>
        <v>61</v>
      </c>
      <c r="EW35" s="62">
        <f t="shared" si="75"/>
        <v>61</v>
      </c>
      <c r="EX35" s="62">
        <f t="shared" si="76"/>
        <v>61</v>
      </c>
      <c r="EY35" s="62">
        <f t="shared" si="77"/>
        <v>61</v>
      </c>
      <c r="EZ35" s="62">
        <f t="shared" si="78"/>
        <v>61</v>
      </c>
      <c r="FA35" s="62">
        <f t="shared" si="79"/>
        <v>61</v>
      </c>
      <c r="FB35" s="62">
        <f t="shared" si="80"/>
        <v>61</v>
      </c>
      <c r="FC35" s="62">
        <f t="shared" si="81"/>
        <v>61</v>
      </c>
      <c r="FD35" s="62">
        <f t="shared" si="82"/>
        <v>61</v>
      </c>
      <c r="FE35" s="62">
        <f t="shared" si="83"/>
        <v>61</v>
      </c>
      <c r="FF35" s="62">
        <f t="shared" si="84"/>
        <v>61</v>
      </c>
      <c r="FG35" s="62">
        <f t="shared" si="85"/>
        <v>61</v>
      </c>
      <c r="FH35" s="62">
        <f t="shared" si="86"/>
        <v>61</v>
      </c>
      <c r="FI35" s="62">
        <f t="shared" si="87"/>
        <v>61</v>
      </c>
      <c r="FJ35" s="62">
        <f t="shared" si="88"/>
        <v>61</v>
      </c>
      <c r="FK35" s="62">
        <f t="shared" si="89"/>
        <v>61</v>
      </c>
      <c r="FL35" s="62">
        <f t="shared" si="90"/>
        <v>61</v>
      </c>
      <c r="FM35" s="62">
        <f t="shared" si="91"/>
        <v>61</v>
      </c>
      <c r="FN35" s="62">
        <f t="shared" si="92"/>
        <v>61</v>
      </c>
      <c r="FO35" s="62">
        <f t="shared" si="93"/>
        <v>61</v>
      </c>
      <c r="FP35" s="62">
        <f t="shared" si="94"/>
        <v>61</v>
      </c>
      <c r="FQ35" s="62">
        <f t="shared" si="95"/>
        <v>61</v>
      </c>
      <c r="FR35" s="62">
        <f t="shared" si="96"/>
        <v>61</v>
      </c>
      <c r="FS35" s="62">
        <f t="shared" si="97"/>
        <v>61</v>
      </c>
      <c r="FT35" s="62">
        <f t="shared" si="98"/>
        <v>61</v>
      </c>
      <c r="FU35" s="62">
        <f t="shared" si="99"/>
        <v>61</v>
      </c>
      <c r="FV35" s="62">
        <f t="shared" si="100"/>
        <v>61</v>
      </c>
      <c r="FW35" s="62">
        <f t="shared" si="101"/>
        <v>61</v>
      </c>
      <c r="FX35" s="62">
        <f t="shared" si="102"/>
        <v>61</v>
      </c>
      <c r="FY35" s="62">
        <f t="shared" si="103"/>
        <v>61</v>
      </c>
      <c r="FZ35" s="62">
        <f t="shared" si="104"/>
        <v>61</v>
      </c>
      <c r="GA35" s="62">
        <f t="shared" si="105"/>
        <v>61</v>
      </c>
      <c r="GB35" s="62">
        <f t="shared" si="106"/>
        <v>61</v>
      </c>
      <c r="GC35" s="62">
        <f t="shared" si="107"/>
        <v>61</v>
      </c>
      <c r="GD35" s="62">
        <f t="shared" si="108"/>
        <v>61</v>
      </c>
      <c r="GE35" s="62">
        <f t="shared" si="109"/>
        <v>61</v>
      </c>
      <c r="GF35" s="62">
        <f t="shared" si="110"/>
        <v>61</v>
      </c>
      <c r="GG35" s="62">
        <f t="shared" si="111"/>
        <v>61</v>
      </c>
      <c r="GH35" s="62">
        <f t="shared" si="112"/>
        <v>61</v>
      </c>
      <c r="GI35" s="62">
        <f t="shared" si="113"/>
        <v>61</v>
      </c>
      <c r="GJ35" s="62">
        <f t="shared" si="114"/>
        <v>61</v>
      </c>
      <c r="GK35" s="62">
        <f t="shared" si="115"/>
        <v>61</v>
      </c>
      <c r="GL35" s="62">
        <f t="shared" si="116"/>
        <v>61</v>
      </c>
      <c r="GM35" s="62">
        <f t="shared" si="117"/>
        <v>61</v>
      </c>
      <c r="GN35" s="62">
        <f t="shared" si="118"/>
        <v>61</v>
      </c>
      <c r="GO35" s="62">
        <f t="shared" si="119"/>
        <v>61</v>
      </c>
      <c r="GP35" s="62">
        <f t="shared" si="120"/>
        <v>61</v>
      </c>
      <c r="GQ35" s="62">
        <f t="shared" si="121"/>
        <v>61</v>
      </c>
      <c r="GR35" s="62">
        <f t="shared" si="122"/>
        <v>61</v>
      </c>
      <c r="GT35" s="62">
        <f>IF(Deltagarlista!$K$3=2,
IF(GW35="1",
      IF(Arrangörslista!$U$5=1,J98,
IF(Arrangörslista!$U$5=2,K98,
IF(Arrangörslista!$U$5=3,L98,
IF(Arrangörslista!$U$5=4,M98,
IF(Arrangörslista!$U$5=5,N98,
IF(Arrangörslista!$U$5=6,O98,
IF(Arrangörslista!$U$5=7,P98,
IF(Arrangörslista!$U$5=8,Q98,
IF(Arrangörslista!$U$5=9,R98,
IF(Arrangörslista!$U$5=10,S98,
IF(Arrangörslista!$U$5=11,T98,
IF(Arrangörslista!$U$5=12,U98,
IF(Arrangörslista!$U$5=13,V98,
IF(Arrangörslista!$U$5=14,W98,
IF(Arrangörslista!$U$5=15,X98,
IF(Arrangörslista!$U$5=16,Y98,IF(Arrangörslista!$U$5=17,Z98,IF(Arrangörslista!$U$5=18,AA98,IF(Arrangörslista!$U$5=19,AB98,IF(Arrangörslista!$U$5=20,AC98,IF(Arrangörslista!$U$5=21,AD98,IF(Arrangörslista!$U$5=22,AE98,IF(Arrangörslista!$U$5=23,AF98, IF(Arrangörslista!$U$5=24,AG98, IF(Arrangörslista!$U$5=25,AH98, IF(Arrangörslista!$U$5=26,AI98, IF(Arrangörslista!$U$5=27,AJ98, IF(Arrangörslista!$U$5=28,AK98, IF(Arrangörslista!$U$5=29,AL98, IF(Arrangörslista!$U$5=30,AM98, IF(Arrangörslista!$U$5=31,AN98, IF(Arrangörslista!$U$5=32,AO98, IF(Arrangörslista!$U$5=33,AP98, IF(Arrangörslista!$U$5=34,AQ98, IF(Arrangörslista!$U$5=35,AR98, IF(Arrangörslista!$U$5=36,AS98, IF(Arrangörslista!$U$5=37,AT98, IF(Arrangörslista!$U$5=38,AU98, IF(Arrangörslista!$U$5=39,AV98, IF(Arrangörslista!$U$5=40,AW98, IF(Arrangörslista!$U$5=41,AX98, IF(Arrangörslista!$U$5=42,AY98, IF(Arrangörslista!$U$5=43,AZ98, IF(Arrangörslista!$U$5=44,BA98, IF(Arrangörslista!$U$5=45,BB98, IF(Arrangörslista!$U$5=46,BC98, IF(Arrangörslista!$U$5=47,BD98, IF(Arrangörslista!$U$5=48,BE98, IF(Arrangörslista!$U$5=49,BF98, IF(Arrangörslista!$U$5=50,BG98, IF(Arrangörslista!$U$5=51,BH98, IF(Arrangörslista!$U$5=52,BI98, IF(Arrangörslista!$U$5=53,BJ98, IF(Arrangörslista!$U$5=54,BK98, IF(Arrangörslista!$U$5=55,BL98, IF(Arrangörslista!$U$5=56,BM98, IF(Arrangörslista!$U$5=57,BN98, IF(Arrangörslista!$U$5=58,BO98, IF(Arrangörslista!$U$5=59,BP98, IF(Arrangörslista!$U$5=60,BQ98,0))))))))))))))))))))))))))))))))))))))))))))))))))))))))))))),IF(Deltagarlista!$K$3=4, IF(Arrangörslista!$U$5=1,J98,
IF(Arrangörslista!$U$5=2,J98,
IF(Arrangörslista!$U$5=3,K98,
IF(Arrangörslista!$U$5=4,K98,
IF(Arrangörslista!$U$5=5,L98,
IF(Arrangörslista!$U$5=6,L98,
IF(Arrangörslista!$U$5=7,M98,
IF(Arrangörslista!$U$5=8,M98,
IF(Arrangörslista!$U$5=9,N98,
IF(Arrangörslista!$U$5=10,N98,
IF(Arrangörslista!$U$5=11,O98,
IF(Arrangörslista!$U$5=12,O98,
IF(Arrangörslista!$U$5=13,P98,
IF(Arrangörslista!$U$5=14,P98,
IF(Arrangörslista!$U$5=15,Q98,
IF(Arrangörslista!$U$5=16,Q98,
IF(Arrangörslista!$U$5=17,R98,
IF(Arrangörslista!$U$5=18,R98,
IF(Arrangörslista!$U$5=19,S98,
IF(Arrangörslista!$U$5=20,S98,
IF(Arrangörslista!$U$5=21,T98,
IF(Arrangörslista!$U$5=22,T98,IF(Arrangörslista!$U$5=23,U98, IF(Arrangörslista!$U$5=24,U98, IF(Arrangörslista!$U$5=25,V98, IF(Arrangörslista!$U$5=26,V98, IF(Arrangörslista!$U$5=27,W98, IF(Arrangörslista!$U$5=28,W98, IF(Arrangörslista!$U$5=29,X98, IF(Arrangörslista!$U$5=30,X98, IF(Arrangörslista!$U$5=31,X98, IF(Arrangörslista!$U$5=32,Y98, IF(Arrangörslista!$U$5=33,AO98, IF(Arrangörslista!$U$5=34,Y98, IF(Arrangörslista!$U$5=35,Z98, IF(Arrangörslista!$U$5=36,AR98, IF(Arrangörslista!$U$5=37,Z98, IF(Arrangörslista!$U$5=38,AA98, IF(Arrangörslista!$U$5=39,AU98, IF(Arrangörslista!$U$5=40,AA98, IF(Arrangörslista!$U$5=41,AB98, IF(Arrangörslista!$U$5=42,AX98, IF(Arrangörslista!$U$5=43,AB98, IF(Arrangörslista!$U$5=44,AC98, IF(Arrangörslista!$U$5=45,BA98, IF(Arrangörslista!$U$5=46,AC98, IF(Arrangörslista!$U$5=47,AD98, IF(Arrangörslista!$U$5=48,BD98, IF(Arrangörslista!$U$5=49,AD98, IF(Arrangörslista!$U$5=50,AE98, IF(Arrangörslista!$U$5=51,BG98, IF(Arrangörslista!$U$5=52,AE98, IF(Arrangörslista!$U$5=53,AF98, IF(Arrangörslista!$U$5=54,BJ98, IF(Arrangörslista!$U$5=55,AF98, IF(Arrangörslista!$U$5=56,AG98, IF(Arrangörslista!$U$5=57,BM98, IF(Arrangörslista!$U$5=58,AG98, IF(Arrangörslista!$U$5=59,AH98, IF(Arrangörslista!$U$5=60,AH98,0)))))))))))))))))))))))))))))))))))))))))))))))))))))))))))),IF(Arrangörslista!$U$5=1,J98,
IF(Arrangörslista!$U$5=2,K98,
IF(Arrangörslista!$U$5=3,L98,
IF(Arrangörslista!$U$5=4,M98,
IF(Arrangörslista!$U$5=5,N98,
IF(Arrangörslista!$U$5=6,O98,
IF(Arrangörslista!$U$5=7,P98,
IF(Arrangörslista!$U$5=8,Q98,
IF(Arrangörslista!$U$5=9,R98,
IF(Arrangörslista!$U$5=10,S98,
IF(Arrangörslista!$U$5=11,T98,
IF(Arrangörslista!$U$5=12,U98,
IF(Arrangörslista!$U$5=13,V98,
IF(Arrangörslista!$U$5=14,W98,
IF(Arrangörslista!$U$5=15,X98,
IF(Arrangörslista!$U$5=16,Y98,IF(Arrangörslista!$U$5=17,Z98,IF(Arrangörslista!$U$5=18,AA98,IF(Arrangörslista!$U$5=19,AB98,IF(Arrangörslista!$U$5=20,AC98,IF(Arrangörslista!$U$5=21,AD98,IF(Arrangörslista!$U$5=22,AE98,IF(Arrangörslista!$U$5=23,AF98, IF(Arrangörslista!$U$5=24,AG98, IF(Arrangörslista!$U$5=25,AH98, IF(Arrangörslista!$U$5=26,AI98, IF(Arrangörslista!$U$5=27,AJ98, IF(Arrangörslista!$U$5=28,AK98, IF(Arrangörslista!$U$5=29,AL98, IF(Arrangörslista!$U$5=30,AM98, IF(Arrangörslista!$U$5=31,AN98, IF(Arrangörslista!$U$5=32,AO98, IF(Arrangörslista!$U$5=33,AP98, IF(Arrangörslista!$U$5=34,AQ98, IF(Arrangörslista!$U$5=35,AR98, IF(Arrangörslista!$U$5=36,AS98, IF(Arrangörslista!$U$5=37,AT98, IF(Arrangörslista!$U$5=38,AU98, IF(Arrangörslista!$U$5=39,AV98, IF(Arrangörslista!$U$5=40,AW98, IF(Arrangörslista!$U$5=41,AX98, IF(Arrangörslista!$U$5=42,AY98, IF(Arrangörslista!$U$5=43,AZ98, IF(Arrangörslista!$U$5=44,BA98, IF(Arrangörslista!$U$5=45,BB98, IF(Arrangörslista!$U$5=46,BC98, IF(Arrangörslista!$U$5=47,BD98, IF(Arrangörslista!$U$5=48,BE98, IF(Arrangörslista!$U$5=49,BF98, IF(Arrangörslista!$U$5=50,BG98, IF(Arrangörslista!$U$5=51,BH98, IF(Arrangörslista!$U$5=52,BI98, IF(Arrangörslista!$U$5=53,BJ98, IF(Arrangörslista!$U$5=54,BK98, IF(Arrangörslista!$U$5=55,BL98, IF(Arrangörslista!$U$5=56,BM98, IF(Arrangörslista!$U$5=57,BN98, IF(Arrangörslista!$U$5=58,BO98, IF(Arrangörslista!$U$5=59,BP98, IF(Arrangörslista!$U$5=60,BQ98,0))))))))))))))))))))))))))))))))))))))))))))))))))))))))))))
))</f>
        <v>0</v>
      </c>
      <c r="GV35" s="65" t="str">
        <f>IFERROR(IF(VLOOKUP(F35,Deltagarlista!$E$5:$I$64,5,FALSE)="Grön","Gr",IF(VLOOKUP(F35,Deltagarlista!$E$5:$I$64,5,FALSE)="Röd","R",IF(VLOOKUP(F35,Deltagarlista!$E$5:$I$64,5,FALSE)="Blå","B","Gu"))),"")</f>
        <v/>
      </c>
      <c r="GW35" s="62" t="str">
        <f t="shared" si="124"/>
        <v/>
      </c>
    </row>
    <row r="36" spans="2:205" ht="15.75" customHeight="1" x14ac:dyDescent="0.3">
      <c r="B36" s="23" t="str">
        <f>IF((COUNTIF(Deltagarlista!$H$5:$H$64,"GM"))&gt;32,33,"")</f>
        <v/>
      </c>
      <c r="C36" s="92" t="str">
        <f>IF(ISBLANK(Deltagarlista!C37),"",Deltagarlista!C37)</f>
        <v/>
      </c>
      <c r="D36" s="109" t="str">
        <f>CONCATENATE(IF(Deltagarlista!H37="GM","GM   ",""), IF(OR(Deltagarlista!$K$3=4,Deltagarlista!$K$3=2),Deltagarlista!I37,""))</f>
        <v/>
      </c>
      <c r="E36" s="8" t="str">
        <f>IF(ISBLANK(Deltagarlista!D37),"",Deltagarlista!D37)</f>
        <v/>
      </c>
      <c r="F36" s="8" t="str">
        <f>IF(ISBLANK(Deltagarlista!E37),"",Deltagarlista!E37)</f>
        <v/>
      </c>
      <c r="G36" s="95" t="str">
        <f>IF(ISBLANK(Deltagarlista!F37),"",Deltagarlista!F37)</f>
        <v/>
      </c>
      <c r="H36" s="72" t="str">
        <f>IF(ISBLANK(Deltagarlista!C37),"",BU36-EE36)</f>
        <v/>
      </c>
      <c r="I36" s="13" t="str">
        <f>IF(ISBLANK(Deltagarlista!C37),"",IF(AND(Deltagarlista!$K$3=2,Deltagarlista!$L$3&lt;37),SUM(SUM(BV36:EC36)-(ROUNDDOWN(Arrangörslista!$U$5/3,1))*($BW$3+1)),SUM(BV36:EC36)))</f>
        <v/>
      </c>
      <c r="J36" s="79" t="str">
        <f>IF(Deltagarlista!$K$3=4,IF(ISBLANK(Deltagarlista!$C37),"",IF(ISBLANK(Arrangörslista!C$8),"",IFERROR(VLOOKUP($F36,Arrangörslista!C$8:$AG$45,16,FALSE),IF(ISBLANK(Deltagarlista!$C37),"",IF(ISBLANK(Arrangörslista!C$8),"",IFERROR(VLOOKUP($F36,Arrangörslista!D$8:$AG$45,16,FALSE),"DNS")))))),IF(Deltagarlista!$K$3=2,
IF(ISBLANK(Deltagarlista!$C37),"",IF(ISBLANK(Arrangörslista!C$8),"",IF($GV36=J$64," DNS ",IFERROR(VLOOKUP($F36,Arrangörslista!C$8:$AG$45,16,FALSE),"DNS")))),IF(ISBLANK(Deltagarlista!$C37),"",IF(ISBLANK(Arrangörslista!C$8),"",IFERROR(VLOOKUP($F36,Arrangörslista!C$8:$AG$45,16,FALSE),"DNS")))))</f>
        <v/>
      </c>
      <c r="K36" s="5" t="str">
        <f>IF(Deltagarlista!$K$3=4,IF(ISBLANK(Deltagarlista!$C37),"",IF(ISBLANK(Arrangörslista!E$8),"",IFERROR(VLOOKUP($F36,Arrangörslista!E$8:$AG$45,16,FALSE),IF(ISBLANK(Deltagarlista!$C37),"",IF(ISBLANK(Arrangörslista!E$8),"",IFERROR(VLOOKUP($F36,Arrangörslista!F$8:$AG$45,16,FALSE),"DNS")))))),IF(Deltagarlista!$K$3=2,
IF(ISBLANK(Deltagarlista!$C37),"",IF(ISBLANK(Arrangörslista!D$8),"",IF($GV36=K$64," DNS ",IFERROR(VLOOKUP($F36,Arrangörslista!D$8:$AG$45,16,FALSE),"DNS")))),IF(ISBLANK(Deltagarlista!$C37),"",IF(ISBLANK(Arrangörslista!D$8),"",IFERROR(VLOOKUP($F36,Arrangörslista!D$8:$AG$45,16,FALSE),"DNS")))))</f>
        <v/>
      </c>
      <c r="L36" s="5" t="str">
        <f>IF(Deltagarlista!$K$3=4,IF(ISBLANK(Deltagarlista!$C37),"",IF(ISBLANK(Arrangörslista!G$8),"",IFERROR(VLOOKUP($F36,Arrangörslista!G$8:$AG$45,16,FALSE),IF(ISBLANK(Deltagarlista!$C37),"",IF(ISBLANK(Arrangörslista!G$8),"",IFERROR(VLOOKUP($F36,Arrangörslista!H$8:$AG$45,16,FALSE),"DNS")))))),IF(Deltagarlista!$K$3=2,
IF(ISBLANK(Deltagarlista!$C37),"",IF(ISBLANK(Arrangörslista!E$8),"",IF($GV36=L$64," DNS ",IFERROR(VLOOKUP($F36,Arrangörslista!E$8:$AG$45,16,FALSE),"DNS")))),IF(ISBLANK(Deltagarlista!$C37),"",IF(ISBLANK(Arrangörslista!E$8),"",IFERROR(VLOOKUP($F36,Arrangörslista!E$8:$AG$45,16,FALSE),"DNS")))))</f>
        <v/>
      </c>
      <c r="M36" s="5" t="str">
        <f>IF(Deltagarlista!$K$3=4,IF(ISBLANK(Deltagarlista!$C37),"",IF(ISBLANK(Arrangörslista!I$8),"",IFERROR(VLOOKUP($F36,Arrangörslista!I$8:$AG$45,16,FALSE),IF(ISBLANK(Deltagarlista!$C37),"",IF(ISBLANK(Arrangörslista!I$8),"",IFERROR(VLOOKUP($F36,Arrangörslista!J$8:$AG$45,16,FALSE),"DNS")))))),IF(Deltagarlista!$K$3=2,
IF(ISBLANK(Deltagarlista!$C37),"",IF(ISBLANK(Arrangörslista!F$8),"",IF($GV36=M$64," DNS ",IFERROR(VLOOKUP($F36,Arrangörslista!F$8:$AG$45,16,FALSE),"DNS")))),IF(ISBLANK(Deltagarlista!$C37),"",IF(ISBLANK(Arrangörslista!F$8),"",IFERROR(VLOOKUP($F36,Arrangörslista!F$8:$AG$45,16,FALSE),"DNS")))))</f>
        <v/>
      </c>
      <c r="N36" s="5" t="str">
        <f>IF(Deltagarlista!$K$3=4,IF(ISBLANK(Deltagarlista!$C37),"",IF(ISBLANK(Arrangörslista!K$8),"",IFERROR(VLOOKUP($F36,Arrangörslista!K$8:$AG$45,16,FALSE),IF(ISBLANK(Deltagarlista!$C37),"",IF(ISBLANK(Arrangörslista!K$8),"",IFERROR(VLOOKUP($F36,Arrangörslista!L$8:$AG$45,16,FALSE),"DNS")))))),IF(Deltagarlista!$K$3=2,
IF(ISBLANK(Deltagarlista!$C37),"",IF(ISBLANK(Arrangörslista!G$8),"",IF($GV36=N$64," DNS ",IFERROR(VLOOKUP($F36,Arrangörslista!G$8:$AG$45,16,FALSE),"DNS")))),IF(ISBLANK(Deltagarlista!$C37),"",IF(ISBLANK(Arrangörslista!G$8),"",IFERROR(VLOOKUP($F36,Arrangörslista!G$8:$AG$45,16,FALSE),"DNS")))))</f>
        <v/>
      </c>
      <c r="O36" s="5" t="str">
        <f>IF(Deltagarlista!$K$3=4,IF(ISBLANK(Deltagarlista!$C37),"",IF(ISBLANK(Arrangörslista!M$8),"",IFERROR(VLOOKUP($F36,Arrangörslista!M$8:$AG$45,16,FALSE),IF(ISBLANK(Deltagarlista!$C37),"",IF(ISBLANK(Arrangörslista!M$8),"",IFERROR(VLOOKUP($F36,Arrangörslista!N$8:$AG$45,16,FALSE),"DNS")))))),IF(Deltagarlista!$K$3=2,
IF(ISBLANK(Deltagarlista!$C37),"",IF(ISBLANK(Arrangörslista!H$8),"",IF($GV36=O$64," DNS ",IFERROR(VLOOKUP($F36,Arrangörslista!H$8:$AG$45,16,FALSE),"DNS")))),IF(ISBLANK(Deltagarlista!$C37),"",IF(ISBLANK(Arrangörslista!H$8),"",IFERROR(VLOOKUP($F36,Arrangörslista!H$8:$AG$45,16,FALSE),"DNS")))))</f>
        <v/>
      </c>
      <c r="P36" s="5" t="str">
        <f>IF(Deltagarlista!$K$3=4,IF(ISBLANK(Deltagarlista!$C37),"",IF(ISBLANK(Arrangörslista!O$8),"",IFERROR(VLOOKUP($F36,Arrangörslista!O$8:$AG$45,16,FALSE),IF(ISBLANK(Deltagarlista!$C37),"",IF(ISBLANK(Arrangörslista!O$8),"",IFERROR(VLOOKUP($F36,Arrangörslista!P$8:$AG$45,16,FALSE),"DNS")))))),IF(Deltagarlista!$K$3=2,
IF(ISBLANK(Deltagarlista!$C37),"",IF(ISBLANK(Arrangörslista!I$8),"",IF($GV36=P$64," DNS ",IFERROR(VLOOKUP($F36,Arrangörslista!I$8:$AG$45,16,FALSE),"DNS")))),IF(ISBLANK(Deltagarlista!$C37),"",IF(ISBLANK(Arrangörslista!I$8),"",IFERROR(VLOOKUP($F36,Arrangörslista!I$8:$AG$45,16,FALSE),"DNS")))))</f>
        <v/>
      </c>
      <c r="Q36" s="5" t="str">
        <f>IF(Deltagarlista!$K$3=4,IF(ISBLANK(Deltagarlista!$C37),"",IF(ISBLANK(Arrangörslista!Q$8),"",IFERROR(VLOOKUP($F36,Arrangörslista!Q$8:$AG$45,16,FALSE),IF(ISBLANK(Deltagarlista!$C37),"",IF(ISBLANK(Arrangörslista!Q$8),"",IFERROR(VLOOKUP($F36,Arrangörslista!C$53:$AG$90,16,FALSE),"DNS")))))),IF(Deltagarlista!$K$3=2,
IF(ISBLANK(Deltagarlista!$C37),"",IF(ISBLANK(Arrangörslista!J$8),"",IF($GV36=Q$64," DNS ",IFERROR(VLOOKUP($F36,Arrangörslista!J$8:$AG$45,16,FALSE),"DNS")))),IF(ISBLANK(Deltagarlista!$C37),"",IF(ISBLANK(Arrangörslista!J$8),"",IFERROR(VLOOKUP($F36,Arrangörslista!J$8:$AG$45,16,FALSE),"DNS")))))</f>
        <v/>
      </c>
      <c r="R36" s="5" t="str">
        <f>IF(Deltagarlista!$K$3=4,IF(ISBLANK(Deltagarlista!$C37),"",IF(ISBLANK(Arrangörslista!D$53),"",IFERROR(VLOOKUP($F36,Arrangörslista!D$53:$AG$90,16,FALSE),IF(ISBLANK(Deltagarlista!$C37),"",IF(ISBLANK(Arrangörslista!D$53),"",IFERROR(VLOOKUP($F36,Arrangörslista!E$53:$AG$90,16,FALSE),"DNS")))))),IF(Deltagarlista!$K$3=2,
IF(ISBLANK(Deltagarlista!$C37),"",IF(ISBLANK(Arrangörslista!K$8),"",IF($GV36=R$64," DNS ",IFERROR(VLOOKUP($F36,Arrangörslista!K$8:$AG$45,16,FALSE),"DNS")))),IF(ISBLANK(Deltagarlista!$C37),"",IF(ISBLANK(Arrangörslista!K$8),"",IFERROR(VLOOKUP($F36,Arrangörslista!K$8:$AG$45,16,FALSE),"DNS")))))</f>
        <v/>
      </c>
      <c r="S36" s="5" t="str">
        <f>IF(Deltagarlista!$K$3=4,IF(ISBLANK(Deltagarlista!$C37),"",IF(ISBLANK(Arrangörslista!F$53),"",IFERROR(VLOOKUP($F36,Arrangörslista!F$53:$AG$90,16,FALSE),IF(ISBLANK(Deltagarlista!$C37),"",IF(ISBLANK(Arrangörslista!F$53),"",IFERROR(VLOOKUP($F36,Arrangörslista!G$53:$AG$90,16,FALSE),"DNS")))))),IF(Deltagarlista!$K$3=2,
IF(ISBLANK(Deltagarlista!$C37),"",IF(ISBLANK(Arrangörslista!L$8),"",IF($GV36=S$64," DNS ",IFERROR(VLOOKUP($F36,Arrangörslista!L$8:$AG$45,16,FALSE),"DNS")))),IF(ISBLANK(Deltagarlista!$C37),"",IF(ISBLANK(Arrangörslista!L$8),"",IFERROR(VLOOKUP($F36,Arrangörslista!L$8:$AG$45,16,FALSE),"DNS")))))</f>
        <v/>
      </c>
      <c r="T36" s="5" t="str">
        <f>IF(Deltagarlista!$K$3=4,IF(ISBLANK(Deltagarlista!$C37),"",IF(ISBLANK(Arrangörslista!H$53),"",IFERROR(VLOOKUP($F36,Arrangörslista!H$53:$AG$90,16,FALSE),IF(ISBLANK(Deltagarlista!$C37),"",IF(ISBLANK(Arrangörslista!H$53),"",IFERROR(VLOOKUP($F36,Arrangörslista!I$53:$AG$90,16,FALSE),"DNS")))))),IF(Deltagarlista!$K$3=2,
IF(ISBLANK(Deltagarlista!$C37),"",IF(ISBLANK(Arrangörslista!M$8),"",IF($GV36=T$64," DNS ",IFERROR(VLOOKUP($F36,Arrangörslista!M$8:$AG$45,16,FALSE),"DNS")))),IF(ISBLANK(Deltagarlista!$C37),"",IF(ISBLANK(Arrangörslista!M$8),"",IFERROR(VLOOKUP($F36,Arrangörslista!M$8:$AG$45,16,FALSE),"DNS")))))</f>
        <v/>
      </c>
      <c r="U36" s="5" t="str">
        <f>IF(Deltagarlista!$K$3=4,IF(ISBLANK(Deltagarlista!$C37),"",IF(ISBLANK(Arrangörslista!J$53),"",IFERROR(VLOOKUP($F36,Arrangörslista!J$53:$AG$90,16,FALSE),IF(ISBLANK(Deltagarlista!$C37),"",IF(ISBLANK(Arrangörslista!J$53),"",IFERROR(VLOOKUP($F36,Arrangörslista!K$53:$AG$90,16,FALSE),"DNS")))))),IF(Deltagarlista!$K$3=2,
IF(ISBLANK(Deltagarlista!$C37),"",IF(ISBLANK(Arrangörslista!N$8),"",IF($GV36=U$64," DNS ",IFERROR(VLOOKUP($F36,Arrangörslista!N$8:$AG$45,16,FALSE),"DNS")))),IF(ISBLANK(Deltagarlista!$C37),"",IF(ISBLANK(Arrangörslista!N$8),"",IFERROR(VLOOKUP($F36,Arrangörslista!N$8:$AG$45,16,FALSE),"DNS")))))</f>
        <v/>
      </c>
      <c r="V36" s="5" t="str">
        <f>IF(Deltagarlista!$K$3=4,IF(ISBLANK(Deltagarlista!$C37),"",IF(ISBLANK(Arrangörslista!L$53),"",IFERROR(VLOOKUP($F36,Arrangörslista!L$53:$AG$90,16,FALSE),IF(ISBLANK(Deltagarlista!$C37),"",IF(ISBLANK(Arrangörslista!L$53),"",IFERROR(VLOOKUP($F36,Arrangörslista!M$53:$AG$90,16,FALSE),"DNS")))))),IF(Deltagarlista!$K$3=2,
IF(ISBLANK(Deltagarlista!$C37),"",IF(ISBLANK(Arrangörslista!O$8),"",IF($GV36=V$64," DNS ",IFERROR(VLOOKUP($F36,Arrangörslista!O$8:$AG$45,16,FALSE),"DNS")))),IF(ISBLANK(Deltagarlista!$C37),"",IF(ISBLANK(Arrangörslista!O$8),"",IFERROR(VLOOKUP($F36,Arrangörslista!O$8:$AG$45,16,FALSE),"DNS")))))</f>
        <v/>
      </c>
      <c r="W36" s="5" t="str">
        <f>IF(Deltagarlista!$K$3=4,IF(ISBLANK(Deltagarlista!$C37),"",IF(ISBLANK(Arrangörslista!N$53),"",IFERROR(VLOOKUP($F36,Arrangörslista!N$53:$AG$90,16,FALSE),IF(ISBLANK(Deltagarlista!$C37),"",IF(ISBLANK(Arrangörslista!N$53),"",IFERROR(VLOOKUP($F36,Arrangörslista!O$53:$AG$90,16,FALSE),"DNS")))))),IF(Deltagarlista!$K$3=2,
IF(ISBLANK(Deltagarlista!$C37),"",IF(ISBLANK(Arrangörslista!P$8),"",IF($GV36=W$64," DNS ",IFERROR(VLOOKUP($F36,Arrangörslista!P$8:$AG$45,16,FALSE),"DNS")))),IF(ISBLANK(Deltagarlista!$C37),"",IF(ISBLANK(Arrangörslista!P$8),"",IFERROR(VLOOKUP($F36,Arrangörslista!P$8:$AG$45,16,FALSE),"DNS")))))</f>
        <v/>
      </c>
      <c r="X36" s="5" t="str">
        <f>IF(Deltagarlista!$K$3=4,IF(ISBLANK(Deltagarlista!$C37),"",IF(ISBLANK(Arrangörslista!P$53),"",IFERROR(VLOOKUP($F36,Arrangörslista!P$53:$AG$90,16,FALSE),IF(ISBLANK(Deltagarlista!$C37),"",IF(ISBLANK(Arrangörslista!P$53),"",IFERROR(VLOOKUP($F36,Arrangörslista!Q$53:$AG$90,16,FALSE),"DNS")))))),IF(Deltagarlista!$K$3=2,
IF(ISBLANK(Deltagarlista!$C37),"",IF(ISBLANK(Arrangörslista!Q$8),"",IF($GV36=X$64," DNS ",IFERROR(VLOOKUP($F36,Arrangörslista!Q$8:$AG$45,16,FALSE),"DNS")))),IF(ISBLANK(Deltagarlista!$C37),"",IF(ISBLANK(Arrangörslista!Q$8),"",IFERROR(VLOOKUP($F36,Arrangörslista!Q$8:$AG$45,16,FALSE),"DNS")))))</f>
        <v/>
      </c>
      <c r="Y36" s="5" t="str">
        <f>IF(Deltagarlista!$K$3=4,IF(ISBLANK(Deltagarlista!$C37),"",IF(ISBLANK(Arrangörslista!C$98),"",IFERROR(VLOOKUP($F36,Arrangörslista!C$98:$AG$135,16,FALSE),IF(ISBLANK(Deltagarlista!$C37),"",IF(ISBLANK(Arrangörslista!C$98),"",IFERROR(VLOOKUP($F36,Arrangörslista!D$98:$AG$135,16,FALSE),"DNS")))))),IF(Deltagarlista!$K$3=2,
IF(ISBLANK(Deltagarlista!$C37),"",IF(ISBLANK(Arrangörslista!C$53),"",IF($GV36=Y$64," DNS ",IFERROR(VLOOKUP($F36,Arrangörslista!C$53:$AG$90,16,FALSE),"DNS")))),IF(ISBLANK(Deltagarlista!$C37),"",IF(ISBLANK(Arrangörslista!C$53),"",IFERROR(VLOOKUP($F36,Arrangörslista!C$53:$AG$90,16,FALSE),"DNS")))))</f>
        <v/>
      </c>
      <c r="Z36" s="5" t="str">
        <f>IF(Deltagarlista!$K$3=4,IF(ISBLANK(Deltagarlista!$C37),"",IF(ISBLANK(Arrangörslista!E$98),"",IFERROR(VLOOKUP($F36,Arrangörslista!E$98:$AG$135,16,FALSE),IF(ISBLANK(Deltagarlista!$C37),"",IF(ISBLANK(Arrangörslista!E$98),"",IFERROR(VLOOKUP($F36,Arrangörslista!F$98:$AG$135,16,FALSE),"DNS")))))),IF(Deltagarlista!$K$3=2,
IF(ISBLANK(Deltagarlista!$C37),"",IF(ISBLANK(Arrangörslista!D$53),"",IF($GV36=Z$64," DNS ",IFERROR(VLOOKUP($F36,Arrangörslista!D$53:$AG$90,16,FALSE),"DNS")))),IF(ISBLANK(Deltagarlista!$C37),"",IF(ISBLANK(Arrangörslista!D$53),"",IFERROR(VLOOKUP($F36,Arrangörslista!D$53:$AG$90,16,FALSE),"DNS")))))</f>
        <v/>
      </c>
      <c r="AA36" s="5" t="str">
        <f>IF(Deltagarlista!$K$3=4,IF(ISBLANK(Deltagarlista!$C37),"",IF(ISBLANK(Arrangörslista!G$98),"",IFERROR(VLOOKUP($F36,Arrangörslista!G$98:$AG$135,16,FALSE),IF(ISBLANK(Deltagarlista!$C37),"",IF(ISBLANK(Arrangörslista!G$98),"",IFERROR(VLOOKUP($F36,Arrangörslista!H$98:$AG$135,16,FALSE),"DNS")))))),IF(Deltagarlista!$K$3=2,
IF(ISBLANK(Deltagarlista!$C37),"",IF(ISBLANK(Arrangörslista!E$53),"",IF($GV36=AA$64," DNS ",IFERROR(VLOOKUP($F36,Arrangörslista!E$53:$AG$90,16,FALSE),"DNS")))),IF(ISBLANK(Deltagarlista!$C37),"",IF(ISBLANK(Arrangörslista!E$53),"",IFERROR(VLOOKUP($F36,Arrangörslista!E$53:$AG$90,16,FALSE),"DNS")))))</f>
        <v/>
      </c>
      <c r="AB36" s="5" t="str">
        <f>IF(Deltagarlista!$K$3=4,IF(ISBLANK(Deltagarlista!$C37),"",IF(ISBLANK(Arrangörslista!I$98),"",IFERROR(VLOOKUP($F36,Arrangörslista!I$98:$AG$135,16,FALSE),IF(ISBLANK(Deltagarlista!$C37),"",IF(ISBLANK(Arrangörslista!I$98),"",IFERROR(VLOOKUP($F36,Arrangörslista!J$98:$AG$135,16,FALSE),"DNS")))))),IF(Deltagarlista!$K$3=2,
IF(ISBLANK(Deltagarlista!$C37),"",IF(ISBLANK(Arrangörslista!F$53),"",IF($GV36=AB$64," DNS ",IFERROR(VLOOKUP($F36,Arrangörslista!F$53:$AG$90,16,FALSE),"DNS")))),IF(ISBLANK(Deltagarlista!$C37),"",IF(ISBLANK(Arrangörslista!F$53),"",IFERROR(VLOOKUP($F36,Arrangörslista!F$53:$AG$90,16,FALSE),"DNS")))))</f>
        <v/>
      </c>
      <c r="AC36" s="5" t="str">
        <f>IF(Deltagarlista!$K$3=4,IF(ISBLANK(Deltagarlista!$C37),"",IF(ISBLANK(Arrangörslista!K$98),"",IFERROR(VLOOKUP($F36,Arrangörslista!K$98:$AG$135,16,FALSE),IF(ISBLANK(Deltagarlista!$C37),"",IF(ISBLANK(Arrangörslista!K$98),"",IFERROR(VLOOKUP($F36,Arrangörslista!L$98:$AG$135,16,FALSE),"DNS")))))),IF(Deltagarlista!$K$3=2,
IF(ISBLANK(Deltagarlista!$C37),"",IF(ISBLANK(Arrangörslista!G$53),"",IF($GV36=AC$64," DNS ",IFERROR(VLOOKUP($F36,Arrangörslista!G$53:$AG$90,16,FALSE),"DNS")))),IF(ISBLANK(Deltagarlista!$C37),"",IF(ISBLANK(Arrangörslista!G$53),"",IFERROR(VLOOKUP($F36,Arrangörslista!G$53:$AG$90,16,FALSE),"DNS")))))</f>
        <v/>
      </c>
      <c r="AD36" s="5" t="str">
        <f>IF(Deltagarlista!$K$3=4,IF(ISBLANK(Deltagarlista!$C37),"",IF(ISBLANK(Arrangörslista!M$98),"",IFERROR(VLOOKUP($F36,Arrangörslista!M$98:$AG$135,16,FALSE),IF(ISBLANK(Deltagarlista!$C37),"",IF(ISBLANK(Arrangörslista!M$98),"",IFERROR(VLOOKUP($F36,Arrangörslista!N$98:$AG$135,16,FALSE),"DNS")))))),IF(Deltagarlista!$K$3=2,
IF(ISBLANK(Deltagarlista!$C37),"",IF(ISBLANK(Arrangörslista!H$53),"",IF($GV36=AD$64," DNS ",IFERROR(VLOOKUP($F36,Arrangörslista!H$53:$AG$90,16,FALSE),"DNS")))),IF(ISBLANK(Deltagarlista!$C37),"",IF(ISBLANK(Arrangörslista!H$53),"",IFERROR(VLOOKUP($F36,Arrangörslista!H$53:$AG$90,16,FALSE),"DNS")))))</f>
        <v/>
      </c>
      <c r="AE36" s="5" t="str">
        <f>IF(Deltagarlista!$K$3=4,IF(ISBLANK(Deltagarlista!$C37),"",IF(ISBLANK(Arrangörslista!O$98),"",IFERROR(VLOOKUP($F36,Arrangörslista!O$98:$AG$135,16,FALSE),IF(ISBLANK(Deltagarlista!$C37),"",IF(ISBLANK(Arrangörslista!O$98),"",IFERROR(VLOOKUP($F36,Arrangörslista!P$98:$AG$135,16,FALSE),"DNS")))))),IF(Deltagarlista!$K$3=2,
IF(ISBLANK(Deltagarlista!$C37),"",IF(ISBLANK(Arrangörslista!I$53),"",IF($GV36=AE$64," DNS ",IFERROR(VLOOKUP($F36,Arrangörslista!I$53:$AG$90,16,FALSE),"DNS")))),IF(ISBLANK(Deltagarlista!$C37),"",IF(ISBLANK(Arrangörslista!I$53),"",IFERROR(VLOOKUP($F36,Arrangörslista!I$53:$AG$90,16,FALSE),"DNS")))))</f>
        <v/>
      </c>
      <c r="AF36" s="5" t="str">
        <f>IF(Deltagarlista!$K$3=4,IF(ISBLANK(Deltagarlista!$C37),"",IF(ISBLANK(Arrangörslista!Q$98),"",IFERROR(VLOOKUP($F36,Arrangörslista!Q$98:$AG$135,16,FALSE),IF(ISBLANK(Deltagarlista!$C37),"",IF(ISBLANK(Arrangörslista!Q$98),"",IFERROR(VLOOKUP($F36,Arrangörslista!C$143:$AG$180,16,FALSE),"DNS")))))),IF(Deltagarlista!$K$3=2,
IF(ISBLANK(Deltagarlista!$C37),"",IF(ISBLANK(Arrangörslista!J$53),"",IF($GV36=AF$64," DNS ",IFERROR(VLOOKUP($F36,Arrangörslista!J$53:$AG$90,16,FALSE),"DNS")))),IF(ISBLANK(Deltagarlista!$C37),"",IF(ISBLANK(Arrangörslista!J$53),"",IFERROR(VLOOKUP($F36,Arrangörslista!J$53:$AG$90,16,FALSE),"DNS")))))</f>
        <v/>
      </c>
      <c r="AG36" s="5" t="str">
        <f>IF(Deltagarlista!$K$3=4,IF(ISBLANK(Deltagarlista!$C37),"",IF(ISBLANK(Arrangörslista!D$143),"",IFERROR(VLOOKUP($F36,Arrangörslista!D$143:$AG$180,16,FALSE),IF(ISBLANK(Deltagarlista!$C37),"",IF(ISBLANK(Arrangörslista!D$143),"",IFERROR(VLOOKUP($F36,Arrangörslista!E$143:$AG$180,16,FALSE),"DNS")))))),IF(Deltagarlista!$K$3=2,
IF(ISBLANK(Deltagarlista!$C37),"",IF(ISBLANK(Arrangörslista!K$53),"",IF($GV36=AG$64," DNS ",IFERROR(VLOOKUP($F36,Arrangörslista!K$53:$AG$90,16,FALSE),"DNS")))),IF(ISBLANK(Deltagarlista!$C37),"",IF(ISBLANK(Arrangörslista!K$53),"",IFERROR(VLOOKUP($F36,Arrangörslista!K$53:$AG$90,16,FALSE),"DNS")))))</f>
        <v/>
      </c>
      <c r="AH36" s="5" t="str">
        <f>IF(Deltagarlista!$K$3=4,IF(ISBLANK(Deltagarlista!$C37),"",IF(ISBLANK(Arrangörslista!F$143),"",IFERROR(VLOOKUP($F36,Arrangörslista!F$143:$AG$180,16,FALSE),IF(ISBLANK(Deltagarlista!$C37),"",IF(ISBLANK(Arrangörslista!F$143),"",IFERROR(VLOOKUP($F36,Arrangörslista!G$143:$AG$180,16,FALSE),"DNS")))))),IF(Deltagarlista!$K$3=2,
IF(ISBLANK(Deltagarlista!$C37),"",IF(ISBLANK(Arrangörslista!L$53),"",IF($GV36=AH$64," DNS ",IFERROR(VLOOKUP($F36,Arrangörslista!L$53:$AG$90,16,FALSE),"DNS")))),IF(ISBLANK(Deltagarlista!$C37),"",IF(ISBLANK(Arrangörslista!L$53),"",IFERROR(VLOOKUP($F36,Arrangörslista!L$53:$AG$90,16,FALSE),"DNS")))))</f>
        <v/>
      </c>
      <c r="AI36" s="5" t="str">
        <f>IF(Deltagarlista!$K$3=4,IF(ISBLANK(Deltagarlista!$C37),"",IF(ISBLANK(Arrangörslista!H$143),"",IFERROR(VLOOKUP($F36,Arrangörslista!H$143:$AG$180,16,FALSE),IF(ISBLANK(Deltagarlista!$C37),"",IF(ISBLANK(Arrangörslista!H$143),"",IFERROR(VLOOKUP($F36,Arrangörslista!I$143:$AG$180,16,FALSE),"DNS")))))),IF(Deltagarlista!$K$3=2,
IF(ISBLANK(Deltagarlista!$C37),"",IF(ISBLANK(Arrangörslista!M$53),"",IF($GV36=AI$64," DNS ",IFERROR(VLOOKUP($F36,Arrangörslista!M$53:$AG$90,16,FALSE),"DNS")))),IF(ISBLANK(Deltagarlista!$C37),"",IF(ISBLANK(Arrangörslista!M$53),"",IFERROR(VLOOKUP($F36,Arrangörslista!M$53:$AG$90,16,FALSE),"DNS")))))</f>
        <v/>
      </c>
      <c r="AJ36" s="5" t="str">
        <f>IF(Deltagarlista!$K$3=4,IF(ISBLANK(Deltagarlista!$C37),"",IF(ISBLANK(Arrangörslista!J$143),"",IFERROR(VLOOKUP($F36,Arrangörslista!J$143:$AG$180,16,FALSE),IF(ISBLANK(Deltagarlista!$C37),"",IF(ISBLANK(Arrangörslista!J$143),"",IFERROR(VLOOKUP($F36,Arrangörslista!K$143:$AG$180,16,FALSE),"DNS")))))),IF(Deltagarlista!$K$3=2,
IF(ISBLANK(Deltagarlista!$C37),"",IF(ISBLANK(Arrangörslista!N$53),"",IF($GV36=AJ$64," DNS ",IFERROR(VLOOKUP($F36,Arrangörslista!N$53:$AG$90,16,FALSE),"DNS")))),IF(ISBLANK(Deltagarlista!$C37),"",IF(ISBLANK(Arrangörslista!N$53),"",IFERROR(VLOOKUP($F36,Arrangörslista!N$53:$AG$90,16,FALSE),"DNS")))))</f>
        <v/>
      </c>
      <c r="AK36" s="5" t="str">
        <f>IF(Deltagarlista!$K$3=4,IF(ISBLANK(Deltagarlista!$C37),"",IF(ISBLANK(Arrangörslista!L$143),"",IFERROR(VLOOKUP($F36,Arrangörslista!L$143:$AG$180,16,FALSE),IF(ISBLANK(Deltagarlista!$C37),"",IF(ISBLANK(Arrangörslista!L$143),"",IFERROR(VLOOKUP($F36,Arrangörslista!M$143:$AG$180,16,FALSE),"DNS")))))),IF(Deltagarlista!$K$3=2,
IF(ISBLANK(Deltagarlista!$C37),"",IF(ISBLANK(Arrangörslista!O$53),"",IF($GV36=AK$64," DNS ",IFERROR(VLOOKUP($F36,Arrangörslista!O$53:$AG$90,16,FALSE),"DNS")))),IF(ISBLANK(Deltagarlista!$C37),"",IF(ISBLANK(Arrangörslista!O$53),"",IFERROR(VLOOKUP($F36,Arrangörslista!O$53:$AG$90,16,FALSE),"DNS")))))</f>
        <v/>
      </c>
      <c r="AL36" s="5" t="str">
        <f>IF(Deltagarlista!$K$3=4,IF(ISBLANK(Deltagarlista!$C37),"",IF(ISBLANK(Arrangörslista!N$143),"",IFERROR(VLOOKUP($F36,Arrangörslista!N$143:$AG$180,16,FALSE),IF(ISBLANK(Deltagarlista!$C37),"",IF(ISBLANK(Arrangörslista!N$143),"",IFERROR(VLOOKUP($F36,Arrangörslista!O$143:$AG$180,16,FALSE),"DNS")))))),IF(Deltagarlista!$K$3=2,
IF(ISBLANK(Deltagarlista!$C37),"",IF(ISBLANK(Arrangörslista!P$53),"",IF($GV36=AL$64," DNS ",IFERROR(VLOOKUP($F36,Arrangörslista!P$53:$AG$90,16,FALSE),"DNS")))),IF(ISBLANK(Deltagarlista!$C37),"",IF(ISBLANK(Arrangörslista!P$53),"",IFERROR(VLOOKUP($F36,Arrangörslista!P$53:$AG$90,16,FALSE),"DNS")))))</f>
        <v/>
      </c>
      <c r="AM36" s="5" t="str">
        <f>IF(Deltagarlista!$K$3=4,IF(ISBLANK(Deltagarlista!$C37),"",IF(ISBLANK(Arrangörslista!P$143),"",IFERROR(VLOOKUP($F36,Arrangörslista!P$143:$AG$180,16,FALSE),IF(ISBLANK(Deltagarlista!$C37),"",IF(ISBLANK(Arrangörslista!P$143),"",IFERROR(VLOOKUP($F36,Arrangörslista!Q$143:$AG$180,16,FALSE),"DNS")))))),IF(Deltagarlista!$K$3=2,
IF(ISBLANK(Deltagarlista!$C37),"",IF(ISBLANK(Arrangörslista!Q$53),"",IF($GV36=AM$64," DNS ",IFERROR(VLOOKUP($F36,Arrangörslista!Q$53:$AG$90,16,FALSE),"DNS")))),IF(ISBLANK(Deltagarlista!$C37),"",IF(ISBLANK(Arrangörslista!Q$53),"",IFERROR(VLOOKUP($F36,Arrangörslista!Q$53:$AG$90,16,FALSE),"DNS")))))</f>
        <v/>
      </c>
      <c r="AN36" s="5" t="str">
        <f>IF(Deltagarlista!$K$3=2,
IF(ISBLANK(Deltagarlista!$C37),"",IF(ISBLANK(Arrangörslista!C$98),"",IF($GV36=AN$64," DNS ",IFERROR(VLOOKUP($F36,Arrangörslista!C$98:$AG$135,16,FALSE), "DNS")))), IF(Deltagarlista!$K$3=1,IF(ISBLANK(Deltagarlista!$C37),"",IF(ISBLANK(Arrangörslista!C$98),"",IFERROR(VLOOKUP($F36,Arrangörslista!C$98:$AG$135,16,FALSE), "DNS"))),""))</f>
        <v/>
      </c>
      <c r="AO36" s="5" t="str">
        <f>IF(Deltagarlista!$K$3=2,
IF(ISBLANK(Deltagarlista!$C37),"",IF(ISBLANK(Arrangörslista!D$98),"",IF($GV36=AO$64," DNS ",IFERROR(VLOOKUP($F36,Arrangörslista!D$98:$AG$135,16,FALSE), "DNS")))), IF(Deltagarlista!$K$3=1,IF(ISBLANK(Deltagarlista!$C37),"",IF(ISBLANK(Arrangörslista!D$98),"",IFERROR(VLOOKUP($F36,Arrangörslista!D$98:$AG$135,16,FALSE), "DNS"))),""))</f>
        <v/>
      </c>
      <c r="AP36" s="5" t="str">
        <f>IF(Deltagarlista!$K$3=2,
IF(ISBLANK(Deltagarlista!$C37),"",IF(ISBLANK(Arrangörslista!E$98),"",IF($GV36=AP$64," DNS ",IFERROR(VLOOKUP($F36,Arrangörslista!E$98:$AG$135,16,FALSE), "DNS")))), IF(Deltagarlista!$K$3=1,IF(ISBLANK(Deltagarlista!$C37),"",IF(ISBLANK(Arrangörslista!E$98),"",IFERROR(VLOOKUP($F36,Arrangörslista!E$98:$AG$135,16,FALSE), "DNS"))),""))</f>
        <v/>
      </c>
      <c r="AQ36" s="5" t="str">
        <f>IF(Deltagarlista!$K$3=2,
IF(ISBLANK(Deltagarlista!$C37),"",IF(ISBLANK(Arrangörslista!F$98),"",IF($GV36=AQ$64," DNS ",IFERROR(VLOOKUP($F36,Arrangörslista!F$98:$AG$135,16,FALSE), "DNS")))), IF(Deltagarlista!$K$3=1,IF(ISBLANK(Deltagarlista!$C37),"",IF(ISBLANK(Arrangörslista!F$98),"",IFERROR(VLOOKUP($F36,Arrangörslista!F$98:$AG$135,16,FALSE), "DNS"))),""))</f>
        <v/>
      </c>
      <c r="AR36" s="5" t="str">
        <f>IF(Deltagarlista!$K$3=2,
IF(ISBLANK(Deltagarlista!$C37),"",IF(ISBLANK(Arrangörslista!G$98),"",IF($GV36=AR$64," DNS ",IFERROR(VLOOKUP($F36,Arrangörslista!G$98:$AG$135,16,FALSE), "DNS")))), IF(Deltagarlista!$K$3=1,IF(ISBLANK(Deltagarlista!$C37),"",IF(ISBLANK(Arrangörslista!G$98),"",IFERROR(VLOOKUP($F36,Arrangörslista!G$98:$AG$135,16,FALSE), "DNS"))),""))</f>
        <v/>
      </c>
      <c r="AS36" s="5" t="str">
        <f>IF(Deltagarlista!$K$3=2,
IF(ISBLANK(Deltagarlista!$C37),"",IF(ISBLANK(Arrangörslista!H$98),"",IF($GV36=AS$64," DNS ",IFERROR(VLOOKUP($F36,Arrangörslista!H$98:$AG$135,16,FALSE), "DNS")))), IF(Deltagarlista!$K$3=1,IF(ISBLANK(Deltagarlista!$C37),"",IF(ISBLANK(Arrangörslista!H$98),"",IFERROR(VLOOKUP($F36,Arrangörslista!H$98:$AG$135,16,FALSE), "DNS"))),""))</f>
        <v/>
      </c>
      <c r="AT36" s="5" t="str">
        <f>IF(Deltagarlista!$K$3=2,
IF(ISBLANK(Deltagarlista!$C37),"",IF(ISBLANK(Arrangörslista!I$98),"",IF($GV36=AT$64," DNS ",IFERROR(VLOOKUP($F36,Arrangörslista!I$98:$AG$135,16,FALSE), "DNS")))), IF(Deltagarlista!$K$3=1,IF(ISBLANK(Deltagarlista!$C37),"",IF(ISBLANK(Arrangörslista!I$98),"",IFERROR(VLOOKUP($F36,Arrangörslista!I$98:$AG$135,16,FALSE), "DNS"))),""))</f>
        <v/>
      </c>
      <c r="AU36" s="5" t="str">
        <f>IF(Deltagarlista!$K$3=2,
IF(ISBLANK(Deltagarlista!$C37),"",IF(ISBLANK(Arrangörslista!J$98),"",IF($GV36=AU$64," DNS ",IFERROR(VLOOKUP($F36,Arrangörslista!J$98:$AG$135,16,FALSE), "DNS")))), IF(Deltagarlista!$K$3=1,IF(ISBLANK(Deltagarlista!$C37),"",IF(ISBLANK(Arrangörslista!J$98),"",IFERROR(VLOOKUP($F36,Arrangörslista!J$98:$AG$135,16,FALSE), "DNS"))),""))</f>
        <v/>
      </c>
      <c r="AV36" s="5" t="str">
        <f>IF(Deltagarlista!$K$3=2,
IF(ISBLANK(Deltagarlista!$C37),"",IF(ISBLANK(Arrangörslista!K$98),"",IF($GV36=AV$64," DNS ",IFERROR(VLOOKUP($F36,Arrangörslista!K$98:$AG$135,16,FALSE), "DNS")))), IF(Deltagarlista!$K$3=1,IF(ISBLANK(Deltagarlista!$C37),"",IF(ISBLANK(Arrangörslista!K$98),"",IFERROR(VLOOKUP($F36,Arrangörslista!K$98:$AG$135,16,FALSE), "DNS"))),""))</f>
        <v/>
      </c>
      <c r="AW36" s="5" t="str">
        <f>IF(Deltagarlista!$K$3=2,
IF(ISBLANK(Deltagarlista!$C37),"",IF(ISBLANK(Arrangörslista!L$98),"",IF($GV36=AW$64," DNS ",IFERROR(VLOOKUP($F36,Arrangörslista!L$98:$AG$135,16,FALSE), "DNS")))), IF(Deltagarlista!$K$3=1,IF(ISBLANK(Deltagarlista!$C37),"",IF(ISBLANK(Arrangörslista!L$98),"",IFERROR(VLOOKUP($F36,Arrangörslista!L$98:$AG$135,16,FALSE), "DNS"))),""))</f>
        <v/>
      </c>
      <c r="AX36" s="5" t="str">
        <f>IF(Deltagarlista!$K$3=2,
IF(ISBLANK(Deltagarlista!$C37),"",IF(ISBLANK(Arrangörslista!M$98),"",IF($GV36=AX$64," DNS ",IFERROR(VLOOKUP($F36,Arrangörslista!M$98:$AG$135,16,FALSE), "DNS")))), IF(Deltagarlista!$K$3=1,IF(ISBLANK(Deltagarlista!$C37),"",IF(ISBLANK(Arrangörslista!M$98),"",IFERROR(VLOOKUP($F36,Arrangörslista!M$98:$AG$135,16,FALSE), "DNS"))),""))</f>
        <v/>
      </c>
      <c r="AY36" s="5" t="str">
        <f>IF(Deltagarlista!$K$3=2,
IF(ISBLANK(Deltagarlista!$C37),"",IF(ISBLANK(Arrangörslista!N$98),"",IF($GV36=AY$64," DNS ",IFERROR(VLOOKUP($F36,Arrangörslista!N$98:$AG$135,16,FALSE), "DNS")))), IF(Deltagarlista!$K$3=1,IF(ISBLANK(Deltagarlista!$C37),"",IF(ISBLANK(Arrangörslista!N$98),"",IFERROR(VLOOKUP($F36,Arrangörslista!N$98:$AG$135,16,FALSE), "DNS"))),""))</f>
        <v/>
      </c>
      <c r="AZ36" s="5" t="str">
        <f>IF(Deltagarlista!$K$3=2,
IF(ISBLANK(Deltagarlista!$C37),"",IF(ISBLANK(Arrangörslista!O$98),"",IF($GV36=AZ$64," DNS ",IFERROR(VLOOKUP($F36,Arrangörslista!O$98:$AG$135,16,FALSE), "DNS")))), IF(Deltagarlista!$K$3=1,IF(ISBLANK(Deltagarlista!$C37),"",IF(ISBLANK(Arrangörslista!O$98),"",IFERROR(VLOOKUP($F36,Arrangörslista!O$98:$AG$135,16,FALSE), "DNS"))),""))</f>
        <v/>
      </c>
      <c r="BA36" s="5" t="str">
        <f>IF(Deltagarlista!$K$3=2,
IF(ISBLANK(Deltagarlista!$C37),"",IF(ISBLANK(Arrangörslista!P$98),"",IF($GV36=BA$64," DNS ",IFERROR(VLOOKUP($F36,Arrangörslista!P$98:$AG$135,16,FALSE), "DNS")))), IF(Deltagarlista!$K$3=1,IF(ISBLANK(Deltagarlista!$C37),"",IF(ISBLANK(Arrangörslista!P$98),"",IFERROR(VLOOKUP($F36,Arrangörslista!P$98:$AG$135,16,FALSE), "DNS"))),""))</f>
        <v/>
      </c>
      <c r="BB36" s="5" t="str">
        <f>IF(Deltagarlista!$K$3=2,
IF(ISBLANK(Deltagarlista!$C37),"",IF(ISBLANK(Arrangörslista!Q$98),"",IF($GV36=BB$64," DNS ",IFERROR(VLOOKUP($F36,Arrangörslista!Q$98:$AG$135,16,FALSE), "DNS")))), IF(Deltagarlista!$K$3=1,IF(ISBLANK(Deltagarlista!$C37),"",IF(ISBLANK(Arrangörslista!Q$98),"",IFERROR(VLOOKUP($F36,Arrangörslista!Q$98:$AG$135,16,FALSE), "DNS"))),""))</f>
        <v/>
      </c>
      <c r="BC36" s="5" t="str">
        <f>IF(Deltagarlista!$K$3=2,
IF(ISBLANK(Deltagarlista!$C37),"",IF(ISBLANK(Arrangörslista!C$143),"",IF($GV36=BC$64," DNS ",IFERROR(VLOOKUP($F36,Arrangörslista!C$143:$AG$180,16,FALSE), "DNS")))), IF(Deltagarlista!$K$3=1,IF(ISBLANK(Deltagarlista!$C37),"",IF(ISBLANK(Arrangörslista!C$143),"",IFERROR(VLOOKUP($F36,Arrangörslista!C$143:$AG$180,16,FALSE), "DNS"))),""))</f>
        <v/>
      </c>
      <c r="BD36" s="5" t="str">
        <f>IF(Deltagarlista!$K$3=2,
IF(ISBLANK(Deltagarlista!$C37),"",IF(ISBLANK(Arrangörslista!D$143),"",IF($GV36=BD$64," DNS ",IFERROR(VLOOKUP($F36,Arrangörslista!D$143:$AG$180,16,FALSE), "DNS")))), IF(Deltagarlista!$K$3=1,IF(ISBLANK(Deltagarlista!$C37),"",IF(ISBLANK(Arrangörslista!D$143),"",IFERROR(VLOOKUP($F36,Arrangörslista!D$143:$AG$180,16,FALSE), "DNS"))),""))</f>
        <v/>
      </c>
      <c r="BE36" s="5" t="str">
        <f>IF(Deltagarlista!$K$3=2,
IF(ISBLANK(Deltagarlista!$C37),"",IF(ISBLANK(Arrangörslista!E$143),"",IF($GV36=BE$64," DNS ",IFERROR(VLOOKUP($F36,Arrangörslista!E$143:$AG$180,16,FALSE), "DNS")))), IF(Deltagarlista!$K$3=1,IF(ISBLANK(Deltagarlista!$C37),"",IF(ISBLANK(Arrangörslista!E$143),"",IFERROR(VLOOKUP($F36,Arrangörslista!E$143:$AG$180,16,FALSE), "DNS"))),""))</f>
        <v/>
      </c>
      <c r="BF36" s="5" t="str">
        <f>IF(Deltagarlista!$K$3=2,
IF(ISBLANK(Deltagarlista!$C37),"",IF(ISBLANK(Arrangörslista!F$143),"",IF($GV36=BF$64," DNS ",IFERROR(VLOOKUP($F36,Arrangörslista!F$143:$AG$180,16,FALSE), "DNS")))), IF(Deltagarlista!$K$3=1,IF(ISBLANK(Deltagarlista!$C37),"",IF(ISBLANK(Arrangörslista!F$143),"",IFERROR(VLOOKUP($F36,Arrangörslista!F$143:$AG$180,16,FALSE), "DNS"))),""))</f>
        <v/>
      </c>
      <c r="BG36" s="5" t="str">
        <f>IF(Deltagarlista!$K$3=2,
IF(ISBLANK(Deltagarlista!$C37),"",IF(ISBLANK(Arrangörslista!G$143),"",IF($GV36=BG$64," DNS ",IFERROR(VLOOKUP($F36,Arrangörslista!G$143:$AG$180,16,FALSE), "DNS")))), IF(Deltagarlista!$K$3=1,IF(ISBLANK(Deltagarlista!$C37),"",IF(ISBLANK(Arrangörslista!G$143),"",IFERROR(VLOOKUP($F36,Arrangörslista!G$143:$AG$180,16,FALSE), "DNS"))),""))</f>
        <v/>
      </c>
      <c r="BH36" s="5" t="str">
        <f>IF(Deltagarlista!$K$3=2,
IF(ISBLANK(Deltagarlista!$C37),"",IF(ISBLANK(Arrangörslista!H$143),"",IF($GV36=BH$64," DNS ",IFERROR(VLOOKUP($F36,Arrangörslista!H$143:$AG$180,16,FALSE), "DNS")))), IF(Deltagarlista!$K$3=1,IF(ISBLANK(Deltagarlista!$C37),"",IF(ISBLANK(Arrangörslista!H$143),"",IFERROR(VLOOKUP($F36,Arrangörslista!H$143:$AG$180,16,FALSE), "DNS"))),""))</f>
        <v/>
      </c>
      <c r="BI36" s="5" t="str">
        <f>IF(Deltagarlista!$K$3=2,
IF(ISBLANK(Deltagarlista!$C37),"",IF(ISBLANK(Arrangörslista!I$143),"",IF($GV36=BI$64," DNS ",IFERROR(VLOOKUP($F36,Arrangörslista!I$143:$AG$180,16,FALSE), "DNS")))), IF(Deltagarlista!$K$3=1,IF(ISBLANK(Deltagarlista!$C37),"",IF(ISBLANK(Arrangörslista!I$143),"",IFERROR(VLOOKUP($F36,Arrangörslista!I$143:$AG$180,16,FALSE), "DNS"))),""))</f>
        <v/>
      </c>
      <c r="BJ36" s="5" t="str">
        <f>IF(Deltagarlista!$K$3=2,
IF(ISBLANK(Deltagarlista!$C37),"",IF(ISBLANK(Arrangörslista!J$143),"",IF($GV36=BJ$64," DNS ",IFERROR(VLOOKUP($F36,Arrangörslista!J$143:$AG$180,16,FALSE), "DNS")))), IF(Deltagarlista!$K$3=1,IF(ISBLANK(Deltagarlista!$C37),"",IF(ISBLANK(Arrangörslista!J$143),"",IFERROR(VLOOKUP($F36,Arrangörslista!J$143:$AG$180,16,FALSE), "DNS"))),""))</f>
        <v/>
      </c>
      <c r="BK36" s="5" t="str">
        <f>IF(Deltagarlista!$K$3=2,
IF(ISBLANK(Deltagarlista!$C37),"",IF(ISBLANK(Arrangörslista!K$143),"",IF($GV36=BK$64," DNS ",IFERROR(VLOOKUP($F36,Arrangörslista!K$143:$AG$180,16,FALSE), "DNS")))), IF(Deltagarlista!$K$3=1,IF(ISBLANK(Deltagarlista!$C37),"",IF(ISBLANK(Arrangörslista!K$143),"",IFERROR(VLOOKUP($F36,Arrangörslista!K$143:$AG$180,16,FALSE), "DNS"))),""))</f>
        <v/>
      </c>
      <c r="BL36" s="5" t="str">
        <f>IF(Deltagarlista!$K$3=2,
IF(ISBLANK(Deltagarlista!$C37),"",IF(ISBLANK(Arrangörslista!L$143),"",IF($GV36=BL$64," DNS ",IFERROR(VLOOKUP($F36,Arrangörslista!L$143:$AG$180,16,FALSE), "DNS")))), IF(Deltagarlista!$K$3=1,IF(ISBLANK(Deltagarlista!$C37),"",IF(ISBLANK(Arrangörslista!L$143),"",IFERROR(VLOOKUP($F36,Arrangörslista!L$143:$AG$180,16,FALSE), "DNS"))),""))</f>
        <v/>
      </c>
      <c r="BM36" s="5" t="str">
        <f>IF(Deltagarlista!$K$3=2,
IF(ISBLANK(Deltagarlista!$C37),"",IF(ISBLANK(Arrangörslista!M$143),"",IF($GV36=BM$64," DNS ",IFERROR(VLOOKUP($F36,Arrangörslista!M$143:$AG$180,16,FALSE), "DNS")))), IF(Deltagarlista!$K$3=1,IF(ISBLANK(Deltagarlista!$C37),"",IF(ISBLANK(Arrangörslista!M$143),"",IFERROR(VLOOKUP($F36,Arrangörslista!M$143:$AG$180,16,FALSE), "DNS"))),""))</f>
        <v/>
      </c>
      <c r="BN36" s="5" t="str">
        <f>IF(Deltagarlista!$K$3=2,
IF(ISBLANK(Deltagarlista!$C37),"",IF(ISBLANK(Arrangörslista!N$143),"",IF($GV36=BN$64," DNS ",IFERROR(VLOOKUP($F36,Arrangörslista!N$143:$AG$180,16,FALSE), "DNS")))), IF(Deltagarlista!$K$3=1,IF(ISBLANK(Deltagarlista!$C37),"",IF(ISBLANK(Arrangörslista!N$143),"",IFERROR(VLOOKUP($F36,Arrangörslista!N$143:$AG$180,16,FALSE), "DNS"))),""))</f>
        <v/>
      </c>
      <c r="BO36" s="5" t="str">
        <f>IF(Deltagarlista!$K$3=2,
IF(ISBLANK(Deltagarlista!$C37),"",IF(ISBLANK(Arrangörslista!O$143),"",IF($GV36=BO$64," DNS ",IFERROR(VLOOKUP($F36,Arrangörslista!O$143:$AG$180,16,FALSE), "DNS")))), IF(Deltagarlista!$K$3=1,IF(ISBLANK(Deltagarlista!$C37),"",IF(ISBLANK(Arrangörslista!O$143),"",IFERROR(VLOOKUP($F36,Arrangörslista!O$143:$AG$180,16,FALSE), "DNS"))),""))</f>
        <v/>
      </c>
      <c r="BP36" s="5" t="str">
        <f>IF(Deltagarlista!$K$3=2,
IF(ISBLANK(Deltagarlista!$C37),"",IF(ISBLANK(Arrangörslista!P$143),"",IF($GV36=BP$64," DNS ",IFERROR(VLOOKUP($F36,Arrangörslista!P$143:$AG$180,16,FALSE), "DNS")))), IF(Deltagarlista!$K$3=1,IF(ISBLANK(Deltagarlista!$C37),"",IF(ISBLANK(Arrangörslista!P$143),"",IFERROR(VLOOKUP($F36,Arrangörslista!P$143:$AG$180,16,FALSE), "DNS"))),""))</f>
        <v/>
      </c>
      <c r="BQ36" s="80" t="str">
        <f>IF(Deltagarlista!$K$3=2,
IF(ISBLANK(Deltagarlista!$C37),"",IF(ISBLANK(Arrangörslista!Q$143),"",IF($GV36=BQ$64," DNS ",IFERROR(VLOOKUP($F36,Arrangörslista!Q$143:$AG$180,16,FALSE), "DNS")))), IF(Deltagarlista!$K$3=1,IF(ISBLANK(Deltagarlista!$C37),"",IF(ISBLANK(Arrangörslista!Q$143),"",IFERROR(VLOOKUP($F36,Arrangörslista!Q$143:$AG$180,16,FALSE), "DNS"))),""))</f>
        <v/>
      </c>
      <c r="BR36" s="51"/>
      <c r="BS36" s="50" t="str">
        <f t="shared" ref="BS36:BS63" si="125">IF(F36="","2",IF(OR(D36="GM   GRÖN",D36="GM   RÖD",D36="GM   BLÅ",D36="GM   GUL",D36="GM   "),"1","3"))</f>
        <v>2</v>
      </c>
      <c r="BT36" s="51"/>
      <c r="BU36" s="71">
        <f t="shared" ref="BU36:BU63" si="126">SUM(BV36:EC36)</f>
        <v>0</v>
      </c>
      <c r="BV36" s="61">
        <f t="shared" ref="BV36:BV63" si="127">IF(J36="",0,IF(OR(J36="DNF",J36="OCS",J36="DSQ",J36="DNS",J36=" DNS "),$BW$3+1,J36))</f>
        <v>0</v>
      </c>
      <c r="BW36" s="61">
        <f t="shared" ref="BW36:BW63" si="128">IF(K36="",0,IF(OR(K36="DNF",K36="OCS",K36="DSQ",K36="DNS",K36=" DNS "),$BW$3+1,K36))</f>
        <v>0</v>
      </c>
      <c r="BX36" s="61">
        <f t="shared" ref="BX36:BX63" si="129">IF(L36="",0,IF(OR(L36="DNF",L36="OCS",L36="DSQ",L36="DNS",L36=" DNS "),$BW$3+1,L36))</f>
        <v>0</v>
      </c>
      <c r="BY36" s="61">
        <f t="shared" ref="BY36:BY63" si="130">IF(M36="",0,IF(OR(M36="DNF",M36="OCS",M36="DSQ",M36="DNS",M36=" DNS "),$BW$3+1,M36))</f>
        <v>0</v>
      </c>
      <c r="BZ36" s="61">
        <f t="shared" ref="BZ36:BZ63" si="131">IF(N36="",0,IF(OR(N36="DNF",N36="OCS",N36="DSQ",N36="DNS",N36=" DNS "),$BW$3+1,N36))</f>
        <v>0</v>
      </c>
      <c r="CA36" s="61">
        <f t="shared" ref="CA36:CA63" si="132">IF(O36="",0,IF(OR(O36="DNF",O36="OCS",O36="DSQ",O36="DNS",O36=" DNS "),$BW$3+1,O36))</f>
        <v>0</v>
      </c>
      <c r="CB36" s="61">
        <f t="shared" ref="CB36:CB63" si="133">IF(P36="",0,IF(OR(P36="DNF",P36="OCS",P36="DSQ",P36="DNS",P36=" DNS "),$BW$3+1,P36))</f>
        <v>0</v>
      </c>
      <c r="CC36" s="61">
        <f t="shared" ref="CC36:CC63" si="134">IF(Q36="",0,IF(OR(Q36="DNF",Q36="OCS",Q36="DSQ",Q36="DNS",Q36=" DNS "),$BW$3+1,Q36))</f>
        <v>0</v>
      </c>
      <c r="CD36" s="61">
        <f t="shared" ref="CD36:CD63" si="135">IF(R36="",0,IF(OR(R36="DNF",R36="OCS",R36="DSQ",R36="DNS",R36=" DNS "),$BW$3+1,R36))</f>
        <v>0</v>
      </c>
      <c r="CE36" s="61">
        <f t="shared" ref="CE36:CE63" si="136">IF(S36="",0,IF(OR(S36="DNF",S36="OCS",S36="DSQ",S36="DNS",S36=" DNS "),$BW$3+1,S36))</f>
        <v>0</v>
      </c>
      <c r="CF36" s="61">
        <f t="shared" ref="CF36:CF63" si="137">IF(T36="",0,IF(OR(T36="DNF",T36="OCS",T36="DSQ",T36="DNS",T36=" DNS "),$BW$3+1,T36))</f>
        <v>0</v>
      </c>
      <c r="CG36" s="61">
        <f t="shared" ref="CG36:CG63" si="138">IF(U36="",0,IF(OR(U36="DNF",U36="OCS",U36="DSQ",U36="DNS",U36=" DNS "),$BW$3+1,U36))</f>
        <v>0</v>
      </c>
      <c r="CH36" s="61">
        <f t="shared" ref="CH36:CH63" si="139">IF(V36="",0,IF(OR(V36="DNF",V36="OCS",V36="DSQ",V36="DNS",V36=" DNS "),$BW$3+1,V36))</f>
        <v>0</v>
      </c>
      <c r="CI36" s="61">
        <f t="shared" ref="CI36:CI63" si="140">IF(W36="",0,IF(OR(W36="DNF",W36="OCS",W36="DSQ",W36="DNS",W36=" DNS "),$BW$3+1,W36))</f>
        <v>0</v>
      </c>
      <c r="CJ36" s="61">
        <f t="shared" ref="CJ36:CJ63" si="141">IF(X36="",0,IF(OR(X36="DNF",X36="OCS",X36="DSQ",X36="DNS",X36=" DNS "),$BW$3+1,X36))</f>
        <v>0</v>
      </c>
      <c r="CK36" s="61">
        <f t="shared" ref="CK36:CK63" si="142">IF(Y36="",0,IF(OR(Y36="DNF",Y36="OCS",Y36="DSQ",Y36="DNS",Y36=" DNS "),$BW$3+1,Y36))</f>
        <v>0</v>
      </c>
      <c r="CL36" s="61">
        <f t="shared" ref="CL36:CL63" si="143">IF(Z36="",0,IF(OR(Z36="DNF",Z36="OCS",Z36="DSQ",Z36="DNS",Z36=" DNS "),$BW$3+1,Z36))</f>
        <v>0</v>
      </c>
      <c r="CM36" s="61">
        <f t="shared" ref="CM36:CM63" si="144">IF(AA36="",0,IF(OR(AA36="DNF",AA36="OCS",AA36="DSQ",AA36="DNS",AA36=" DNS "),$BW$3+1,AA36))</f>
        <v>0</v>
      </c>
      <c r="CN36" s="61">
        <f t="shared" ref="CN36:CN63" si="145">IF(AB36="",0,IF(OR(AB36="DNF",AB36="OCS",AB36="DSQ",AB36="DNS",AB36=" DNS "),$BW$3+1,AB36))</f>
        <v>0</v>
      </c>
      <c r="CO36" s="61">
        <f t="shared" ref="CO36:CO63" si="146">IF(AC36="",0,IF(OR(AC36="DNF",AC36="OCS",AC36="DSQ",AC36="DNS",AC36=" DNS "),$BW$3+1,AC36))</f>
        <v>0</v>
      </c>
      <c r="CP36" s="61">
        <f t="shared" ref="CP36:CP63" si="147">IF(AD36="",0,IF(OR(AD36="DNF",AD36="OCS",AD36="DSQ",AD36="DNS",AD36=" DNS "),$BW$3+1,AD36))</f>
        <v>0</v>
      </c>
      <c r="CQ36" s="61">
        <f t="shared" ref="CQ36:CQ63" si="148">IF(AE36="",0,IF(OR(AE36="DNF",AE36="OCS",AE36="DSQ",AE36="DNS",AE36=" DNS "),$BW$3+1,AE36))</f>
        <v>0</v>
      </c>
      <c r="CR36" s="61">
        <f t="shared" ref="CR36:CR63" si="149">IF(AF36="",0,IF(OR(AF36="DNF",AF36="OCS",AF36="DSQ",AF36="DNS",AF36=" DNS "),$BW$3+1,AF36))</f>
        <v>0</v>
      </c>
      <c r="CS36" s="61">
        <f t="shared" ref="CS36:CS63" si="150">IF(AG36="",0,IF(OR(AG36="DNF",AG36="OCS",AG36="DSQ",AG36="DNS",AG36=" DNS "),$BW$3+1,AG36))</f>
        <v>0</v>
      </c>
      <c r="CT36" s="61">
        <f t="shared" ref="CT36:CT63" si="151">IF(AH36="",0,IF(OR(AH36="DNF",AH36="OCS",AH36="DSQ",AH36="DNS",AH36=" DNS "),$BW$3+1,AH36))</f>
        <v>0</v>
      </c>
      <c r="CU36" s="61">
        <f t="shared" ref="CU36:CU63" si="152">IF(AI36="",0,IF(OR(AI36="DNF",AI36="OCS",AI36="DSQ",AI36="DNS",AI36=" DNS "),$BW$3+1,AI36))</f>
        <v>0</v>
      </c>
      <c r="CV36" s="61">
        <f t="shared" ref="CV36:CV63" si="153">IF(AJ36="",0,IF(OR(AJ36="DNF",AJ36="OCS",AJ36="DSQ",AJ36="DNS",AJ36=" DNS "),$BW$3+1,AJ36))</f>
        <v>0</v>
      </c>
      <c r="CW36" s="61">
        <f t="shared" ref="CW36:CW63" si="154">IF(AK36="",0,IF(OR(AK36="DNF",AK36="OCS",AK36="DSQ",AK36="DNS",AK36=" DNS "),$BW$3+1,AK36))</f>
        <v>0</v>
      </c>
      <c r="CX36" s="61">
        <f t="shared" ref="CX36:CX63" si="155">IF(AL36="",0,IF(OR(AL36="DNF",AL36="OCS",AL36="DSQ",AL36="DNS",AL36=" DNS "),$BW$3+1,AL36))</f>
        <v>0</v>
      </c>
      <c r="CY36" s="61">
        <f t="shared" ref="CY36:CY63" si="156">IF(AM36="",0,IF(OR(AM36="DNF",AM36="OCS",AM36="DSQ",AM36="DNS",AM36=" DNS "),$BW$3+1,AM36))</f>
        <v>0</v>
      </c>
      <c r="CZ36" s="61">
        <f t="shared" ref="CZ36:CZ63" si="157">IF(AN36="",0,IF(OR(AN36="DNF",AN36="OCS",AN36="DSQ",AN36="DNS",AN36=" DNS "),$BW$3+1,AN36))</f>
        <v>0</v>
      </c>
      <c r="DA36" s="61">
        <f t="shared" ref="DA36:DA63" si="158">IF(AO36="",0,IF(OR(AO36="DNF",AO36="OCS",AO36="DSQ",AO36="DNS",AO36=" DNS "),$BW$3+1,AO36))</f>
        <v>0</v>
      </c>
      <c r="DB36" s="61">
        <f t="shared" ref="DB36:DB63" si="159">IF(AP36="",0,IF(OR(AP36="DNF",AP36="OCS",AP36="DSQ",AP36="DNS",AP36=" DNS "),$BW$3+1,AP36))</f>
        <v>0</v>
      </c>
      <c r="DC36" s="61">
        <f t="shared" ref="DC36:DC63" si="160">IF(AQ36="",0,IF(OR(AQ36="DNF",AQ36="OCS",AQ36="DSQ",AQ36="DNS",AQ36=" DNS "),$BW$3+1,AQ36))</f>
        <v>0</v>
      </c>
      <c r="DD36" s="61">
        <f t="shared" ref="DD36:DD63" si="161">IF(AR36="",0,IF(OR(AR36="DNF",AR36="OCS",AR36="DSQ",AR36="DNS",AR36=" DNS "),$BW$3+1,AR36))</f>
        <v>0</v>
      </c>
      <c r="DE36" s="61">
        <f t="shared" ref="DE36:DE63" si="162">IF(AS36="",0,IF(OR(AS36="DNF",AS36="OCS",AS36="DSQ",AS36="DNS",AS36=" DNS "),$BW$3+1,AS36))</f>
        <v>0</v>
      </c>
      <c r="DF36" s="61">
        <f t="shared" ref="DF36:DF63" si="163">IF(AT36="",0,IF(OR(AT36="DNF",AT36="OCS",AT36="DSQ",AT36="DNS",AT36=" DNS "),$BW$3+1,AT36))</f>
        <v>0</v>
      </c>
      <c r="DG36" s="61">
        <f t="shared" ref="DG36:DG63" si="164">IF(AU36="",0,IF(OR(AU36="DNF",AU36="OCS",AU36="DSQ",AU36="DNS",AU36=" DNS "),$BW$3+1,AU36))</f>
        <v>0</v>
      </c>
      <c r="DH36" s="61">
        <f t="shared" ref="DH36:DH63" si="165">IF(AV36="",0,IF(OR(AV36="DNF",AV36="OCS",AV36="DSQ",AV36="DNS",AV36=" DNS "),$BW$3+1,AV36))</f>
        <v>0</v>
      </c>
      <c r="DI36" s="61">
        <f t="shared" ref="DI36:DI63" si="166">IF(AW36="",0,IF(OR(AW36="DNF",AW36="OCS",AW36="DSQ",AW36="DNS",AW36=" DNS "),$BW$3+1,AW36))</f>
        <v>0</v>
      </c>
      <c r="DJ36" s="61">
        <f t="shared" ref="DJ36:DJ63" si="167">IF(AX36="",0,IF(OR(AX36="DNF",AX36="OCS",AX36="DSQ",AX36="DNS",AX36=" DNS "),$BW$3+1,AX36))</f>
        <v>0</v>
      </c>
      <c r="DK36" s="61">
        <f t="shared" ref="DK36:DK63" si="168">IF(AY36="",0,IF(OR(AY36="DNF",AY36="OCS",AY36="DSQ",AY36="DNS",AY36=" DNS "),$BW$3+1,AY36))</f>
        <v>0</v>
      </c>
      <c r="DL36" s="61">
        <f t="shared" ref="DL36:DL63" si="169">IF(AZ36="",0,IF(OR(AZ36="DNF",AZ36="OCS",AZ36="DSQ",AZ36="DNS",AZ36=" DNS "),$BW$3+1,AZ36))</f>
        <v>0</v>
      </c>
      <c r="DM36" s="61">
        <f t="shared" ref="DM36:DM63" si="170">IF(BA36="",0,IF(OR(BA36="DNF",BA36="OCS",BA36="DSQ",BA36="DNS",BA36=" DNS "),$BW$3+1,BA36))</f>
        <v>0</v>
      </c>
      <c r="DN36" s="61">
        <f t="shared" ref="DN36:DN63" si="171">IF(BB36="",0,IF(OR(BB36="DNF",BB36="OCS",BB36="DSQ",BB36="DNS",BB36=" DNS "),$BW$3+1,BB36))</f>
        <v>0</v>
      </c>
      <c r="DO36" s="61">
        <f t="shared" ref="DO36:DO63" si="172">IF(BC36="",0,IF(OR(BC36="DNF",BC36="OCS",BC36="DSQ",BC36="DNS",BC36=" DNS "),$BW$3+1,BC36))</f>
        <v>0</v>
      </c>
      <c r="DP36" s="61">
        <f t="shared" ref="DP36:DP63" si="173">IF(BD36="",0,IF(OR(BD36="DNF",BD36="OCS",BD36="DSQ",BD36="DNS",BD36=" DNS "),$BW$3+1,BD36))</f>
        <v>0</v>
      </c>
      <c r="DQ36" s="61">
        <f t="shared" ref="DQ36:DQ63" si="174">IF(BE36="",0,IF(OR(BE36="DNF",BE36="OCS",BE36="DSQ",BE36="DNS",BE36=" DNS "),$BW$3+1,BE36))</f>
        <v>0</v>
      </c>
      <c r="DR36" s="61">
        <f t="shared" ref="DR36:DR63" si="175">IF(BF36="",0,IF(OR(BF36="DNF",BF36="OCS",BF36="DSQ",BF36="DNS",BF36=" DNS "),$BW$3+1,BF36))</f>
        <v>0</v>
      </c>
      <c r="DS36" s="61">
        <f t="shared" ref="DS36:DS63" si="176">IF(BG36="",0,IF(OR(BG36="DNF",BG36="OCS",BG36="DSQ",BG36="DNS",BG36=" DNS "),$BW$3+1,BG36))</f>
        <v>0</v>
      </c>
      <c r="DT36" s="61">
        <f t="shared" ref="DT36:DT63" si="177">IF(BH36="",0,IF(OR(BH36="DNF",BH36="OCS",BH36="DSQ",BH36="DNS",BH36=" DNS "),$BW$3+1,BH36))</f>
        <v>0</v>
      </c>
      <c r="DU36" s="61">
        <f t="shared" ref="DU36:DU63" si="178">IF(BI36="",0,IF(OR(BI36="DNF",BI36="OCS",BI36="DSQ",BI36="DNS",BI36=" DNS "),$BW$3+1,BI36))</f>
        <v>0</v>
      </c>
      <c r="DV36" s="61">
        <f t="shared" ref="DV36:DV63" si="179">IF(BJ36="",0,IF(OR(BJ36="DNF",BJ36="OCS",BJ36="DSQ",BJ36="DNS",BJ36=" DNS "),$BW$3+1,BJ36))</f>
        <v>0</v>
      </c>
      <c r="DW36" s="61">
        <f t="shared" ref="DW36:DW63" si="180">IF(BK36="",0,IF(OR(BK36="DNF",BK36="OCS",BK36="DSQ",BK36="DNS",BK36=" DNS "),$BW$3+1,BK36))</f>
        <v>0</v>
      </c>
      <c r="DX36" s="61">
        <f t="shared" ref="DX36:DX63" si="181">IF(BL36="",0,IF(OR(BL36="DNF",BL36="OCS",BL36="DSQ",BL36="DNS",BL36=" DNS "),$BW$3+1,BL36))</f>
        <v>0</v>
      </c>
      <c r="DY36" s="61">
        <f t="shared" ref="DY36:DY63" si="182">IF(BM36="",0,IF(OR(BM36="DNF",BM36="OCS",BM36="DSQ",BM36="DNS",BM36=" DNS "),$BW$3+1,BM36))</f>
        <v>0</v>
      </c>
      <c r="DZ36" s="61">
        <f t="shared" ref="DZ36:DZ63" si="183">IF(BN36="",0,IF(OR(BN36="DNF",BN36="OCS",BN36="DSQ",BN36="DNS",BN36=" DNS "),$BW$3+1,BN36))</f>
        <v>0</v>
      </c>
      <c r="EA36" s="61">
        <f t="shared" ref="EA36:EA63" si="184">IF(BO36="",0,IF(OR(BO36="DNF",BO36="OCS",BO36="DSQ",BO36="DNS",BO36=" DNS "),$BW$3+1,BO36))</f>
        <v>0</v>
      </c>
      <c r="EB36" s="61">
        <f t="shared" ref="EB36:EB63" si="185">IF(BP36="",0,IF(OR(BP36="DNF",BP36="OCS",BP36="DSQ",BP36="DNS",BP36=" DNS "),$BW$3+1,BP36))</f>
        <v>0</v>
      </c>
      <c r="EC36" s="61">
        <f t="shared" ref="EC36:EC63" si="186">IF(BQ36="",0,IF(OR(BQ36="DNF",BQ36="OCS",BQ36="DSQ",BQ36="DNS",BQ36=" DNS "),$BW$3+1,BQ36))</f>
        <v>0</v>
      </c>
      <c r="EE36" s="61">
        <f xml:space="preserve">
IF(OR(Deltagarlista!$K$3=3,Deltagarlista!$K$3=4),
IF(Arrangörslista!$U$5&lt;8,0,
IF(Arrangörslista!$U$5&lt;16,SUM(LARGE(BV36:CJ36,1)),
IF(Arrangörslista!$U$5&lt;24,SUM(LARGE(BV36:CR36,{1;2})),
IF(Arrangörslista!$U$5&lt;32,SUM(LARGE(BV36:CZ36,{1;2;3})),
IF(Arrangörslista!$U$5&lt;40,SUM(LARGE(BV36:DH36,{1;2;3;4})),
IF(Arrangörslista!$U$5&lt;48,SUM(LARGE(BV36:DP36,{1;2;3;4;5})),
IF(Arrangörslista!$U$5&lt;56,SUM(LARGE(BV36:DX36,{1;2;3;4;5;6})),
IF(Arrangörslista!$U$5&lt;64,SUM(LARGE(BV36:EC36,{1;2;3;4;5;6;7})),0)))))))),
IF(Deltagarlista!$K$3=2,
IF(Arrangörslista!$U$5&lt;4,LARGE(BV36:BX36,1),
IF(Arrangörslista!$U$5&lt;7,SUM(LARGE(BV36:CA36,{1;2;3})),
IF(Arrangörslista!$U$5&lt;10,SUM(LARGE(BV36:CD36,{1;2;3;4})),
IF(Arrangörslista!$U$5&lt;13,SUM(LARGE(BV36:CG36,{1;2;3;4;5;6})),
IF(Arrangörslista!$U$5&lt;16,SUM(LARGE(BV36:CJ36,{1;2;3;4;5;6;7})),
IF(Arrangörslista!$U$5&lt;19,SUM(LARGE(BV36:CM36,{1;2;3;4;5;6;7;8;9})),
IF(Arrangörslista!$U$5&lt;22,SUM(LARGE(BV36:CP36,{1;2;3;4;5;6;7;8;9;10})),
IF(Arrangörslista!$U$5&lt;25,SUM(LARGE(BV36:CS36,{1;2;3;4;5;6;7;8;9;10;11;12})),
IF(Arrangörslista!$U$5&lt;28,SUM(LARGE(BV36:CV36,{1;2;3;4;5;6;7;8;9;10;11;12;13})),
IF(Arrangörslista!$U$5&lt;31,SUM(LARGE(BV36:CY36,{1;2;3;4;5;6;7;8;9;10;11;12;13;14;15})),
IF(Arrangörslista!$U$5&lt;34,SUM(LARGE(BV36:DB36,{1;2;3;4;5;6;7;8;9;10;11;12;13;14;15;16})),
IF(Arrangörslista!$U$5&lt;37,SUM(LARGE(BV36:DE36,{1;2;3;4;5;6;7;8;9;10;11;12;13;14;15;16;17;18})),
IF(Arrangörslista!$U$5&lt;40,SUM(LARGE(BV36:DH36,{1;2;3;4;5;6;7;8;9;10;11;12;13;14;15;16;17;18;19})),
IF(Arrangörslista!$U$5&lt;43,SUM(LARGE(BV36:DK36,{1;2;3;4;5;6;7;8;9;10;11;12;13;14;15;16;17;18;19;20;21})),
IF(Arrangörslista!$U$5&lt;46,SUM(LARGE(BV36:DN36,{1;2;3;4;5;6;7;8;9;10;11;12;13;14;15;16;17;18;19;20;21;22})),
IF(Arrangörslista!$U$5&lt;49,SUM(LARGE(BV36:DQ36,{1;2;3;4;5;6;7;8;9;10;11;12;13;14;15;16;17;18;19;20;21;22;23;24})),
IF(Arrangörslista!$U$5&lt;52,SUM(LARGE(BV36:DT36,{1;2;3;4;5;6;7;8;9;10;11;12;13;14;15;16;17;18;19;20;21;22;23;24;25})),
IF(Arrangörslista!$U$5&lt;55,SUM(LARGE(BV36:DW36,{1;2;3;4;5;6;7;8;9;10;11;12;13;14;15;16;17;18;19;20;21;22;23;24;25;26;27})),
IF(Arrangörslista!$U$5&lt;58,SUM(LARGE(BV36:DZ36,{1;2;3;4;5;6;7;8;9;10;11;12;13;14;15;16;17;18;19;20;21;22;23;24;25;26;27;28})),
IF(Arrangörslista!$U$5&lt;61,SUM(LARGE(BV36:EC36,{1;2;3;4;5;6;7;8;9;10;11;12;13;14;15;16;17;18;19;20;21;22;23;24;25;26;27;28;29;30})),0)))))))))))))))))))),
IF(Arrangörslista!$U$5&lt;4,0,
IF(Arrangörslista!$U$5&lt;8,SUM(LARGE(BV36:CB36,1)),
IF(Arrangörslista!$U$5&lt;12,SUM(LARGE(BV36:CF36,{1;2})),
IF(Arrangörslista!$U$5&lt;16,SUM(LARGE(BV36:CJ36,{1;2;3})),
IF(Arrangörslista!$U$5&lt;20,SUM(LARGE(BV36:CN36,{1;2;3;4})),
IF(Arrangörslista!$U$5&lt;24,SUM(LARGE(BV36:CR36,{1;2;3;4;5})),
IF(Arrangörslista!$U$5&lt;28,SUM(LARGE(BV36:CV36,{1;2;3;4;5;6})),
IF(Arrangörslista!$U$5&lt;32,SUM(LARGE(BV36:CZ36,{1;2;3;4;5;6;7})),
IF(Arrangörslista!$U$5&lt;36,SUM(LARGE(BV36:DD36,{1;2;3;4;5;6;7;8})),
IF(Arrangörslista!$U$5&lt;40,SUM(LARGE(BV36:DH36,{1;2;3;4;5;6;7;8;9})),
IF(Arrangörslista!$U$5&lt;44,SUM(LARGE(BV36:DL36,{1;2;3;4;5;6;7;8;9;10})),
IF(Arrangörslista!$U$5&lt;48,SUM(LARGE(BV36:DP36,{1;2;3;4;5;6;7;8;9;10;11})),
IF(Arrangörslista!$U$5&lt;52,SUM(LARGE(BV36:DT36,{1;2;3;4;5;6;7;8;9;10;11;12})),
IF(Arrangörslista!$U$5&lt;56,SUM(LARGE(BV36:DX36,{1;2;3;4;5;6;7;8;9;10;11;12;13})),
IF(Arrangörslista!$U$5&lt;60,SUM(LARGE(BV36:EB36,{1;2;3;4;5;6;7;8;9;10;11;12;13;14})),
IF(Arrangörslista!$U$5=60,SUM(LARGE(BV36:EC36,{1;2;3;4;5;6;7;8;9;10;11;12;13;14;15})),0))))))))))))))))))</f>
        <v>0</v>
      </c>
      <c r="EG36" s="67">
        <f t="shared" ref="EG36:EG63" si="187">IF(F36="",,1)</f>
        <v>0</v>
      </c>
      <c r="EH36" s="61"/>
      <c r="EI36" s="61"/>
      <c r="EK36" s="62">
        <f t="shared" ref="EK36:EK63" si="188">SMALL($J99:$BQ99,1)</f>
        <v>61</v>
      </c>
      <c r="EL36" s="62">
        <f t="shared" ref="EL36:EL63" si="189">SMALL($J99:$BQ99,2)</f>
        <v>61</v>
      </c>
      <c r="EM36" s="62">
        <f t="shared" ref="EM36:EM63" si="190">SMALL($J99:$BQ99,3)</f>
        <v>61</v>
      </c>
      <c r="EN36" s="62">
        <f t="shared" ref="EN36:EN63" si="191">SMALL($J99:$BQ99,4)</f>
        <v>61</v>
      </c>
      <c r="EO36" s="62">
        <f t="shared" ref="EO36:EO63" si="192">SMALL($J99:$BQ99,5)</f>
        <v>61</v>
      </c>
      <c r="EP36" s="62">
        <f t="shared" ref="EP36:EP63" si="193">SMALL($J99:$BQ99,6)</f>
        <v>61</v>
      </c>
      <c r="EQ36" s="62">
        <f t="shared" ref="EQ36:EQ63" si="194">SMALL($J99:$BQ99,7)</f>
        <v>61</v>
      </c>
      <c r="ER36" s="62">
        <f t="shared" ref="ER36:ER63" si="195">SMALL($J99:$BQ99,8)</f>
        <v>61</v>
      </c>
      <c r="ES36" s="62">
        <f t="shared" ref="ES36:ES63" si="196">SMALL($J99:$BQ99,9)</f>
        <v>61</v>
      </c>
      <c r="ET36" s="62">
        <f t="shared" ref="ET36:ET63" si="197">SMALL($J99:$BQ99,10)</f>
        <v>61</v>
      </c>
      <c r="EU36" s="62">
        <f t="shared" ref="EU36:EU63" si="198">SMALL($J99:$BQ99,11)</f>
        <v>61</v>
      </c>
      <c r="EV36" s="62">
        <f t="shared" ref="EV36:EV63" si="199">SMALL($J99:$BQ99,12)</f>
        <v>61</v>
      </c>
      <c r="EW36" s="62">
        <f t="shared" ref="EW36:EW63" si="200">SMALL($J99:$BQ99,13)</f>
        <v>61</v>
      </c>
      <c r="EX36" s="62">
        <f t="shared" ref="EX36:EX63" si="201">SMALL($J99:$BQ99,14)</f>
        <v>61</v>
      </c>
      <c r="EY36" s="62">
        <f t="shared" ref="EY36:EY63" si="202">SMALL($J99:$BQ99,15)</f>
        <v>61</v>
      </c>
      <c r="EZ36" s="62">
        <f t="shared" ref="EZ36:EZ63" si="203">SMALL($J99:$BQ99,16)</f>
        <v>61</v>
      </c>
      <c r="FA36" s="62">
        <f t="shared" ref="FA36:FA63" si="204">SMALL($J99:$BQ99,17)</f>
        <v>61</v>
      </c>
      <c r="FB36" s="62">
        <f t="shared" ref="FB36:FB63" si="205">SMALL($J99:$BQ99,18)</f>
        <v>61</v>
      </c>
      <c r="FC36" s="62">
        <f t="shared" ref="FC36:FC63" si="206">SMALL($J99:$BQ99,19)</f>
        <v>61</v>
      </c>
      <c r="FD36" s="62">
        <f t="shared" ref="FD36:FD63" si="207">SMALL($J99:$BQ99,20)</f>
        <v>61</v>
      </c>
      <c r="FE36" s="62">
        <f t="shared" ref="FE36:FE63" si="208">SMALL($J99:$BQ99,21)</f>
        <v>61</v>
      </c>
      <c r="FF36" s="62">
        <f t="shared" ref="FF36:FF63" si="209">SMALL($J99:$BQ99,22)</f>
        <v>61</v>
      </c>
      <c r="FG36" s="62">
        <f t="shared" ref="FG36:FG63" si="210">SMALL($J99:$BQ99,23)</f>
        <v>61</v>
      </c>
      <c r="FH36" s="62">
        <f t="shared" ref="FH36:FH63" si="211">SMALL($J99:$BQ99,24)</f>
        <v>61</v>
      </c>
      <c r="FI36" s="62">
        <f t="shared" ref="FI36:FI63" si="212">SMALL($J99:$BQ99,25)</f>
        <v>61</v>
      </c>
      <c r="FJ36" s="62">
        <f t="shared" ref="FJ36:FJ63" si="213">SMALL($J99:$BQ99,26)</f>
        <v>61</v>
      </c>
      <c r="FK36" s="62">
        <f t="shared" ref="FK36:FK63" si="214">SMALL($J99:$BQ99,27)</f>
        <v>61</v>
      </c>
      <c r="FL36" s="62">
        <f t="shared" ref="FL36:FL63" si="215">SMALL($J99:$BQ99,28)</f>
        <v>61</v>
      </c>
      <c r="FM36" s="62">
        <f t="shared" ref="FM36:FM63" si="216">SMALL($J99:$BQ99,29)</f>
        <v>61</v>
      </c>
      <c r="FN36" s="62">
        <f t="shared" ref="FN36:FN63" si="217">SMALL($J99:$BQ99,30)</f>
        <v>61</v>
      </c>
      <c r="FO36" s="62">
        <f t="shared" ref="FO36:FO63" si="218">SMALL($J99:$BQ99,31)</f>
        <v>61</v>
      </c>
      <c r="FP36" s="62">
        <f t="shared" ref="FP36:FP63" si="219">SMALL($J99:$BQ99,32)</f>
        <v>61</v>
      </c>
      <c r="FQ36" s="62">
        <f t="shared" ref="FQ36:FQ63" si="220">SMALL($J99:$BQ99,33)</f>
        <v>61</v>
      </c>
      <c r="FR36" s="62">
        <f t="shared" ref="FR36:FR63" si="221">SMALL($J99:$BQ99,34)</f>
        <v>61</v>
      </c>
      <c r="FS36" s="62">
        <f t="shared" ref="FS36:FS63" si="222">SMALL($J99:$BQ99,35)</f>
        <v>61</v>
      </c>
      <c r="FT36" s="62">
        <f t="shared" ref="FT36:FT63" si="223">SMALL($J99:$BQ99,36)</f>
        <v>61</v>
      </c>
      <c r="FU36" s="62">
        <f t="shared" ref="FU36:FU63" si="224">SMALL($J99:$BQ99,37)</f>
        <v>61</v>
      </c>
      <c r="FV36" s="62">
        <f t="shared" ref="FV36:FV63" si="225">SMALL($J99:$BQ99,38)</f>
        <v>61</v>
      </c>
      <c r="FW36" s="62">
        <f t="shared" ref="FW36:FW63" si="226">SMALL($J99:$BQ99,39)</f>
        <v>61</v>
      </c>
      <c r="FX36" s="62">
        <f t="shared" ref="FX36:FX63" si="227">SMALL($J99:$BQ99,40)</f>
        <v>61</v>
      </c>
      <c r="FY36" s="62">
        <f t="shared" ref="FY36:FY63" si="228">SMALL($J99:$BQ99,41)</f>
        <v>61</v>
      </c>
      <c r="FZ36" s="62">
        <f t="shared" ref="FZ36:FZ63" si="229">SMALL($J99:$BQ99,42)</f>
        <v>61</v>
      </c>
      <c r="GA36" s="62">
        <f t="shared" ref="GA36:GA63" si="230">SMALL($J99:$BQ99,43)</f>
        <v>61</v>
      </c>
      <c r="GB36" s="62">
        <f t="shared" ref="GB36:GB63" si="231">SMALL($J99:$BQ99,44)</f>
        <v>61</v>
      </c>
      <c r="GC36" s="62">
        <f t="shared" ref="GC36:GC63" si="232">SMALL($J99:$BQ99,45)</f>
        <v>61</v>
      </c>
      <c r="GD36" s="62">
        <f t="shared" ref="GD36:GD63" si="233">SMALL($J99:$BQ99,46)</f>
        <v>61</v>
      </c>
      <c r="GE36" s="62">
        <f t="shared" ref="GE36:GE63" si="234">SMALL($J99:$BQ99,47)</f>
        <v>61</v>
      </c>
      <c r="GF36" s="62">
        <f t="shared" ref="GF36:GF63" si="235">SMALL($J99:$BQ99,48)</f>
        <v>61</v>
      </c>
      <c r="GG36" s="62">
        <f t="shared" ref="GG36:GG63" si="236">SMALL($J99:$BQ99,49)</f>
        <v>61</v>
      </c>
      <c r="GH36" s="62">
        <f t="shared" ref="GH36:GH63" si="237">SMALL($J99:$BQ99,50)</f>
        <v>61</v>
      </c>
      <c r="GI36" s="62">
        <f t="shared" ref="GI36:GI63" si="238">SMALL($J99:$BQ99,51)</f>
        <v>61</v>
      </c>
      <c r="GJ36" s="62">
        <f t="shared" ref="GJ36:GJ63" si="239">SMALL($J99:$BQ99,52)</f>
        <v>61</v>
      </c>
      <c r="GK36" s="62">
        <f t="shared" ref="GK36:GK63" si="240">SMALL($J99:$BQ99,53)</f>
        <v>61</v>
      </c>
      <c r="GL36" s="62">
        <f t="shared" ref="GL36:GL63" si="241">SMALL($J99:$BQ99,54)</f>
        <v>61</v>
      </c>
      <c r="GM36" s="62">
        <f t="shared" ref="GM36:GM63" si="242">SMALL($J99:$BQ99,55)</f>
        <v>61</v>
      </c>
      <c r="GN36" s="62">
        <f t="shared" ref="GN36:GN63" si="243">SMALL($J99:$BQ99,56)</f>
        <v>61</v>
      </c>
      <c r="GO36" s="62">
        <f t="shared" ref="GO36:GO63" si="244">SMALL($J99:$BQ99,57)</f>
        <v>61</v>
      </c>
      <c r="GP36" s="62">
        <f t="shared" ref="GP36:GP63" si="245">SMALL($J99:$BQ99,58)</f>
        <v>61</v>
      </c>
      <c r="GQ36" s="62">
        <f t="shared" ref="GQ36:GQ63" si="246">SMALL($J99:$BQ99,59)</f>
        <v>61</v>
      </c>
      <c r="GR36" s="62">
        <f t="shared" ref="GR36:GR63" si="247">SMALL($J99:$BQ99,60)</f>
        <v>61</v>
      </c>
      <c r="GT36" s="62">
        <f>IF(Deltagarlista!$K$3=2,
IF(GW36="1",
      IF(Arrangörslista!$U$5=1,J99,
IF(Arrangörslista!$U$5=2,K99,
IF(Arrangörslista!$U$5=3,L99,
IF(Arrangörslista!$U$5=4,M99,
IF(Arrangörslista!$U$5=5,N99,
IF(Arrangörslista!$U$5=6,O99,
IF(Arrangörslista!$U$5=7,P99,
IF(Arrangörslista!$U$5=8,Q99,
IF(Arrangörslista!$U$5=9,R99,
IF(Arrangörslista!$U$5=10,S99,
IF(Arrangörslista!$U$5=11,T99,
IF(Arrangörslista!$U$5=12,U99,
IF(Arrangörslista!$U$5=13,V99,
IF(Arrangörslista!$U$5=14,W99,
IF(Arrangörslista!$U$5=15,X99,
IF(Arrangörslista!$U$5=16,Y99,IF(Arrangörslista!$U$5=17,Z99,IF(Arrangörslista!$U$5=18,AA99,IF(Arrangörslista!$U$5=19,AB99,IF(Arrangörslista!$U$5=20,AC99,IF(Arrangörslista!$U$5=21,AD99,IF(Arrangörslista!$U$5=22,AE99,IF(Arrangörslista!$U$5=23,AF99, IF(Arrangörslista!$U$5=24,AG99, IF(Arrangörslista!$U$5=25,AH99, IF(Arrangörslista!$U$5=26,AI99, IF(Arrangörslista!$U$5=27,AJ99, IF(Arrangörslista!$U$5=28,AK99, IF(Arrangörslista!$U$5=29,AL99, IF(Arrangörslista!$U$5=30,AM99, IF(Arrangörslista!$U$5=31,AN99, IF(Arrangörslista!$U$5=32,AO99, IF(Arrangörslista!$U$5=33,AP99, IF(Arrangörslista!$U$5=34,AQ99, IF(Arrangörslista!$U$5=35,AR99, IF(Arrangörslista!$U$5=36,AS99, IF(Arrangörslista!$U$5=37,AT99, IF(Arrangörslista!$U$5=38,AU99, IF(Arrangörslista!$U$5=39,AV99, IF(Arrangörslista!$U$5=40,AW99, IF(Arrangörslista!$U$5=41,AX99, IF(Arrangörslista!$U$5=42,AY99, IF(Arrangörslista!$U$5=43,AZ99, IF(Arrangörslista!$U$5=44,BA99, IF(Arrangörslista!$U$5=45,BB99, IF(Arrangörslista!$U$5=46,BC99, IF(Arrangörslista!$U$5=47,BD99, IF(Arrangörslista!$U$5=48,BE99, IF(Arrangörslista!$U$5=49,BF99, IF(Arrangörslista!$U$5=50,BG99, IF(Arrangörslista!$U$5=51,BH99, IF(Arrangörslista!$U$5=52,BI99, IF(Arrangörslista!$U$5=53,BJ99, IF(Arrangörslista!$U$5=54,BK99, IF(Arrangörslista!$U$5=55,BL99, IF(Arrangörslista!$U$5=56,BM99, IF(Arrangörslista!$U$5=57,BN99, IF(Arrangörslista!$U$5=58,BO99, IF(Arrangörslista!$U$5=59,BP99, IF(Arrangörslista!$U$5=60,BQ99,0))))))))))))))))))))))))))))))))))))))))))))))))))))))))))))),IF(Deltagarlista!$K$3=4, IF(Arrangörslista!$U$5=1,J99,
IF(Arrangörslista!$U$5=2,J99,
IF(Arrangörslista!$U$5=3,K99,
IF(Arrangörslista!$U$5=4,K99,
IF(Arrangörslista!$U$5=5,L99,
IF(Arrangörslista!$U$5=6,L99,
IF(Arrangörslista!$U$5=7,M99,
IF(Arrangörslista!$U$5=8,M99,
IF(Arrangörslista!$U$5=9,N99,
IF(Arrangörslista!$U$5=10,N99,
IF(Arrangörslista!$U$5=11,O99,
IF(Arrangörslista!$U$5=12,O99,
IF(Arrangörslista!$U$5=13,P99,
IF(Arrangörslista!$U$5=14,P99,
IF(Arrangörslista!$U$5=15,Q99,
IF(Arrangörslista!$U$5=16,Q99,
IF(Arrangörslista!$U$5=17,R99,
IF(Arrangörslista!$U$5=18,R99,
IF(Arrangörslista!$U$5=19,S99,
IF(Arrangörslista!$U$5=20,S99,
IF(Arrangörslista!$U$5=21,T99,
IF(Arrangörslista!$U$5=22,T99,IF(Arrangörslista!$U$5=23,U99, IF(Arrangörslista!$U$5=24,U99, IF(Arrangörslista!$U$5=25,V99, IF(Arrangörslista!$U$5=26,V99, IF(Arrangörslista!$U$5=27,W99, IF(Arrangörslista!$U$5=28,W99, IF(Arrangörslista!$U$5=29,X99, IF(Arrangörslista!$U$5=30,X99, IF(Arrangörslista!$U$5=31,X99, IF(Arrangörslista!$U$5=32,Y99, IF(Arrangörslista!$U$5=33,AO99, IF(Arrangörslista!$U$5=34,Y99, IF(Arrangörslista!$U$5=35,Z99, IF(Arrangörslista!$U$5=36,AR99, IF(Arrangörslista!$U$5=37,Z99, IF(Arrangörslista!$U$5=38,AA99, IF(Arrangörslista!$U$5=39,AU99, IF(Arrangörslista!$U$5=40,AA99, IF(Arrangörslista!$U$5=41,AB99, IF(Arrangörslista!$U$5=42,AX99, IF(Arrangörslista!$U$5=43,AB99, IF(Arrangörslista!$U$5=44,AC99, IF(Arrangörslista!$U$5=45,BA99, IF(Arrangörslista!$U$5=46,AC99, IF(Arrangörslista!$U$5=47,AD99, IF(Arrangörslista!$U$5=48,BD99, IF(Arrangörslista!$U$5=49,AD99, IF(Arrangörslista!$U$5=50,AE99, IF(Arrangörslista!$U$5=51,BG99, IF(Arrangörslista!$U$5=52,AE99, IF(Arrangörslista!$U$5=53,AF99, IF(Arrangörslista!$U$5=54,BJ99, IF(Arrangörslista!$U$5=55,AF99, IF(Arrangörslista!$U$5=56,AG99, IF(Arrangörslista!$U$5=57,BM99, IF(Arrangörslista!$U$5=58,AG99, IF(Arrangörslista!$U$5=59,AH99, IF(Arrangörslista!$U$5=60,AH99,0)))))))))))))))))))))))))))))))))))))))))))))))))))))))))))),IF(Arrangörslista!$U$5=1,J99,
IF(Arrangörslista!$U$5=2,K99,
IF(Arrangörslista!$U$5=3,L99,
IF(Arrangörslista!$U$5=4,M99,
IF(Arrangörslista!$U$5=5,N99,
IF(Arrangörslista!$U$5=6,O99,
IF(Arrangörslista!$U$5=7,P99,
IF(Arrangörslista!$U$5=8,Q99,
IF(Arrangörslista!$U$5=9,R99,
IF(Arrangörslista!$U$5=10,S99,
IF(Arrangörslista!$U$5=11,T99,
IF(Arrangörslista!$U$5=12,U99,
IF(Arrangörslista!$U$5=13,V99,
IF(Arrangörslista!$U$5=14,W99,
IF(Arrangörslista!$U$5=15,X99,
IF(Arrangörslista!$U$5=16,Y99,IF(Arrangörslista!$U$5=17,Z99,IF(Arrangörslista!$U$5=18,AA99,IF(Arrangörslista!$U$5=19,AB99,IF(Arrangörslista!$U$5=20,AC99,IF(Arrangörslista!$U$5=21,AD99,IF(Arrangörslista!$U$5=22,AE99,IF(Arrangörslista!$U$5=23,AF99, IF(Arrangörslista!$U$5=24,AG99, IF(Arrangörslista!$U$5=25,AH99, IF(Arrangörslista!$U$5=26,AI99, IF(Arrangörslista!$U$5=27,AJ99, IF(Arrangörslista!$U$5=28,AK99, IF(Arrangörslista!$U$5=29,AL99, IF(Arrangörslista!$U$5=30,AM99, IF(Arrangörslista!$U$5=31,AN99, IF(Arrangörslista!$U$5=32,AO99, IF(Arrangörslista!$U$5=33,AP99, IF(Arrangörslista!$U$5=34,AQ99, IF(Arrangörslista!$U$5=35,AR99, IF(Arrangörslista!$U$5=36,AS99, IF(Arrangörslista!$U$5=37,AT99, IF(Arrangörslista!$U$5=38,AU99, IF(Arrangörslista!$U$5=39,AV99, IF(Arrangörslista!$U$5=40,AW99, IF(Arrangörslista!$U$5=41,AX99, IF(Arrangörslista!$U$5=42,AY99, IF(Arrangörslista!$U$5=43,AZ99, IF(Arrangörslista!$U$5=44,BA99, IF(Arrangörslista!$U$5=45,BB99, IF(Arrangörslista!$U$5=46,BC99, IF(Arrangörslista!$U$5=47,BD99, IF(Arrangörslista!$U$5=48,BE99, IF(Arrangörslista!$U$5=49,BF99, IF(Arrangörslista!$U$5=50,BG99, IF(Arrangörslista!$U$5=51,BH99, IF(Arrangörslista!$U$5=52,BI99, IF(Arrangörslista!$U$5=53,BJ99, IF(Arrangörslista!$U$5=54,BK99, IF(Arrangörslista!$U$5=55,BL99, IF(Arrangörslista!$U$5=56,BM99, IF(Arrangörslista!$U$5=57,BN99, IF(Arrangörslista!$U$5=58,BO99, IF(Arrangörslista!$U$5=59,BP99, IF(Arrangörslista!$U$5=60,BQ99,0))))))))))))))))))))))))))))))))))))))))))))))))))))))))))))
))</f>
        <v>0</v>
      </c>
      <c r="GV36" s="65" t="str">
        <f>IFERROR(IF(VLOOKUP(F36,Deltagarlista!$E$5:$I$64,5,FALSE)="Grön","Gr",IF(VLOOKUP(F36,Deltagarlista!$E$5:$I$64,5,FALSE)="Röd","R",IF(VLOOKUP(F36,Deltagarlista!$E$5:$I$64,5,FALSE)="Blå","B","Gu"))),"")</f>
        <v/>
      </c>
      <c r="GW36" s="62" t="str">
        <f t="shared" si="124"/>
        <v/>
      </c>
    </row>
    <row r="37" spans="2:205" ht="15.75" customHeight="1" x14ac:dyDescent="0.3">
      <c r="B37" s="23" t="str">
        <f>IF((COUNTIF(Deltagarlista!$H$5:$H$64,"GM"))&gt;33,34,"")</f>
        <v/>
      </c>
      <c r="C37" s="92" t="str">
        <f>IF(ISBLANK(Deltagarlista!C42),"",Deltagarlista!C42)</f>
        <v/>
      </c>
      <c r="D37" s="109" t="str">
        <f>CONCATENATE(IF(Deltagarlista!H42="GM","GM   ",""), IF(OR(Deltagarlista!$K$3=4,Deltagarlista!$K$3=2),Deltagarlista!I42,""))</f>
        <v/>
      </c>
      <c r="E37" s="8" t="str">
        <f>IF(ISBLANK(Deltagarlista!D42),"",Deltagarlista!D42)</f>
        <v/>
      </c>
      <c r="F37" s="8" t="str">
        <f>IF(ISBLANK(Deltagarlista!E42),"",Deltagarlista!E42)</f>
        <v/>
      </c>
      <c r="G37" s="95" t="str">
        <f>IF(ISBLANK(Deltagarlista!F42),"",Deltagarlista!F42)</f>
        <v/>
      </c>
      <c r="H37" s="72" t="str">
        <f>IF(ISBLANK(Deltagarlista!C42),"",BU37-EE37)</f>
        <v/>
      </c>
      <c r="I37" s="13" t="str">
        <f>IF(ISBLANK(Deltagarlista!C42),"",IF(AND(Deltagarlista!$K$3=2,Deltagarlista!$L$3&lt;37),SUM(SUM(BV37:EC37)-(ROUNDDOWN(Arrangörslista!$U$5/3,1))*($BW$3+1)),SUM(BV37:EC37)))</f>
        <v/>
      </c>
      <c r="J37" s="79" t="str">
        <f>IF(Deltagarlista!$K$3=4,IF(ISBLANK(Deltagarlista!$C42),"",IF(ISBLANK(Arrangörslista!C$8),"",IFERROR(VLOOKUP($F37,Arrangörslista!C$8:$AG$45,16,FALSE),IF(ISBLANK(Deltagarlista!$C42),"",IF(ISBLANK(Arrangörslista!C$8),"",IFERROR(VLOOKUP($F37,Arrangörslista!D$8:$AG$45,16,FALSE),"DNS")))))),IF(Deltagarlista!$K$3=2,
IF(ISBLANK(Deltagarlista!$C42),"",IF(ISBLANK(Arrangörslista!C$8),"",IF($GV37=J$64," DNS ",IFERROR(VLOOKUP($F37,Arrangörslista!C$8:$AG$45,16,FALSE),"DNS")))),IF(ISBLANK(Deltagarlista!$C42),"",IF(ISBLANK(Arrangörslista!C$8),"",IFERROR(VLOOKUP($F37,Arrangörslista!C$8:$AG$45,16,FALSE),"DNS")))))</f>
        <v/>
      </c>
      <c r="K37" s="5" t="str">
        <f>IF(Deltagarlista!$K$3=4,IF(ISBLANK(Deltagarlista!$C42),"",IF(ISBLANK(Arrangörslista!E$8),"",IFERROR(VLOOKUP($F37,Arrangörslista!E$8:$AG$45,16,FALSE),IF(ISBLANK(Deltagarlista!$C42),"",IF(ISBLANK(Arrangörslista!E$8),"",IFERROR(VLOOKUP($F37,Arrangörslista!F$8:$AG$45,16,FALSE),"DNS")))))),IF(Deltagarlista!$K$3=2,
IF(ISBLANK(Deltagarlista!$C42),"",IF(ISBLANK(Arrangörslista!D$8),"",IF($GV37=K$64," DNS ",IFERROR(VLOOKUP($F37,Arrangörslista!D$8:$AG$45,16,FALSE),"DNS")))),IF(ISBLANK(Deltagarlista!$C42),"",IF(ISBLANK(Arrangörslista!D$8),"",IFERROR(VLOOKUP($F37,Arrangörslista!D$8:$AG$45,16,FALSE),"DNS")))))</f>
        <v/>
      </c>
      <c r="L37" s="5" t="str">
        <f>IF(Deltagarlista!$K$3=4,IF(ISBLANK(Deltagarlista!$C42),"",IF(ISBLANK(Arrangörslista!G$8),"",IFERROR(VLOOKUP($F37,Arrangörslista!G$8:$AG$45,16,FALSE),IF(ISBLANK(Deltagarlista!$C42),"",IF(ISBLANK(Arrangörslista!G$8),"",IFERROR(VLOOKUP($F37,Arrangörslista!H$8:$AG$45,16,FALSE),"DNS")))))),IF(Deltagarlista!$K$3=2,
IF(ISBLANK(Deltagarlista!$C42),"",IF(ISBLANK(Arrangörslista!E$8),"",IF($GV37=L$64," DNS ",IFERROR(VLOOKUP($F37,Arrangörslista!E$8:$AG$45,16,FALSE),"DNS")))),IF(ISBLANK(Deltagarlista!$C42),"",IF(ISBLANK(Arrangörslista!E$8),"",IFERROR(VLOOKUP($F37,Arrangörslista!E$8:$AG$45,16,FALSE),"DNS")))))</f>
        <v/>
      </c>
      <c r="M37" s="5" t="str">
        <f>IF(Deltagarlista!$K$3=4,IF(ISBLANK(Deltagarlista!$C42),"",IF(ISBLANK(Arrangörslista!I$8),"",IFERROR(VLOOKUP($F37,Arrangörslista!I$8:$AG$45,16,FALSE),IF(ISBLANK(Deltagarlista!$C42),"",IF(ISBLANK(Arrangörslista!I$8),"",IFERROR(VLOOKUP($F37,Arrangörslista!J$8:$AG$45,16,FALSE),"DNS")))))),IF(Deltagarlista!$K$3=2,
IF(ISBLANK(Deltagarlista!$C42),"",IF(ISBLANK(Arrangörslista!F$8),"",IF($GV37=M$64," DNS ",IFERROR(VLOOKUP($F37,Arrangörslista!F$8:$AG$45,16,FALSE),"DNS")))),IF(ISBLANK(Deltagarlista!$C42),"",IF(ISBLANK(Arrangörslista!F$8),"",IFERROR(VLOOKUP($F37,Arrangörslista!F$8:$AG$45,16,FALSE),"DNS")))))</f>
        <v/>
      </c>
      <c r="N37" s="5" t="str">
        <f>IF(Deltagarlista!$K$3=4,IF(ISBLANK(Deltagarlista!$C42),"",IF(ISBLANK(Arrangörslista!K$8),"",IFERROR(VLOOKUP($F37,Arrangörslista!K$8:$AG$45,16,FALSE),IF(ISBLANK(Deltagarlista!$C42),"",IF(ISBLANK(Arrangörslista!K$8),"",IFERROR(VLOOKUP($F37,Arrangörslista!L$8:$AG$45,16,FALSE),"DNS")))))),IF(Deltagarlista!$K$3=2,
IF(ISBLANK(Deltagarlista!$C42),"",IF(ISBLANK(Arrangörslista!G$8),"",IF($GV37=N$64," DNS ",IFERROR(VLOOKUP($F37,Arrangörslista!G$8:$AG$45,16,FALSE),"DNS")))),IF(ISBLANK(Deltagarlista!$C42),"",IF(ISBLANK(Arrangörslista!G$8),"",IFERROR(VLOOKUP($F37,Arrangörslista!G$8:$AG$45,16,FALSE),"DNS")))))</f>
        <v/>
      </c>
      <c r="O37" s="5" t="str">
        <f>IF(Deltagarlista!$K$3=4,IF(ISBLANK(Deltagarlista!$C42),"",IF(ISBLANK(Arrangörslista!M$8),"",IFERROR(VLOOKUP($F37,Arrangörslista!M$8:$AG$45,16,FALSE),IF(ISBLANK(Deltagarlista!$C42),"",IF(ISBLANK(Arrangörslista!M$8),"",IFERROR(VLOOKUP($F37,Arrangörslista!N$8:$AG$45,16,FALSE),"DNS")))))),IF(Deltagarlista!$K$3=2,
IF(ISBLANK(Deltagarlista!$C42),"",IF(ISBLANK(Arrangörslista!H$8),"",IF($GV37=O$64," DNS ",IFERROR(VLOOKUP($F37,Arrangörslista!H$8:$AG$45,16,FALSE),"DNS")))),IF(ISBLANK(Deltagarlista!$C42),"",IF(ISBLANK(Arrangörslista!H$8),"",IFERROR(VLOOKUP($F37,Arrangörslista!H$8:$AG$45,16,FALSE),"DNS")))))</f>
        <v/>
      </c>
      <c r="P37" s="5" t="str">
        <f>IF(Deltagarlista!$K$3=4,IF(ISBLANK(Deltagarlista!$C42),"",IF(ISBLANK(Arrangörslista!O$8),"",IFERROR(VLOOKUP($F37,Arrangörslista!O$8:$AG$45,16,FALSE),IF(ISBLANK(Deltagarlista!$C42),"",IF(ISBLANK(Arrangörslista!O$8),"",IFERROR(VLOOKUP($F37,Arrangörslista!P$8:$AG$45,16,FALSE),"DNS")))))),IF(Deltagarlista!$K$3=2,
IF(ISBLANK(Deltagarlista!$C42),"",IF(ISBLANK(Arrangörslista!I$8),"",IF($GV37=P$64," DNS ",IFERROR(VLOOKUP($F37,Arrangörslista!I$8:$AG$45,16,FALSE),"DNS")))),IF(ISBLANK(Deltagarlista!$C42),"",IF(ISBLANK(Arrangörslista!I$8),"",IFERROR(VLOOKUP($F37,Arrangörslista!I$8:$AG$45,16,FALSE),"DNS")))))</f>
        <v/>
      </c>
      <c r="Q37" s="5" t="str">
        <f>IF(Deltagarlista!$K$3=4,IF(ISBLANK(Deltagarlista!$C42),"",IF(ISBLANK(Arrangörslista!Q$8),"",IFERROR(VLOOKUP($F37,Arrangörslista!Q$8:$AG$45,16,FALSE),IF(ISBLANK(Deltagarlista!$C42),"",IF(ISBLANK(Arrangörslista!Q$8),"",IFERROR(VLOOKUP($F37,Arrangörslista!C$53:$AG$90,16,FALSE),"DNS")))))),IF(Deltagarlista!$K$3=2,
IF(ISBLANK(Deltagarlista!$C42),"",IF(ISBLANK(Arrangörslista!J$8),"",IF($GV37=Q$64," DNS ",IFERROR(VLOOKUP($F37,Arrangörslista!J$8:$AG$45,16,FALSE),"DNS")))),IF(ISBLANK(Deltagarlista!$C42),"",IF(ISBLANK(Arrangörslista!J$8),"",IFERROR(VLOOKUP($F37,Arrangörslista!J$8:$AG$45,16,FALSE),"DNS")))))</f>
        <v/>
      </c>
      <c r="R37" s="5" t="str">
        <f>IF(Deltagarlista!$K$3=4,IF(ISBLANK(Deltagarlista!$C42),"",IF(ISBLANK(Arrangörslista!D$53),"",IFERROR(VLOOKUP($F37,Arrangörslista!D$53:$AG$90,16,FALSE),IF(ISBLANK(Deltagarlista!$C42),"",IF(ISBLANK(Arrangörslista!D$53),"",IFERROR(VLOOKUP($F37,Arrangörslista!E$53:$AG$90,16,FALSE),"DNS")))))),IF(Deltagarlista!$K$3=2,
IF(ISBLANK(Deltagarlista!$C42),"",IF(ISBLANK(Arrangörslista!K$8),"",IF($GV37=R$64," DNS ",IFERROR(VLOOKUP($F37,Arrangörslista!K$8:$AG$45,16,FALSE),"DNS")))),IF(ISBLANK(Deltagarlista!$C42),"",IF(ISBLANK(Arrangörslista!K$8),"",IFERROR(VLOOKUP($F37,Arrangörslista!K$8:$AG$45,16,FALSE),"DNS")))))</f>
        <v/>
      </c>
      <c r="S37" s="5" t="str">
        <f>IF(Deltagarlista!$K$3=4,IF(ISBLANK(Deltagarlista!$C42),"",IF(ISBLANK(Arrangörslista!F$53),"",IFERROR(VLOOKUP($F37,Arrangörslista!F$53:$AG$90,16,FALSE),IF(ISBLANK(Deltagarlista!$C42),"",IF(ISBLANK(Arrangörslista!F$53),"",IFERROR(VLOOKUP($F37,Arrangörslista!G$53:$AG$90,16,FALSE),"DNS")))))),IF(Deltagarlista!$K$3=2,
IF(ISBLANK(Deltagarlista!$C42),"",IF(ISBLANK(Arrangörslista!L$8),"",IF($GV37=S$64," DNS ",IFERROR(VLOOKUP($F37,Arrangörslista!L$8:$AG$45,16,FALSE),"DNS")))),IF(ISBLANK(Deltagarlista!$C42),"",IF(ISBLANK(Arrangörslista!L$8),"",IFERROR(VLOOKUP($F37,Arrangörslista!L$8:$AG$45,16,FALSE),"DNS")))))</f>
        <v/>
      </c>
      <c r="T37" s="5" t="str">
        <f>IF(Deltagarlista!$K$3=4,IF(ISBLANK(Deltagarlista!$C42),"",IF(ISBLANK(Arrangörslista!H$53),"",IFERROR(VLOOKUP($F37,Arrangörslista!H$53:$AG$90,16,FALSE),IF(ISBLANK(Deltagarlista!$C42),"",IF(ISBLANK(Arrangörslista!H$53),"",IFERROR(VLOOKUP($F37,Arrangörslista!I$53:$AG$90,16,FALSE),"DNS")))))),IF(Deltagarlista!$K$3=2,
IF(ISBLANK(Deltagarlista!$C42),"",IF(ISBLANK(Arrangörslista!M$8),"",IF($GV37=T$64," DNS ",IFERROR(VLOOKUP($F37,Arrangörslista!M$8:$AG$45,16,FALSE),"DNS")))),IF(ISBLANK(Deltagarlista!$C42),"",IF(ISBLANK(Arrangörslista!M$8),"",IFERROR(VLOOKUP($F37,Arrangörslista!M$8:$AG$45,16,FALSE),"DNS")))))</f>
        <v/>
      </c>
      <c r="U37" s="5" t="str">
        <f>IF(Deltagarlista!$K$3=4,IF(ISBLANK(Deltagarlista!$C42),"",IF(ISBLANK(Arrangörslista!J$53),"",IFERROR(VLOOKUP($F37,Arrangörslista!J$53:$AG$90,16,FALSE),IF(ISBLANK(Deltagarlista!$C42),"",IF(ISBLANK(Arrangörslista!J$53),"",IFERROR(VLOOKUP($F37,Arrangörslista!K$53:$AG$90,16,FALSE),"DNS")))))),IF(Deltagarlista!$K$3=2,
IF(ISBLANK(Deltagarlista!$C42),"",IF(ISBLANK(Arrangörslista!N$8),"",IF($GV37=U$64," DNS ",IFERROR(VLOOKUP($F37,Arrangörslista!N$8:$AG$45,16,FALSE),"DNS")))),IF(ISBLANK(Deltagarlista!$C42),"",IF(ISBLANK(Arrangörslista!N$8),"",IFERROR(VLOOKUP($F37,Arrangörslista!N$8:$AG$45,16,FALSE),"DNS")))))</f>
        <v/>
      </c>
      <c r="V37" s="5" t="str">
        <f>IF(Deltagarlista!$K$3=4,IF(ISBLANK(Deltagarlista!$C42),"",IF(ISBLANK(Arrangörslista!L$53),"",IFERROR(VLOOKUP($F37,Arrangörslista!L$53:$AG$90,16,FALSE),IF(ISBLANK(Deltagarlista!$C42),"",IF(ISBLANK(Arrangörslista!L$53),"",IFERROR(VLOOKUP($F37,Arrangörslista!M$53:$AG$90,16,FALSE),"DNS")))))),IF(Deltagarlista!$K$3=2,
IF(ISBLANK(Deltagarlista!$C42),"",IF(ISBLANK(Arrangörslista!O$8),"",IF($GV37=V$64," DNS ",IFERROR(VLOOKUP($F37,Arrangörslista!O$8:$AG$45,16,FALSE),"DNS")))),IF(ISBLANK(Deltagarlista!$C42),"",IF(ISBLANK(Arrangörslista!O$8),"",IFERROR(VLOOKUP($F37,Arrangörslista!O$8:$AG$45,16,FALSE),"DNS")))))</f>
        <v/>
      </c>
      <c r="W37" s="5" t="str">
        <f>IF(Deltagarlista!$K$3=4,IF(ISBLANK(Deltagarlista!$C42),"",IF(ISBLANK(Arrangörslista!N$53),"",IFERROR(VLOOKUP($F37,Arrangörslista!N$53:$AG$90,16,FALSE),IF(ISBLANK(Deltagarlista!$C42),"",IF(ISBLANK(Arrangörslista!N$53),"",IFERROR(VLOOKUP($F37,Arrangörslista!O$53:$AG$90,16,FALSE),"DNS")))))),IF(Deltagarlista!$K$3=2,
IF(ISBLANK(Deltagarlista!$C42),"",IF(ISBLANK(Arrangörslista!P$8),"",IF($GV37=W$64," DNS ",IFERROR(VLOOKUP($F37,Arrangörslista!P$8:$AG$45,16,FALSE),"DNS")))),IF(ISBLANK(Deltagarlista!$C42),"",IF(ISBLANK(Arrangörslista!P$8),"",IFERROR(VLOOKUP($F37,Arrangörslista!P$8:$AG$45,16,FALSE),"DNS")))))</f>
        <v/>
      </c>
      <c r="X37" s="5" t="str">
        <f>IF(Deltagarlista!$K$3=4,IF(ISBLANK(Deltagarlista!$C42),"",IF(ISBLANK(Arrangörslista!P$53),"",IFERROR(VLOOKUP($F37,Arrangörslista!P$53:$AG$90,16,FALSE),IF(ISBLANK(Deltagarlista!$C42),"",IF(ISBLANK(Arrangörslista!P$53),"",IFERROR(VLOOKUP($F37,Arrangörslista!Q$53:$AG$90,16,FALSE),"DNS")))))),IF(Deltagarlista!$K$3=2,
IF(ISBLANK(Deltagarlista!$C42),"",IF(ISBLANK(Arrangörslista!Q$8),"",IF($GV37=X$64," DNS ",IFERROR(VLOOKUP($F37,Arrangörslista!Q$8:$AG$45,16,FALSE),"DNS")))),IF(ISBLANK(Deltagarlista!$C42),"",IF(ISBLANK(Arrangörslista!Q$8),"",IFERROR(VLOOKUP($F37,Arrangörslista!Q$8:$AG$45,16,FALSE),"DNS")))))</f>
        <v/>
      </c>
      <c r="Y37" s="5" t="str">
        <f>IF(Deltagarlista!$K$3=4,IF(ISBLANK(Deltagarlista!$C42),"",IF(ISBLANK(Arrangörslista!C$98),"",IFERROR(VLOOKUP($F37,Arrangörslista!C$98:$AG$135,16,FALSE),IF(ISBLANK(Deltagarlista!$C42),"",IF(ISBLANK(Arrangörslista!C$98),"",IFERROR(VLOOKUP($F37,Arrangörslista!D$98:$AG$135,16,FALSE),"DNS")))))),IF(Deltagarlista!$K$3=2,
IF(ISBLANK(Deltagarlista!$C42),"",IF(ISBLANK(Arrangörslista!C$53),"",IF($GV37=Y$64," DNS ",IFERROR(VLOOKUP($F37,Arrangörslista!C$53:$AG$90,16,FALSE),"DNS")))),IF(ISBLANK(Deltagarlista!$C42),"",IF(ISBLANK(Arrangörslista!C$53),"",IFERROR(VLOOKUP($F37,Arrangörslista!C$53:$AG$90,16,FALSE),"DNS")))))</f>
        <v/>
      </c>
      <c r="Z37" s="5" t="str">
        <f>IF(Deltagarlista!$K$3=4,IF(ISBLANK(Deltagarlista!$C42),"",IF(ISBLANK(Arrangörslista!E$98),"",IFERROR(VLOOKUP($F37,Arrangörslista!E$98:$AG$135,16,FALSE),IF(ISBLANK(Deltagarlista!$C42),"",IF(ISBLANK(Arrangörslista!E$98),"",IFERROR(VLOOKUP($F37,Arrangörslista!F$98:$AG$135,16,FALSE),"DNS")))))),IF(Deltagarlista!$K$3=2,
IF(ISBLANK(Deltagarlista!$C42),"",IF(ISBLANK(Arrangörslista!D$53),"",IF($GV37=Z$64," DNS ",IFERROR(VLOOKUP($F37,Arrangörslista!D$53:$AG$90,16,FALSE),"DNS")))),IF(ISBLANK(Deltagarlista!$C42),"",IF(ISBLANK(Arrangörslista!D$53),"",IFERROR(VLOOKUP($F37,Arrangörslista!D$53:$AG$90,16,FALSE),"DNS")))))</f>
        <v/>
      </c>
      <c r="AA37" s="5" t="str">
        <f>IF(Deltagarlista!$K$3=4,IF(ISBLANK(Deltagarlista!$C42),"",IF(ISBLANK(Arrangörslista!G$98),"",IFERROR(VLOOKUP($F37,Arrangörslista!G$98:$AG$135,16,FALSE),IF(ISBLANK(Deltagarlista!$C42),"",IF(ISBLANK(Arrangörslista!G$98),"",IFERROR(VLOOKUP($F37,Arrangörslista!H$98:$AG$135,16,FALSE),"DNS")))))),IF(Deltagarlista!$K$3=2,
IF(ISBLANK(Deltagarlista!$C42),"",IF(ISBLANK(Arrangörslista!E$53),"",IF($GV37=AA$64," DNS ",IFERROR(VLOOKUP($F37,Arrangörslista!E$53:$AG$90,16,FALSE),"DNS")))),IF(ISBLANK(Deltagarlista!$C42),"",IF(ISBLANK(Arrangörslista!E$53),"",IFERROR(VLOOKUP($F37,Arrangörslista!E$53:$AG$90,16,FALSE),"DNS")))))</f>
        <v/>
      </c>
      <c r="AB37" s="5" t="str">
        <f>IF(Deltagarlista!$K$3=4,IF(ISBLANK(Deltagarlista!$C42),"",IF(ISBLANK(Arrangörslista!I$98),"",IFERROR(VLOOKUP($F37,Arrangörslista!I$98:$AG$135,16,FALSE),IF(ISBLANK(Deltagarlista!$C42),"",IF(ISBLANK(Arrangörslista!I$98),"",IFERROR(VLOOKUP($F37,Arrangörslista!J$98:$AG$135,16,FALSE),"DNS")))))),IF(Deltagarlista!$K$3=2,
IF(ISBLANK(Deltagarlista!$C42),"",IF(ISBLANK(Arrangörslista!F$53),"",IF($GV37=AB$64," DNS ",IFERROR(VLOOKUP($F37,Arrangörslista!F$53:$AG$90,16,FALSE),"DNS")))),IF(ISBLANK(Deltagarlista!$C42),"",IF(ISBLANK(Arrangörslista!F$53),"",IFERROR(VLOOKUP($F37,Arrangörslista!F$53:$AG$90,16,FALSE),"DNS")))))</f>
        <v/>
      </c>
      <c r="AC37" s="5" t="str">
        <f>IF(Deltagarlista!$K$3=4,IF(ISBLANK(Deltagarlista!$C42),"",IF(ISBLANK(Arrangörslista!K$98),"",IFERROR(VLOOKUP($F37,Arrangörslista!K$98:$AG$135,16,FALSE),IF(ISBLANK(Deltagarlista!$C42),"",IF(ISBLANK(Arrangörslista!K$98),"",IFERROR(VLOOKUP($F37,Arrangörslista!L$98:$AG$135,16,FALSE),"DNS")))))),IF(Deltagarlista!$K$3=2,
IF(ISBLANK(Deltagarlista!$C42),"",IF(ISBLANK(Arrangörslista!G$53),"",IF($GV37=AC$64," DNS ",IFERROR(VLOOKUP($F37,Arrangörslista!G$53:$AG$90,16,FALSE),"DNS")))),IF(ISBLANK(Deltagarlista!$C42),"",IF(ISBLANK(Arrangörslista!G$53),"",IFERROR(VLOOKUP($F37,Arrangörslista!G$53:$AG$90,16,FALSE),"DNS")))))</f>
        <v/>
      </c>
      <c r="AD37" s="5" t="str">
        <f>IF(Deltagarlista!$K$3=4,IF(ISBLANK(Deltagarlista!$C42),"",IF(ISBLANK(Arrangörslista!M$98),"",IFERROR(VLOOKUP($F37,Arrangörslista!M$98:$AG$135,16,FALSE),IF(ISBLANK(Deltagarlista!$C42),"",IF(ISBLANK(Arrangörslista!M$98),"",IFERROR(VLOOKUP($F37,Arrangörslista!N$98:$AG$135,16,FALSE),"DNS")))))),IF(Deltagarlista!$K$3=2,
IF(ISBLANK(Deltagarlista!$C42),"",IF(ISBLANK(Arrangörslista!H$53),"",IF($GV37=AD$64," DNS ",IFERROR(VLOOKUP($F37,Arrangörslista!H$53:$AG$90,16,FALSE),"DNS")))),IF(ISBLANK(Deltagarlista!$C42),"",IF(ISBLANK(Arrangörslista!H$53),"",IFERROR(VLOOKUP($F37,Arrangörslista!H$53:$AG$90,16,FALSE),"DNS")))))</f>
        <v/>
      </c>
      <c r="AE37" s="5" t="str">
        <f>IF(Deltagarlista!$K$3=4,IF(ISBLANK(Deltagarlista!$C42),"",IF(ISBLANK(Arrangörslista!O$98),"",IFERROR(VLOOKUP($F37,Arrangörslista!O$98:$AG$135,16,FALSE),IF(ISBLANK(Deltagarlista!$C42),"",IF(ISBLANK(Arrangörslista!O$98),"",IFERROR(VLOOKUP($F37,Arrangörslista!P$98:$AG$135,16,FALSE),"DNS")))))),IF(Deltagarlista!$K$3=2,
IF(ISBLANK(Deltagarlista!$C42),"",IF(ISBLANK(Arrangörslista!I$53),"",IF($GV37=AE$64," DNS ",IFERROR(VLOOKUP($F37,Arrangörslista!I$53:$AG$90,16,FALSE),"DNS")))),IF(ISBLANK(Deltagarlista!$C42),"",IF(ISBLANK(Arrangörslista!I$53),"",IFERROR(VLOOKUP($F37,Arrangörslista!I$53:$AG$90,16,FALSE),"DNS")))))</f>
        <v/>
      </c>
      <c r="AF37" s="5" t="str">
        <f>IF(Deltagarlista!$K$3=4,IF(ISBLANK(Deltagarlista!$C42),"",IF(ISBLANK(Arrangörslista!Q$98),"",IFERROR(VLOOKUP($F37,Arrangörslista!Q$98:$AG$135,16,FALSE),IF(ISBLANK(Deltagarlista!$C42),"",IF(ISBLANK(Arrangörslista!Q$98),"",IFERROR(VLOOKUP($F37,Arrangörslista!C$143:$AG$180,16,FALSE),"DNS")))))),IF(Deltagarlista!$K$3=2,
IF(ISBLANK(Deltagarlista!$C42),"",IF(ISBLANK(Arrangörslista!J$53),"",IF($GV37=AF$64," DNS ",IFERROR(VLOOKUP($F37,Arrangörslista!J$53:$AG$90,16,FALSE),"DNS")))),IF(ISBLANK(Deltagarlista!$C42),"",IF(ISBLANK(Arrangörslista!J$53),"",IFERROR(VLOOKUP($F37,Arrangörslista!J$53:$AG$90,16,FALSE),"DNS")))))</f>
        <v/>
      </c>
      <c r="AG37" s="5" t="str">
        <f>IF(Deltagarlista!$K$3=4,IF(ISBLANK(Deltagarlista!$C42),"",IF(ISBLANK(Arrangörslista!D$143),"",IFERROR(VLOOKUP($F37,Arrangörslista!D$143:$AG$180,16,FALSE),IF(ISBLANK(Deltagarlista!$C42),"",IF(ISBLANK(Arrangörslista!D$143),"",IFERROR(VLOOKUP($F37,Arrangörslista!E$143:$AG$180,16,FALSE),"DNS")))))),IF(Deltagarlista!$K$3=2,
IF(ISBLANK(Deltagarlista!$C42),"",IF(ISBLANK(Arrangörslista!K$53),"",IF($GV37=AG$64," DNS ",IFERROR(VLOOKUP($F37,Arrangörslista!K$53:$AG$90,16,FALSE),"DNS")))),IF(ISBLANK(Deltagarlista!$C42),"",IF(ISBLANK(Arrangörslista!K$53),"",IFERROR(VLOOKUP($F37,Arrangörslista!K$53:$AG$90,16,FALSE),"DNS")))))</f>
        <v/>
      </c>
      <c r="AH37" s="5" t="str">
        <f>IF(Deltagarlista!$K$3=4,IF(ISBLANK(Deltagarlista!$C42),"",IF(ISBLANK(Arrangörslista!F$143),"",IFERROR(VLOOKUP($F37,Arrangörslista!F$143:$AG$180,16,FALSE),IF(ISBLANK(Deltagarlista!$C42),"",IF(ISBLANK(Arrangörslista!F$143),"",IFERROR(VLOOKUP($F37,Arrangörslista!G$143:$AG$180,16,FALSE),"DNS")))))),IF(Deltagarlista!$K$3=2,
IF(ISBLANK(Deltagarlista!$C42),"",IF(ISBLANK(Arrangörslista!L$53),"",IF($GV37=AH$64," DNS ",IFERROR(VLOOKUP($F37,Arrangörslista!L$53:$AG$90,16,FALSE),"DNS")))),IF(ISBLANK(Deltagarlista!$C42),"",IF(ISBLANK(Arrangörslista!L$53),"",IFERROR(VLOOKUP($F37,Arrangörslista!L$53:$AG$90,16,FALSE),"DNS")))))</f>
        <v/>
      </c>
      <c r="AI37" s="5" t="str">
        <f>IF(Deltagarlista!$K$3=4,IF(ISBLANK(Deltagarlista!$C42),"",IF(ISBLANK(Arrangörslista!H$143),"",IFERROR(VLOOKUP($F37,Arrangörslista!H$143:$AG$180,16,FALSE),IF(ISBLANK(Deltagarlista!$C42),"",IF(ISBLANK(Arrangörslista!H$143),"",IFERROR(VLOOKUP($F37,Arrangörslista!I$143:$AG$180,16,FALSE),"DNS")))))),IF(Deltagarlista!$K$3=2,
IF(ISBLANK(Deltagarlista!$C42),"",IF(ISBLANK(Arrangörslista!M$53),"",IF($GV37=AI$64," DNS ",IFERROR(VLOOKUP($F37,Arrangörslista!M$53:$AG$90,16,FALSE),"DNS")))),IF(ISBLANK(Deltagarlista!$C42),"",IF(ISBLANK(Arrangörslista!M$53),"",IFERROR(VLOOKUP($F37,Arrangörslista!M$53:$AG$90,16,FALSE),"DNS")))))</f>
        <v/>
      </c>
      <c r="AJ37" s="5" t="str">
        <f>IF(Deltagarlista!$K$3=4,IF(ISBLANK(Deltagarlista!$C42),"",IF(ISBLANK(Arrangörslista!J$143),"",IFERROR(VLOOKUP($F37,Arrangörslista!J$143:$AG$180,16,FALSE),IF(ISBLANK(Deltagarlista!$C42),"",IF(ISBLANK(Arrangörslista!J$143),"",IFERROR(VLOOKUP($F37,Arrangörslista!K$143:$AG$180,16,FALSE),"DNS")))))),IF(Deltagarlista!$K$3=2,
IF(ISBLANK(Deltagarlista!$C42),"",IF(ISBLANK(Arrangörslista!N$53),"",IF($GV37=AJ$64," DNS ",IFERROR(VLOOKUP($F37,Arrangörslista!N$53:$AG$90,16,FALSE),"DNS")))),IF(ISBLANK(Deltagarlista!$C42),"",IF(ISBLANK(Arrangörslista!N$53),"",IFERROR(VLOOKUP($F37,Arrangörslista!N$53:$AG$90,16,FALSE),"DNS")))))</f>
        <v/>
      </c>
      <c r="AK37" s="5" t="str">
        <f>IF(Deltagarlista!$K$3=4,IF(ISBLANK(Deltagarlista!$C42),"",IF(ISBLANK(Arrangörslista!L$143),"",IFERROR(VLOOKUP($F37,Arrangörslista!L$143:$AG$180,16,FALSE),IF(ISBLANK(Deltagarlista!$C42),"",IF(ISBLANK(Arrangörslista!L$143),"",IFERROR(VLOOKUP($F37,Arrangörslista!M$143:$AG$180,16,FALSE),"DNS")))))),IF(Deltagarlista!$K$3=2,
IF(ISBLANK(Deltagarlista!$C42),"",IF(ISBLANK(Arrangörslista!O$53),"",IF($GV37=AK$64," DNS ",IFERROR(VLOOKUP($F37,Arrangörslista!O$53:$AG$90,16,FALSE),"DNS")))),IF(ISBLANK(Deltagarlista!$C42),"",IF(ISBLANK(Arrangörslista!O$53),"",IFERROR(VLOOKUP($F37,Arrangörslista!O$53:$AG$90,16,FALSE),"DNS")))))</f>
        <v/>
      </c>
      <c r="AL37" s="5" t="str">
        <f>IF(Deltagarlista!$K$3=4,IF(ISBLANK(Deltagarlista!$C42),"",IF(ISBLANK(Arrangörslista!N$143),"",IFERROR(VLOOKUP($F37,Arrangörslista!N$143:$AG$180,16,FALSE),IF(ISBLANK(Deltagarlista!$C42),"",IF(ISBLANK(Arrangörslista!N$143),"",IFERROR(VLOOKUP($F37,Arrangörslista!O$143:$AG$180,16,FALSE),"DNS")))))),IF(Deltagarlista!$K$3=2,
IF(ISBLANK(Deltagarlista!$C42),"",IF(ISBLANK(Arrangörslista!P$53),"",IF($GV37=AL$64," DNS ",IFERROR(VLOOKUP($F37,Arrangörslista!P$53:$AG$90,16,FALSE),"DNS")))),IF(ISBLANK(Deltagarlista!$C42),"",IF(ISBLANK(Arrangörslista!P$53),"",IFERROR(VLOOKUP($F37,Arrangörslista!P$53:$AG$90,16,FALSE),"DNS")))))</f>
        <v/>
      </c>
      <c r="AM37" s="5" t="str">
        <f>IF(Deltagarlista!$K$3=4,IF(ISBLANK(Deltagarlista!$C42),"",IF(ISBLANK(Arrangörslista!P$143),"",IFERROR(VLOOKUP($F37,Arrangörslista!P$143:$AG$180,16,FALSE),IF(ISBLANK(Deltagarlista!$C42),"",IF(ISBLANK(Arrangörslista!P$143),"",IFERROR(VLOOKUP($F37,Arrangörslista!Q$143:$AG$180,16,FALSE),"DNS")))))),IF(Deltagarlista!$K$3=2,
IF(ISBLANK(Deltagarlista!$C42),"",IF(ISBLANK(Arrangörslista!Q$53),"",IF($GV37=AM$64," DNS ",IFERROR(VLOOKUP($F37,Arrangörslista!Q$53:$AG$90,16,FALSE),"DNS")))),IF(ISBLANK(Deltagarlista!$C42),"",IF(ISBLANK(Arrangörslista!Q$53),"",IFERROR(VLOOKUP($F37,Arrangörslista!Q$53:$AG$90,16,FALSE),"DNS")))))</f>
        <v/>
      </c>
      <c r="AN37" s="5" t="str">
        <f>IF(Deltagarlista!$K$3=2,
IF(ISBLANK(Deltagarlista!$C42),"",IF(ISBLANK(Arrangörslista!C$98),"",IF($GV37=AN$64," DNS ",IFERROR(VLOOKUP($F37,Arrangörslista!C$98:$AG$135,16,FALSE), "DNS")))), IF(Deltagarlista!$K$3=1,IF(ISBLANK(Deltagarlista!$C42),"",IF(ISBLANK(Arrangörslista!C$98),"",IFERROR(VLOOKUP($F37,Arrangörslista!C$98:$AG$135,16,FALSE), "DNS"))),""))</f>
        <v/>
      </c>
      <c r="AO37" s="5" t="str">
        <f>IF(Deltagarlista!$K$3=2,
IF(ISBLANK(Deltagarlista!$C42),"",IF(ISBLANK(Arrangörslista!D$98),"",IF($GV37=AO$64," DNS ",IFERROR(VLOOKUP($F37,Arrangörslista!D$98:$AG$135,16,FALSE), "DNS")))), IF(Deltagarlista!$K$3=1,IF(ISBLANK(Deltagarlista!$C42),"",IF(ISBLANK(Arrangörslista!D$98),"",IFERROR(VLOOKUP($F37,Arrangörslista!D$98:$AG$135,16,FALSE), "DNS"))),""))</f>
        <v/>
      </c>
      <c r="AP37" s="5" t="str">
        <f>IF(Deltagarlista!$K$3=2,
IF(ISBLANK(Deltagarlista!$C42),"",IF(ISBLANK(Arrangörslista!E$98),"",IF($GV37=AP$64," DNS ",IFERROR(VLOOKUP($F37,Arrangörslista!E$98:$AG$135,16,FALSE), "DNS")))), IF(Deltagarlista!$K$3=1,IF(ISBLANK(Deltagarlista!$C42),"",IF(ISBLANK(Arrangörslista!E$98),"",IFERROR(VLOOKUP($F37,Arrangörslista!E$98:$AG$135,16,FALSE), "DNS"))),""))</f>
        <v/>
      </c>
      <c r="AQ37" s="5" t="str">
        <f>IF(Deltagarlista!$K$3=2,
IF(ISBLANK(Deltagarlista!$C42),"",IF(ISBLANK(Arrangörslista!F$98),"",IF($GV37=AQ$64," DNS ",IFERROR(VLOOKUP($F37,Arrangörslista!F$98:$AG$135,16,FALSE), "DNS")))), IF(Deltagarlista!$K$3=1,IF(ISBLANK(Deltagarlista!$C42),"",IF(ISBLANK(Arrangörslista!F$98),"",IFERROR(VLOOKUP($F37,Arrangörslista!F$98:$AG$135,16,FALSE), "DNS"))),""))</f>
        <v/>
      </c>
      <c r="AR37" s="5" t="str">
        <f>IF(Deltagarlista!$K$3=2,
IF(ISBLANK(Deltagarlista!$C42),"",IF(ISBLANK(Arrangörslista!G$98),"",IF($GV37=AR$64," DNS ",IFERROR(VLOOKUP($F37,Arrangörslista!G$98:$AG$135,16,FALSE), "DNS")))), IF(Deltagarlista!$K$3=1,IF(ISBLANK(Deltagarlista!$C42),"",IF(ISBLANK(Arrangörslista!G$98),"",IFERROR(VLOOKUP($F37,Arrangörslista!G$98:$AG$135,16,FALSE), "DNS"))),""))</f>
        <v/>
      </c>
      <c r="AS37" s="5" t="str">
        <f>IF(Deltagarlista!$K$3=2,
IF(ISBLANK(Deltagarlista!$C42),"",IF(ISBLANK(Arrangörslista!H$98),"",IF($GV37=AS$64," DNS ",IFERROR(VLOOKUP($F37,Arrangörslista!H$98:$AG$135,16,FALSE), "DNS")))), IF(Deltagarlista!$K$3=1,IF(ISBLANK(Deltagarlista!$C42),"",IF(ISBLANK(Arrangörslista!H$98),"",IFERROR(VLOOKUP($F37,Arrangörslista!H$98:$AG$135,16,FALSE), "DNS"))),""))</f>
        <v/>
      </c>
      <c r="AT37" s="5" t="str">
        <f>IF(Deltagarlista!$K$3=2,
IF(ISBLANK(Deltagarlista!$C42),"",IF(ISBLANK(Arrangörslista!I$98),"",IF($GV37=AT$64," DNS ",IFERROR(VLOOKUP($F37,Arrangörslista!I$98:$AG$135,16,FALSE), "DNS")))), IF(Deltagarlista!$K$3=1,IF(ISBLANK(Deltagarlista!$C42),"",IF(ISBLANK(Arrangörslista!I$98),"",IFERROR(VLOOKUP($F37,Arrangörslista!I$98:$AG$135,16,FALSE), "DNS"))),""))</f>
        <v/>
      </c>
      <c r="AU37" s="5" t="str">
        <f>IF(Deltagarlista!$K$3=2,
IF(ISBLANK(Deltagarlista!$C42),"",IF(ISBLANK(Arrangörslista!J$98),"",IF($GV37=AU$64," DNS ",IFERROR(VLOOKUP($F37,Arrangörslista!J$98:$AG$135,16,FALSE), "DNS")))), IF(Deltagarlista!$K$3=1,IF(ISBLANK(Deltagarlista!$C42),"",IF(ISBLANK(Arrangörslista!J$98),"",IFERROR(VLOOKUP($F37,Arrangörslista!J$98:$AG$135,16,FALSE), "DNS"))),""))</f>
        <v/>
      </c>
      <c r="AV37" s="5" t="str">
        <f>IF(Deltagarlista!$K$3=2,
IF(ISBLANK(Deltagarlista!$C42),"",IF(ISBLANK(Arrangörslista!K$98),"",IF($GV37=AV$64," DNS ",IFERROR(VLOOKUP($F37,Arrangörslista!K$98:$AG$135,16,FALSE), "DNS")))), IF(Deltagarlista!$K$3=1,IF(ISBLANK(Deltagarlista!$C42),"",IF(ISBLANK(Arrangörslista!K$98),"",IFERROR(VLOOKUP($F37,Arrangörslista!K$98:$AG$135,16,FALSE), "DNS"))),""))</f>
        <v/>
      </c>
      <c r="AW37" s="5" t="str">
        <f>IF(Deltagarlista!$K$3=2,
IF(ISBLANK(Deltagarlista!$C42),"",IF(ISBLANK(Arrangörslista!L$98),"",IF($GV37=AW$64," DNS ",IFERROR(VLOOKUP($F37,Arrangörslista!L$98:$AG$135,16,FALSE), "DNS")))), IF(Deltagarlista!$K$3=1,IF(ISBLANK(Deltagarlista!$C42),"",IF(ISBLANK(Arrangörslista!L$98),"",IFERROR(VLOOKUP($F37,Arrangörslista!L$98:$AG$135,16,FALSE), "DNS"))),""))</f>
        <v/>
      </c>
      <c r="AX37" s="5" t="str">
        <f>IF(Deltagarlista!$K$3=2,
IF(ISBLANK(Deltagarlista!$C42),"",IF(ISBLANK(Arrangörslista!M$98),"",IF($GV37=AX$64," DNS ",IFERROR(VLOOKUP($F37,Arrangörslista!M$98:$AG$135,16,FALSE), "DNS")))), IF(Deltagarlista!$K$3=1,IF(ISBLANK(Deltagarlista!$C42),"",IF(ISBLANK(Arrangörslista!M$98),"",IFERROR(VLOOKUP($F37,Arrangörslista!M$98:$AG$135,16,FALSE), "DNS"))),""))</f>
        <v/>
      </c>
      <c r="AY37" s="5" t="str">
        <f>IF(Deltagarlista!$K$3=2,
IF(ISBLANK(Deltagarlista!$C42),"",IF(ISBLANK(Arrangörslista!N$98),"",IF($GV37=AY$64," DNS ",IFERROR(VLOOKUP($F37,Arrangörslista!N$98:$AG$135,16,FALSE), "DNS")))), IF(Deltagarlista!$K$3=1,IF(ISBLANK(Deltagarlista!$C42),"",IF(ISBLANK(Arrangörslista!N$98),"",IFERROR(VLOOKUP($F37,Arrangörslista!N$98:$AG$135,16,FALSE), "DNS"))),""))</f>
        <v/>
      </c>
      <c r="AZ37" s="5" t="str">
        <f>IF(Deltagarlista!$K$3=2,
IF(ISBLANK(Deltagarlista!$C42),"",IF(ISBLANK(Arrangörslista!O$98),"",IF($GV37=AZ$64," DNS ",IFERROR(VLOOKUP($F37,Arrangörslista!O$98:$AG$135,16,FALSE), "DNS")))), IF(Deltagarlista!$K$3=1,IF(ISBLANK(Deltagarlista!$C42),"",IF(ISBLANK(Arrangörslista!O$98),"",IFERROR(VLOOKUP($F37,Arrangörslista!O$98:$AG$135,16,FALSE), "DNS"))),""))</f>
        <v/>
      </c>
      <c r="BA37" s="5" t="str">
        <f>IF(Deltagarlista!$K$3=2,
IF(ISBLANK(Deltagarlista!$C42),"",IF(ISBLANK(Arrangörslista!P$98),"",IF($GV37=BA$64," DNS ",IFERROR(VLOOKUP($F37,Arrangörslista!P$98:$AG$135,16,FALSE), "DNS")))), IF(Deltagarlista!$K$3=1,IF(ISBLANK(Deltagarlista!$C42),"",IF(ISBLANK(Arrangörslista!P$98),"",IFERROR(VLOOKUP($F37,Arrangörslista!P$98:$AG$135,16,FALSE), "DNS"))),""))</f>
        <v/>
      </c>
      <c r="BB37" s="5" t="str">
        <f>IF(Deltagarlista!$K$3=2,
IF(ISBLANK(Deltagarlista!$C42),"",IF(ISBLANK(Arrangörslista!Q$98),"",IF($GV37=BB$64," DNS ",IFERROR(VLOOKUP($F37,Arrangörslista!Q$98:$AG$135,16,FALSE), "DNS")))), IF(Deltagarlista!$K$3=1,IF(ISBLANK(Deltagarlista!$C42),"",IF(ISBLANK(Arrangörslista!Q$98),"",IFERROR(VLOOKUP($F37,Arrangörslista!Q$98:$AG$135,16,FALSE), "DNS"))),""))</f>
        <v/>
      </c>
      <c r="BC37" s="5" t="str">
        <f>IF(Deltagarlista!$K$3=2,
IF(ISBLANK(Deltagarlista!$C42),"",IF(ISBLANK(Arrangörslista!C$143),"",IF($GV37=BC$64," DNS ",IFERROR(VLOOKUP($F37,Arrangörslista!C$143:$AG$180,16,FALSE), "DNS")))), IF(Deltagarlista!$K$3=1,IF(ISBLANK(Deltagarlista!$C42),"",IF(ISBLANK(Arrangörslista!C$143),"",IFERROR(VLOOKUP($F37,Arrangörslista!C$143:$AG$180,16,FALSE), "DNS"))),""))</f>
        <v/>
      </c>
      <c r="BD37" s="5" t="str">
        <f>IF(Deltagarlista!$K$3=2,
IF(ISBLANK(Deltagarlista!$C42),"",IF(ISBLANK(Arrangörslista!D$143),"",IF($GV37=BD$64," DNS ",IFERROR(VLOOKUP($F37,Arrangörslista!D$143:$AG$180,16,FALSE), "DNS")))), IF(Deltagarlista!$K$3=1,IF(ISBLANK(Deltagarlista!$C42),"",IF(ISBLANK(Arrangörslista!D$143),"",IFERROR(VLOOKUP($F37,Arrangörslista!D$143:$AG$180,16,FALSE), "DNS"))),""))</f>
        <v/>
      </c>
      <c r="BE37" s="5" t="str">
        <f>IF(Deltagarlista!$K$3=2,
IF(ISBLANK(Deltagarlista!$C42),"",IF(ISBLANK(Arrangörslista!E$143),"",IF($GV37=BE$64," DNS ",IFERROR(VLOOKUP($F37,Arrangörslista!E$143:$AG$180,16,FALSE), "DNS")))), IF(Deltagarlista!$K$3=1,IF(ISBLANK(Deltagarlista!$C42),"",IF(ISBLANK(Arrangörslista!E$143),"",IFERROR(VLOOKUP($F37,Arrangörslista!E$143:$AG$180,16,FALSE), "DNS"))),""))</f>
        <v/>
      </c>
      <c r="BF37" s="5" t="str">
        <f>IF(Deltagarlista!$K$3=2,
IF(ISBLANK(Deltagarlista!$C42),"",IF(ISBLANK(Arrangörslista!F$143),"",IF($GV37=BF$64," DNS ",IFERROR(VLOOKUP($F37,Arrangörslista!F$143:$AG$180,16,FALSE), "DNS")))), IF(Deltagarlista!$K$3=1,IF(ISBLANK(Deltagarlista!$C42),"",IF(ISBLANK(Arrangörslista!F$143),"",IFERROR(VLOOKUP($F37,Arrangörslista!F$143:$AG$180,16,FALSE), "DNS"))),""))</f>
        <v/>
      </c>
      <c r="BG37" s="5" t="str">
        <f>IF(Deltagarlista!$K$3=2,
IF(ISBLANK(Deltagarlista!$C42),"",IF(ISBLANK(Arrangörslista!G$143),"",IF($GV37=BG$64," DNS ",IFERROR(VLOOKUP($F37,Arrangörslista!G$143:$AG$180,16,FALSE), "DNS")))), IF(Deltagarlista!$K$3=1,IF(ISBLANK(Deltagarlista!$C42),"",IF(ISBLANK(Arrangörslista!G$143),"",IFERROR(VLOOKUP($F37,Arrangörslista!G$143:$AG$180,16,FALSE), "DNS"))),""))</f>
        <v/>
      </c>
      <c r="BH37" s="5" t="str">
        <f>IF(Deltagarlista!$K$3=2,
IF(ISBLANK(Deltagarlista!$C42),"",IF(ISBLANK(Arrangörslista!H$143),"",IF($GV37=BH$64," DNS ",IFERROR(VLOOKUP($F37,Arrangörslista!H$143:$AG$180,16,FALSE), "DNS")))), IF(Deltagarlista!$K$3=1,IF(ISBLANK(Deltagarlista!$C42),"",IF(ISBLANK(Arrangörslista!H$143),"",IFERROR(VLOOKUP($F37,Arrangörslista!H$143:$AG$180,16,FALSE), "DNS"))),""))</f>
        <v/>
      </c>
      <c r="BI37" s="5" t="str">
        <f>IF(Deltagarlista!$K$3=2,
IF(ISBLANK(Deltagarlista!$C42),"",IF(ISBLANK(Arrangörslista!I$143),"",IF($GV37=BI$64," DNS ",IFERROR(VLOOKUP($F37,Arrangörslista!I$143:$AG$180,16,FALSE), "DNS")))), IF(Deltagarlista!$K$3=1,IF(ISBLANK(Deltagarlista!$C42),"",IF(ISBLANK(Arrangörslista!I$143),"",IFERROR(VLOOKUP($F37,Arrangörslista!I$143:$AG$180,16,FALSE), "DNS"))),""))</f>
        <v/>
      </c>
      <c r="BJ37" s="5" t="str">
        <f>IF(Deltagarlista!$K$3=2,
IF(ISBLANK(Deltagarlista!$C42),"",IF(ISBLANK(Arrangörslista!J$143),"",IF($GV37=BJ$64," DNS ",IFERROR(VLOOKUP($F37,Arrangörslista!J$143:$AG$180,16,FALSE), "DNS")))), IF(Deltagarlista!$K$3=1,IF(ISBLANK(Deltagarlista!$C42),"",IF(ISBLANK(Arrangörslista!J$143),"",IFERROR(VLOOKUP($F37,Arrangörslista!J$143:$AG$180,16,FALSE), "DNS"))),""))</f>
        <v/>
      </c>
      <c r="BK37" s="5" t="str">
        <f>IF(Deltagarlista!$K$3=2,
IF(ISBLANK(Deltagarlista!$C42),"",IF(ISBLANK(Arrangörslista!K$143),"",IF($GV37=BK$64," DNS ",IFERROR(VLOOKUP($F37,Arrangörslista!K$143:$AG$180,16,FALSE), "DNS")))), IF(Deltagarlista!$K$3=1,IF(ISBLANK(Deltagarlista!$C42),"",IF(ISBLANK(Arrangörslista!K$143),"",IFERROR(VLOOKUP($F37,Arrangörslista!K$143:$AG$180,16,FALSE), "DNS"))),""))</f>
        <v/>
      </c>
      <c r="BL37" s="5" t="str">
        <f>IF(Deltagarlista!$K$3=2,
IF(ISBLANK(Deltagarlista!$C42),"",IF(ISBLANK(Arrangörslista!L$143),"",IF($GV37=BL$64," DNS ",IFERROR(VLOOKUP($F37,Arrangörslista!L$143:$AG$180,16,FALSE), "DNS")))), IF(Deltagarlista!$K$3=1,IF(ISBLANK(Deltagarlista!$C42),"",IF(ISBLANK(Arrangörslista!L$143),"",IFERROR(VLOOKUP($F37,Arrangörslista!L$143:$AG$180,16,FALSE), "DNS"))),""))</f>
        <v/>
      </c>
      <c r="BM37" s="5" t="str">
        <f>IF(Deltagarlista!$K$3=2,
IF(ISBLANK(Deltagarlista!$C42),"",IF(ISBLANK(Arrangörslista!M$143),"",IF($GV37=BM$64," DNS ",IFERROR(VLOOKUP($F37,Arrangörslista!M$143:$AG$180,16,FALSE), "DNS")))), IF(Deltagarlista!$K$3=1,IF(ISBLANK(Deltagarlista!$C42),"",IF(ISBLANK(Arrangörslista!M$143),"",IFERROR(VLOOKUP($F37,Arrangörslista!M$143:$AG$180,16,FALSE), "DNS"))),""))</f>
        <v/>
      </c>
      <c r="BN37" s="5" t="str">
        <f>IF(Deltagarlista!$K$3=2,
IF(ISBLANK(Deltagarlista!$C42),"",IF(ISBLANK(Arrangörslista!N$143),"",IF($GV37=BN$64," DNS ",IFERROR(VLOOKUP($F37,Arrangörslista!N$143:$AG$180,16,FALSE), "DNS")))), IF(Deltagarlista!$K$3=1,IF(ISBLANK(Deltagarlista!$C42),"",IF(ISBLANK(Arrangörslista!N$143),"",IFERROR(VLOOKUP($F37,Arrangörslista!N$143:$AG$180,16,FALSE), "DNS"))),""))</f>
        <v/>
      </c>
      <c r="BO37" s="5" t="str">
        <f>IF(Deltagarlista!$K$3=2,
IF(ISBLANK(Deltagarlista!$C42),"",IF(ISBLANK(Arrangörslista!O$143),"",IF($GV37=BO$64," DNS ",IFERROR(VLOOKUP($F37,Arrangörslista!O$143:$AG$180,16,FALSE), "DNS")))), IF(Deltagarlista!$K$3=1,IF(ISBLANK(Deltagarlista!$C42),"",IF(ISBLANK(Arrangörslista!O$143),"",IFERROR(VLOOKUP($F37,Arrangörslista!O$143:$AG$180,16,FALSE), "DNS"))),""))</f>
        <v/>
      </c>
      <c r="BP37" s="5" t="str">
        <f>IF(Deltagarlista!$K$3=2,
IF(ISBLANK(Deltagarlista!$C42),"",IF(ISBLANK(Arrangörslista!P$143),"",IF($GV37=BP$64," DNS ",IFERROR(VLOOKUP($F37,Arrangörslista!P$143:$AG$180,16,FALSE), "DNS")))), IF(Deltagarlista!$K$3=1,IF(ISBLANK(Deltagarlista!$C42),"",IF(ISBLANK(Arrangörslista!P$143),"",IFERROR(VLOOKUP($F37,Arrangörslista!P$143:$AG$180,16,FALSE), "DNS"))),""))</f>
        <v/>
      </c>
      <c r="BQ37" s="80" t="str">
        <f>IF(Deltagarlista!$K$3=2,
IF(ISBLANK(Deltagarlista!$C42),"",IF(ISBLANK(Arrangörslista!Q$143),"",IF($GV37=BQ$64," DNS ",IFERROR(VLOOKUP($F37,Arrangörslista!Q$143:$AG$180,16,FALSE), "DNS")))), IF(Deltagarlista!$K$3=1,IF(ISBLANK(Deltagarlista!$C42),"",IF(ISBLANK(Arrangörslista!Q$143),"",IFERROR(VLOOKUP($F37,Arrangörslista!Q$143:$AG$180,16,FALSE), "DNS"))),""))</f>
        <v/>
      </c>
      <c r="BR37" s="51"/>
      <c r="BS37" s="50" t="str">
        <f t="shared" si="125"/>
        <v>2</v>
      </c>
      <c r="BT37" s="51"/>
      <c r="BU37" s="71">
        <f t="shared" si="126"/>
        <v>0</v>
      </c>
      <c r="BV37" s="61">
        <f t="shared" si="127"/>
        <v>0</v>
      </c>
      <c r="BW37" s="61">
        <f t="shared" si="128"/>
        <v>0</v>
      </c>
      <c r="BX37" s="61">
        <f t="shared" si="129"/>
        <v>0</v>
      </c>
      <c r="BY37" s="61">
        <f t="shared" si="130"/>
        <v>0</v>
      </c>
      <c r="BZ37" s="61">
        <f t="shared" si="131"/>
        <v>0</v>
      </c>
      <c r="CA37" s="61">
        <f t="shared" si="132"/>
        <v>0</v>
      </c>
      <c r="CB37" s="61">
        <f t="shared" si="133"/>
        <v>0</v>
      </c>
      <c r="CC37" s="61">
        <f t="shared" si="134"/>
        <v>0</v>
      </c>
      <c r="CD37" s="61">
        <f t="shared" si="135"/>
        <v>0</v>
      </c>
      <c r="CE37" s="61">
        <f t="shared" si="136"/>
        <v>0</v>
      </c>
      <c r="CF37" s="61">
        <f t="shared" si="137"/>
        <v>0</v>
      </c>
      <c r="CG37" s="61">
        <f t="shared" si="138"/>
        <v>0</v>
      </c>
      <c r="CH37" s="61">
        <f t="shared" si="139"/>
        <v>0</v>
      </c>
      <c r="CI37" s="61">
        <f t="shared" si="140"/>
        <v>0</v>
      </c>
      <c r="CJ37" s="61">
        <f t="shared" si="141"/>
        <v>0</v>
      </c>
      <c r="CK37" s="61">
        <f t="shared" si="142"/>
        <v>0</v>
      </c>
      <c r="CL37" s="61">
        <f t="shared" si="143"/>
        <v>0</v>
      </c>
      <c r="CM37" s="61">
        <f t="shared" si="144"/>
        <v>0</v>
      </c>
      <c r="CN37" s="61">
        <f t="shared" si="145"/>
        <v>0</v>
      </c>
      <c r="CO37" s="61">
        <f t="shared" si="146"/>
        <v>0</v>
      </c>
      <c r="CP37" s="61">
        <f t="shared" si="147"/>
        <v>0</v>
      </c>
      <c r="CQ37" s="61">
        <f t="shared" si="148"/>
        <v>0</v>
      </c>
      <c r="CR37" s="61">
        <f t="shared" si="149"/>
        <v>0</v>
      </c>
      <c r="CS37" s="61">
        <f t="shared" si="150"/>
        <v>0</v>
      </c>
      <c r="CT37" s="61">
        <f t="shared" si="151"/>
        <v>0</v>
      </c>
      <c r="CU37" s="61">
        <f t="shared" si="152"/>
        <v>0</v>
      </c>
      <c r="CV37" s="61">
        <f t="shared" si="153"/>
        <v>0</v>
      </c>
      <c r="CW37" s="61">
        <f t="shared" si="154"/>
        <v>0</v>
      </c>
      <c r="CX37" s="61">
        <f t="shared" si="155"/>
        <v>0</v>
      </c>
      <c r="CY37" s="61">
        <f t="shared" si="156"/>
        <v>0</v>
      </c>
      <c r="CZ37" s="61">
        <f t="shared" si="157"/>
        <v>0</v>
      </c>
      <c r="DA37" s="61">
        <f t="shared" si="158"/>
        <v>0</v>
      </c>
      <c r="DB37" s="61">
        <f t="shared" si="159"/>
        <v>0</v>
      </c>
      <c r="DC37" s="61">
        <f t="shared" si="160"/>
        <v>0</v>
      </c>
      <c r="DD37" s="61">
        <f t="shared" si="161"/>
        <v>0</v>
      </c>
      <c r="DE37" s="61">
        <f t="shared" si="162"/>
        <v>0</v>
      </c>
      <c r="DF37" s="61">
        <f t="shared" si="163"/>
        <v>0</v>
      </c>
      <c r="DG37" s="61">
        <f t="shared" si="164"/>
        <v>0</v>
      </c>
      <c r="DH37" s="61">
        <f t="shared" si="165"/>
        <v>0</v>
      </c>
      <c r="DI37" s="61">
        <f t="shared" si="166"/>
        <v>0</v>
      </c>
      <c r="DJ37" s="61">
        <f t="shared" si="167"/>
        <v>0</v>
      </c>
      <c r="DK37" s="61">
        <f t="shared" si="168"/>
        <v>0</v>
      </c>
      <c r="DL37" s="61">
        <f t="shared" si="169"/>
        <v>0</v>
      </c>
      <c r="DM37" s="61">
        <f t="shared" si="170"/>
        <v>0</v>
      </c>
      <c r="DN37" s="61">
        <f t="shared" si="171"/>
        <v>0</v>
      </c>
      <c r="DO37" s="61">
        <f t="shared" si="172"/>
        <v>0</v>
      </c>
      <c r="DP37" s="61">
        <f t="shared" si="173"/>
        <v>0</v>
      </c>
      <c r="DQ37" s="61">
        <f t="shared" si="174"/>
        <v>0</v>
      </c>
      <c r="DR37" s="61">
        <f t="shared" si="175"/>
        <v>0</v>
      </c>
      <c r="DS37" s="61">
        <f t="shared" si="176"/>
        <v>0</v>
      </c>
      <c r="DT37" s="61">
        <f t="shared" si="177"/>
        <v>0</v>
      </c>
      <c r="DU37" s="61">
        <f t="shared" si="178"/>
        <v>0</v>
      </c>
      <c r="DV37" s="61">
        <f t="shared" si="179"/>
        <v>0</v>
      </c>
      <c r="DW37" s="61">
        <f t="shared" si="180"/>
        <v>0</v>
      </c>
      <c r="DX37" s="61">
        <f t="shared" si="181"/>
        <v>0</v>
      </c>
      <c r="DY37" s="61">
        <f t="shared" si="182"/>
        <v>0</v>
      </c>
      <c r="DZ37" s="61">
        <f t="shared" si="183"/>
        <v>0</v>
      </c>
      <c r="EA37" s="61">
        <f t="shared" si="184"/>
        <v>0</v>
      </c>
      <c r="EB37" s="61">
        <f t="shared" si="185"/>
        <v>0</v>
      </c>
      <c r="EC37" s="61">
        <f t="shared" si="186"/>
        <v>0</v>
      </c>
      <c r="EE37" s="61">
        <f xml:space="preserve">
IF(OR(Deltagarlista!$K$3=3,Deltagarlista!$K$3=4),
IF(Arrangörslista!$U$5&lt;8,0,
IF(Arrangörslista!$U$5&lt;16,SUM(LARGE(BV37:CJ37,1)),
IF(Arrangörslista!$U$5&lt;24,SUM(LARGE(BV37:CR37,{1;2})),
IF(Arrangörslista!$U$5&lt;32,SUM(LARGE(BV37:CZ37,{1;2;3})),
IF(Arrangörslista!$U$5&lt;40,SUM(LARGE(BV37:DH37,{1;2;3;4})),
IF(Arrangörslista!$U$5&lt;48,SUM(LARGE(BV37:DP37,{1;2;3;4;5})),
IF(Arrangörslista!$U$5&lt;56,SUM(LARGE(BV37:DX37,{1;2;3;4;5;6})),
IF(Arrangörslista!$U$5&lt;64,SUM(LARGE(BV37:EC37,{1;2;3;4;5;6;7})),0)))))))),
IF(Deltagarlista!$K$3=2,
IF(Arrangörslista!$U$5&lt;4,LARGE(BV37:BX37,1),
IF(Arrangörslista!$U$5&lt;7,SUM(LARGE(BV37:CA37,{1;2;3})),
IF(Arrangörslista!$U$5&lt;10,SUM(LARGE(BV37:CD37,{1;2;3;4})),
IF(Arrangörslista!$U$5&lt;13,SUM(LARGE(BV37:CG37,{1;2;3;4;5;6})),
IF(Arrangörslista!$U$5&lt;16,SUM(LARGE(BV37:CJ37,{1;2;3;4;5;6;7})),
IF(Arrangörslista!$U$5&lt;19,SUM(LARGE(BV37:CM37,{1;2;3;4;5;6;7;8;9})),
IF(Arrangörslista!$U$5&lt;22,SUM(LARGE(BV37:CP37,{1;2;3;4;5;6;7;8;9;10})),
IF(Arrangörslista!$U$5&lt;25,SUM(LARGE(BV37:CS37,{1;2;3;4;5;6;7;8;9;10;11;12})),
IF(Arrangörslista!$U$5&lt;28,SUM(LARGE(BV37:CV37,{1;2;3;4;5;6;7;8;9;10;11;12;13})),
IF(Arrangörslista!$U$5&lt;31,SUM(LARGE(BV37:CY37,{1;2;3;4;5;6;7;8;9;10;11;12;13;14;15})),
IF(Arrangörslista!$U$5&lt;34,SUM(LARGE(BV37:DB37,{1;2;3;4;5;6;7;8;9;10;11;12;13;14;15;16})),
IF(Arrangörslista!$U$5&lt;37,SUM(LARGE(BV37:DE37,{1;2;3;4;5;6;7;8;9;10;11;12;13;14;15;16;17;18})),
IF(Arrangörslista!$U$5&lt;40,SUM(LARGE(BV37:DH37,{1;2;3;4;5;6;7;8;9;10;11;12;13;14;15;16;17;18;19})),
IF(Arrangörslista!$U$5&lt;43,SUM(LARGE(BV37:DK37,{1;2;3;4;5;6;7;8;9;10;11;12;13;14;15;16;17;18;19;20;21})),
IF(Arrangörslista!$U$5&lt;46,SUM(LARGE(BV37:DN37,{1;2;3;4;5;6;7;8;9;10;11;12;13;14;15;16;17;18;19;20;21;22})),
IF(Arrangörslista!$U$5&lt;49,SUM(LARGE(BV37:DQ37,{1;2;3;4;5;6;7;8;9;10;11;12;13;14;15;16;17;18;19;20;21;22;23;24})),
IF(Arrangörslista!$U$5&lt;52,SUM(LARGE(BV37:DT37,{1;2;3;4;5;6;7;8;9;10;11;12;13;14;15;16;17;18;19;20;21;22;23;24;25})),
IF(Arrangörslista!$U$5&lt;55,SUM(LARGE(BV37:DW37,{1;2;3;4;5;6;7;8;9;10;11;12;13;14;15;16;17;18;19;20;21;22;23;24;25;26;27})),
IF(Arrangörslista!$U$5&lt;58,SUM(LARGE(BV37:DZ37,{1;2;3;4;5;6;7;8;9;10;11;12;13;14;15;16;17;18;19;20;21;22;23;24;25;26;27;28})),
IF(Arrangörslista!$U$5&lt;61,SUM(LARGE(BV37:EC37,{1;2;3;4;5;6;7;8;9;10;11;12;13;14;15;16;17;18;19;20;21;22;23;24;25;26;27;28;29;30})),0)))))))))))))))))))),
IF(Arrangörslista!$U$5&lt;4,0,
IF(Arrangörslista!$U$5&lt;8,SUM(LARGE(BV37:CB37,1)),
IF(Arrangörslista!$U$5&lt;12,SUM(LARGE(BV37:CF37,{1;2})),
IF(Arrangörslista!$U$5&lt;16,SUM(LARGE(BV37:CJ37,{1;2;3})),
IF(Arrangörslista!$U$5&lt;20,SUM(LARGE(BV37:CN37,{1;2;3;4})),
IF(Arrangörslista!$U$5&lt;24,SUM(LARGE(BV37:CR37,{1;2;3;4;5})),
IF(Arrangörslista!$U$5&lt;28,SUM(LARGE(BV37:CV37,{1;2;3;4;5;6})),
IF(Arrangörslista!$U$5&lt;32,SUM(LARGE(BV37:CZ37,{1;2;3;4;5;6;7})),
IF(Arrangörslista!$U$5&lt;36,SUM(LARGE(BV37:DD37,{1;2;3;4;5;6;7;8})),
IF(Arrangörslista!$U$5&lt;40,SUM(LARGE(BV37:DH37,{1;2;3;4;5;6;7;8;9})),
IF(Arrangörslista!$U$5&lt;44,SUM(LARGE(BV37:DL37,{1;2;3;4;5;6;7;8;9;10})),
IF(Arrangörslista!$U$5&lt;48,SUM(LARGE(BV37:DP37,{1;2;3;4;5;6;7;8;9;10;11})),
IF(Arrangörslista!$U$5&lt;52,SUM(LARGE(BV37:DT37,{1;2;3;4;5;6;7;8;9;10;11;12})),
IF(Arrangörslista!$U$5&lt;56,SUM(LARGE(BV37:DX37,{1;2;3;4;5;6;7;8;9;10;11;12;13})),
IF(Arrangörslista!$U$5&lt;60,SUM(LARGE(BV37:EB37,{1;2;3;4;5;6;7;8;9;10;11;12;13;14})),
IF(Arrangörslista!$U$5=60,SUM(LARGE(BV37:EC37,{1;2;3;4;5;6;7;8;9;10;11;12;13;14;15})),0))))))))))))))))))</f>
        <v>0</v>
      </c>
      <c r="EG37" s="67">
        <f t="shared" si="187"/>
        <v>0</v>
      </c>
      <c r="EH37" s="61"/>
      <c r="EI37" s="61"/>
      <c r="EK37" s="62">
        <f t="shared" si="188"/>
        <v>61</v>
      </c>
      <c r="EL37" s="62">
        <f t="shared" si="189"/>
        <v>61</v>
      </c>
      <c r="EM37" s="62">
        <f t="shared" si="190"/>
        <v>61</v>
      </c>
      <c r="EN37" s="62">
        <f t="shared" si="191"/>
        <v>61</v>
      </c>
      <c r="EO37" s="62">
        <f t="shared" si="192"/>
        <v>61</v>
      </c>
      <c r="EP37" s="62">
        <f t="shared" si="193"/>
        <v>61</v>
      </c>
      <c r="EQ37" s="62">
        <f t="shared" si="194"/>
        <v>61</v>
      </c>
      <c r="ER37" s="62">
        <f t="shared" si="195"/>
        <v>61</v>
      </c>
      <c r="ES37" s="62">
        <f t="shared" si="196"/>
        <v>61</v>
      </c>
      <c r="ET37" s="62">
        <f t="shared" si="197"/>
        <v>61</v>
      </c>
      <c r="EU37" s="62">
        <f t="shared" si="198"/>
        <v>61</v>
      </c>
      <c r="EV37" s="62">
        <f t="shared" si="199"/>
        <v>61</v>
      </c>
      <c r="EW37" s="62">
        <f t="shared" si="200"/>
        <v>61</v>
      </c>
      <c r="EX37" s="62">
        <f t="shared" si="201"/>
        <v>61</v>
      </c>
      <c r="EY37" s="62">
        <f t="shared" si="202"/>
        <v>61</v>
      </c>
      <c r="EZ37" s="62">
        <f t="shared" si="203"/>
        <v>61</v>
      </c>
      <c r="FA37" s="62">
        <f t="shared" si="204"/>
        <v>61</v>
      </c>
      <c r="FB37" s="62">
        <f t="shared" si="205"/>
        <v>61</v>
      </c>
      <c r="FC37" s="62">
        <f t="shared" si="206"/>
        <v>61</v>
      </c>
      <c r="FD37" s="62">
        <f t="shared" si="207"/>
        <v>61</v>
      </c>
      <c r="FE37" s="62">
        <f t="shared" si="208"/>
        <v>61</v>
      </c>
      <c r="FF37" s="62">
        <f t="shared" si="209"/>
        <v>61</v>
      </c>
      <c r="FG37" s="62">
        <f t="shared" si="210"/>
        <v>61</v>
      </c>
      <c r="FH37" s="62">
        <f t="shared" si="211"/>
        <v>61</v>
      </c>
      <c r="FI37" s="62">
        <f t="shared" si="212"/>
        <v>61</v>
      </c>
      <c r="FJ37" s="62">
        <f t="shared" si="213"/>
        <v>61</v>
      </c>
      <c r="FK37" s="62">
        <f t="shared" si="214"/>
        <v>61</v>
      </c>
      <c r="FL37" s="62">
        <f t="shared" si="215"/>
        <v>61</v>
      </c>
      <c r="FM37" s="62">
        <f t="shared" si="216"/>
        <v>61</v>
      </c>
      <c r="FN37" s="62">
        <f t="shared" si="217"/>
        <v>61</v>
      </c>
      <c r="FO37" s="62">
        <f t="shared" si="218"/>
        <v>61</v>
      </c>
      <c r="FP37" s="62">
        <f t="shared" si="219"/>
        <v>61</v>
      </c>
      <c r="FQ37" s="62">
        <f t="shared" si="220"/>
        <v>61</v>
      </c>
      <c r="FR37" s="62">
        <f t="shared" si="221"/>
        <v>61</v>
      </c>
      <c r="FS37" s="62">
        <f t="shared" si="222"/>
        <v>61</v>
      </c>
      <c r="FT37" s="62">
        <f t="shared" si="223"/>
        <v>61</v>
      </c>
      <c r="FU37" s="62">
        <f t="shared" si="224"/>
        <v>61</v>
      </c>
      <c r="FV37" s="62">
        <f t="shared" si="225"/>
        <v>61</v>
      </c>
      <c r="FW37" s="62">
        <f t="shared" si="226"/>
        <v>61</v>
      </c>
      <c r="FX37" s="62">
        <f t="shared" si="227"/>
        <v>61</v>
      </c>
      <c r="FY37" s="62">
        <f t="shared" si="228"/>
        <v>61</v>
      </c>
      <c r="FZ37" s="62">
        <f t="shared" si="229"/>
        <v>61</v>
      </c>
      <c r="GA37" s="62">
        <f t="shared" si="230"/>
        <v>61</v>
      </c>
      <c r="GB37" s="62">
        <f t="shared" si="231"/>
        <v>61</v>
      </c>
      <c r="GC37" s="62">
        <f t="shared" si="232"/>
        <v>61</v>
      </c>
      <c r="GD37" s="62">
        <f t="shared" si="233"/>
        <v>61</v>
      </c>
      <c r="GE37" s="62">
        <f t="shared" si="234"/>
        <v>61</v>
      </c>
      <c r="GF37" s="62">
        <f t="shared" si="235"/>
        <v>61</v>
      </c>
      <c r="GG37" s="62">
        <f t="shared" si="236"/>
        <v>61</v>
      </c>
      <c r="GH37" s="62">
        <f t="shared" si="237"/>
        <v>61</v>
      </c>
      <c r="GI37" s="62">
        <f t="shared" si="238"/>
        <v>61</v>
      </c>
      <c r="GJ37" s="62">
        <f t="shared" si="239"/>
        <v>61</v>
      </c>
      <c r="GK37" s="62">
        <f t="shared" si="240"/>
        <v>61</v>
      </c>
      <c r="GL37" s="62">
        <f t="shared" si="241"/>
        <v>61</v>
      </c>
      <c r="GM37" s="62">
        <f t="shared" si="242"/>
        <v>61</v>
      </c>
      <c r="GN37" s="62">
        <f t="shared" si="243"/>
        <v>61</v>
      </c>
      <c r="GO37" s="62">
        <f t="shared" si="244"/>
        <v>61</v>
      </c>
      <c r="GP37" s="62">
        <f t="shared" si="245"/>
        <v>61</v>
      </c>
      <c r="GQ37" s="62">
        <f t="shared" si="246"/>
        <v>61</v>
      </c>
      <c r="GR37" s="62">
        <f t="shared" si="247"/>
        <v>61</v>
      </c>
      <c r="GT37" s="62">
        <f>IF(Deltagarlista!$K$3=2,
IF(GW37="1",
      IF(Arrangörslista!$U$5=1,J100,
IF(Arrangörslista!$U$5=2,K100,
IF(Arrangörslista!$U$5=3,L100,
IF(Arrangörslista!$U$5=4,M100,
IF(Arrangörslista!$U$5=5,N100,
IF(Arrangörslista!$U$5=6,O100,
IF(Arrangörslista!$U$5=7,P100,
IF(Arrangörslista!$U$5=8,Q100,
IF(Arrangörslista!$U$5=9,R100,
IF(Arrangörslista!$U$5=10,S100,
IF(Arrangörslista!$U$5=11,T100,
IF(Arrangörslista!$U$5=12,U100,
IF(Arrangörslista!$U$5=13,V100,
IF(Arrangörslista!$U$5=14,W100,
IF(Arrangörslista!$U$5=15,X100,
IF(Arrangörslista!$U$5=16,Y100,IF(Arrangörslista!$U$5=17,Z100,IF(Arrangörslista!$U$5=18,AA100,IF(Arrangörslista!$U$5=19,AB100,IF(Arrangörslista!$U$5=20,AC100,IF(Arrangörslista!$U$5=21,AD100,IF(Arrangörslista!$U$5=22,AE100,IF(Arrangörslista!$U$5=23,AF100, IF(Arrangörslista!$U$5=24,AG100, IF(Arrangörslista!$U$5=25,AH100, IF(Arrangörslista!$U$5=26,AI100, IF(Arrangörslista!$U$5=27,AJ100, IF(Arrangörslista!$U$5=28,AK100, IF(Arrangörslista!$U$5=29,AL100, IF(Arrangörslista!$U$5=30,AM100, IF(Arrangörslista!$U$5=31,AN100, IF(Arrangörslista!$U$5=32,AO100, IF(Arrangörslista!$U$5=33,AP100, IF(Arrangörslista!$U$5=34,AQ100, IF(Arrangörslista!$U$5=35,AR100, IF(Arrangörslista!$U$5=36,AS100, IF(Arrangörslista!$U$5=37,AT100, IF(Arrangörslista!$U$5=38,AU100, IF(Arrangörslista!$U$5=39,AV100, IF(Arrangörslista!$U$5=40,AW100, IF(Arrangörslista!$U$5=41,AX100, IF(Arrangörslista!$U$5=42,AY100, IF(Arrangörslista!$U$5=43,AZ100, IF(Arrangörslista!$U$5=44,BA100, IF(Arrangörslista!$U$5=45,BB100, IF(Arrangörslista!$U$5=46,BC100, IF(Arrangörslista!$U$5=47,BD100, IF(Arrangörslista!$U$5=48,BE100, IF(Arrangörslista!$U$5=49,BF100, IF(Arrangörslista!$U$5=50,BG100, IF(Arrangörslista!$U$5=51,BH100, IF(Arrangörslista!$U$5=52,BI100, IF(Arrangörslista!$U$5=53,BJ100, IF(Arrangörslista!$U$5=54,BK100, IF(Arrangörslista!$U$5=55,BL100, IF(Arrangörslista!$U$5=56,BM100, IF(Arrangörslista!$U$5=57,BN100, IF(Arrangörslista!$U$5=58,BO100, IF(Arrangörslista!$U$5=59,BP100, IF(Arrangörslista!$U$5=60,BQ100,0))))))))))))))))))))))))))))))))))))))))))))))))))))))))))))),IF(Deltagarlista!$K$3=4, IF(Arrangörslista!$U$5=1,J100,
IF(Arrangörslista!$U$5=2,J100,
IF(Arrangörslista!$U$5=3,K100,
IF(Arrangörslista!$U$5=4,K100,
IF(Arrangörslista!$U$5=5,L100,
IF(Arrangörslista!$U$5=6,L100,
IF(Arrangörslista!$U$5=7,M100,
IF(Arrangörslista!$U$5=8,M100,
IF(Arrangörslista!$U$5=9,N100,
IF(Arrangörslista!$U$5=10,N100,
IF(Arrangörslista!$U$5=11,O100,
IF(Arrangörslista!$U$5=12,O100,
IF(Arrangörslista!$U$5=13,P100,
IF(Arrangörslista!$U$5=14,P100,
IF(Arrangörslista!$U$5=15,Q100,
IF(Arrangörslista!$U$5=16,Q100,
IF(Arrangörslista!$U$5=17,R100,
IF(Arrangörslista!$U$5=18,R100,
IF(Arrangörslista!$U$5=19,S100,
IF(Arrangörslista!$U$5=20,S100,
IF(Arrangörslista!$U$5=21,T100,
IF(Arrangörslista!$U$5=22,T100,IF(Arrangörslista!$U$5=23,U100, IF(Arrangörslista!$U$5=24,U100, IF(Arrangörslista!$U$5=25,V100, IF(Arrangörslista!$U$5=26,V100, IF(Arrangörslista!$U$5=27,W100, IF(Arrangörslista!$U$5=28,W100, IF(Arrangörslista!$U$5=29,X100, IF(Arrangörslista!$U$5=30,X100, IF(Arrangörslista!$U$5=31,X100, IF(Arrangörslista!$U$5=32,Y100, IF(Arrangörslista!$U$5=33,AO100, IF(Arrangörslista!$U$5=34,Y100, IF(Arrangörslista!$U$5=35,Z100, IF(Arrangörslista!$U$5=36,AR100, IF(Arrangörslista!$U$5=37,Z100, IF(Arrangörslista!$U$5=38,AA100, IF(Arrangörslista!$U$5=39,AU100, IF(Arrangörslista!$U$5=40,AA100, IF(Arrangörslista!$U$5=41,AB100, IF(Arrangörslista!$U$5=42,AX100, IF(Arrangörslista!$U$5=43,AB100, IF(Arrangörslista!$U$5=44,AC100, IF(Arrangörslista!$U$5=45,BA100, IF(Arrangörslista!$U$5=46,AC100, IF(Arrangörslista!$U$5=47,AD100, IF(Arrangörslista!$U$5=48,BD100, IF(Arrangörslista!$U$5=49,AD100, IF(Arrangörslista!$U$5=50,AE100, IF(Arrangörslista!$U$5=51,BG100, IF(Arrangörslista!$U$5=52,AE100, IF(Arrangörslista!$U$5=53,AF100, IF(Arrangörslista!$U$5=54,BJ100, IF(Arrangörslista!$U$5=55,AF100, IF(Arrangörslista!$U$5=56,AG100, IF(Arrangörslista!$U$5=57,BM100, IF(Arrangörslista!$U$5=58,AG100, IF(Arrangörslista!$U$5=59,AH100, IF(Arrangörslista!$U$5=60,AH100,0)))))))))))))))))))))))))))))))))))))))))))))))))))))))))))),IF(Arrangörslista!$U$5=1,J100,
IF(Arrangörslista!$U$5=2,K100,
IF(Arrangörslista!$U$5=3,L100,
IF(Arrangörslista!$U$5=4,M100,
IF(Arrangörslista!$U$5=5,N100,
IF(Arrangörslista!$U$5=6,O100,
IF(Arrangörslista!$U$5=7,P100,
IF(Arrangörslista!$U$5=8,Q100,
IF(Arrangörslista!$U$5=9,R100,
IF(Arrangörslista!$U$5=10,S100,
IF(Arrangörslista!$U$5=11,T100,
IF(Arrangörslista!$U$5=12,U100,
IF(Arrangörslista!$U$5=13,V100,
IF(Arrangörslista!$U$5=14,W100,
IF(Arrangörslista!$U$5=15,X100,
IF(Arrangörslista!$U$5=16,Y100,IF(Arrangörslista!$U$5=17,Z100,IF(Arrangörslista!$U$5=18,AA100,IF(Arrangörslista!$U$5=19,AB100,IF(Arrangörslista!$U$5=20,AC100,IF(Arrangörslista!$U$5=21,AD100,IF(Arrangörslista!$U$5=22,AE100,IF(Arrangörslista!$U$5=23,AF100, IF(Arrangörslista!$U$5=24,AG100, IF(Arrangörslista!$U$5=25,AH100, IF(Arrangörslista!$U$5=26,AI100, IF(Arrangörslista!$U$5=27,AJ100, IF(Arrangörslista!$U$5=28,AK100, IF(Arrangörslista!$U$5=29,AL100, IF(Arrangörslista!$U$5=30,AM100, IF(Arrangörslista!$U$5=31,AN100, IF(Arrangörslista!$U$5=32,AO100, IF(Arrangörslista!$U$5=33,AP100, IF(Arrangörslista!$U$5=34,AQ100, IF(Arrangörslista!$U$5=35,AR100, IF(Arrangörslista!$U$5=36,AS100, IF(Arrangörslista!$U$5=37,AT100, IF(Arrangörslista!$U$5=38,AU100, IF(Arrangörslista!$U$5=39,AV100, IF(Arrangörslista!$U$5=40,AW100, IF(Arrangörslista!$U$5=41,AX100, IF(Arrangörslista!$U$5=42,AY100, IF(Arrangörslista!$U$5=43,AZ100, IF(Arrangörslista!$U$5=44,BA100, IF(Arrangörslista!$U$5=45,BB100, IF(Arrangörslista!$U$5=46,BC100, IF(Arrangörslista!$U$5=47,BD100, IF(Arrangörslista!$U$5=48,BE100, IF(Arrangörslista!$U$5=49,BF100, IF(Arrangörslista!$U$5=50,BG100, IF(Arrangörslista!$U$5=51,BH100, IF(Arrangörslista!$U$5=52,BI100, IF(Arrangörslista!$U$5=53,BJ100, IF(Arrangörslista!$U$5=54,BK100, IF(Arrangörslista!$U$5=55,BL100, IF(Arrangörslista!$U$5=56,BM100, IF(Arrangörslista!$U$5=57,BN100, IF(Arrangörslista!$U$5=58,BO100, IF(Arrangörslista!$U$5=59,BP100, IF(Arrangörslista!$U$5=60,BQ100,0))))))))))))))))))))))))))))))))))))))))))))))))))))))))))))
))</f>
        <v>0</v>
      </c>
      <c r="GV37" s="65" t="str">
        <f>IFERROR(IF(VLOOKUP(F37,Deltagarlista!$E$5:$I$64,5,FALSE)="Grön","Gr",IF(VLOOKUP(F37,Deltagarlista!$E$5:$I$64,5,FALSE)="Röd","R",IF(VLOOKUP(F37,Deltagarlista!$E$5:$I$64,5,FALSE)="Blå","B","Gu"))),"")</f>
        <v/>
      </c>
      <c r="GW37" s="62" t="str">
        <f t="shared" si="124"/>
        <v/>
      </c>
    </row>
    <row r="38" spans="2:205" ht="15.75" customHeight="1" x14ac:dyDescent="0.3">
      <c r="B38" s="23" t="str">
        <f>IF((COUNTIF(Deltagarlista!$H$5:$H$64,"GM"))&gt;34,35,"")</f>
        <v/>
      </c>
      <c r="C38" s="92" t="str">
        <f>IF(ISBLANK(Deltagarlista!C34),"",Deltagarlista!C34)</f>
        <v/>
      </c>
      <c r="D38" s="109" t="str">
        <f>CONCATENATE(IF(Deltagarlista!H34="GM","GM   ",""), IF(OR(Deltagarlista!$K$3=4,Deltagarlista!$K$3=2),Deltagarlista!I34,""))</f>
        <v/>
      </c>
      <c r="E38" s="8" t="str">
        <f>IF(ISBLANK(Deltagarlista!D34),"",Deltagarlista!D34)</f>
        <v/>
      </c>
      <c r="F38" s="8" t="str">
        <f>IF(ISBLANK(Deltagarlista!E34),"",Deltagarlista!E34)</f>
        <v/>
      </c>
      <c r="G38" s="95" t="str">
        <f>IF(ISBLANK(Deltagarlista!F34),"",Deltagarlista!F34)</f>
        <v/>
      </c>
      <c r="H38" s="72" t="str">
        <f>IF(ISBLANK(Deltagarlista!C34),"",BU38-EE38)</f>
        <v/>
      </c>
      <c r="I38" s="13" t="str">
        <f>IF(ISBLANK(Deltagarlista!C34),"",IF(AND(Deltagarlista!$K$3=2,Deltagarlista!$L$3&lt;37),SUM(SUM(BV38:EC38)-(ROUNDDOWN(Arrangörslista!$U$5/3,1))*($BW$3+1)),SUM(BV38:EC38)))</f>
        <v/>
      </c>
      <c r="J38" s="79" t="str">
        <f>IF(Deltagarlista!$K$3=4,IF(ISBLANK(Deltagarlista!$C34),"",IF(ISBLANK(Arrangörslista!C$8),"",IFERROR(VLOOKUP($F38,Arrangörslista!C$8:$AG$45,16,FALSE),IF(ISBLANK(Deltagarlista!$C34),"",IF(ISBLANK(Arrangörslista!C$8),"",IFERROR(VLOOKUP($F38,Arrangörslista!D$8:$AG$45,16,FALSE),"DNS")))))),IF(Deltagarlista!$K$3=2,
IF(ISBLANK(Deltagarlista!$C34),"",IF(ISBLANK(Arrangörslista!C$8),"",IF($GV38=J$64," DNS ",IFERROR(VLOOKUP($F38,Arrangörslista!C$8:$AG$45,16,FALSE),"DNS")))),IF(ISBLANK(Deltagarlista!$C34),"",IF(ISBLANK(Arrangörslista!C$8),"",IFERROR(VLOOKUP($F38,Arrangörslista!C$8:$AG$45,16,FALSE),"DNS")))))</f>
        <v/>
      </c>
      <c r="K38" s="5" t="str">
        <f>IF(Deltagarlista!$K$3=4,IF(ISBLANK(Deltagarlista!$C34),"",IF(ISBLANK(Arrangörslista!E$8),"",IFERROR(VLOOKUP($F38,Arrangörslista!E$8:$AG$45,16,FALSE),IF(ISBLANK(Deltagarlista!$C34),"",IF(ISBLANK(Arrangörslista!E$8),"",IFERROR(VLOOKUP($F38,Arrangörslista!F$8:$AG$45,16,FALSE),"DNS")))))),IF(Deltagarlista!$K$3=2,
IF(ISBLANK(Deltagarlista!$C34),"",IF(ISBLANK(Arrangörslista!D$8),"",IF($GV38=K$64," DNS ",IFERROR(VLOOKUP($F38,Arrangörslista!D$8:$AG$45,16,FALSE),"DNS")))),IF(ISBLANK(Deltagarlista!$C34),"",IF(ISBLANK(Arrangörslista!D$8),"",IFERROR(VLOOKUP($F38,Arrangörslista!D$8:$AG$45,16,FALSE),"DNS")))))</f>
        <v/>
      </c>
      <c r="L38" s="5" t="str">
        <f>IF(Deltagarlista!$K$3=4,IF(ISBLANK(Deltagarlista!$C34),"",IF(ISBLANK(Arrangörslista!G$8),"",IFERROR(VLOOKUP($F38,Arrangörslista!G$8:$AG$45,16,FALSE),IF(ISBLANK(Deltagarlista!$C34),"",IF(ISBLANK(Arrangörslista!G$8),"",IFERROR(VLOOKUP($F38,Arrangörslista!H$8:$AG$45,16,FALSE),"DNS")))))),IF(Deltagarlista!$K$3=2,
IF(ISBLANK(Deltagarlista!$C34),"",IF(ISBLANK(Arrangörslista!E$8),"",IF($GV38=L$64," DNS ",IFERROR(VLOOKUP($F38,Arrangörslista!E$8:$AG$45,16,FALSE),"DNS")))),IF(ISBLANK(Deltagarlista!$C34),"",IF(ISBLANK(Arrangörslista!E$8),"",IFERROR(VLOOKUP($F38,Arrangörslista!E$8:$AG$45,16,FALSE),"DNS")))))</f>
        <v/>
      </c>
      <c r="M38" s="5" t="str">
        <f>IF(Deltagarlista!$K$3=4,IF(ISBLANK(Deltagarlista!$C34),"",IF(ISBLANK(Arrangörslista!I$8),"",IFERROR(VLOOKUP($F38,Arrangörslista!I$8:$AG$45,16,FALSE),IF(ISBLANK(Deltagarlista!$C34),"",IF(ISBLANK(Arrangörslista!I$8),"",IFERROR(VLOOKUP($F38,Arrangörslista!J$8:$AG$45,16,FALSE),"DNS")))))),IF(Deltagarlista!$K$3=2,
IF(ISBLANK(Deltagarlista!$C34),"",IF(ISBLANK(Arrangörslista!F$8),"",IF($GV38=M$64," DNS ",IFERROR(VLOOKUP($F38,Arrangörslista!F$8:$AG$45,16,FALSE),"DNS")))),IF(ISBLANK(Deltagarlista!$C34),"",IF(ISBLANK(Arrangörslista!F$8),"",IFERROR(VLOOKUP($F38,Arrangörslista!F$8:$AG$45,16,FALSE),"DNS")))))</f>
        <v/>
      </c>
      <c r="N38" s="5" t="str">
        <f>IF(Deltagarlista!$K$3=4,IF(ISBLANK(Deltagarlista!$C34),"",IF(ISBLANK(Arrangörslista!K$8),"",IFERROR(VLOOKUP($F38,Arrangörslista!K$8:$AG$45,16,FALSE),IF(ISBLANK(Deltagarlista!$C34),"",IF(ISBLANK(Arrangörslista!K$8),"",IFERROR(VLOOKUP($F38,Arrangörslista!L$8:$AG$45,16,FALSE),"DNS")))))),IF(Deltagarlista!$K$3=2,
IF(ISBLANK(Deltagarlista!$C34),"",IF(ISBLANK(Arrangörslista!G$8),"",IF($GV38=N$64," DNS ",IFERROR(VLOOKUP($F38,Arrangörslista!G$8:$AG$45,16,FALSE),"DNS")))),IF(ISBLANK(Deltagarlista!$C34),"",IF(ISBLANK(Arrangörslista!G$8),"",IFERROR(VLOOKUP($F38,Arrangörslista!G$8:$AG$45,16,FALSE),"DNS")))))</f>
        <v/>
      </c>
      <c r="O38" s="5" t="str">
        <f>IF(Deltagarlista!$K$3=4,IF(ISBLANK(Deltagarlista!$C34),"",IF(ISBLANK(Arrangörslista!M$8),"",IFERROR(VLOOKUP($F38,Arrangörslista!M$8:$AG$45,16,FALSE),IF(ISBLANK(Deltagarlista!$C34),"",IF(ISBLANK(Arrangörslista!M$8),"",IFERROR(VLOOKUP($F38,Arrangörslista!N$8:$AG$45,16,FALSE),"DNS")))))),IF(Deltagarlista!$K$3=2,
IF(ISBLANK(Deltagarlista!$C34),"",IF(ISBLANK(Arrangörslista!H$8),"",IF($GV38=O$64," DNS ",IFERROR(VLOOKUP($F38,Arrangörslista!H$8:$AG$45,16,FALSE),"DNS")))),IF(ISBLANK(Deltagarlista!$C34),"",IF(ISBLANK(Arrangörslista!H$8),"",IFERROR(VLOOKUP($F38,Arrangörslista!H$8:$AG$45,16,FALSE),"DNS")))))</f>
        <v/>
      </c>
      <c r="P38" s="5" t="str">
        <f>IF(Deltagarlista!$K$3=4,IF(ISBLANK(Deltagarlista!$C34),"",IF(ISBLANK(Arrangörslista!O$8),"",IFERROR(VLOOKUP($F38,Arrangörslista!O$8:$AG$45,16,FALSE),IF(ISBLANK(Deltagarlista!$C34),"",IF(ISBLANK(Arrangörslista!O$8),"",IFERROR(VLOOKUP($F38,Arrangörslista!P$8:$AG$45,16,FALSE),"DNS")))))),IF(Deltagarlista!$K$3=2,
IF(ISBLANK(Deltagarlista!$C34),"",IF(ISBLANK(Arrangörslista!I$8),"",IF($GV38=P$64," DNS ",IFERROR(VLOOKUP($F38,Arrangörslista!I$8:$AG$45,16,FALSE),"DNS")))),IF(ISBLANK(Deltagarlista!$C34),"",IF(ISBLANK(Arrangörslista!I$8),"",IFERROR(VLOOKUP($F38,Arrangörslista!I$8:$AG$45,16,FALSE),"DNS")))))</f>
        <v/>
      </c>
      <c r="Q38" s="5" t="str">
        <f>IF(Deltagarlista!$K$3=4,IF(ISBLANK(Deltagarlista!$C34),"",IF(ISBLANK(Arrangörslista!Q$8),"",IFERROR(VLOOKUP($F38,Arrangörslista!Q$8:$AG$45,16,FALSE),IF(ISBLANK(Deltagarlista!$C34),"",IF(ISBLANK(Arrangörslista!Q$8),"",IFERROR(VLOOKUP($F38,Arrangörslista!C$53:$AG$90,16,FALSE),"DNS")))))),IF(Deltagarlista!$K$3=2,
IF(ISBLANK(Deltagarlista!$C34),"",IF(ISBLANK(Arrangörslista!J$8),"",IF($GV38=Q$64," DNS ",IFERROR(VLOOKUP($F38,Arrangörslista!J$8:$AG$45,16,FALSE),"DNS")))),IF(ISBLANK(Deltagarlista!$C34),"",IF(ISBLANK(Arrangörslista!J$8),"",IFERROR(VLOOKUP($F38,Arrangörslista!J$8:$AG$45,16,FALSE),"DNS")))))</f>
        <v/>
      </c>
      <c r="R38" s="5" t="str">
        <f>IF(Deltagarlista!$K$3=4,IF(ISBLANK(Deltagarlista!$C34),"",IF(ISBLANK(Arrangörslista!D$53),"",IFERROR(VLOOKUP($F38,Arrangörslista!D$53:$AG$90,16,FALSE),IF(ISBLANK(Deltagarlista!$C34),"",IF(ISBLANK(Arrangörslista!D$53),"",IFERROR(VLOOKUP($F38,Arrangörslista!E$53:$AG$90,16,FALSE),"DNS")))))),IF(Deltagarlista!$K$3=2,
IF(ISBLANK(Deltagarlista!$C34),"",IF(ISBLANK(Arrangörslista!K$8),"",IF($GV38=R$64," DNS ",IFERROR(VLOOKUP($F38,Arrangörslista!K$8:$AG$45,16,FALSE),"DNS")))),IF(ISBLANK(Deltagarlista!$C34),"",IF(ISBLANK(Arrangörslista!K$8),"",IFERROR(VLOOKUP($F38,Arrangörslista!K$8:$AG$45,16,FALSE),"DNS")))))</f>
        <v/>
      </c>
      <c r="S38" s="5" t="str">
        <f>IF(Deltagarlista!$K$3=4,IF(ISBLANK(Deltagarlista!$C34),"",IF(ISBLANK(Arrangörslista!F$53),"",IFERROR(VLOOKUP($F38,Arrangörslista!F$53:$AG$90,16,FALSE),IF(ISBLANK(Deltagarlista!$C34),"",IF(ISBLANK(Arrangörslista!F$53),"",IFERROR(VLOOKUP($F38,Arrangörslista!G$53:$AG$90,16,FALSE),"DNS")))))),IF(Deltagarlista!$K$3=2,
IF(ISBLANK(Deltagarlista!$C34),"",IF(ISBLANK(Arrangörslista!L$8),"",IF($GV38=S$64," DNS ",IFERROR(VLOOKUP($F38,Arrangörslista!L$8:$AG$45,16,FALSE),"DNS")))),IF(ISBLANK(Deltagarlista!$C34),"",IF(ISBLANK(Arrangörslista!L$8),"",IFERROR(VLOOKUP($F38,Arrangörslista!L$8:$AG$45,16,FALSE),"DNS")))))</f>
        <v/>
      </c>
      <c r="T38" s="5" t="str">
        <f>IF(Deltagarlista!$K$3=4,IF(ISBLANK(Deltagarlista!$C34),"",IF(ISBLANK(Arrangörslista!H$53),"",IFERROR(VLOOKUP($F38,Arrangörslista!H$53:$AG$90,16,FALSE),IF(ISBLANK(Deltagarlista!$C34),"",IF(ISBLANK(Arrangörslista!H$53),"",IFERROR(VLOOKUP($F38,Arrangörslista!I$53:$AG$90,16,FALSE),"DNS")))))),IF(Deltagarlista!$K$3=2,
IF(ISBLANK(Deltagarlista!$C34),"",IF(ISBLANK(Arrangörslista!M$8),"",IF($GV38=T$64," DNS ",IFERROR(VLOOKUP($F38,Arrangörslista!M$8:$AG$45,16,FALSE),"DNS")))),IF(ISBLANK(Deltagarlista!$C34),"",IF(ISBLANK(Arrangörslista!M$8),"",IFERROR(VLOOKUP($F38,Arrangörslista!M$8:$AG$45,16,FALSE),"DNS")))))</f>
        <v/>
      </c>
      <c r="U38" s="5" t="str">
        <f>IF(Deltagarlista!$K$3=4,IF(ISBLANK(Deltagarlista!$C34),"",IF(ISBLANK(Arrangörslista!J$53),"",IFERROR(VLOOKUP($F38,Arrangörslista!J$53:$AG$90,16,FALSE),IF(ISBLANK(Deltagarlista!$C34),"",IF(ISBLANK(Arrangörslista!J$53),"",IFERROR(VLOOKUP($F38,Arrangörslista!K$53:$AG$90,16,FALSE),"DNS")))))),IF(Deltagarlista!$K$3=2,
IF(ISBLANK(Deltagarlista!$C34),"",IF(ISBLANK(Arrangörslista!N$8),"",IF($GV38=U$64," DNS ",IFERROR(VLOOKUP($F38,Arrangörslista!N$8:$AG$45,16,FALSE),"DNS")))),IF(ISBLANK(Deltagarlista!$C34),"",IF(ISBLANK(Arrangörslista!N$8),"",IFERROR(VLOOKUP($F38,Arrangörslista!N$8:$AG$45,16,FALSE),"DNS")))))</f>
        <v/>
      </c>
      <c r="V38" s="5" t="str">
        <f>IF(Deltagarlista!$K$3=4,IF(ISBLANK(Deltagarlista!$C34),"",IF(ISBLANK(Arrangörslista!L$53),"",IFERROR(VLOOKUP($F38,Arrangörslista!L$53:$AG$90,16,FALSE),IF(ISBLANK(Deltagarlista!$C34),"",IF(ISBLANK(Arrangörslista!L$53),"",IFERROR(VLOOKUP($F38,Arrangörslista!M$53:$AG$90,16,FALSE),"DNS")))))),IF(Deltagarlista!$K$3=2,
IF(ISBLANK(Deltagarlista!$C34),"",IF(ISBLANK(Arrangörslista!O$8),"",IF($GV38=V$64," DNS ",IFERROR(VLOOKUP($F38,Arrangörslista!O$8:$AG$45,16,FALSE),"DNS")))),IF(ISBLANK(Deltagarlista!$C34),"",IF(ISBLANK(Arrangörslista!O$8),"",IFERROR(VLOOKUP($F38,Arrangörslista!O$8:$AG$45,16,FALSE),"DNS")))))</f>
        <v/>
      </c>
      <c r="W38" s="5" t="str">
        <f>IF(Deltagarlista!$K$3=4,IF(ISBLANK(Deltagarlista!$C34),"",IF(ISBLANK(Arrangörslista!N$53),"",IFERROR(VLOOKUP($F38,Arrangörslista!N$53:$AG$90,16,FALSE),IF(ISBLANK(Deltagarlista!$C34),"",IF(ISBLANK(Arrangörslista!N$53),"",IFERROR(VLOOKUP($F38,Arrangörslista!O$53:$AG$90,16,FALSE),"DNS")))))),IF(Deltagarlista!$K$3=2,
IF(ISBLANK(Deltagarlista!$C34),"",IF(ISBLANK(Arrangörslista!P$8),"",IF($GV38=W$64," DNS ",IFERROR(VLOOKUP($F38,Arrangörslista!P$8:$AG$45,16,FALSE),"DNS")))),IF(ISBLANK(Deltagarlista!$C34),"",IF(ISBLANK(Arrangörslista!P$8),"",IFERROR(VLOOKUP($F38,Arrangörslista!P$8:$AG$45,16,FALSE),"DNS")))))</f>
        <v/>
      </c>
      <c r="X38" s="5" t="str">
        <f>IF(Deltagarlista!$K$3=4,IF(ISBLANK(Deltagarlista!$C34),"",IF(ISBLANK(Arrangörslista!P$53),"",IFERROR(VLOOKUP($F38,Arrangörslista!P$53:$AG$90,16,FALSE),IF(ISBLANK(Deltagarlista!$C34),"",IF(ISBLANK(Arrangörslista!P$53),"",IFERROR(VLOOKUP($F38,Arrangörslista!Q$53:$AG$90,16,FALSE),"DNS")))))),IF(Deltagarlista!$K$3=2,
IF(ISBLANK(Deltagarlista!$C34),"",IF(ISBLANK(Arrangörslista!Q$8),"",IF($GV38=X$64," DNS ",IFERROR(VLOOKUP($F38,Arrangörslista!Q$8:$AG$45,16,FALSE),"DNS")))),IF(ISBLANK(Deltagarlista!$C34),"",IF(ISBLANK(Arrangörslista!Q$8),"",IFERROR(VLOOKUP($F38,Arrangörslista!Q$8:$AG$45,16,FALSE),"DNS")))))</f>
        <v/>
      </c>
      <c r="Y38" s="5" t="str">
        <f>IF(Deltagarlista!$K$3=4,IF(ISBLANK(Deltagarlista!$C34),"",IF(ISBLANK(Arrangörslista!C$98),"",IFERROR(VLOOKUP($F38,Arrangörslista!C$98:$AG$135,16,FALSE),IF(ISBLANK(Deltagarlista!$C34),"",IF(ISBLANK(Arrangörslista!C$98),"",IFERROR(VLOOKUP($F38,Arrangörslista!D$98:$AG$135,16,FALSE),"DNS")))))),IF(Deltagarlista!$K$3=2,
IF(ISBLANK(Deltagarlista!$C34),"",IF(ISBLANK(Arrangörslista!C$53),"",IF($GV38=Y$64," DNS ",IFERROR(VLOOKUP($F38,Arrangörslista!C$53:$AG$90,16,FALSE),"DNS")))),IF(ISBLANK(Deltagarlista!$C34),"",IF(ISBLANK(Arrangörslista!C$53),"",IFERROR(VLOOKUP($F38,Arrangörslista!C$53:$AG$90,16,FALSE),"DNS")))))</f>
        <v/>
      </c>
      <c r="Z38" s="5" t="str">
        <f>IF(Deltagarlista!$K$3=4,IF(ISBLANK(Deltagarlista!$C34),"",IF(ISBLANK(Arrangörslista!E$98),"",IFERROR(VLOOKUP($F38,Arrangörslista!E$98:$AG$135,16,FALSE),IF(ISBLANK(Deltagarlista!$C34),"",IF(ISBLANK(Arrangörslista!E$98),"",IFERROR(VLOOKUP($F38,Arrangörslista!F$98:$AG$135,16,FALSE),"DNS")))))),IF(Deltagarlista!$K$3=2,
IF(ISBLANK(Deltagarlista!$C34),"",IF(ISBLANK(Arrangörslista!D$53),"",IF($GV38=Z$64," DNS ",IFERROR(VLOOKUP($F38,Arrangörslista!D$53:$AG$90,16,FALSE),"DNS")))),IF(ISBLANK(Deltagarlista!$C34),"",IF(ISBLANK(Arrangörslista!D$53),"",IFERROR(VLOOKUP($F38,Arrangörslista!D$53:$AG$90,16,FALSE),"DNS")))))</f>
        <v/>
      </c>
      <c r="AA38" s="5" t="str">
        <f>IF(Deltagarlista!$K$3=4,IF(ISBLANK(Deltagarlista!$C34),"",IF(ISBLANK(Arrangörslista!G$98),"",IFERROR(VLOOKUP($F38,Arrangörslista!G$98:$AG$135,16,FALSE),IF(ISBLANK(Deltagarlista!$C34),"",IF(ISBLANK(Arrangörslista!G$98),"",IFERROR(VLOOKUP($F38,Arrangörslista!H$98:$AG$135,16,FALSE),"DNS")))))),IF(Deltagarlista!$K$3=2,
IF(ISBLANK(Deltagarlista!$C34),"",IF(ISBLANK(Arrangörslista!E$53),"",IF($GV38=AA$64," DNS ",IFERROR(VLOOKUP($F38,Arrangörslista!E$53:$AG$90,16,FALSE),"DNS")))),IF(ISBLANK(Deltagarlista!$C34),"",IF(ISBLANK(Arrangörslista!E$53),"",IFERROR(VLOOKUP($F38,Arrangörslista!E$53:$AG$90,16,FALSE),"DNS")))))</f>
        <v/>
      </c>
      <c r="AB38" s="5" t="str">
        <f>IF(Deltagarlista!$K$3=4,IF(ISBLANK(Deltagarlista!$C34),"",IF(ISBLANK(Arrangörslista!I$98),"",IFERROR(VLOOKUP($F38,Arrangörslista!I$98:$AG$135,16,FALSE),IF(ISBLANK(Deltagarlista!$C34),"",IF(ISBLANK(Arrangörslista!I$98),"",IFERROR(VLOOKUP($F38,Arrangörslista!J$98:$AG$135,16,FALSE),"DNS")))))),IF(Deltagarlista!$K$3=2,
IF(ISBLANK(Deltagarlista!$C34),"",IF(ISBLANK(Arrangörslista!F$53),"",IF($GV38=AB$64," DNS ",IFERROR(VLOOKUP($F38,Arrangörslista!F$53:$AG$90,16,FALSE),"DNS")))),IF(ISBLANK(Deltagarlista!$C34),"",IF(ISBLANK(Arrangörslista!F$53),"",IFERROR(VLOOKUP($F38,Arrangörslista!F$53:$AG$90,16,FALSE),"DNS")))))</f>
        <v/>
      </c>
      <c r="AC38" s="5" t="str">
        <f>IF(Deltagarlista!$K$3=4,IF(ISBLANK(Deltagarlista!$C34),"",IF(ISBLANK(Arrangörslista!K$98),"",IFERROR(VLOOKUP($F38,Arrangörslista!K$98:$AG$135,16,FALSE),IF(ISBLANK(Deltagarlista!$C34),"",IF(ISBLANK(Arrangörslista!K$98),"",IFERROR(VLOOKUP($F38,Arrangörslista!L$98:$AG$135,16,FALSE),"DNS")))))),IF(Deltagarlista!$K$3=2,
IF(ISBLANK(Deltagarlista!$C34),"",IF(ISBLANK(Arrangörslista!G$53),"",IF($GV38=AC$64," DNS ",IFERROR(VLOOKUP($F38,Arrangörslista!G$53:$AG$90,16,FALSE),"DNS")))),IF(ISBLANK(Deltagarlista!$C34),"",IF(ISBLANK(Arrangörslista!G$53),"",IFERROR(VLOOKUP($F38,Arrangörslista!G$53:$AG$90,16,FALSE),"DNS")))))</f>
        <v/>
      </c>
      <c r="AD38" s="5" t="str">
        <f>IF(Deltagarlista!$K$3=4,IF(ISBLANK(Deltagarlista!$C34),"",IF(ISBLANK(Arrangörslista!M$98),"",IFERROR(VLOOKUP($F38,Arrangörslista!M$98:$AG$135,16,FALSE),IF(ISBLANK(Deltagarlista!$C34),"",IF(ISBLANK(Arrangörslista!M$98),"",IFERROR(VLOOKUP($F38,Arrangörslista!N$98:$AG$135,16,FALSE),"DNS")))))),IF(Deltagarlista!$K$3=2,
IF(ISBLANK(Deltagarlista!$C34),"",IF(ISBLANK(Arrangörslista!H$53),"",IF($GV38=AD$64," DNS ",IFERROR(VLOOKUP($F38,Arrangörslista!H$53:$AG$90,16,FALSE),"DNS")))),IF(ISBLANK(Deltagarlista!$C34),"",IF(ISBLANK(Arrangörslista!H$53),"",IFERROR(VLOOKUP($F38,Arrangörslista!H$53:$AG$90,16,FALSE),"DNS")))))</f>
        <v/>
      </c>
      <c r="AE38" s="5" t="str">
        <f>IF(Deltagarlista!$K$3=4,IF(ISBLANK(Deltagarlista!$C34),"",IF(ISBLANK(Arrangörslista!O$98),"",IFERROR(VLOOKUP($F38,Arrangörslista!O$98:$AG$135,16,FALSE),IF(ISBLANK(Deltagarlista!$C34),"",IF(ISBLANK(Arrangörslista!O$98),"",IFERROR(VLOOKUP($F38,Arrangörslista!P$98:$AG$135,16,FALSE),"DNS")))))),IF(Deltagarlista!$K$3=2,
IF(ISBLANK(Deltagarlista!$C34),"",IF(ISBLANK(Arrangörslista!I$53),"",IF($GV38=AE$64," DNS ",IFERROR(VLOOKUP($F38,Arrangörslista!I$53:$AG$90,16,FALSE),"DNS")))),IF(ISBLANK(Deltagarlista!$C34),"",IF(ISBLANK(Arrangörslista!I$53),"",IFERROR(VLOOKUP($F38,Arrangörslista!I$53:$AG$90,16,FALSE),"DNS")))))</f>
        <v/>
      </c>
      <c r="AF38" s="5" t="str">
        <f>IF(Deltagarlista!$K$3=4,IF(ISBLANK(Deltagarlista!$C34),"",IF(ISBLANK(Arrangörslista!Q$98),"",IFERROR(VLOOKUP($F38,Arrangörslista!Q$98:$AG$135,16,FALSE),IF(ISBLANK(Deltagarlista!$C34),"",IF(ISBLANK(Arrangörslista!Q$98),"",IFERROR(VLOOKUP($F38,Arrangörslista!C$143:$AG$180,16,FALSE),"DNS")))))),IF(Deltagarlista!$K$3=2,
IF(ISBLANK(Deltagarlista!$C34),"",IF(ISBLANK(Arrangörslista!J$53),"",IF($GV38=AF$64," DNS ",IFERROR(VLOOKUP($F38,Arrangörslista!J$53:$AG$90,16,FALSE),"DNS")))),IF(ISBLANK(Deltagarlista!$C34),"",IF(ISBLANK(Arrangörslista!J$53),"",IFERROR(VLOOKUP($F38,Arrangörslista!J$53:$AG$90,16,FALSE),"DNS")))))</f>
        <v/>
      </c>
      <c r="AG38" s="5" t="str">
        <f>IF(Deltagarlista!$K$3=4,IF(ISBLANK(Deltagarlista!$C34),"",IF(ISBLANK(Arrangörslista!D$143),"",IFERROR(VLOOKUP($F38,Arrangörslista!D$143:$AG$180,16,FALSE),IF(ISBLANK(Deltagarlista!$C34),"",IF(ISBLANK(Arrangörslista!D$143),"",IFERROR(VLOOKUP($F38,Arrangörslista!E$143:$AG$180,16,FALSE),"DNS")))))),IF(Deltagarlista!$K$3=2,
IF(ISBLANK(Deltagarlista!$C34),"",IF(ISBLANK(Arrangörslista!K$53),"",IF($GV38=AG$64," DNS ",IFERROR(VLOOKUP($F38,Arrangörslista!K$53:$AG$90,16,FALSE),"DNS")))),IF(ISBLANK(Deltagarlista!$C34),"",IF(ISBLANK(Arrangörslista!K$53),"",IFERROR(VLOOKUP($F38,Arrangörslista!K$53:$AG$90,16,FALSE),"DNS")))))</f>
        <v/>
      </c>
      <c r="AH38" s="5" t="str">
        <f>IF(Deltagarlista!$K$3=4,IF(ISBLANK(Deltagarlista!$C34),"",IF(ISBLANK(Arrangörslista!F$143),"",IFERROR(VLOOKUP($F38,Arrangörslista!F$143:$AG$180,16,FALSE),IF(ISBLANK(Deltagarlista!$C34),"",IF(ISBLANK(Arrangörslista!F$143),"",IFERROR(VLOOKUP($F38,Arrangörslista!G$143:$AG$180,16,FALSE),"DNS")))))),IF(Deltagarlista!$K$3=2,
IF(ISBLANK(Deltagarlista!$C34),"",IF(ISBLANK(Arrangörslista!L$53),"",IF($GV38=AH$64," DNS ",IFERROR(VLOOKUP($F38,Arrangörslista!L$53:$AG$90,16,FALSE),"DNS")))),IF(ISBLANK(Deltagarlista!$C34),"",IF(ISBLANK(Arrangörslista!L$53),"",IFERROR(VLOOKUP($F38,Arrangörslista!L$53:$AG$90,16,FALSE),"DNS")))))</f>
        <v/>
      </c>
      <c r="AI38" s="5" t="str">
        <f>IF(Deltagarlista!$K$3=4,IF(ISBLANK(Deltagarlista!$C34),"",IF(ISBLANK(Arrangörslista!H$143),"",IFERROR(VLOOKUP($F38,Arrangörslista!H$143:$AG$180,16,FALSE),IF(ISBLANK(Deltagarlista!$C34),"",IF(ISBLANK(Arrangörslista!H$143),"",IFERROR(VLOOKUP($F38,Arrangörslista!I$143:$AG$180,16,FALSE),"DNS")))))),IF(Deltagarlista!$K$3=2,
IF(ISBLANK(Deltagarlista!$C34),"",IF(ISBLANK(Arrangörslista!M$53),"",IF($GV38=AI$64," DNS ",IFERROR(VLOOKUP($F38,Arrangörslista!M$53:$AG$90,16,FALSE),"DNS")))),IF(ISBLANK(Deltagarlista!$C34),"",IF(ISBLANK(Arrangörslista!M$53),"",IFERROR(VLOOKUP($F38,Arrangörslista!M$53:$AG$90,16,FALSE),"DNS")))))</f>
        <v/>
      </c>
      <c r="AJ38" s="5" t="str">
        <f>IF(Deltagarlista!$K$3=4,IF(ISBLANK(Deltagarlista!$C34),"",IF(ISBLANK(Arrangörslista!J$143),"",IFERROR(VLOOKUP($F38,Arrangörslista!J$143:$AG$180,16,FALSE),IF(ISBLANK(Deltagarlista!$C34),"",IF(ISBLANK(Arrangörslista!J$143),"",IFERROR(VLOOKUP($F38,Arrangörslista!K$143:$AG$180,16,FALSE),"DNS")))))),IF(Deltagarlista!$K$3=2,
IF(ISBLANK(Deltagarlista!$C34),"",IF(ISBLANK(Arrangörslista!N$53),"",IF($GV38=AJ$64," DNS ",IFERROR(VLOOKUP($F38,Arrangörslista!N$53:$AG$90,16,FALSE),"DNS")))),IF(ISBLANK(Deltagarlista!$C34),"",IF(ISBLANK(Arrangörslista!N$53),"",IFERROR(VLOOKUP($F38,Arrangörslista!N$53:$AG$90,16,FALSE),"DNS")))))</f>
        <v/>
      </c>
      <c r="AK38" s="5" t="str">
        <f>IF(Deltagarlista!$K$3=4,IF(ISBLANK(Deltagarlista!$C34),"",IF(ISBLANK(Arrangörslista!L$143),"",IFERROR(VLOOKUP($F38,Arrangörslista!L$143:$AG$180,16,FALSE),IF(ISBLANK(Deltagarlista!$C34),"",IF(ISBLANK(Arrangörslista!L$143),"",IFERROR(VLOOKUP($F38,Arrangörslista!M$143:$AG$180,16,FALSE),"DNS")))))),IF(Deltagarlista!$K$3=2,
IF(ISBLANK(Deltagarlista!$C34),"",IF(ISBLANK(Arrangörslista!O$53),"",IF($GV38=AK$64," DNS ",IFERROR(VLOOKUP($F38,Arrangörslista!O$53:$AG$90,16,FALSE),"DNS")))),IF(ISBLANK(Deltagarlista!$C34),"",IF(ISBLANK(Arrangörslista!O$53),"",IFERROR(VLOOKUP($F38,Arrangörslista!O$53:$AG$90,16,FALSE),"DNS")))))</f>
        <v/>
      </c>
      <c r="AL38" s="5" t="str">
        <f>IF(Deltagarlista!$K$3=4,IF(ISBLANK(Deltagarlista!$C34),"",IF(ISBLANK(Arrangörslista!N$143),"",IFERROR(VLOOKUP($F38,Arrangörslista!N$143:$AG$180,16,FALSE),IF(ISBLANK(Deltagarlista!$C34),"",IF(ISBLANK(Arrangörslista!N$143),"",IFERROR(VLOOKUP($F38,Arrangörslista!O$143:$AG$180,16,FALSE),"DNS")))))),IF(Deltagarlista!$K$3=2,
IF(ISBLANK(Deltagarlista!$C34),"",IF(ISBLANK(Arrangörslista!P$53),"",IF($GV38=AL$64," DNS ",IFERROR(VLOOKUP($F38,Arrangörslista!P$53:$AG$90,16,FALSE),"DNS")))),IF(ISBLANK(Deltagarlista!$C34),"",IF(ISBLANK(Arrangörslista!P$53),"",IFERROR(VLOOKUP($F38,Arrangörslista!P$53:$AG$90,16,FALSE),"DNS")))))</f>
        <v/>
      </c>
      <c r="AM38" s="5" t="str">
        <f>IF(Deltagarlista!$K$3=4,IF(ISBLANK(Deltagarlista!$C34),"",IF(ISBLANK(Arrangörslista!P$143),"",IFERROR(VLOOKUP($F38,Arrangörslista!P$143:$AG$180,16,FALSE),IF(ISBLANK(Deltagarlista!$C34),"",IF(ISBLANK(Arrangörslista!P$143),"",IFERROR(VLOOKUP($F38,Arrangörslista!Q$143:$AG$180,16,FALSE),"DNS")))))),IF(Deltagarlista!$K$3=2,
IF(ISBLANK(Deltagarlista!$C34),"",IF(ISBLANK(Arrangörslista!Q$53),"",IF($GV38=AM$64," DNS ",IFERROR(VLOOKUP($F38,Arrangörslista!Q$53:$AG$90,16,FALSE),"DNS")))),IF(ISBLANK(Deltagarlista!$C34),"",IF(ISBLANK(Arrangörslista!Q$53),"",IFERROR(VLOOKUP($F38,Arrangörslista!Q$53:$AG$90,16,FALSE),"DNS")))))</f>
        <v/>
      </c>
      <c r="AN38" s="5" t="str">
        <f>IF(Deltagarlista!$K$3=2,
IF(ISBLANK(Deltagarlista!$C34),"",IF(ISBLANK(Arrangörslista!C$98),"",IF($GV38=AN$64," DNS ",IFERROR(VLOOKUP($F38,Arrangörslista!C$98:$AG$135,16,FALSE), "DNS")))), IF(Deltagarlista!$K$3=1,IF(ISBLANK(Deltagarlista!$C34),"",IF(ISBLANK(Arrangörslista!C$98),"",IFERROR(VLOOKUP($F38,Arrangörslista!C$98:$AG$135,16,FALSE), "DNS"))),""))</f>
        <v/>
      </c>
      <c r="AO38" s="5" t="str">
        <f>IF(Deltagarlista!$K$3=2,
IF(ISBLANK(Deltagarlista!$C34),"",IF(ISBLANK(Arrangörslista!D$98),"",IF($GV38=AO$64," DNS ",IFERROR(VLOOKUP($F38,Arrangörslista!D$98:$AG$135,16,FALSE), "DNS")))), IF(Deltagarlista!$K$3=1,IF(ISBLANK(Deltagarlista!$C34),"",IF(ISBLANK(Arrangörslista!D$98),"",IFERROR(VLOOKUP($F38,Arrangörslista!D$98:$AG$135,16,FALSE), "DNS"))),""))</f>
        <v/>
      </c>
      <c r="AP38" s="5" t="str">
        <f>IF(Deltagarlista!$K$3=2,
IF(ISBLANK(Deltagarlista!$C34),"",IF(ISBLANK(Arrangörslista!E$98),"",IF($GV38=AP$64," DNS ",IFERROR(VLOOKUP($F38,Arrangörslista!E$98:$AG$135,16,FALSE), "DNS")))), IF(Deltagarlista!$K$3=1,IF(ISBLANK(Deltagarlista!$C34),"",IF(ISBLANK(Arrangörslista!E$98),"",IFERROR(VLOOKUP($F38,Arrangörslista!E$98:$AG$135,16,FALSE), "DNS"))),""))</f>
        <v/>
      </c>
      <c r="AQ38" s="5" t="str">
        <f>IF(Deltagarlista!$K$3=2,
IF(ISBLANK(Deltagarlista!$C34),"",IF(ISBLANK(Arrangörslista!F$98),"",IF($GV38=AQ$64," DNS ",IFERROR(VLOOKUP($F38,Arrangörslista!F$98:$AG$135,16,FALSE), "DNS")))), IF(Deltagarlista!$K$3=1,IF(ISBLANK(Deltagarlista!$C34),"",IF(ISBLANK(Arrangörslista!F$98),"",IFERROR(VLOOKUP($F38,Arrangörslista!F$98:$AG$135,16,FALSE), "DNS"))),""))</f>
        <v/>
      </c>
      <c r="AR38" s="5" t="str">
        <f>IF(Deltagarlista!$K$3=2,
IF(ISBLANK(Deltagarlista!$C34),"",IF(ISBLANK(Arrangörslista!G$98),"",IF($GV38=AR$64," DNS ",IFERROR(VLOOKUP($F38,Arrangörslista!G$98:$AG$135,16,FALSE), "DNS")))), IF(Deltagarlista!$K$3=1,IF(ISBLANK(Deltagarlista!$C34),"",IF(ISBLANK(Arrangörslista!G$98),"",IFERROR(VLOOKUP($F38,Arrangörslista!G$98:$AG$135,16,FALSE), "DNS"))),""))</f>
        <v/>
      </c>
      <c r="AS38" s="5" t="str">
        <f>IF(Deltagarlista!$K$3=2,
IF(ISBLANK(Deltagarlista!$C34),"",IF(ISBLANK(Arrangörslista!H$98),"",IF($GV38=AS$64," DNS ",IFERROR(VLOOKUP($F38,Arrangörslista!H$98:$AG$135,16,FALSE), "DNS")))), IF(Deltagarlista!$K$3=1,IF(ISBLANK(Deltagarlista!$C34),"",IF(ISBLANK(Arrangörslista!H$98),"",IFERROR(VLOOKUP($F38,Arrangörslista!H$98:$AG$135,16,FALSE), "DNS"))),""))</f>
        <v/>
      </c>
      <c r="AT38" s="5" t="str">
        <f>IF(Deltagarlista!$K$3=2,
IF(ISBLANK(Deltagarlista!$C34),"",IF(ISBLANK(Arrangörslista!I$98),"",IF($GV38=AT$64," DNS ",IFERROR(VLOOKUP($F38,Arrangörslista!I$98:$AG$135,16,FALSE), "DNS")))), IF(Deltagarlista!$K$3=1,IF(ISBLANK(Deltagarlista!$C34),"",IF(ISBLANK(Arrangörslista!I$98),"",IFERROR(VLOOKUP($F38,Arrangörslista!I$98:$AG$135,16,FALSE), "DNS"))),""))</f>
        <v/>
      </c>
      <c r="AU38" s="5" t="str">
        <f>IF(Deltagarlista!$K$3=2,
IF(ISBLANK(Deltagarlista!$C34),"",IF(ISBLANK(Arrangörslista!J$98),"",IF($GV38=AU$64," DNS ",IFERROR(VLOOKUP($F38,Arrangörslista!J$98:$AG$135,16,FALSE), "DNS")))), IF(Deltagarlista!$K$3=1,IF(ISBLANK(Deltagarlista!$C34),"",IF(ISBLANK(Arrangörslista!J$98),"",IFERROR(VLOOKUP($F38,Arrangörslista!J$98:$AG$135,16,FALSE), "DNS"))),""))</f>
        <v/>
      </c>
      <c r="AV38" s="5" t="str">
        <f>IF(Deltagarlista!$K$3=2,
IF(ISBLANK(Deltagarlista!$C34),"",IF(ISBLANK(Arrangörslista!K$98),"",IF($GV38=AV$64," DNS ",IFERROR(VLOOKUP($F38,Arrangörslista!K$98:$AG$135,16,FALSE), "DNS")))), IF(Deltagarlista!$K$3=1,IF(ISBLANK(Deltagarlista!$C34),"",IF(ISBLANK(Arrangörslista!K$98),"",IFERROR(VLOOKUP($F38,Arrangörslista!K$98:$AG$135,16,FALSE), "DNS"))),""))</f>
        <v/>
      </c>
      <c r="AW38" s="5" t="str">
        <f>IF(Deltagarlista!$K$3=2,
IF(ISBLANK(Deltagarlista!$C34),"",IF(ISBLANK(Arrangörslista!L$98),"",IF($GV38=AW$64," DNS ",IFERROR(VLOOKUP($F38,Arrangörslista!L$98:$AG$135,16,FALSE), "DNS")))), IF(Deltagarlista!$K$3=1,IF(ISBLANK(Deltagarlista!$C34),"",IF(ISBLANK(Arrangörslista!L$98),"",IFERROR(VLOOKUP($F38,Arrangörslista!L$98:$AG$135,16,FALSE), "DNS"))),""))</f>
        <v/>
      </c>
      <c r="AX38" s="5" t="str">
        <f>IF(Deltagarlista!$K$3=2,
IF(ISBLANK(Deltagarlista!$C34),"",IF(ISBLANK(Arrangörslista!M$98),"",IF($GV38=AX$64," DNS ",IFERROR(VLOOKUP($F38,Arrangörslista!M$98:$AG$135,16,FALSE), "DNS")))), IF(Deltagarlista!$K$3=1,IF(ISBLANK(Deltagarlista!$C34),"",IF(ISBLANK(Arrangörslista!M$98),"",IFERROR(VLOOKUP($F38,Arrangörslista!M$98:$AG$135,16,FALSE), "DNS"))),""))</f>
        <v/>
      </c>
      <c r="AY38" s="5" t="str">
        <f>IF(Deltagarlista!$K$3=2,
IF(ISBLANK(Deltagarlista!$C34),"",IF(ISBLANK(Arrangörslista!N$98),"",IF($GV38=AY$64," DNS ",IFERROR(VLOOKUP($F38,Arrangörslista!N$98:$AG$135,16,FALSE), "DNS")))), IF(Deltagarlista!$K$3=1,IF(ISBLANK(Deltagarlista!$C34),"",IF(ISBLANK(Arrangörslista!N$98),"",IFERROR(VLOOKUP($F38,Arrangörslista!N$98:$AG$135,16,FALSE), "DNS"))),""))</f>
        <v/>
      </c>
      <c r="AZ38" s="5" t="str">
        <f>IF(Deltagarlista!$K$3=2,
IF(ISBLANK(Deltagarlista!$C34),"",IF(ISBLANK(Arrangörslista!O$98),"",IF($GV38=AZ$64," DNS ",IFERROR(VLOOKUP($F38,Arrangörslista!O$98:$AG$135,16,FALSE), "DNS")))), IF(Deltagarlista!$K$3=1,IF(ISBLANK(Deltagarlista!$C34),"",IF(ISBLANK(Arrangörslista!O$98),"",IFERROR(VLOOKUP($F38,Arrangörslista!O$98:$AG$135,16,FALSE), "DNS"))),""))</f>
        <v/>
      </c>
      <c r="BA38" s="5" t="str">
        <f>IF(Deltagarlista!$K$3=2,
IF(ISBLANK(Deltagarlista!$C34),"",IF(ISBLANK(Arrangörslista!P$98),"",IF($GV38=BA$64," DNS ",IFERROR(VLOOKUP($F38,Arrangörslista!P$98:$AG$135,16,FALSE), "DNS")))), IF(Deltagarlista!$K$3=1,IF(ISBLANK(Deltagarlista!$C34),"",IF(ISBLANK(Arrangörslista!P$98),"",IFERROR(VLOOKUP($F38,Arrangörslista!P$98:$AG$135,16,FALSE), "DNS"))),""))</f>
        <v/>
      </c>
      <c r="BB38" s="5" t="str">
        <f>IF(Deltagarlista!$K$3=2,
IF(ISBLANK(Deltagarlista!$C34),"",IF(ISBLANK(Arrangörslista!Q$98),"",IF($GV38=BB$64," DNS ",IFERROR(VLOOKUP($F38,Arrangörslista!Q$98:$AG$135,16,FALSE), "DNS")))), IF(Deltagarlista!$K$3=1,IF(ISBLANK(Deltagarlista!$C34),"",IF(ISBLANK(Arrangörslista!Q$98),"",IFERROR(VLOOKUP($F38,Arrangörslista!Q$98:$AG$135,16,FALSE), "DNS"))),""))</f>
        <v/>
      </c>
      <c r="BC38" s="5" t="str">
        <f>IF(Deltagarlista!$K$3=2,
IF(ISBLANK(Deltagarlista!$C34),"",IF(ISBLANK(Arrangörslista!C$143),"",IF($GV38=BC$64," DNS ",IFERROR(VLOOKUP($F38,Arrangörslista!C$143:$AG$180,16,FALSE), "DNS")))), IF(Deltagarlista!$K$3=1,IF(ISBLANK(Deltagarlista!$C34),"",IF(ISBLANK(Arrangörslista!C$143),"",IFERROR(VLOOKUP($F38,Arrangörslista!C$143:$AG$180,16,FALSE), "DNS"))),""))</f>
        <v/>
      </c>
      <c r="BD38" s="5" t="str">
        <f>IF(Deltagarlista!$K$3=2,
IF(ISBLANK(Deltagarlista!$C34),"",IF(ISBLANK(Arrangörslista!D$143),"",IF($GV38=BD$64," DNS ",IFERROR(VLOOKUP($F38,Arrangörslista!D$143:$AG$180,16,FALSE), "DNS")))), IF(Deltagarlista!$K$3=1,IF(ISBLANK(Deltagarlista!$C34),"",IF(ISBLANK(Arrangörslista!D$143),"",IFERROR(VLOOKUP($F38,Arrangörslista!D$143:$AG$180,16,FALSE), "DNS"))),""))</f>
        <v/>
      </c>
      <c r="BE38" s="5" t="str">
        <f>IF(Deltagarlista!$K$3=2,
IF(ISBLANK(Deltagarlista!$C34),"",IF(ISBLANK(Arrangörslista!E$143),"",IF($GV38=BE$64," DNS ",IFERROR(VLOOKUP($F38,Arrangörslista!E$143:$AG$180,16,FALSE), "DNS")))), IF(Deltagarlista!$K$3=1,IF(ISBLANK(Deltagarlista!$C34),"",IF(ISBLANK(Arrangörslista!E$143),"",IFERROR(VLOOKUP($F38,Arrangörslista!E$143:$AG$180,16,FALSE), "DNS"))),""))</f>
        <v/>
      </c>
      <c r="BF38" s="5" t="str">
        <f>IF(Deltagarlista!$K$3=2,
IF(ISBLANK(Deltagarlista!$C34),"",IF(ISBLANK(Arrangörslista!F$143),"",IF($GV38=BF$64," DNS ",IFERROR(VLOOKUP($F38,Arrangörslista!F$143:$AG$180,16,FALSE), "DNS")))), IF(Deltagarlista!$K$3=1,IF(ISBLANK(Deltagarlista!$C34),"",IF(ISBLANK(Arrangörslista!F$143),"",IFERROR(VLOOKUP($F38,Arrangörslista!F$143:$AG$180,16,FALSE), "DNS"))),""))</f>
        <v/>
      </c>
      <c r="BG38" s="5" t="str">
        <f>IF(Deltagarlista!$K$3=2,
IF(ISBLANK(Deltagarlista!$C34),"",IF(ISBLANK(Arrangörslista!G$143),"",IF($GV38=BG$64," DNS ",IFERROR(VLOOKUP($F38,Arrangörslista!G$143:$AG$180,16,FALSE), "DNS")))), IF(Deltagarlista!$K$3=1,IF(ISBLANK(Deltagarlista!$C34),"",IF(ISBLANK(Arrangörslista!G$143),"",IFERROR(VLOOKUP($F38,Arrangörslista!G$143:$AG$180,16,FALSE), "DNS"))),""))</f>
        <v/>
      </c>
      <c r="BH38" s="5" t="str">
        <f>IF(Deltagarlista!$K$3=2,
IF(ISBLANK(Deltagarlista!$C34),"",IF(ISBLANK(Arrangörslista!H$143),"",IF($GV38=BH$64," DNS ",IFERROR(VLOOKUP($F38,Arrangörslista!H$143:$AG$180,16,FALSE), "DNS")))), IF(Deltagarlista!$K$3=1,IF(ISBLANK(Deltagarlista!$C34),"",IF(ISBLANK(Arrangörslista!H$143),"",IFERROR(VLOOKUP($F38,Arrangörslista!H$143:$AG$180,16,FALSE), "DNS"))),""))</f>
        <v/>
      </c>
      <c r="BI38" s="5" t="str">
        <f>IF(Deltagarlista!$K$3=2,
IF(ISBLANK(Deltagarlista!$C34),"",IF(ISBLANK(Arrangörslista!I$143),"",IF($GV38=BI$64," DNS ",IFERROR(VLOOKUP($F38,Arrangörslista!I$143:$AG$180,16,FALSE), "DNS")))), IF(Deltagarlista!$K$3=1,IF(ISBLANK(Deltagarlista!$C34),"",IF(ISBLANK(Arrangörslista!I$143),"",IFERROR(VLOOKUP($F38,Arrangörslista!I$143:$AG$180,16,FALSE), "DNS"))),""))</f>
        <v/>
      </c>
      <c r="BJ38" s="5" t="str">
        <f>IF(Deltagarlista!$K$3=2,
IF(ISBLANK(Deltagarlista!$C34),"",IF(ISBLANK(Arrangörslista!J$143),"",IF($GV38=BJ$64," DNS ",IFERROR(VLOOKUP($F38,Arrangörslista!J$143:$AG$180,16,FALSE), "DNS")))), IF(Deltagarlista!$K$3=1,IF(ISBLANK(Deltagarlista!$C34),"",IF(ISBLANK(Arrangörslista!J$143),"",IFERROR(VLOOKUP($F38,Arrangörslista!J$143:$AG$180,16,FALSE), "DNS"))),""))</f>
        <v/>
      </c>
      <c r="BK38" s="5" t="str">
        <f>IF(Deltagarlista!$K$3=2,
IF(ISBLANK(Deltagarlista!$C34),"",IF(ISBLANK(Arrangörslista!K$143),"",IF($GV38=BK$64," DNS ",IFERROR(VLOOKUP($F38,Arrangörslista!K$143:$AG$180,16,FALSE), "DNS")))), IF(Deltagarlista!$K$3=1,IF(ISBLANK(Deltagarlista!$C34),"",IF(ISBLANK(Arrangörslista!K$143),"",IFERROR(VLOOKUP($F38,Arrangörslista!K$143:$AG$180,16,FALSE), "DNS"))),""))</f>
        <v/>
      </c>
      <c r="BL38" s="5" t="str">
        <f>IF(Deltagarlista!$K$3=2,
IF(ISBLANK(Deltagarlista!$C34),"",IF(ISBLANK(Arrangörslista!L$143),"",IF($GV38=BL$64," DNS ",IFERROR(VLOOKUP($F38,Arrangörslista!L$143:$AG$180,16,FALSE), "DNS")))), IF(Deltagarlista!$K$3=1,IF(ISBLANK(Deltagarlista!$C34),"",IF(ISBLANK(Arrangörslista!L$143),"",IFERROR(VLOOKUP($F38,Arrangörslista!L$143:$AG$180,16,FALSE), "DNS"))),""))</f>
        <v/>
      </c>
      <c r="BM38" s="5" t="str">
        <f>IF(Deltagarlista!$K$3=2,
IF(ISBLANK(Deltagarlista!$C34),"",IF(ISBLANK(Arrangörslista!M$143),"",IF($GV38=BM$64," DNS ",IFERROR(VLOOKUP($F38,Arrangörslista!M$143:$AG$180,16,FALSE), "DNS")))), IF(Deltagarlista!$K$3=1,IF(ISBLANK(Deltagarlista!$C34),"",IF(ISBLANK(Arrangörslista!M$143),"",IFERROR(VLOOKUP($F38,Arrangörslista!M$143:$AG$180,16,FALSE), "DNS"))),""))</f>
        <v/>
      </c>
      <c r="BN38" s="5" t="str">
        <f>IF(Deltagarlista!$K$3=2,
IF(ISBLANK(Deltagarlista!$C34),"",IF(ISBLANK(Arrangörslista!N$143),"",IF($GV38=BN$64," DNS ",IFERROR(VLOOKUP($F38,Arrangörslista!N$143:$AG$180,16,FALSE), "DNS")))), IF(Deltagarlista!$K$3=1,IF(ISBLANK(Deltagarlista!$C34),"",IF(ISBLANK(Arrangörslista!N$143),"",IFERROR(VLOOKUP($F38,Arrangörslista!N$143:$AG$180,16,FALSE), "DNS"))),""))</f>
        <v/>
      </c>
      <c r="BO38" s="5" t="str">
        <f>IF(Deltagarlista!$K$3=2,
IF(ISBLANK(Deltagarlista!$C34),"",IF(ISBLANK(Arrangörslista!O$143),"",IF($GV38=BO$64," DNS ",IFERROR(VLOOKUP($F38,Arrangörslista!O$143:$AG$180,16,FALSE), "DNS")))), IF(Deltagarlista!$K$3=1,IF(ISBLANK(Deltagarlista!$C34),"",IF(ISBLANK(Arrangörslista!O$143),"",IFERROR(VLOOKUP($F38,Arrangörslista!O$143:$AG$180,16,FALSE), "DNS"))),""))</f>
        <v/>
      </c>
      <c r="BP38" s="5" t="str">
        <f>IF(Deltagarlista!$K$3=2,
IF(ISBLANK(Deltagarlista!$C34),"",IF(ISBLANK(Arrangörslista!P$143),"",IF($GV38=BP$64," DNS ",IFERROR(VLOOKUP($F38,Arrangörslista!P$143:$AG$180,16,FALSE), "DNS")))), IF(Deltagarlista!$K$3=1,IF(ISBLANK(Deltagarlista!$C34),"",IF(ISBLANK(Arrangörslista!P$143),"",IFERROR(VLOOKUP($F38,Arrangörslista!P$143:$AG$180,16,FALSE), "DNS"))),""))</f>
        <v/>
      </c>
      <c r="BQ38" s="80" t="str">
        <f>IF(Deltagarlista!$K$3=2,
IF(ISBLANK(Deltagarlista!$C34),"",IF(ISBLANK(Arrangörslista!Q$143),"",IF($GV38=BQ$64," DNS ",IFERROR(VLOOKUP($F38,Arrangörslista!Q$143:$AG$180,16,FALSE), "DNS")))), IF(Deltagarlista!$K$3=1,IF(ISBLANK(Deltagarlista!$C34),"",IF(ISBLANK(Arrangörslista!Q$143),"",IFERROR(VLOOKUP($F38,Arrangörslista!Q$143:$AG$180,16,FALSE), "DNS"))),""))</f>
        <v/>
      </c>
      <c r="BR38" s="51"/>
      <c r="BS38" s="50" t="str">
        <f t="shared" si="125"/>
        <v>2</v>
      </c>
      <c r="BT38" s="51"/>
      <c r="BU38" s="71">
        <f t="shared" si="126"/>
        <v>0</v>
      </c>
      <c r="BV38" s="61">
        <f t="shared" si="127"/>
        <v>0</v>
      </c>
      <c r="BW38" s="61">
        <f t="shared" si="128"/>
        <v>0</v>
      </c>
      <c r="BX38" s="61">
        <f t="shared" si="129"/>
        <v>0</v>
      </c>
      <c r="BY38" s="61">
        <f t="shared" si="130"/>
        <v>0</v>
      </c>
      <c r="BZ38" s="61">
        <f t="shared" si="131"/>
        <v>0</v>
      </c>
      <c r="CA38" s="61">
        <f t="shared" si="132"/>
        <v>0</v>
      </c>
      <c r="CB38" s="61">
        <f t="shared" si="133"/>
        <v>0</v>
      </c>
      <c r="CC38" s="61">
        <f t="shared" si="134"/>
        <v>0</v>
      </c>
      <c r="CD38" s="61">
        <f t="shared" si="135"/>
        <v>0</v>
      </c>
      <c r="CE38" s="61">
        <f t="shared" si="136"/>
        <v>0</v>
      </c>
      <c r="CF38" s="61">
        <f t="shared" si="137"/>
        <v>0</v>
      </c>
      <c r="CG38" s="61">
        <f t="shared" si="138"/>
        <v>0</v>
      </c>
      <c r="CH38" s="61">
        <f t="shared" si="139"/>
        <v>0</v>
      </c>
      <c r="CI38" s="61">
        <f t="shared" si="140"/>
        <v>0</v>
      </c>
      <c r="CJ38" s="61">
        <f t="shared" si="141"/>
        <v>0</v>
      </c>
      <c r="CK38" s="61">
        <f t="shared" si="142"/>
        <v>0</v>
      </c>
      <c r="CL38" s="61">
        <f t="shared" si="143"/>
        <v>0</v>
      </c>
      <c r="CM38" s="61">
        <f t="shared" si="144"/>
        <v>0</v>
      </c>
      <c r="CN38" s="61">
        <f t="shared" si="145"/>
        <v>0</v>
      </c>
      <c r="CO38" s="61">
        <f t="shared" si="146"/>
        <v>0</v>
      </c>
      <c r="CP38" s="61">
        <f t="shared" si="147"/>
        <v>0</v>
      </c>
      <c r="CQ38" s="61">
        <f t="shared" si="148"/>
        <v>0</v>
      </c>
      <c r="CR38" s="61">
        <f t="shared" si="149"/>
        <v>0</v>
      </c>
      <c r="CS38" s="61">
        <f t="shared" si="150"/>
        <v>0</v>
      </c>
      <c r="CT38" s="61">
        <f t="shared" si="151"/>
        <v>0</v>
      </c>
      <c r="CU38" s="61">
        <f t="shared" si="152"/>
        <v>0</v>
      </c>
      <c r="CV38" s="61">
        <f t="shared" si="153"/>
        <v>0</v>
      </c>
      <c r="CW38" s="61">
        <f t="shared" si="154"/>
        <v>0</v>
      </c>
      <c r="CX38" s="61">
        <f t="shared" si="155"/>
        <v>0</v>
      </c>
      <c r="CY38" s="61">
        <f t="shared" si="156"/>
        <v>0</v>
      </c>
      <c r="CZ38" s="61">
        <f t="shared" si="157"/>
        <v>0</v>
      </c>
      <c r="DA38" s="61">
        <f t="shared" si="158"/>
        <v>0</v>
      </c>
      <c r="DB38" s="61">
        <f t="shared" si="159"/>
        <v>0</v>
      </c>
      <c r="DC38" s="61">
        <f t="shared" si="160"/>
        <v>0</v>
      </c>
      <c r="DD38" s="61">
        <f t="shared" si="161"/>
        <v>0</v>
      </c>
      <c r="DE38" s="61">
        <f t="shared" si="162"/>
        <v>0</v>
      </c>
      <c r="DF38" s="61">
        <f t="shared" si="163"/>
        <v>0</v>
      </c>
      <c r="DG38" s="61">
        <f t="shared" si="164"/>
        <v>0</v>
      </c>
      <c r="DH38" s="61">
        <f t="shared" si="165"/>
        <v>0</v>
      </c>
      <c r="DI38" s="61">
        <f t="shared" si="166"/>
        <v>0</v>
      </c>
      <c r="DJ38" s="61">
        <f t="shared" si="167"/>
        <v>0</v>
      </c>
      <c r="DK38" s="61">
        <f t="shared" si="168"/>
        <v>0</v>
      </c>
      <c r="DL38" s="61">
        <f t="shared" si="169"/>
        <v>0</v>
      </c>
      <c r="DM38" s="61">
        <f t="shared" si="170"/>
        <v>0</v>
      </c>
      <c r="DN38" s="61">
        <f t="shared" si="171"/>
        <v>0</v>
      </c>
      <c r="DO38" s="61">
        <f t="shared" si="172"/>
        <v>0</v>
      </c>
      <c r="DP38" s="61">
        <f t="shared" si="173"/>
        <v>0</v>
      </c>
      <c r="DQ38" s="61">
        <f t="shared" si="174"/>
        <v>0</v>
      </c>
      <c r="DR38" s="61">
        <f t="shared" si="175"/>
        <v>0</v>
      </c>
      <c r="DS38" s="61">
        <f t="shared" si="176"/>
        <v>0</v>
      </c>
      <c r="DT38" s="61">
        <f t="shared" si="177"/>
        <v>0</v>
      </c>
      <c r="DU38" s="61">
        <f t="shared" si="178"/>
        <v>0</v>
      </c>
      <c r="DV38" s="61">
        <f t="shared" si="179"/>
        <v>0</v>
      </c>
      <c r="DW38" s="61">
        <f t="shared" si="180"/>
        <v>0</v>
      </c>
      <c r="DX38" s="61">
        <f t="shared" si="181"/>
        <v>0</v>
      </c>
      <c r="DY38" s="61">
        <f t="shared" si="182"/>
        <v>0</v>
      </c>
      <c r="DZ38" s="61">
        <f t="shared" si="183"/>
        <v>0</v>
      </c>
      <c r="EA38" s="61">
        <f t="shared" si="184"/>
        <v>0</v>
      </c>
      <c r="EB38" s="61">
        <f t="shared" si="185"/>
        <v>0</v>
      </c>
      <c r="EC38" s="61">
        <f t="shared" si="186"/>
        <v>0</v>
      </c>
      <c r="EE38" s="61">
        <f xml:space="preserve">
IF(OR(Deltagarlista!$K$3=3,Deltagarlista!$K$3=4),
IF(Arrangörslista!$U$5&lt;8,0,
IF(Arrangörslista!$U$5&lt;16,SUM(LARGE(BV38:CJ38,1)),
IF(Arrangörslista!$U$5&lt;24,SUM(LARGE(BV38:CR38,{1;2})),
IF(Arrangörslista!$U$5&lt;32,SUM(LARGE(BV38:CZ38,{1;2;3})),
IF(Arrangörslista!$U$5&lt;40,SUM(LARGE(BV38:DH38,{1;2;3;4})),
IF(Arrangörslista!$U$5&lt;48,SUM(LARGE(BV38:DP38,{1;2;3;4;5})),
IF(Arrangörslista!$U$5&lt;56,SUM(LARGE(BV38:DX38,{1;2;3;4;5;6})),
IF(Arrangörslista!$U$5&lt;64,SUM(LARGE(BV38:EC38,{1;2;3;4;5;6;7})),0)))))))),
IF(Deltagarlista!$K$3=2,
IF(Arrangörslista!$U$5&lt;4,LARGE(BV38:BX38,1),
IF(Arrangörslista!$U$5&lt;7,SUM(LARGE(BV38:CA38,{1;2;3})),
IF(Arrangörslista!$U$5&lt;10,SUM(LARGE(BV38:CD38,{1;2;3;4})),
IF(Arrangörslista!$U$5&lt;13,SUM(LARGE(BV38:CG38,{1;2;3;4;5;6})),
IF(Arrangörslista!$U$5&lt;16,SUM(LARGE(BV38:CJ38,{1;2;3;4;5;6;7})),
IF(Arrangörslista!$U$5&lt;19,SUM(LARGE(BV38:CM38,{1;2;3;4;5;6;7;8;9})),
IF(Arrangörslista!$U$5&lt;22,SUM(LARGE(BV38:CP38,{1;2;3;4;5;6;7;8;9;10})),
IF(Arrangörslista!$U$5&lt;25,SUM(LARGE(BV38:CS38,{1;2;3;4;5;6;7;8;9;10;11;12})),
IF(Arrangörslista!$U$5&lt;28,SUM(LARGE(BV38:CV38,{1;2;3;4;5;6;7;8;9;10;11;12;13})),
IF(Arrangörslista!$U$5&lt;31,SUM(LARGE(BV38:CY38,{1;2;3;4;5;6;7;8;9;10;11;12;13;14;15})),
IF(Arrangörslista!$U$5&lt;34,SUM(LARGE(BV38:DB38,{1;2;3;4;5;6;7;8;9;10;11;12;13;14;15;16})),
IF(Arrangörslista!$U$5&lt;37,SUM(LARGE(BV38:DE38,{1;2;3;4;5;6;7;8;9;10;11;12;13;14;15;16;17;18})),
IF(Arrangörslista!$U$5&lt;40,SUM(LARGE(BV38:DH38,{1;2;3;4;5;6;7;8;9;10;11;12;13;14;15;16;17;18;19})),
IF(Arrangörslista!$U$5&lt;43,SUM(LARGE(BV38:DK38,{1;2;3;4;5;6;7;8;9;10;11;12;13;14;15;16;17;18;19;20;21})),
IF(Arrangörslista!$U$5&lt;46,SUM(LARGE(BV38:DN38,{1;2;3;4;5;6;7;8;9;10;11;12;13;14;15;16;17;18;19;20;21;22})),
IF(Arrangörslista!$U$5&lt;49,SUM(LARGE(BV38:DQ38,{1;2;3;4;5;6;7;8;9;10;11;12;13;14;15;16;17;18;19;20;21;22;23;24})),
IF(Arrangörslista!$U$5&lt;52,SUM(LARGE(BV38:DT38,{1;2;3;4;5;6;7;8;9;10;11;12;13;14;15;16;17;18;19;20;21;22;23;24;25})),
IF(Arrangörslista!$U$5&lt;55,SUM(LARGE(BV38:DW38,{1;2;3;4;5;6;7;8;9;10;11;12;13;14;15;16;17;18;19;20;21;22;23;24;25;26;27})),
IF(Arrangörslista!$U$5&lt;58,SUM(LARGE(BV38:DZ38,{1;2;3;4;5;6;7;8;9;10;11;12;13;14;15;16;17;18;19;20;21;22;23;24;25;26;27;28})),
IF(Arrangörslista!$U$5&lt;61,SUM(LARGE(BV38:EC38,{1;2;3;4;5;6;7;8;9;10;11;12;13;14;15;16;17;18;19;20;21;22;23;24;25;26;27;28;29;30})),0)))))))))))))))))))),
IF(Arrangörslista!$U$5&lt;4,0,
IF(Arrangörslista!$U$5&lt;8,SUM(LARGE(BV38:CB38,1)),
IF(Arrangörslista!$U$5&lt;12,SUM(LARGE(BV38:CF38,{1;2})),
IF(Arrangörslista!$U$5&lt;16,SUM(LARGE(BV38:CJ38,{1;2;3})),
IF(Arrangörslista!$U$5&lt;20,SUM(LARGE(BV38:CN38,{1;2;3;4})),
IF(Arrangörslista!$U$5&lt;24,SUM(LARGE(BV38:CR38,{1;2;3;4;5})),
IF(Arrangörslista!$U$5&lt;28,SUM(LARGE(BV38:CV38,{1;2;3;4;5;6})),
IF(Arrangörslista!$U$5&lt;32,SUM(LARGE(BV38:CZ38,{1;2;3;4;5;6;7})),
IF(Arrangörslista!$U$5&lt;36,SUM(LARGE(BV38:DD38,{1;2;3;4;5;6;7;8})),
IF(Arrangörslista!$U$5&lt;40,SUM(LARGE(BV38:DH38,{1;2;3;4;5;6;7;8;9})),
IF(Arrangörslista!$U$5&lt;44,SUM(LARGE(BV38:DL38,{1;2;3;4;5;6;7;8;9;10})),
IF(Arrangörslista!$U$5&lt;48,SUM(LARGE(BV38:DP38,{1;2;3;4;5;6;7;8;9;10;11})),
IF(Arrangörslista!$U$5&lt;52,SUM(LARGE(BV38:DT38,{1;2;3;4;5;6;7;8;9;10;11;12})),
IF(Arrangörslista!$U$5&lt;56,SUM(LARGE(BV38:DX38,{1;2;3;4;5;6;7;8;9;10;11;12;13})),
IF(Arrangörslista!$U$5&lt;60,SUM(LARGE(BV38:EB38,{1;2;3;4;5;6;7;8;9;10;11;12;13;14})),
IF(Arrangörslista!$U$5=60,SUM(LARGE(BV38:EC38,{1;2;3;4;5;6;7;8;9;10;11;12;13;14;15})),0))))))))))))))))))</f>
        <v>0</v>
      </c>
      <c r="EG38" s="67">
        <f t="shared" si="187"/>
        <v>0</v>
      </c>
      <c r="EH38" s="61"/>
      <c r="EI38" s="61"/>
      <c r="EK38" s="62">
        <f t="shared" si="188"/>
        <v>61</v>
      </c>
      <c r="EL38" s="62">
        <f t="shared" si="189"/>
        <v>61</v>
      </c>
      <c r="EM38" s="62">
        <f t="shared" si="190"/>
        <v>61</v>
      </c>
      <c r="EN38" s="62">
        <f t="shared" si="191"/>
        <v>61</v>
      </c>
      <c r="EO38" s="62">
        <f t="shared" si="192"/>
        <v>61</v>
      </c>
      <c r="EP38" s="62">
        <f t="shared" si="193"/>
        <v>61</v>
      </c>
      <c r="EQ38" s="62">
        <f t="shared" si="194"/>
        <v>61</v>
      </c>
      <c r="ER38" s="62">
        <f t="shared" si="195"/>
        <v>61</v>
      </c>
      <c r="ES38" s="62">
        <f t="shared" si="196"/>
        <v>61</v>
      </c>
      <c r="ET38" s="62">
        <f t="shared" si="197"/>
        <v>61</v>
      </c>
      <c r="EU38" s="62">
        <f t="shared" si="198"/>
        <v>61</v>
      </c>
      <c r="EV38" s="62">
        <f t="shared" si="199"/>
        <v>61</v>
      </c>
      <c r="EW38" s="62">
        <f t="shared" si="200"/>
        <v>61</v>
      </c>
      <c r="EX38" s="62">
        <f t="shared" si="201"/>
        <v>61</v>
      </c>
      <c r="EY38" s="62">
        <f t="shared" si="202"/>
        <v>61</v>
      </c>
      <c r="EZ38" s="62">
        <f t="shared" si="203"/>
        <v>61</v>
      </c>
      <c r="FA38" s="62">
        <f t="shared" si="204"/>
        <v>61</v>
      </c>
      <c r="FB38" s="62">
        <f t="shared" si="205"/>
        <v>61</v>
      </c>
      <c r="FC38" s="62">
        <f t="shared" si="206"/>
        <v>61</v>
      </c>
      <c r="FD38" s="62">
        <f t="shared" si="207"/>
        <v>61</v>
      </c>
      <c r="FE38" s="62">
        <f t="shared" si="208"/>
        <v>61</v>
      </c>
      <c r="FF38" s="62">
        <f t="shared" si="209"/>
        <v>61</v>
      </c>
      <c r="FG38" s="62">
        <f t="shared" si="210"/>
        <v>61</v>
      </c>
      <c r="FH38" s="62">
        <f t="shared" si="211"/>
        <v>61</v>
      </c>
      <c r="FI38" s="62">
        <f t="shared" si="212"/>
        <v>61</v>
      </c>
      <c r="FJ38" s="62">
        <f t="shared" si="213"/>
        <v>61</v>
      </c>
      <c r="FK38" s="62">
        <f t="shared" si="214"/>
        <v>61</v>
      </c>
      <c r="FL38" s="62">
        <f t="shared" si="215"/>
        <v>61</v>
      </c>
      <c r="FM38" s="62">
        <f t="shared" si="216"/>
        <v>61</v>
      </c>
      <c r="FN38" s="62">
        <f t="shared" si="217"/>
        <v>61</v>
      </c>
      <c r="FO38" s="62">
        <f t="shared" si="218"/>
        <v>61</v>
      </c>
      <c r="FP38" s="62">
        <f t="shared" si="219"/>
        <v>61</v>
      </c>
      <c r="FQ38" s="62">
        <f t="shared" si="220"/>
        <v>61</v>
      </c>
      <c r="FR38" s="62">
        <f t="shared" si="221"/>
        <v>61</v>
      </c>
      <c r="FS38" s="62">
        <f t="shared" si="222"/>
        <v>61</v>
      </c>
      <c r="FT38" s="62">
        <f t="shared" si="223"/>
        <v>61</v>
      </c>
      <c r="FU38" s="62">
        <f t="shared" si="224"/>
        <v>61</v>
      </c>
      <c r="FV38" s="62">
        <f t="shared" si="225"/>
        <v>61</v>
      </c>
      <c r="FW38" s="62">
        <f t="shared" si="226"/>
        <v>61</v>
      </c>
      <c r="FX38" s="62">
        <f t="shared" si="227"/>
        <v>61</v>
      </c>
      <c r="FY38" s="62">
        <f t="shared" si="228"/>
        <v>61</v>
      </c>
      <c r="FZ38" s="62">
        <f t="shared" si="229"/>
        <v>61</v>
      </c>
      <c r="GA38" s="62">
        <f t="shared" si="230"/>
        <v>61</v>
      </c>
      <c r="GB38" s="62">
        <f t="shared" si="231"/>
        <v>61</v>
      </c>
      <c r="GC38" s="62">
        <f t="shared" si="232"/>
        <v>61</v>
      </c>
      <c r="GD38" s="62">
        <f t="shared" si="233"/>
        <v>61</v>
      </c>
      <c r="GE38" s="62">
        <f t="shared" si="234"/>
        <v>61</v>
      </c>
      <c r="GF38" s="62">
        <f t="shared" si="235"/>
        <v>61</v>
      </c>
      <c r="GG38" s="62">
        <f t="shared" si="236"/>
        <v>61</v>
      </c>
      <c r="GH38" s="62">
        <f t="shared" si="237"/>
        <v>61</v>
      </c>
      <c r="GI38" s="62">
        <f t="shared" si="238"/>
        <v>61</v>
      </c>
      <c r="GJ38" s="62">
        <f t="shared" si="239"/>
        <v>61</v>
      </c>
      <c r="GK38" s="62">
        <f t="shared" si="240"/>
        <v>61</v>
      </c>
      <c r="GL38" s="62">
        <f t="shared" si="241"/>
        <v>61</v>
      </c>
      <c r="GM38" s="62">
        <f t="shared" si="242"/>
        <v>61</v>
      </c>
      <c r="GN38" s="62">
        <f t="shared" si="243"/>
        <v>61</v>
      </c>
      <c r="GO38" s="62">
        <f t="shared" si="244"/>
        <v>61</v>
      </c>
      <c r="GP38" s="62">
        <f t="shared" si="245"/>
        <v>61</v>
      </c>
      <c r="GQ38" s="62">
        <f t="shared" si="246"/>
        <v>61</v>
      </c>
      <c r="GR38" s="62">
        <f t="shared" si="247"/>
        <v>61</v>
      </c>
      <c r="GT38" s="62">
        <f>IF(Deltagarlista!$K$3=2,
IF(GW38="1",
      IF(Arrangörslista!$U$5=1,J101,
IF(Arrangörslista!$U$5=2,K101,
IF(Arrangörslista!$U$5=3,L101,
IF(Arrangörslista!$U$5=4,M101,
IF(Arrangörslista!$U$5=5,N101,
IF(Arrangörslista!$U$5=6,O101,
IF(Arrangörslista!$U$5=7,P101,
IF(Arrangörslista!$U$5=8,Q101,
IF(Arrangörslista!$U$5=9,R101,
IF(Arrangörslista!$U$5=10,S101,
IF(Arrangörslista!$U$5=11,T101,
IF(Arrangörslista!$U$5=12,U101,
IF(Arrangörslista!$U$5=13,V101,
IF(Arrangörslista!$U$5=14,W101,
IF(Arrangörslista!$U$5=15,X101,
IF(Arrangörslista!$U$5=16,Y101,IF(Arrangörslista!$U$5=17,Z101,IF(Arrangörslista!$U$5=18,AA101,IF(Arrangörslista!$U$5=19,AB101,IF(Arrangörslista!$U$5=20,AC101,IF(Arrangörslista!$U$5=21,AD101,IF(Arrangörslista!$U$5=22,AE101,IF(Arrangörslista!$U$5=23,AF101, IF(Arrangörslista!$U$5=24,AG101, IF(Arrangörslista!$U$5=25,AH101, IF(Arrangörslista!$U$5=26,AI101, IF(Arrangörslista!$U$5=27,AJ101, IF(Arrangörslista!$U$5=28,AK101, IF(Arrangörslista!$U$5=29,AL101, IF(Arrangörslista!$U$5=30,AM101, IF(Arrangörslista!$U$5=31,AN101, IF(Arrangörslista!$U$5=32,AO101, IF(Arrangörslista!$U$5=33,AP101, IF(Arrangörslista!$U$5=34,AQ101, IF(Arrangörslista!$U$5=35,AR101, IF(Arrangörslista!$U$5=36,AS101, IF(Arrangörslista!$U$5=37,AT101, IF(Arrangörslista!$U$5=38,AU101, IF(Arrangörslista!$U$5=39,AV101, IF(Arrangörslista!$U$5=40,AW101, IF(Arrangörslista!$U$5=41,AX101, IF(Arrangörslista!$U$5=42,AY101, IF(Arrangörslista!$U$5=43,AZ101, IF(Arrangörslista!$U$5=44,BA101, IF(Arrangörslista!$U$5=45,BB101, IF(Arrangörslista!$U$5=46,BC101, IF(Arrangörslista!$U$5=47,BD101, IF(Arrangörslista!$U$5=48,BE101, IF(Arrangörslista!$U$5=49,BF101, IF(Arrangörslista!$U$5=50,BG101, IF(Arrangörslista!$U$5=51,BH101, IF(Arrangörslista!$U$5=52,BI101, IF(Arrangörslista!$U$5=53,BJ101, IF(Arrangörslista!$U$5=54,BK101, IF(Arrangörslista!$U$5=55,BL101, IF(Arrangörslista!$U$5=56,BM101, IF(Arrangörslista!$U$5=57,BN101, IF(Arrangörslista!$U$5=58,BO101, IF(Arrangörslista!$U$5=59,BP101, IF(Arrangörslista!$U$5=60,BQ101,0))))))))))))))))))))))))))))))))))))))))))))))))))))))))))))),IF(Deltagarlista!$K$3=4, IF(Arrangörslista!$U$5=1,J101,
IF(Arrangörslista!$U$5=2,J101,
IF(Arrangörslista!$U$5=3,K101,
IF(Arrangörslista!$U$5=4,K101,
IF(Arrangörslista!$U$5=5,L101,
IF(Arrangörslista!$U$5=6,L101,
IF(Arrangörslista!$U$5=7,M101,
IF(Arrangörslista!$U$5=8,M101,
IF(Arrangörslista!$U$5=9,N101,
IF(Arrangörslista!$U$5=10,N101,
IF(Arrangörslista!$U$5=11,O101,
IF(Arrangörslista!$U$5=12,O101,
IF(Arrangörslista!$U$5=13,P101,
IF(Arrangörslista!$U$5=14,P101,
IF(Arrangörslista!$U$5=15,Q101,
IF(Arrangörslista!$U$5=16,Q101,
IF(Arrangörslista!$U$5=17,R101,
IF(Arrangörslista!$U$5=18,R101,
IF(Arrangörslista!$U$5=19,S101,
IF(Arrangörslista!$U$5=20,S101,
IF(Arrangörslista!$U$5=21,T101,
IF(Arrangörslista!$U$5=22,T101,IF(Arrangörslista!$U$5=23,U101, IF(Arrangörslista!$U$5=24,U101, IF(Arrangörslista!$U$5=25,V101, IF(Arrangörslista!$U$5=26,V101, IF(Arrangörslista!$U$5=27,W101, IF(Arrangörslista!$U$5=28,W101, IF(Arrangörslista!$U$5=29,X101, IF(Arrangörslista!$U$5=30,X101, IF(Arrangörslista!$U$5=31,X101, IF(Arrangörslista!$U$5=32,Y101, IF(Arrangörslista!$U$5=33,AO101, IF(Arrangörslista!$U$5=34,Y101, IF(Arrangörslista!$U$5=35,Z101, IF(Arrangörslista!$U$5=36,AR101, IF(Arrangörslista!$U$5=37,Z101, IF(Arrangörslista!$U$5=38,AA101, IF(Arrangörslista!$U$5=39,AU101, IF(Arrangörslista!$U$5=40,AA101, IF(Arrangörslista!$U$5=41,AB101, IF(Arrangörslista!$U$5=42,AX101, IF(Arrangörslista!$U$5=43,AB101, IF(Arrangörslista!$U$5=44,AC101, IF(Arrangörslista!$U$5=45,BA101, IF(Arrangörslista!$U$5=46,AC101, IF(Arrangörslista!$U$5=47,AD101, IF(Arrangörslista!$U$5=48,BD101, IF(Arrangörslista!$U$5=49,AD101, IF(Arrangörslista!$U$5=50,AE101, IF(Arrangörslista!$U$5=51,BG101, IF(Arrangörslista!$U$5=52,AE101, IF(Arrangörslista!$U$5=53,AF101, IF(Arrangörslista!$U$5=54,BJ101, IF(Arrangörslista!$U$5=55,AF101, IF(Arrangörslista!$U$5=56,AG101, IF(Arrangörslista!$U$5=57,BM101, IF(Arrangörslista!$U$5=58,AG101, IF(Arrangörslista!$U$5=59,AH101, IF(Arrangörslista!$U$5=60,AH101,0)))))))))))))))))))))))))))))))))))))))))))))))))))))))))))),IF(Arrangörslista!$U$5=1,J101,
IF(Arrangörslista!$U$5=2,K101,
IF(Arrangörslista!$U$5=3,L101,
IF(Arrangörslista!$U$5=4,M101,
IF(Arrangörslista!$U$5=5,N101,
IF(Arrangörslista!$U$5=6,O101,
IF(Arrangörslista!$U$5=7,P101,
IF(Arrangörslista!$U$5=8,Q101,
IF(Arrangörslista!$U$5=9,R101,
IF(Arrangörslista!$U$5=10,S101,
IF(Arrangörslista!$U$5=11,T101,
IF(Arrangörslista!$U$5=12,U101,
IF(Arrangörslista!$U$5=13,V101,
IF(Arrangörslista!$U$5=14,W101,
IF(Arrangörslista!$U$5=15,X101,
IF(Arrangörslista!$U$5=16,Y101,IF(Arrangörslista!$U$5=17,Z101,IF(Arrangörslista!$U$5=18,AA101,IF(Arrangörslista!$U$5=19,AB101,IF(Arrangörslista!$U$5=20,AC101,IF(Arrangörslista!$U$5=21,AD101,IF(Arrangörslista!$U$5=22,AE101,IF(Arrangörslista!$U$5=23,AF101, IF(Arrangörslista!$U$5=24,AG101, IF(Arrangörslista!$U$5=25,AH101, IF(Arrangörslista!$U$5=26,AI101, IF(Arrangörslista!$U$5=27,AJ101, IF(Arrangörslista!$U$5=28,AK101, IF(Arrangörslista!$U$5=29,AL101, IF(Arrangörslista!$U$5=30,AM101, IF(Arrangörslista!$U$5=31,AN101, IF(Arrangörslista!$U$5=32,AO101, IF(Arrangörslista!$U$5=33,AP101, IF(Arrangörslista!$U$5=34,AQ101, IF(Arrangörslista!$U$5=35,AR101, IF(Arrangörslista!$U$5=36,AS101, IF(Arrangörslista!$U$5=37,AT101, IF(Arrangörslista!$U$5=38,AU101, IF(Arrangörslista!$U$5=39,AV101, IF(Arrangörslista!$U$5=40,AW101, IF(Arrangörslista!$U$5=41,AX101, IF(Arrangörslista!$U$5=42,AY101, IF(Arrangörslista!$U$5=43,AZ101, IF(Arrangörslista!$U$5=44,BA101, IF(Arrangörslista!$U$5=45,BB101, IF(Arrangörslista!$U$5=46,BC101, IF(Arrangörslista!$U$5=47,BD101, IF(Arrangörslista!$U$5=48,BE101, IF(Arrangörslista!$U$5=49,BF101, IF(Arrangörslista!$U$5=50,BG101, IF(Arrangörslista!$U$5=51,BH101, IF(Arrangörslista!$U$5=52,BI101, IF(Arrangörslista!$U$5=53,BJ101, IF(Arrangörslista!$U$5=54,BK101, IF(Arrangörslista!$U$5=55,BL101, IF(Arrangörslista!$U$5=56,BM101, IF(Arrangörslista!$U$5=57,BN101, IF(Arrangörslista!$U$5=58,BO101, IF(Arrangörslista!$U$5=59,BP101, IF(Arrangörslista!$U$5=60,BQ101,0))))))))))))))))))))))))))))))))))))))))))))))))))))))))))))
))</f>
        <v>0</v>
      </c>
      <c r="GV38" s="65" t="str">
        <f>IFERROR(IF(VLOOKUP(F38,Deltagarlista!$E$5:$I$64,5,FALSE)="Grön","Gr",IF(VLOOKUP(F38,Deltagarlista!$E$5:$I$64,5,FALSE)="Röd","R",IF(VLOOKUP(F38,Deltagarlista!$E$5:$I$64,5,FALSE)="Blå","B","Gu"))),"")</f>
        <v/>
      </c>
      <c r="GW38" s="62" t="str">
        <f t="shared" si="124"/>
        <v/>
      </c>
    </row>
    <row r="39" spans="2:205" ht="15.75" customHeight="1" x14ac:dyDescent="0.3">
      <c r="B39" s="23" t="str">
        <f>IF((COUNTIF(Deltagarlista!$H$5:$H$64,"GM"))&gt;35,36,"")</f>
        <v/>
      </c>
      <c r="C39" s="92" t="str">
        <f>IF(ISBLANK(Deltagarlista!C36),"",Deltagarlista!C36)</f>
        <v/>
      </c>
      <c r="D39" s="109" t="str">
        <f>CONCATENATE(IF(Deltagarlista!H36="GM","GM   ",""), IF(OR(Deltagarlista!$K$3=4,Deltagarlista!$K$3=2),Deltagarlista!I36,""))</f>
        <v/>
      </c>
      <c r="E39" s="8" t="str">
        <f>IF(ISBLANK(Deltagarlista!D36),"",Deltagarlista!D36)</f>
        <v/>
      </c>
      <c r="F39" s="8" t="str">
        <f>IF(ISBLANK(Deltagarlista!E36),"",Deltagarlista!E36)</f>
        <v/>
      </c>
      <c r="G39" s="95" t="str">
        <f>IF(ISBLANK(Deltagarlista!F36),"",Deltagarlista!F36)</f>
        <v/>
      </c>
      <c r="H39" s="72" t="str">
        <f>IF(ISBLANK(Deltagarlista!C36),"",BU39-EE39)</f>
        <v/>
      </c>
      <c r="I39" s="13" t="str">
        <f>IF(ISBLANK(Deltagarlista!C36),"",IF(AND(Deltagarlista!$K$3=2,Deltagarlista!$L$3&lt;37),SUM(SUM(BV39:EC39)-(ROUNDDOWN(Arrangörslista!$U$5/3,1))*($BW$3+1)),SUM(BV39:EC39)))</f>
        <v/>
      </c>
      <c r="J39" s="79" t="str">
        <f>IF(Deltagarlista!$K$3=4,IF(ISBLANK(Deltagarlista!$C36),"",IF(ISBLANK(Arrangörslista!C$8),"",IFERROR(VLOOKUP($F39,Arrangörslista!C$8:$AG$45,16,FALSE),IF(ISBLANK(Deltagarlista!$C36),"",IF(ISBLANK(Arrangörslista!C$8),"",IFERROR(VLOOKUP($F39,Arrangörslista!D$8:$AG$45,16,FALSE),"DNS")))))),IF(Deltagarlista!$K$3=2,
IF(ISBLANK(Deltagarlista!$C36),"",IF(ISBLANK(Arrangörslista!C$8),"",IF($GV39=J$64," DNS ",IFERROR(VLOOKUP($F39,Arrangörslista!C$8:$AG$45,16,FALSE),"DNS")))),IF(ISBLANK(Deltagarlista!$C36),"",IF(ISBLANK(Arrangörslista!C$8),"",IFERROR(VLOOKUP($F39,Arrangörslista!C$8:$AG$45,16,FALSE),"DNS")))))</f>
        <v/>
      </c>
      <c r="K39" s="5" t="str">
        <f>IF(Deltagarlista!$K$3=4,IF(ISBLANK(Deltagarlista!$C36),"",IF(ISBLANK(Arrangörslista!E$8),"",IFERROR(VLOOKUP($F39,Arrangörslista!E$8:$AG$45,16,FALSE),IF(ISBLANK(Deltagarlista!$C36),"",IF(ISBLANK(Arrangörslista!E$8),"",IFERROR(VLOOKUP($F39,Arrangörslista!F$8:$AG$45,16,FALSE),"DNS")))))),IF(Deltagarlista!$K$3=2,
IF(ISBLANK(Deltagarlista!$C36),"",IF(ISBLANK(Arrangörslista!D$8),"",IF($GV39=K$64," DNS ",IFERROR(VLOOKUP($F39,Arrangörslista!D$8:$AG$45,16,FALSE),"DNS")))),IF(ISBLANK(Deltagarlista!$C36),"",IF(ISBLANK(Arrangörslista!D$8),"",IFERROR(VLOOKUP($F39,Arrangörslista!D$8:$AG$45,16,FALSE),"DNS")))))</f>
        <v/>
      </c>
      <c r="L39" s="5" t="str">
        <f>IF(Deltagarlista!$K$3=4,IF(ISBLANK(Deltagarlista!$C36),"",IF(ISBLANK(Arrangörslista!G$8),"",IFERROR(VLOOKUP($F39,Arrangörslista!G$8:$AG$45,16,FALSE),IF(ISBLANK(Deltagarlista!$C36),"",IF(ISBLANK(Arrangörslista!G$8),"",IFERROR(VLOOKUP($F39,Arrangörslista!H$8:$AG$45,16,FALSE),"DNS")))))),IF(Deltagarlista!$K$3=2,
IF(ISBLANK(Deltagarlista!$C36),"",IF(ISBLANK(Arrangörslista!E$8),"",IF($GV39=L$64," DNS ",IFERROR(VLOOKUP($F39,Arrangörslista!E$8:$AG$45,16,FALSE),"DNS")))),IF(ISBLANK(Deltagarlista!$C36),"",IF(ISBLANK(Arrangörslista!E$8),"",IFERROR(VLOOKUP($F39,Arrangörslista!E$8:$AG$45,16,FALSE),"DNS")))))</f>
        <v/>
      </c>
      <c r="M39" s="5" t="str">
        <f>IF(Deltagarlista!$K$3=4,IF(ISBLANK(Deltagarlista!$C36),"",IF(ISBLANK(Arrangörslista!I$8),"",IFERROR(VLOOKUP($F39,Arrangörslista!I$8:$AG$45,16,FALSE),IF(ISBLANK(Deltagarlista!$C36),"",IF(ISBLANK(Arrangörslista!I$8),"",IFERROR(VLOOKUP($F39,Arrangörslista!J$8:$AG$45,16,FALSE),"DNS")))))),IF(Deltagarlista!$K$3=2,
IF(ISBLANK(Deltagarlista!$C36),"",IF(ISBLANK(Arrangörslista!F$8),"",IF($GV39=M$64," DNS ",IFERROR(VLOOKUP($F39,Arrangörslista!F$8:$AG$45,16,FALSE),"DNS")))),IF(ISBLANK(Deltagarlista!$C36),"",IF(ISBLANK(Arrangörslista!F$8),"",IFERROR(VLOOKUP($F39,Arrangörslista!F$8:$AG$45,16,FALSE),"DNS")))))</f>
        <v/>
      </c>
      <c r="N39" s="5" t="str">
        <f>IF(Deltagarlista!$K$3=4,IF(ISBLANK(Deltagarlista!$C36),"",IF(ISBLANK(Arrangörslista!K$8),"",IFERROR(VLOOKUP($F39,Arrangörslista!K$8:$AG$45,16,FALSE),IF(ISBLANK(Deltagarlista!$C36),"",IF(ISBLANK(Arrangörslista!K$8),"",IFERROR(VLOOKUP($F39,Arrangörslista!L$8:$AG$45,16,FALSE),"DNS")))))),IF(Deltagarlista!$K$3=2,
IF(ISBLANK(Deltagarlista!$C36),"",IF(ISBLANK(Arrangörslista!G$8),"",IF($GV39=N$64," DNS ",IFERROR(VLOOKUP($F39,Arrangörslista!G$8:$AG$45,16,FALSE),"DNS")))),IF(ISBLANK(Deltagarlista!$C36),"",IF(ISBLANK(Arrangörslista!G$8),"",IFERROR(VLOOKUP($F39,Arrangörslista!G$8:$AG$45,16,FALSE),"DNS")))))</f>
        <v/>
      </c>
      <c r="O39" s="5" t="str">
        <f>IF(Deltagarlista!$K$3=4,IF(ISBLANK(Deltagarlista!$C36),"",IF(ISBLANK(Arrangörslista!M$8),"",IFERROR(VLOOKUP($F39,Arrangörslista!M$8:$AG$45,16,FALSE),IF(ISBLANK(Deltagarlista!$C36),"",IF(ISBLANK(Arrangörslista!M$8),"",IFERROR(VLOOKUP($F39,Arrangörslista!N$8:$AG$45,16,FALSE),"DNS")))))),IF(Deltagarlista!$K$3=2,
IF(ISBLANK(Deltagarlista!$C36),"",IF(ISBLANK(Arrangörslista!H$8),"",IF($GV39=O$64," DNS ",IFERROR(VLOOKUP($F39,Arrangörslista!H$8:$AG$45,16,FALSE),"DNS")))),IF(ISBLANK(Deltagarlista!$C36),"",IF(ISBLANK(Arrangörslista!H$8),"",IFERROR(VLOOKUP($F39,Arrangörslista!H$8:$AG$45,16,FALSE),"DNS")))))</f>
        <v/>
      </c>
      <c r="P39" s="5" t="str">
        <f>IF(Deltagarlista!$K$3=4,IF(ISBLANK(Deltagarlista!$C36),"",IF(ISBLANK(Arrangörslista!O$8),"",IFERROR(VLOOKUP($F39,Arrangörslista!O$8:$AG$45,16,FALSE),IF(ISBLANK(Deltagarlista!$C36),"",IF(ISBLANK(Arrangörslista!O$8),"",IFERROR(VLOOKUP($F39,Arrangörslista!P$8:$AG$45,16,FALSE),"DNS")))))),IF(Deltagarlista!$K$3=2,
IF(ISBLANK(Deltagarlista!$C36),"",IF(ISBLANK(Arrangörslista!I$8),"",IF($GV39=P$64," DNS ",IFERROR(VLOOKUP($F39,Arrangörslista!I$8:$AG$45,16,FALSE),"DNS")))),IF(ISBLANK(Deltagarlista!$C36),"",IF(ISBLANK(Arrangörslista!I$8),"",IFERROR(VLOOKUP($F39,Arrangörslista!I$8:$AG$45,16,FALSE),"DNS")))))</f>
        <v/>
      </c>
      <c r="Q39" s="5" t="str">
        <f>IF(Deltagarlista!$K$3=4,IF(ISBLANK(Deltagarlista!$C36),"",IF(ISBLANK(Arrangörslista!Q$8),"",IFERROR(VLOOKUP($F39,Arrangörslista!Q$8:$AG$45,16,FALSE),IF(ISBLANK(Deltagarlista!$C36),"",IF(ISBLANK(Arrangörslista!Q$8),"",IFERROR(VLOOKUP($F39,Arrangörslista!C$53:$AG$90,16,FALSE),"DNS")))))),IF(Deltagarlista!$K$3=2,
IF(ISBLANK(Deltagarlista!$C36),"",IF(ISBLANK(Arrangörslista!J$8),"",IF($GV39=Q$64," DNS ",IFERROR(VLOOKUP($F39,Arrangörslista!J$8:$AG$45,16,FALSE),"DNS")))),IF(ISBLANK(Deltagarlista!$C36),"",IF(ISBLANK(Arrangörslista!J$8),"",IFERROR(VLOOKUP($F39,Arrangörslista!J$8:$AG$45,16,FALSE),"DNS")))))</f>
        <v/>
      </c>
      <c r="R39" s="5" t="str">
        <f>IF(Deltagarlista!$K$3=4,IF(ISBLANK(Deltagarlista!$C36),"",IF(ISBLANK(Arrangörslista!D$53),"",IFERROR(VLOOKUP($F39,Arrangörslista!D$53:$AG$90,16,FALSE),IF(ISBLANK(Deltagarlista!$C36),"",IF(ISBLANK(Arrangörslista!D$53),"",IFERROR(VLOOKUP($F39,Arrangörslista!E$53:$AG$90,16,FALSE),"DNS")))))),IF(Deltagarlista!$K$3=2,
IF(ISBLANK(Deltagarlista!$C36),"",IF(ISBLANK(Arrangörslista!K$8),"",IF($GV39=R$64," DNS ",IFERROR(VLOOKUP($F39,Arrangörslista!K$8:$AG$45,16,FALSE),"DNS")))),IF(ISBLANK(Deltagarlista!$C36),"",IF(ISBLANK(Arrangörslista!K$8),"",IFERROR(VLOOKUP($F39,Arrangörslista!K$8:$AG$45,16,FALSE),"DNS")))))</f>
        <v/>
      </c>
      <c r="S39" s="5" t="str">
        <f>IF(Deltagarlista!$K$3=4,IF(ISBLANK(Deltagarlista!$C36),"",IF(ISBLANK(Arrangörslista!F$53),"",IFERROR(VLOOKUP($F39,Arrangörslista!F$53:$AG$90,16,FALSE),IF(ISBLANK(Deltagarlista!$C36),"",IF(ISBLANK(Arrangörslista!F$53),"",IFERROR(VLOOKUP($F39,Arrangörslista!G$53:$AG$90,16,FALSE),"DNS")))))),IF(Deltagarlista!$K$3=2,
IF(ISBLANK(Deltagarlista!$C36),"",IF(ISBLANK(Arrangörslista!L$8),"",IF($GV39=S$64," DNS ",IFERROR(VLOOKUP($F39,Arrangörslista!L$8:$AG$45,16,FALSE),"DNS")))),IF(ISBLANK(Deltagarlista!$C36),"",IF(ISBLANK(Arrangörslista!L$8),"",IFERROR(VLOOKUP($F39,Arrangörslista!L$8:$AG$45,16,FALSE),"DNS")))))</f>
        <v/>
      </c>
      <c r="T39" s="5" t="str">
        <f>IF(Deltagarlista!$K$3=4,IF(ISBLANK(Deltagarlista!$C36),"",IF(ISBLANK(Arrangörslista!H$53),"",IFERROR(VLOOKUP($F39,Arrangörslista!H$53:$AG$90,16,FALSE),IF(ISBLANK(Deltagarlista!$C36),"",IF(ISBLANK(Arrangörslista!H$53),"",IFERROR(VLOOKUP($F39,Arrangörslista!I$53:$AG$90,16,FALSE),"DNS")))))),IF(Deltagarlista!$K$3=2,
IF(ISBLANK(Deltagarlista!$C36),"",IF(ISBLANK(Arrangörslista!M$8),"",IF($GV39=T$64," DNS ",IFERROR(VLOOKUP($F39,Arrangörslista!M$8:$AG$45,16,FALSE),"DNS")))),IF(ISBLANK(Deltagarlista!$C36),"",IF(ISBLANK(Arrangörslista!M$8),"",IFERROR(VLOOKUP($F39,Arrangörslista!M$8:$AG$45,16,FALSE),"DNS")))))</f>
        <v/>
      </c>
      <c r="U39" s="5" t="str">
        <f>IF(Deltagarlista!$K$3=4,IF(ISBLANK(Deltagarlista!$C36),"",IF(ISBLANK(Arrangörslista!J$53),"",IFERROR(VLOOKUP($F39,Arrangörslista!J$53:$AG$90,16,FALSE),IF(ISBLANK(Deltagarlista!$C36),"",IF(ISBLANK(Arrangörslista!J$53),"",IFERROR(VLOOKUP($F39,Arrangörslista!K$53:$AG$90,16,FALSE),"DNS")))))),IF(Deltagarlista!$K$3=2,
IF(ISBLANK(Deltagarlista!$C36),"",IF(ISBLANK(Arrangörslista!N$8),"",IF($GV39=U$64," DNS ",IFERROR(VLOOKUP($F39,Arrangörslista!N$8:$AG$45,16,FALSE),"DNS")))),IF(ISBLANK(Deltagarlista!$C36),"",IF(ISBLANK(Arrangörslista!N$8),"",IFERROR(VLOOKUP($F39,Arrangörslista!N$8:$AG$45,16,FALSE),"DNS")))))</f>
        <v/>
      </c>
      <c r="V39" s="5" t="str">
        <f>IF(Deltagarlista!$K$3=4,IF(ISBLANK(Deltagarlista!$C36),"",IF(ISBLANK(Arrangörslista!L$53),"",IFERROR(VLOOKUP($F39,Arrangörslista!L$53:$AG$90,16,FALSE),IF(ISBLANK(Deltagarlista!$C36),"",IF(ISBLANK(Arrangörslista!L$53),"",IFERROR(VLOOKUP($F39,Arrangörslista!M$53:$AG$90,16,FALSE),"DNS")))))),IF(Deltagarlista!$K$3=2,
IF(ISBLANK(Deltagarlista!$C36),"",IF(ISBLANK(Arrangörslista!O$8),"",IF($GV39=V$64," DNS ",IFERROR(VLOOKUP($F39,Arrangörslista!O$8:$AG$45,16,FALSE),"DNS")))),IF(ISBLANK(Deltagarlista!$C36),"",IF(ISBLANK(Arrangörslista!O$8),"",IFERROR(VLOOKUP($F39,Arrangörslista!O$8:$AG$45,16,FALSE),"DNS")))))</f>
        <v/>
      </c>
      <c r="W39" s="5" t="str">
        <f>IF(Deltagarlista!$K$3=4,IF(ISBLANK(Deltagarlista!$C36),"",IF(ISBLANK(Arrangörslista!N$53),"",IFERROR(VLOOKUP($F39,Arrangörslista!N$53:$AG$90,16,FALSE),IF(ISBLANK(Deltagarlista!$C36),"",IF(ISBLANK(Arrangörslista!N$53),"",IFERROR(VLOOKUP($F39,Arrangörslista!O$53:$AG$90,16,FALSE),"DNS")))))),IF(Deltagarlista!$K$3=2,
IF(ISBLANK(Deltagarlista!$C36),"",IF(ISBLANK(Arrangörslista!P$8),"",IF($GV39=W$64," DNS ",IFERROR(VLOOKUP($F39,Arrangörslista!P$8:$AG$45,16,FALSE),"DNS")))),IF(ISBLANK(Deltagarlista!$C36),"",IF(ISBLANK(Arrangörslista!P$8),"",IFERROR(VLOOKUP($F39,Arrangörslista!P$8:$AG$45,16,FALSE),"DNS")))))</f>
        <v/>
      </c>
      <c r="X39" s="5" t="str">
        <f>IF(Deltagarlista!$K$3=4,IF(ISBLANK(Deltagarlista!$C36),"",IF(ISBLANK(Arrangörslista!P$53),"",IFERROR(VLOOKUP($F39,Arrangörslista!P$53:$AG$90,16,FALSE),IF(ISBLANK(Deltagarlista!$C36),"",IF(ISBLANK(Arrangörslista!P$53),"",IFERROR(VLOOKUP($F39,Arrangörslista!Q$53:$AG$90,16,FALSE),"DNS")))))),IF(Deltagarlista!$K$3=2,
IF(ISBLANK(Deltagarlista!$C36),"",IF(ISBLANK(Arrangörslista!Q$8),"",IF($GV39=X$64," DNS ",IFERROR(VLOOKUP($F39,Arrangörslista!Q$8:$AG$45,16,FALSE),"DNS")))),IF(ISBLANK(Deltagarlista!$C36),"",IF(ISBLANK(Arrangörslista!Q$8),"",IFERROR(VLOOKUP($F39,Arrangörslista!Q$8:$AG$45,16,FALSE),"DNS")))))</f>
        <v/>
      </c>
      <c r="Y39" s="5" t="str">
        <f>IF(Deltagarlista!$K$3=4,IF(ISBLANK(Deltagarlista!$C36),"",IF(ISBLANK(Arrangörslista!C$98),"",IFERROR(VLOOKUP($F39,Arrangörslista!C$98:$AG$135,16,FALSE),IF(ISBLANK(Deltagarlista!$C36),"",IF(ISBLANK(Arrangörslista!C$98),"",IFERROR(VLOOKUP($F39,Arrangörslista!D$98:$AG$135,16,FALSE),"DNS")))))),IF(Deltagarlista!$K$3=2,
IF(ISBLANK(Deltagarlista!$C36),"",IF(ISBLANK(Arrangörslista!C$53),"",IF($GV39=Y$64," DNS ",IFERROR(VLOOKUP($F39,Arrangörslista!C$53:$AG$90,16,FALSE),"DNS")))),IF(ISBLANK(Deltagarlista!$C36),"",IF(ISBLANK(Arrangörslista!C$53),"",IFERROR(VLOOKUP($F39,Arrangörslista!C$53:$AG$90,16,FALSE),"DNS")))))</f>
        <v/>
      </c>
      <c r="Z39" s="5" t="str">
        <f>IF(Deltagarlista!$K$3=4,IF(ISBLANK(Deltagarlista!$C36),"",IF(ISBLANK(Arrangörslista!E$98),"",IFERROR(VLOOKUP($F39,Arrangörslista!E$98:$AG$135,16,FALSE),IF(ISBLANK(Deltagarlista!$C36),"",IF(ISBLANK(Arrangörslista!E$98),"",IFERROR(VLOOKUP($F39,Arrangörslista!F$98:$AG$135,16,FALSE),"DNS")))))),IF(Deltagarlista!$K$3=2,
IF(ISBLANK(Deltagarlista!$C36),"",IF(ISBLANK(Arrangörslista!D$53),"",IF($GV39=Z$64," DNS ",IFERROR(VLOOKUP($F39,Arrangörslista!D$53:$AG$90,16,FALSE),"DNS")))),IF(ISBLANK(Deltagarlista!$C36),"",IF(ISBLANK(Arrangörslista!D$53),"",IFERROR(VLOOKUP($F39,Arrangörslista!D$53:$AG$90,16,FALSE),"DNS")))))</f>
        <v/>
      </c>
      <c r="AA39" s="5" t="str">
        <f>IF(Deltagarlista!$K$3=4,IF(ISBLANK(Deltagarlista!$C36),"",IF(ISBLANK(Arrangörslista!G$98),"",IFERROR(VLOOKUP($F39,Arrangörslista!G$98:$AG$135,16,FALSE),IF(ISBLANK(Deltagarlista!$C36),"",IF(ISBLANK(Arrangörslista!G$98),"",IFERROR(VLOOKUP($F39,Arrangörslista!H$98:$AG$135,16,FALSE),"DNS")))))),IF(Deltagarlista!$K$3=2,
IF(ISBLANK(Deltagarlista!$C36),"",IF(ISBLANK(Arrangörslista!E$53),"",IF($GV39=AA$64," DNS ",IFERROR(VLOOKUP($F39,Arrangörslista!E$53:$AG$90,16,FALSE),"DNS")))),IF(ISBLANK(Deltagarlista!$C36),"",IF(ISBLANK(Arrangörslista!E$53),"",IFERROR(VLOOKUP($F39,Arrangörslista!E$53:$AG$90,16,FALSE),"DNS")))))</f>
        <v/>
      </c>
      <c r="AB39" s="5" t="str">
        <f>IF(Deltagarlista!$K$3=4,IF(ISBLANK(Deltagarlista!$C36),"",IF(ISBLANK(Arrangörslista!I$98),"",IFERROR(VLOOKUP($F39,Arrangörslista!I$98:$AG$135,16,FALSE),IF(ISBLANK(Deltagarlista!$C36),"",IF(ISBLANK(Arrangörslista!I$98),"",IFERROR(VLOOKUP($F39,Arrangörslista!J$98:$AG$135,16,FALSE),"DNS")))))),IF(Deltagarlista!$K$3=2,
IF(ISBLANK(Deltagarlista!$C36),"",IF(ISBLANK(Arrangörslista!F$53),"",IF($GV39=AB$64," DNS ",IFERROR(VLOOKUP($F39,Arrangörslista!F$53:$AG$90,16,FALSE),"DNS")))),IF(ISBLANK(Deltagarlista!$C36),"",IF(ISBLANK(Arrangörslista!F$53),"",IFERROR(VLOOKUP($F39,Arrangörslista!F$53:$AG$90,16,FALSE),"DNS")))))</f>
        <v/>
      </c>
      <c r="AC39" s="5" t="str">
        <f>IF(Deltagarlista!$K$3=4,IF(ISBLANK(Deltagarlista!$C36),"",IF(ISBLANK(Arrangörslista!K$98),"",IFERROR(VLOOKUP($F39,Arrangörslista!K$98:$AG$135,16,FALSE),IF(ISBLANK(Deltagarlista!$C36),"",IF(ISBLANK(Arrangörslista!K$98),"",IFERROR(VLOOKUP($F39,Arrangörslista!L$98:$AG$135,16,FALSE),"DNS")))))),IF(Deltagarlista!$K$3=2,
IF(ISBLANK(Deltagarlista!$C36),"",IF(ISBLANK(Arrangörslista!G$53),"",IF($GV39=AC$64," DNS ",IFERROR(VLOOKUP($F39,Arrangörslista!G$53:$AG$90,16,FALSE),"DNS")))),IF(ISBLANK(Deltagarlista!$C36),"",IF(ISBLANK(Arrangörslista!G$53),"",IFERROR(VLOOKUP($F39,Arrangörslista!G$53:$AG$90,16,FALSE),"DNS")))))</f>
        <v/>
      </c>
      <c r="AD39" s="5" t="str">
        <f>IF(Deltagarlista!$K$3=4,IF(ISBLANK(Deltagarlista!$C36),"",IF(ISBLANK(Arrangörslista!M$98),"",IFERROR(VLOOKUP($F39,Arrangörslista!M$98:$AG$135,16,FALSE),IF(ISBLANK(Deltagarlista!$C36),"",IF(ISBLANK(Arrangörslista!M$98),"",IFERROR(VLOOKUP($F39,Arrangörslista!N$98:$AG$135,16,FALSE),"DNS")))))),IF(Deltagarlista!$K$3=2,
IF(ISBLANK(Deltagarlista!$C36),"",IF(ISBLANK(Arrangörslista!H$53),"",IF($GV39=AD$64," DNS ",IFERROR(VLOOKUP($F39,Arrangörslista!H$53:$AG$90,16,FALSE),"DNS")))),IF(ISBLANK(Deltagarlista!$C36),"",IF(ISBLANK(Arrangörslista!H$53),"",IFERROR(VLOOKUP($F39,Arrangörslista!H$53:$AG$90,16,FALSE),"DNS")))))</f>
        <v/>
      </c>
      <c r="AE39" s="5" t="str">
        <f>IF(Deltagarlista!$K$3=4,IF(ISBLANK(Deltagarlista!$C36),"",IF(ISBLANK(Arrangörslista!O$98),"",IFERROR(VLOOKUP($F39,Arrangörslista!O$98:$AG$135,16,FALSE),IF(ISBLANK(Deltagarlista!$C36),"",IF(ISBLANK(Arrangörslista!O$98),"",IFERROR(VLOOKUP($F39,Arrangörslista!P$98:$AG$135,16,FALSE),"DNS")))))),IF(Deltagarlista!$K$3=2,
IF(ISBLANK(Deltagarlista!$C36),"",IF(ISBLANK(Arrangörslista!I$53),"",IF($GV39=AE$64," DNS ",IFERROR(VLOOKUP($F39,Arrangörslista!I$53:$AG$90,16,FALSE),"DNS")))),IF(ISBLANK(Deltagarlista!$C36),"",IF(ISBLANK(Arrangörslista!I$53),"",IFERROR(VLOOKUP($F39,Arrangörslista!I$53:$AG$90,16,FALSE),"DNS")))))</f>
        <v/>
      </c>
      <c r="AF39" s="5" t="str">
        <f>IF(Deltagarlista!$K$3=4,IF(ISBLANK(Deltagarlista!$C36),"",IF(ISBLANK(Arrangörslista!Q$98),"",IFERROR(VLOOKUP($F39,Arrangörslista!Q$98:$AG$135,16,FALSE),IF(ISBLANK(Deltagarlista!$C36),"",IF(ISBLANK(Arrangörslista!Q$98),"",IFERROR(VLOOKUP($F39,Arrangörslista!C$143:$AG$180,16,FALSE),"DNS")))))),IF(Deltagarlista!$K$3=2,
IF(ISBLANK(Deltagarlista!$C36),"",IF(ISBLANK(Arrangörslista!J$53),"",IF($GV39=AF$64," DNS ",IFERROR(VLOOKUP($F39,Arrangörslista!J$53:$AG$90,16,FALSE),"DNS")))),IF(ISBLANK(Deltagarlista!$C36),"",IF(ISBLANK(Arrangörslista!J$53),"",IFERROR(VLOOKUP($F39,Arrangörslista!J$53:$AG$90,16,FALSE),"DNS")))))</f>
        <v/>
      </c>
      <c r="AG39" s="5" t="str">
        <f>IF(Deltagarlista!$K$3=4,IF(ISBLANK(Deltagarlista!$C36),"",IF(ISBLANK(Arrangörslista!D$143),"",IFERROR(VLOOKUP($F39,Arrangörslista!D$143:$AG$180,16,FALSE),IF(ISBLANK(Deltagarlista!$C36),"",IF(ISBLANK(Arrangörslista!D$143),"",IFERROR(VLOOKUP($F39,Arrangörslista!E$143:$AG$180,16,FALSE),"DNS")))))),IF(Deltagarlista!$K$3=2,
IF(ISBLANK(Deltagarlista!$C36),"",IF(ISBLANK(Arrangörslista!K$53),"",IF($GV39=AG$64," DNS ",IFERROR(VLOOKUP($F39,Arrangörslista!K$53:$AG$90,16,FALSE),"DNS")))),IF(ISBLANK(Deltagarlista!$C36),"",IF(ISBLANK(Arrangörslista!K$53),"",IFERROR(VLOOKUP($F39,Arrangörslista!K$53:$AG$90,16,FALSE),"DNS")))))</f>
        <v/>
      </c>
      <c r="AH39" s="5" t="str">
        <f>IF(Deltagarlista!$K$3=4,IF(ISBLANK(Deltagarlista!$C36),"",IF(ISBLANK(Arrangörslista!F$143),"",IFERROR(VLOOKUP($F39,Arrangörslista!F$143:$AG$180,16,FALSE),IF(ISBLANK(Deltagarlista!$C36),"",IF(ISBLANK(Arrangörslista!F$143),"",IFERROR(VLOOKUP($F39,Arrangörslista!G$143:$AG$180,16,FALSE),"DNS")))))),IF(Deltagarlista!$K$3=2,
IF(ISBLANK(Deltagarlista!$C36),"",IF(ISBLANK(Arrangörslista!L$53),"",IF($GV39=AH$64," DNS ",IFERROR(VLOOKUP($F39,Arrangörslista!L$53:$AG$90,16,FALSE),"DNS")))),IF(ISBLANK(Deltagarlista!$C36),"",IF(ISBLANK(Arrangörslista!L$53),"",IFERROR(VLOOKUP($F39,Arrangörslista!L$53:$AG$90,16,FALSE),"DNS")))))</f>
        <v/>
      </c>
      <c r="AI39" s="5" t="str">
        <f>IF(Deltagarlista!$K$3=4,IF(ISBLANK(Deltagarlista!$C36),"",IF(ISBLANK(Arrangörslista!H$143),"",IFERROR(VLOOKUP($F39,Arrangörslista!H$143:$AG$180,16,FALSE),IF(ISBLANK(Deltagarlista!$C36),"",IF(ISBLANK(Arrangörslista!H$143),"",IFERROR(VLOOKUP($F39,Arrangörslista!I$143:$AG$180,16,FALSE),"DNS")))))),IF(Deltagarlista!$K$3=2,
IF(ISBLANK(Deltagarlista!$C36),"",IF(ISBLANK(Arrangörslista!M$53),"",IF($GV39=AI$64," DNS ",IFERROR(VLOOKUP($F39,Arrangörslista!M$53:$AG$90,16,FALSE),"DNS")))),IF(ISBLANK(Deltagarlista!$C36),"",IF(ISBLANK(Arrangörslista!M$53),"",IFERROR(VLOOKUP($F39,Arrangörslista!M$53:$AG$90,16,FALSE),"DNS")))))</f>
        <v/>
      </c>
      <c r="AJ39" s="5" t="str">
        <f>IF(Deltagarlista!$K$3=4,IF(ISBLANK(Deltagarlista!$C36),"",IF(ISBLANK(Arrangörslista!J$143),"",IFERROR(VLOOKUP($F39,Arrangörslista!J$143:$AG$180,16,FALSE),IF(ISBLANK(Deltagarlista!$C36),"",IF(ISBLANK(Arrangörslista!J$143),"",IFERROR(VLOOKUP($F39,Arrangörslista!K$143:$AG$180,16,FALSE),"DNS")))))),IF(Deltagarlista!$K$3=2,
IF(ISBLANK(Deltagarlista!$C36),"",IF(ISBLANK(Arrangörslista!N$53),"",IF($GV39=AJ$64," DNS ",IFERROR(VLOOKUP($F39,Arrangörslista!N$53:$AG$90,16,FALSE),"DNS")))),IF(ISBLANK(Deltagarlista!$C36),"",IF(ISBLANK(Arrangörslista!N$53),"",IFERROR(VLOOKUP($F39,Arrangörslista!N$53:$AG$90,16,FALSE),"DNS")))))</f>
        <v/>
      </c>
      <c r="AK39" s="5" t="str">
        <f>IF(Deltagarlista!$K$3=4,IF(ISBLANK(Deltagarlista!$C36),"",IF(ISBLANK(Arrangörslista!L$143),"",IFERROR(VLOOKUP($F39,Arrangörslista!L$143:$AG$180,16,FALSE),IF(ISBLANK(Deltagarlista!$C36),"",IF(ISBLANK(Arrangörslista!L$143),"",IFERROR(VLOOKUP($F39,Arrangörslista!M$143:$AG$180,16,FALSE),"DNS")))))),IF(Deltagarlista!$K$3=2,
IF(ISBLANK(Deltagarlista!$C36),"",IF(ISBLANK(Arrangörslista!O$53),"",IF($GV39=AK$64," DNS ",IFERROR(VLOOKUP($F39,Arrangörslista!O$53:$AG$90,16,FALSE),"DNS")))),IF(ISBLANK(Deltagarlista!$C36),"",IF(ISBLANK(Arrangörslista!O$53),"",IFERROR(VLOOKUP($F39,Arrangörslista!O$53:$AG$90,16,FALSE),"DNS")))))</f>
        <v/>
      </c>
      <c r="AL39" s="5" t="str">
        <f>IF(Deltagarlista!$K$3=4,IF(ISBLANK(Deltagarlista!$C36),"",IF(ISBLANK(Arrangörslista!N$143),"",IFERROR(VLOOKUP($F39,Arrangörslista!N$143:$AG$180,16,FALSE),IF(ISBLANK(Deltagarlista!$C36),"",IF(ISBLANK(Arrangörslista!N$143),"",IFERROR(VLOOKUP($F39,Arrangörslista!O$143:$AG$180,16,FALSE),"DNS")))))),IF(Deltagarlista!$K$3=2,
IF(ISBLANK(Deltagarlista!$C36),"",IF(ISBLANK(Arrangörslista!P$53),"",IF($GV39=AL$64," DNS ",IFERROR(VLOOKUP($F39,Arrangörslista!P$53:$AG$90,16,FALSE),"DNS")))),IF(ISBLANK(Deltagarlista!$C36),"",IF(ISBLANK(Arrangörslista!P$53),"",IFERROR(VLOOKUP($F39,Arrangörslista!P$53:$AG$90,16,FALSE),"DNS")))))</f>
        <v/>
      </c>
      <c r="AM39" s="5" t="str">
        <f>IF(Deltagarlista!$K$3=4,IF(ISBLANK(Deltagarlista!$C36),"",IF(ISBLANK(Arrangörslista!P$143),"",IFERROR(VLOOKUP($F39,Arrangörslista!P$143:$AG$180,16,FALSE),IF(ISBLANK(Deltagarlista!$C36),"",IF(ISBLANK(Arrangörslista!P$143),"",IFERROR(VLOOKUP($F39,Arrangörslista!Q$143:$AG$180,16,FALSE),"DNS")))))),IF(Deltagarlista!$K$3=2,
IF(ISBLANK(Deltagarlista!$C36),"",IF(ISBLANK(Arrangörslista!Q$53),"",IF($GV39=AM$64," DNS ",IFERROR(VLOOKUP($F39,Arrangörslista!Q$53:$AG$90,16,FALSE),"DNS")))),IF(ISBLANK(Deltagarlista!$C36),"",IF(ISBLANK(Arrangörslista!Q$53),"",IFERROR(VLOOKUP($F39,Arrangörslista!Q$53:$AG$90,16,FALSE),"DNS")))))</f>
        <v/>
      </c>
      <c r="AN39" s="5" t="str">
        <f>IF(Deltagarlista!$K$3=2,
IF(ISBLANK(Deltagarlista!$C36),"",IF(ISBLANK(Arrangörslista!C$98),"",IF($GV39=AN$64," DNS ",IFERROR(VLOOKUP($F39,Arrangörslista!C$98:$AG$135,16,FALSE), "DNS")))), IF(Deltagarlista!$K$3=1,IF(ISBLANK(Deltagarlista!$C36),"",IF(ISBLANK(Arrangörslista!C$98),"",IFERROR(VLOOKUP($F39,Arrangörslista!C$98:$AG$135,16,FALSE), "DNS"))),""))</f>
        <v/>
      </c>
      <c r="AO39" s="5" t="str">
        <f>IF(Deltagarlista!$K$3=2,
IF(ISBLANK(Deltagarlista!$C36),"",IF(ISBLANK(Arrangörslista!D$98),"",IF($GV39=AO$64," DNS ",IFERROR(VLOOKUP($F39,Arrangörslista!D$98:$AG$135,16,FALSE), "DNS")))), IF(Deltagarlista!$K$3=1,IF(ISBLANK(Deltagarlista!$C36),"",IF(ISBLANK(Arrangörslista!D$98),"",IFERROR(VLOOKUP($F39,Arrangörslista!D$98:$AG$135,16,FALSE), "DNS"))),""))</f>
        <v/>
      </c>
      <c r="AP39" s="5" t="str">
        <f>IF(Deltagarlista!$K$3=2,
IF(ISBLANK(Deltagarlista!$C36),"",IF(ISBLANK(Arrangörslista!E$98),"",IF($GV39=AP$64," DNS ",IFERROR(VLOOKUP($F39,Arrangörslista!E$98:$AG$135,16,FALSE), "DNS")))), IF(Deltagarlista!$K$3=1,IF(ISBLANK(Deltagarlista!$C36),"",IF(ISBLANK(Arrangörslista!E$98),"",IFERROR(VLOOKUP($F39,Arrangörslista!E$98:$AG$135,16,FALSE), "DNS"))),""))</f>
        <v/>
      </c>
      <c r="AQ39" s="5" t="str">
        <f>IF(Deltagarlista!$K$3=2,
IF(ISBLANK(Deltagarlista!$C36),"",IF(ISBLANK(Arrangörslista!F$98),"",IF($GV39=AQ$64," DNS ",IFERROR(VLOOKUP($F39,Arrangörslista!F$98:$AG$135,16,FALSE), "DNS")))), IF(Deltagarlista!$K$3=1,IF(ISBLANK(Deltagarlista!$C36),"",IF(ISBLANK(Arrangörslista!F$98),"",IFERROR(VLOOKUP($F39,Arrangörslista!F$98:$AG$135,16,FALSE), "DNS"))),""))</f>
        <v/>
      </c>
      <c r="AR39" s="5" t="str">
        <f>IF(Deltagarlista!$K$3=2,
IF(ISBLANK(Deltagarlista!$C36),"",IF(ISBLANK(Arrangörslista!G$98),"",IF($GV39=AR$64," DNS ",IFERROR(VLOOKUP($F39,Arrangörslista!G$98:$AG$135,16,FALSE), "DNS")))), IF(Deltagarlista!$K$3=1,IF(ISBLANK(Deltagarlista!$C36),"",IF(ISBLANK(Arrangörslista!G$98),"",IFERROR(VLOOKUP($F39,Arrangörslista!G$98:$AG$135,16,FALSE), "DNS"))),""))</f>
        <v/>
      </c>
      <c r="AS39" s="5" t="str">
        <f>IF(Deltagarlista!$K$3=2,
IF(ISBLANK(Deltagarlista!$C36),"",IF(ISBLANK(Arrangörslista!H$98),"",IF($GV39=AS$64," DNS ",IFERROR(VLOOKUP($F39,Arrangörslista!H$98:$AG$135,16,FALSE), "DNS")))), IF(Deltagarlista!$K$3=1,IF(ISBLANK(Deltagarlista!$C36),"",IF(ISBLANK(Arrangörslista!H$98),"",IFERROR(VLOOKUP($F39,Arrangörslista!H$98:$AG$135,16,FALSE), "DNS"))),""))</f>
        <v/>
      </c>
      <c r="AT39" s="5" t="str">
        <f>IF(Deltagarlista!$K$3=2,
IF(ISBLANK(Deltagarlista!$C36),"",IF(ISBLANK(Arrangörslista!I$98),"",IF($GV39=AT$64," DNS ",IFERROR(VLOOKUP($F39,Arrangörslista!I$98:$AG$135,16,FALSE), "DNS")))), IF(Deltagarlista!$K$3=1,IF(ISBLANK(Deltagarlista!$C36),"",IF(ISBLANK(Arrangörslista!I$98),"",IFERROR(VLOOKUP($F39,Arrangörslista!I$98:$AG$135,16,FALSE), "DNS"))),""))</f>
        <v/>
      </c>
      <c r="AU39" s="5" t="str">
        <f>IF(Deltagarlista!$K$3=2,
IF(ISBLANK(Deltagarlista!$C36),"",IF(ISBLANK(Arrangörslista!J$98),"",IF($GV39=AU$64," DNS ",IFERROR(VLOOKUP($F39,Arrangörslista!J$98:$AG$135,16,FALSE), "DNS")))), IF(Deltagarlista!$K$3=1,IF(ISBLANK(Deltagarlista!$C36),"",IF(ISBLANK(Arrangörslista!J$98),"",IFERROR(VLOOKUP($F39,Arrangörslista!J$98:$AG$135,16,FALSE), "DNS"))),""))</f>
        <v/>
      </c>
      <c r="AV39" s="5" t="str">
        <f>IF(Deltagarlista!$K$3=2,
IF(ISBLANK(Deltagarlista!$C36),"",IF(ISBLANK(Arrangörslista!K$98),"",IF($GV39=AV$64," DNS ",IFERROR(VLOOKUP($F39,Arrangörslista!K$98:$AG$135,16,FALSE), "DNS")))), IF(Deltagarlista!$K$3=1,IF(ISBLANK(Deltagarlista!$C36),"",IF(ISBLANK(Arrangörslista!K$98),"",IFERROR(VLOOKUP($F39,Arrangörslista!K$98:$AG$135,16,FALSE), "DNS"))),""))</f>
        <v/>
      </c>
      <c r="AW39" s="5" t="str">
        <f>IF(Deltagarlista!$K$3=2,
IF(ISBLANK(Deltagarlista!$C36),"",IF(ISBLANK(Arrangörslista!L$98),"",IF($GV39=AW$64," DNS ",IFERROR(VLOOKUP($F39,Arrangörslista!L$98:$AG$135,16,FALSE), "DNS")))), IF(Deltagarlista!$K$3=1,IF(ISBLANK(Deltagarlista!$C36),"",IF(ISBLANK(Arrangörslista!L$98),"",IFERROR(VLOOKUP($F39,Arrangörslista!L$98:$AG$135,16,FALSE), "DNS"))),""))</f>
        <v/>
      </c>
      <c r="AX39" s="5" t="str">
        <f>IF(Deltagarlista!$K$3=2,
IF(ISBLANK(Deltagarlista!$C36),"",IF(ISBLANK(Arrangörslista!M$98),"",IF($GV39=AX$64," DNS ",IFERROR(VLOOKUP($F39,Arrangörslista!M$98:$AG$135,16,FALSE), "DNS")))), IF(Deltagarlista!$K$3=1,IF(ISBLANK(Deltagarlista!$C36),"",IF(ISBLANK(Arrangörslista!M$98),"",IFERROR(VLOOKUP($F39,Arrangörslista!M$98:$AG$135,16,FALSE), "DNS"))),""))</f>
        <v/>
      </c>
      <c r="AY39" s="5" t="str">
        <f>IF(Deltagarlista!$K$3=2,
IF(ISBLANK(Deltagarlista!$C36),"",IF(ISBLANK(Arrangörslista!N$98),"",IF($GV39=AY$64," DNS ",IFERROR(VLOOKUP($F39,Arrangörslista!N$98:$AG$135,16,FALSE), "DNS")))), IF(Deltagarlista!$K$3=1,IF(ISBLANK(Deltagarlista!$C36),"",IF(ISBLANK(Arrangörslista!N$98),"",IFERROR(VLOOKUP($F39,Arrangörslista!N$98:$AG$135,16,FALSE), "DNS"))),""))</f>
        <v/>
      </c>
      <c r="AZ39" s="5" t="str">
        <f>IF(Deltagarlista!$K$3=2,
IF(ISBLANK(Deltagarlista!$C36),"",IF(ISBLANK(Arrangörslista!O$98),"",IF($GV39=AZ$64," DNS ",IFERROR(VLOOKUP($F39,Arrangörslista!O$98:$AG$135,16,FALSE), "DNS")))), IF(Deltagarlista!$K$3=1,IF(ISBLANK(Deltagarlista!$C36),"",IF(ISBLANK(Arrangörslista!O$98),"",IFERROR(VLOOKUP($F39,Arrangörslista!O$98:$AG$135,16,FALSE), "DNS"))),""))</f>
        <v/>
      </c>
      <c r="BA39" s="5" t="str">
        <f>IF(Deltagarlista!$K$3=2,
IF(ISBLANK(Deltagarlista!$C36),"",IF(ISBLANK(Arrangörslista!P$98),"",IF($GV39=BA$64," DNS ",IFERROR(VLOOKUP($F39,Arrangörslista!P$98:$AG$135,16,FALSE), "DNS")))), IF(Deltagarlista!$K$3=1,IF(ISBLANK(Deltagarlista!$C36),"",IF(ISBLANK(Arrangörslista!P$98),"",IFERROR(VLOOKUP($F39,Arrangörslista!P$98:$AG$135,16,FALSE), "DNS"))),""))</f>
        <v/>
      </c>
      <c r="BB39" s="5" t="str">
        <f>IF(Deltagarlista!$K$3=2,
IF(ISBLANK(Deltagarlista!$C36),"",IF(ISBLANK(Arrangörslista!Q$98),"",IF($GV39=BB$64," DNS ",IFERROR(VLOOKUP($F39,Arrangörslista!Q$98:$AG$135,16,FALSE), "DNS")))), IF(Deltagarlista!$K$3=1,IF(ISBLANK(Deltagarlista!$C36),"",IF(ISBLANK(Arrangörslista!Q$98),"",IFERROR(VLOOKUP($F39,Arrangörslista!Q$98:$AG$135,16,FALSE), "DNS"))),""))</f>
        <v/>
      </c>
      <c r="BC39" s="5" t="str">
        <f>IF(Deltagarlista!$K$3=2,
IF(ISBLANK(Deltagarlista!$C36),"",IF(ISBLANK(Arrangörslista!C$143),"",IF($GV39=BC$64," DNS ",IFERROR(VLOOKUP($F39,Arrangörslista!C$143:$AG$180,16,FALSE), "DNS")))), IF(Deltagarlista!$K$3=1,IF(ISBLANK(Deltagarlista!$C36),"",IF(ISBLANK(Arrangörslista!C$143),"",IFERROR(VLOOKUP($F39,Arrangörslista!C$143:$AG$180,16,FALSE), "DNS"))),""))</f>
        <v/>
      </c>
      <c r="BD39" s="5" t="str">
        <f>IF(Deltagarlista!$K$3=2,
IF(ISBLANK(Deltagarlista!$C36),"",IF(ISBLANK(Arrangörslista!D$143),"",IF($GV39=BD$64," DNS ",IFERROR(VLOOKUP($F39,Arrangörslista!D$143:$AG$180,16,FALSE), "DNS")))), IF(Deltagarlista!$K$3=1,IF(ISBLANK(Deltagarlista!$C36),"",IF(ISBLANK(Arrangörslista!D$143),"",IFERROR(VLOOKUP($F39,Arrangörslista!D$143:$AG$180,16,FALSE), "DNS"))),""))</f>
        <v/>
      </c>
      <c r="BE39" s="5" t="str">
        <f>IF(Deltagarlista!$K$3=2,
IF(ISBLANK(Deltagarlista!$C36),"",IF(ISBLANK(Arrangörslista!E$143),"",IF($GV39=BE$64," DNS ",IFERROR(VLOOKUP($F39,Arrangörslista!E$143:$AG$180,16,FALSE), "DNS")))), IF(Deltagarlista!$K$3=1,IF(ISBLANK(Deltagarlista!$C36),"",IF(ISBLANK(Arrangörslista!E$143),"",IFERROR(VLOOKUP($F39,Arrangörslista!E$143:$AG$180,16,FALSE), "DNS"))),""))</f>
        <v/>
      </c>
      <c r="BF39" s="5" t="str">
        <f>IF(Deltagarlista!$K$3=2,
IF(ISBLANK(Deltagarlista!$C36),"",IF(ISBLANK(Arrangörslista!F$143),"",IF($GV39=BF$64," DNS ",IFERROR(VLOOKUP($F39,Arrangörslista!F$143:$AG$180,16,FALSE), "DNS")))), IF(Deltagarlista!$K$3=1,IF(ISBLANK(Deltagarlista!$C36),"",IF(ISBLANK(Arrangörslista!F$143),"",IFERROR(VLOOKUP($F39,Arrangörslista!F$143:$AG$180,16,FALSE), "DNS"))),""))</f>
        <v/>
      </c>
      <c r="BG39" s="5" t="str">
        <f>IF(Deltagarlista!$K$3=2,
IF(ISBLANK(Deltagarlista!$C36),"",IF(ISBLANK(Arrangörslista!G$143),"",IF($GV39=BG$64," DNS ",IFERROR(VLOOKUP($F39,Arrangörslista!G$143:$AG$180,16,FALSE), "DNS")))), IF(Deltagarlista!$K$3=1,IF(ISBLANK(Deltagarlista!$C36),"",IF(ISBLANK(Arrangörslista!G$143),"",IFERROR(VLOOKUP($F39,Arrangörslista!G$143:$AG$180,16,FALSE), "DNS"))),""))</f>
        <v/>
      </c>
      <c r="BH39" s="5" t="str">
        <f>IF(Deltagarlista!$K$3=2,
IF(ISBLANK(Deltagarlista!$C36),"",IF(ISBLANK(Arrangörslista!H$143),"",IF($GV39=BH$64," DNS ",IFERROR(VLOOKUP($F39,Arrangörslista!H$143:$AG$180,16,FALSE), "DNS")))), IF(Deltagarlista!$K$3=1,IF(ISBLANK(Deltagarlista!$C36),"",IF(ISBLANK(Arrangörslista!H$143),"",IFERROR(VLOOKUP($F39,Arrangörslista!H$143:$AG$180,16,FALSE), "DNS"))),""))</f>
        <v/>
      </c>
      <c r="BI39" s="5" t="str">
        <f>IF(Deltagarlista!$K$3=2,
IF(ISBLANK(Deltagarlista!$C36),"",IF(ISBLANK(Arrangörslista!I$143),"",IF($GV39=BI$64," DNS ",IFERROR(VLOOKUP($F39,Arrangörslista!I$143:$AG$180,16,FALSE), "DNS")))), IF(Deltagarlista!$K$3=1,IF(ISBLANK(Deltagarlista!$C36),"",IF(ISBLANK(Arrangörslista!I$143),"",IFERROR(VLOOKUP($F39,Arrangörslista!I$143:$AG$180,16,FALSE), "DNS"))),""))</f>
        <v/>
      </c>
      <c r="BJ39" s="5" t="str">
        <f>IF(Deltagarlista!$K$3=2,
IF(ISBLANK(Deltagarlista!$C36),"",IF(ISBLANK(Arrangörslista!J$143),"",IF($GV39=BJ$64," DNS ",IFERROR(VLOOKUP($F39,Arrangörslista!J$143:$AG$180,16,FALSE), "DNS")))), IF(Deltagarlista!$K$3=1,IF(ISBLANK(Deltagarlista!$C36),"",IF(ISBLANK(Arrangörslista!J$143),"",IFERROR(VLOOKUP($F39,Arrangörslista!J$143:$AG$180,16,FALSE), "DNS"))),""))</f>
        <v/>
      </c>
      <c r="BK39" s="5" t="str">
        <f>IF(Deltagarlista!$K$3=2,
IF(ISBLANK(Deltagarlista!$C36),"",IF(ISBLANK(Arrangörslista!K$143),"",IF($GV39=BK$64," DNS ",IFERROR(VLOOKUP($F39,Arrangörslista!K$143:$AG$180,16,FALSE), "DNS")))), IF(Deltagarlista!$K$3=1,IF(ISBLANK(Deltagarlista!$C36),"",IF(ISBLANK(Arrangörslista!K$143),"",IFERROR(VLOOKUP($F39,Arrangörslista!K$143:$AG$180,16,FALSE), "DNS"))),""))</f>
        <v/>
      </c>
      <c r="BL39" s="5" t="str">
        <f>IF(Deltagarlista!$K$3=2,
IF(ISBLANK(Deltagarlista!$C36),"",IF(ISBLANK(Arrangörslista!L$143),"",IF($GV39=BL$64," DNS ",IFERROR(VLOOKUP($F39,Arrangörslista!L$143:$AG$180,16,FALSE), "DNS")))), IF(Deltagarlista!$K$3=1,IF(ISBLANK(Deltagarlista!$C36),"",IF(ISBLANK(Arrangörslista!L$143),"",IFERROR(VLOOKUP($F39,Arrangörslista!L$143:$AG$180,16,FALSE), "DNS"))),""))</f>
        <v/>
      </c>
      <c r="BM39" s="5" t="str">
        <f>IF(Deltagarlista!$K$3=2,
IF(ISBLANK(Deltagarlista!$C36),"",IF(ISBLANK(Arrangörslista!M$143),"",IF($GV39=BM$64," DNS ",IFERROR(VLOOKUP($F39,Arrangörslista!M$143:$AG$180,16,FALSE), "DNS")))), IF(Deltagarlista!$K$3=1,IF(ISBLANK(Deltagarlista!$C36),"",IF(ISBLANK(Arrangörslista!M$143),"",IFERROR(VLOOKUP($F39,Arrangörslista!M$143:$AG$180,16,FALSE), "DNS"))),""))</f>
        <v/>
      </c>
      <c r="BN39" s="5" t="str">
        <f>IF(Deltagarlista!$K$3=2,
IF(ISBLANK(Deltagarlista!$C36),"",IF(ISBLANK(Arrangörslista!N$143),"",IF($GV39=BN$64," DNS ",IFERROR(VLOOKUP($F39,Arrangörslista!N$143:$AG$180,16,FALSE), "DNS")))), IF(Deltagarlista!$K$3=1,IF(ISBLANK(Deltagarlista!$C36),"",IF(ISBLANK(Arrangörslista!N$143),"",IFERROR(VLOOKUP($F39,Arrangörslista!N$143:$AG$180,16,FALSE), "DNS"))),""))</f>
        <v/>
      </c>
      <c r="BO39" s="5" t="str">
        <f>IF(Deltagarlista!$K$3=2,
IF(ISBLANK(Deltagarlista!$C36),"",IF(ISBLANK(Arrangörslista!O$143),"",IF($GV39=BO$64," DNS ",IFERROR(VLOOKUP($F39,Arrangörslista!O$143:$AG$180,16,FALSE), "DNS")))), IF(Deltagarlista!$K$3=1,IF(ISBLANK(Deltagarlista!$C36),"",IF(ISBLANK(Arrangörslista!O$143),"",IFERROR(VLOOKUP($F39,Arrangörslista!O$143:$AG$180,16,FALSE), "DNS"))),""))</f>
        <v/>
      </c>
      <c r="BP39" s="5" t="str">
        <f>IF(Deltagarlista!$K$3=2,
IF(ISBLANK(Deltagarlista!$C36),"",IF(ISBLANK(Arrangörslista!P$143),"",IF($GV39=BP$64," DNS ",IFERROR(VLOOKUP($F39,Arrangörslista!P$143:$AG$180,16,FALSE), "DNS")))), IF(Deltagarlista!$K$3=1,IF(ISBLANK(Deltagarlista!$C36),"",IF(ISBLANK(Arrangörslista!P$143),"",IFERROR(VLOOKUP($F39,Arrangörslista!P$143:$AG$180,16,FALSE), "DNS"))),""))</f>
        <v/>
      </c>
      <c r="BQ39" s="80" t="str">
        <f>IF(Deltagarlista!$K$3=2,
IF(ISBLANK(Deltagarlista!$C36),"",IF(ISBLANK(Arrangörslista!Q$143),"",IF($GV39=BQ$64," DNS ",IFERROR(VLOOKUP($F39,Arrangörslista!Q$143:$AG$180,16,FALSE), "DNS")))), IF(Deltagarlista!$K$3=1,IF(ISBLANK(Deltagarlista!$C36),"",IF(ISBLANK(Arrangörslista!Q$143),"",IFERROR(VLOOKUP($F39,Arrangörslista!Q$143:$AG$180,16,FALSE), "DNS"))),""))</f>
        <v/>
      </c>
      <c r="BR39" s="51"/>
      <c r="BS39" s="50" t="str">
        <f t="shared" si="125"/>
        <v>2</v>
      </c>
      <c r="BT39" s="51"/>
      <c r="BU39" s="71">
        <f t="shared" si="126"/>
        <v>0</v>
      </c>
      <c r="BV39" s="61">
        <f t="shared" si="127"/>
        <v>0</v>
      </c>
      <c r="BW39" s="61">
        <f t="shared" si="128"/>
        <v>0</v>
      </c>
      <c r="BX39" s="61">
        <f t="shared" si="129"/>
        <v>0</v>
      </c>
      <c r="BY39" s="61">
        <f t="shared" si="130"/>
        <v>0</v>
      </c>
      <c r="BZ39" s="61">
        <f t="shared" si="131"/>
        <v>0</v>
      </c>
      <c r="CA39" s="61">
        <f t="shared" si="132"/>
        <v>0</v>
      </c>
      <c r="CB39" s="61">
        <f t="shared" si="133"/>
        <v>0</v>
      </c>
      <c r="CC39" s="61">
        <f t="shared" si="134"/>
        <v>0</v>
      </c>
      <c r="CD39" s="61">
        <f t="shared" si="135"/>
        <v>0</v>
      </c>
      <c r="CE39" s="61">
        <f t="shared" si="136"/>
        <v>0</v>
      </c>
      <c r="CF39" s="61">
        <f t="shared" si="137"/>
        <v>0</v>
      </c>
      <c r="CG39" s="61">
        <f t="shared" si="138"/>
        <v>0</v>
      </c>
      <c r="CH39" s="61">
        <f t="shared" si="139"/>
        <v>0</v>
      </c>
      <c r="CI39" s="61">
        <f t="shared" si="140"/>
        <v>0</v>
      </c>
      <c r="CJ39" s="61">
        <f t="shared" si="141"/>
        <v>0</v>
      </c>
      <c r="CK39" s="61">
        <f t="shared" si="142"/>
        <v>0</v>
      </c>
      <c r="CL39" s="61">
        <f t="shared" si="143"/>
        <v>0</v>
      </c>
      <c r="CM39" s="61">
        <f t="shared" si="144"/>
        <v>0</v>
      </c>
      <c r="CN39" s="61">
        <f t="shared" si="145"/>
        <v>0</v>
      </c>
      <c r="CO39" s="61">
        <f t="shared" si="146"/>
        <v>0</v>
      </c>
      <c r="CP39" s="61">
        <f t="shared" si="147"/>
        <v>0</v>
      </c>
      <c r="CQ39" s="61">
        <f t="shared" si="148"/>
        <v>0</v>
      </c>
      <c r="CR39" s="61">
        <f t="shared" si="149"/>
        <v>0</v>
      </c>
      <c r="CS39" s="61">
        <f t="shared" si="150"/>
        <v>0</v>
      </c>
      <c r="CT39" s="61">
        <f t="shared" si="151"/>
        <v>0</v>
      </c>
      <c r="CU39" s="61">
        <f t="shared" si="152"/>
        <v>0</v>
      </c>
      <c r="CV39" s="61">
        <f t="shared" si="153"/>
        <v>0</v>
      </c>
      <c r="CW39" s="61">
        <f t="shared" si="154"/>
        <v>0</v>
      </c>
      <c r="CX39" s="61">
        <f t="shared" si="155"/>
        <v>0</v>
      </c>
      <c r="CY39" s="61">
        <f t="shared" si="156"/>
        <v>0</v>
      </c>
      <c r="CZ39" s="61">
        <f t="shared" si="157"/>
        <v>0</v>
      </c>
      <c r="DA39" s="61">
        <f t="shared" si="158"/>
        <v>0</v>
      </c>
      <c r="DB39" s="61">
        <f t="shared" si="159"/>
        <v>0</v>
      </c>
      <c r="DC39" s="61">
        <f t="shared" si="160"/>
        <v>0</v>
      </c>
      <c r="DD39" s="61">
        <f t="shared" si="161"/>
        <v>0</v>
      </c>
      <c r="DE39" s="61">
        <f t="shared" si="162"/>
        <v>0</v>
      </c>
      <c r="DF39" s="61">
        <f t="shared" si="163"/>
        <v>0</v>
      </c>
      <c r="DG39" s="61">
        <f t="shared" si="164"/>
        <v>0</v>
      </c>
      <c r="DH39" s="61">
        <f t="shared" si="165"/>
        <v>0</v>
      </c>
      <c r="DI39" s="61">
        <f t="shared" si="166"/>
        <v>0</v>
      </c>
      <c r="DJ39" s="61">
        <f t="shared" si="167"/>
        <v>0</v>
      </c>
      <c r="DK39" s="61">
        <f t="shared" si="168"/>
        <v>0</v>
      </c>
      <c r="DL39" s="61">
        <f t="shared" si="169"/>
        <v>0</v>
      </c>
      <c r="DM39" s="61">
        <f t="shared" si="170"/>
        <v>0</v>
      </c>
      <c r="DN39" s="61">
        <f t="shared" si="171"/>
        <v>0</v>
      </c>
      <c r="DO39" s="61">
        <f t="shared" si="172"/>
        <v>0</v>
      </c>
      <c r="DP39" s="61">
        <f t="shared" si="173"/>
        <v>0</v>
      </c>
      <c r="DQ39" s="61">
        <f t="shared" si="174"/>
        <v>0</v>
      </c>
      <c r="DR39" s="61">
        <f t="shared" si="175"/>
        <v>0</v>
      </c>
      <c r="DS39" s="61">
        <f t="shared" si="176"/>
        <v>0</v>
      </c>
      <c r="DT39" s="61">
        <f t="shared" si="177"/>
        <v>0</v>
      </c>
      <c r="DU39" s="61">
        <f t="shared" si="178"/>
        <v>0</v>
      </c>
      <c r="DV39" s="61">
        <f t="shared" si="179"/>
        <v>0</v>
      </c>
      <c r="DW39" s="61">
        <f t="shared" si="180"/>
        <v>0</v>
      </c>
      <c r="DX39" s="61">
        <f t="shared" si="181"/>
        <v>0</v>
      </c>
      <c r="DY39" s="61">
        <f t="shared" si="182"/>
        <v>0</v>
      </c>
      <c r="DZ39" s="61">
        <f t="shared" si="183"/>
        <v>0</v>
      </c>
      <c r="EA39" s="61">
        <f t="shared" si="184"/>
        <v>0</v>
      </c>
      <c r="EB39" s="61">
        <f t="shared" si="185"/>
        <v>0</v>
      </c>
      <c r="EC39" s="61">
        <f t="shared" si="186"/>
        <v>0</v>
      </c>
      <c r="EE39" s="61">
        <f xml:space="preserve">
IF(OR(Deltagarlista!$K$3=3,Deltagarlista!$K$3=4),
IF(Arrangörslista!$U$5&lt;8,0,
IF(Arrangörslista!$U$5&lt;16,SUM(LARGE(BV39:CJ39,1)),
IF(Arrangörslista!$U$5&lt;24,SUM(LARGE(BV39:CR39,{1;2})),
IF(Arrangörslista!$U$5&lt;32,SUM(LARGE(BV39:CZ39,{1;2;3})),
IF(Arrangörslista!$U$5&lt;40,SUM(LARGE(BV39:DH39,{1;2;3;4})),
IF(Arrangörslista!$U$5&lt;48,SUM(LARGE(BV39:DP39,{1;2;3;4;5})),
IF(Arrangörslista!$U$5&lt;56,SUM(LARGE(BV39:DX39,{1;2;3;4;5;6})),
IF(Arrangörslista!$U$5&lt;64,SUM(LARGE(BV39:EC39,{1;2;3;4;5;6;7})),0)))))))),
IF(Deltagarlista!$K$3=2,
IF(Arrangörslista!$U$5&lt;4,LARGE(BV39:BX39,1),
IF(Arrangörslista!$U$5&lt;7,SUM(LARGE(BV39:CA39,{1;2;3})),
IF(Arrangörslista!$U$5&lt;10,SUM(LARGE(BV39:CD39,{1;2;3;4})),
IF(Arrangörslista!$U$5&lt;13,SUM(LARGE(BV39:CG39,{1;2;3;4;5;6})),
IF(Arrangörslista!$U$5&lt;16,SUM(LARGE(BV39:CJ39,{1;2;3;4;5;6;7})),
IF(Arrangörslista!$U$5&lt;19,SUM(LARGE(BV39:CM39,{1;2;3;4;5;6;7;8;9})),
IF(Arrangörslista!$U$5&lt;22,SUM(LARGE(BV39:CP39,{1;2;3;4;5;6;7;8;9;10})),
IF(Arrangörslista!$U$5&lt;25,SUM(LARGE(BV39:CS39,{1;2;3;4;5;6;7;8;9;10;11;12})),
IF(Arrangörslista!$U$5&lt;28,SUM(LARGE(BV39:CV39,{1;2;3;4;5;6;7;8;9;10;11;12;13})),
IF(Arrangörslista!$U$5&lt;31,SUM(LARGE(BV39:CY39,{1;2;3;4;5;6;7;8;9;10;11;12;13;14;15})),
IF(Arrangörslista!$U$5&lt;34,SUM(LARGE(BV39:DB39,{1;2;3;4;5;6;7;8;9;10;11;12;13;14;15;16})),
IF(Arrangörslista!$U$5&lt;37,SUM(LARGE(BV39:DE39,{1;2;3;4;5;6;7;8;9;10;11;12;13;14;15;16;17;18})),
IF(Arrangörslista!$U$5&lt;40,SUM(LARGE(BV39:DH39,{1;2;3;4;5;6;7;8;9;10;11;12;13;14;15;16;17;18;19})),
IF(Arrangörslista!$U$5&lt;43,SUM(LARGE(BV39:DK39,{1;2;3;4;5;6;7;8;9;10;11;12;13;14;15;16;17;18;19;20;21})),
IF(Arrangörslista!$U$5&lt;46,SUM(LARGE(BV39:DN39,{1;2;3;4;5;6;7;8;9;10;11;12;13;14;15;16;17;18;19;20;21;22})),
IF(Arrangörslista!$U$5&lt;49,SUM(LARGE(BV39:DQ39,{1;2;3;4;5;6;7;8;9;10;11;12;13;14;15;16;17;18;19;20;21;22;23;24})),
IF(Arrangörslista!$U$5&lt;52,SUM(LARGE(BV39:DT39,{1;2;3;4;5;6;7;8;9;10;11;12;13;14;15;16;17;18;19;20;21;22;23;24;25})),
IF(Arrangörslista!$U$5&lt;55,SUM(LARGE(BV39:DW39,{1;2;3;4;5;6;7;8;9;10;11;12;13;14;15;16;17;18;19;20;21;22;23;24;25;26;27})),
IF(Arrangörslista!$U$5&lt;58,SUM(LARGE(BV39:DZ39,{1;2;3;4;5;6;7;8;9;10;11;12;13;14;15;16;17;18;19;20;21;22;23;24;25;26;27;28})),
IF(Arrangörslista!$U$5&lt;61,SUM(LARGE(BV39:EC39,{1;2;3;4;5;6;7;8;9;10;11;12;13;14;15;16;17;18;19;20;21;22;23;24;25;26;27;28;29;30})),0)))))))))))))))))))),
IF(Arrangörslista!$U$5&lt;4,0,
IF(Arrangörslista!$U$5&lt;8,SUM(LARGE(BV39:CB39,1)),
IF(Arrangörslista!$U$5&lt;12,SUM(LARGE(BV39:CF39,{1;2})),
IF(Arrangörslista!$U$5&lt;16,SUM(LARGE(BV39:CJ39,{1;2;3})),
IF(Arrangörslista!$U$5&lt;20,SUM(LARGE(BV39:CN39,{1;2;3;4})),
IF(Arrangörslista!$U$5&lt;24,SUM(LARGE(BV39:CR39,{1;2;3;4;5})),
IF(Arrangörslista!$U$5&lt;28,SUM(LARGE(BV39:CV39,{1;2;3;4;5;6})),
IF(Arrangörslista!$U$5&lt;32,SUM(LARGE(BV39:CZ39,{1;2;3;4;5;6;7})),
IF(Arrangörslista!$U$5&lt;36,SUM(LARGE(BV39:DD39,{1;2;3;4;5;6;7;8})),
IF(Arrangörslista!$U$5&lt;40,SUM(LARGE(BV39:DH39,{1;2;3;4;5;6;7;8;9})),
IF(Arrangörslista!$U$5&lt;44,SUM(LARGE(BV39:DL39,{1;2;3;4;5;6;7;8;9;10})),
IF(Arrangörslista!$U$5&lt;48,SUM(LARGE(BV39:DP39,{1;2;3;4;5;6;7;8;9;10;11})),
IF(Arrangörslista!$U$5&lt;52,SUM(LARGE(BV39:DT39,{1;2;3;4;5;6;7;8;9;10;11;12})),
IF(Arrangörslista!$U$5&lt;56,SUM(LARGE(BV39:DX39,{1;2;3;4;5;6;7;8;9;10;11;12;13})),
IF(Arrangörslista!$U$5&lt;60,SUM(LARGE(BV39:EB39,{1;2;3;4;5;6;7;8;9;10;11;12;13;14})),
IF(Arrangörslista!$U$5=60,SUM(LARGE(BV39:EC39,{1;2;3;4;5;6;7;8;9;10;11;12;13;14;15})),0))))))))))))))))))</f>
        <v>0</v>
      </c>
      <c r="EG39" s="67">
        <f t="shared" si="187"/>
        <v>0</v>
      </c>
      <c r="EH39" s="61"/>
      <c r="EI39" s="61"/>
      <c r="EK39" s="62">
        <f t="shared" si="188"/>
        <v>61</v>
      </c>
      <c r="EL39" s="62">
        <f t="shared" si="189"/>
        <v>61</v>
      </c>
      <c r="EM39" s="62">
        <f t="shared" si="190"/>
        <v>61</v>
      </c>
      <c r="EN39" s="62">
        <f t="shared" si="191"/>
        <v>61</v>
      </c>
      <c r="EO39" s="62">
        <f t="shared" si="192"/>
        <v>61</v>
      </c>
      <c r="EP39" s="62">
        <f t="shared" si="193"/>
        <v>61</v>
      </c>
      <c r="EQ39" s="62">
        <f t="shared" si="194"/>
        <v>61</v>
      </c>
      <c r="ER39" s="62">
        <f t="shared" si="195"/>
        <v>61</v>
      </c>
      <c r="ES39" s="62">
        <f t="shared" si="196"/>
        <v>61</v>
      </c>
      <c r="ET39" s="62">
        <f t="shared" si="197"/>
        <v>61</v>
      </c>
      <c r="EU39" s="62">
        <f t="shared" si="198"/>
        <v>61</v>
      </c>
      <c r="EV39" s="62">
        <f t="shared" si="199"/>
        <v>61</v>
      </c>
      <c r="EW39" s="62">
        <f t="shared" si="200"/>
        <v>61</v>
      </c>
      <c r="EX39" s="62">
        <f t="shared" si="201"/>
        <v>61</v>
      </c>
      <c r="EY39" s="62">
        <f t="shared" si="202"/>
        <v>61</v>
      </c>
      <c r="EZ39" s="62">
        <f t="shared" si="203"/>
        <v>61</v>
      </c>
      <c r="FA39" s="62">
        <f t="shared" si="204"/>
        <v>61</v>
      </c>
      <c r="FB39" s="62">
        <f t="shared" si="205"/>
        <v>61</v>
      </c>
      <c r="FC39" s="62">
        <f t="shared" si="206"/>
        <v>61</v>
      </c>
      <c r="FD39" s="62">
        <f t="shared" si="207"/>
        <v>61</v>
      </c>
      <c r="FE39" s="62">
        <f t="shared" si="208"/>
        <v>61</v>
      </c>
      <c r="FF39" s="62">
        <f t="shared" si="209"/>
        <v>61</v>
      </c>
      <c r="FG39" s="62">
        <f t="shared" si="210"/>
        <v>61</v>
      </c>
      <c r="FH39" s="62">
        <f t="shared" si="211"/>
        <v>61</v>
      </c>
      <c r="FI39" s="62">
        <f t="shared" si="212"/>
        <v>61</v>
      </c>
      <c r="FJ39" s="62">
        <f t="shared" si="213"/>
        <v>61</v>
      </c>
      <c r="FK39" s="62">
        <f t="shared" si="214"/>
        <v>61</v>
      </c>
      <c r="FL39" s="62">
        <f t="shared" si="215"/>
        <v>61</v>
      </c>
      <c r="FM39" s="62">
        <f t="shared" si="216"/>
        <v>61</v>
      </c>
      <c r="FN39" s="62">
        <f t="shared" si="217"/>
        <v>61</v>
      </c>
      <c r="FO39" s="62">
        <f t="shared" si="218"/>
        <v>61</v>
      </c>
      <c r="FP39" s="62">
        <f t="shared" si="219"/>
        <v>61</v>
      </c>
      <c r="FQ39" s="62">
        <f t="shared" si="220"/>
        <v>61</v>
      </c>
      <c r="FR39" s="62">
        <f t="shared" si="221"/>
        <v>61</v>
      </c>
      <c r="FS39" s="62">
        <f t="shared" si="222"/>
        <v>61</v>
      </c>
      <c r="FT39" s="62">
        <f t="shared" si="223"/>
        <v>61</v>
      </c>
      <c r="FU39" s="62">
        <f t="shared" si="224"/>
        <v>61</v>
      </c>
      <c r="FV39" s="62">
        <f t="shared" si="225"/>
        <v>61</v>
      </c>
      <c r="FW39" s="62">
        <f t="shared" si="226"/>
        <v>61</v>
      </c>
      <c r="FX39" s="62">
        <f t="shared" si="227"/>
        <v>61</v>
      </c>
      <c r="FY39" s="62">
        <f t="shared" si="228"/>
        <v>61</v>
      </c>
      <c r="FZ39" s="62">
        <f t="shared" si="229"/>
        <v>61</v>
      </c>
      <c r="GA39" s="62">
        <f t="shared" si="230"/>
        <v>61</v>
      </c>
      <c r="GB39" s="62">
        <f t="shared" si="231"/>
        <v>61</v>
      </c>
      <c r="GC39" s="62">
        <f t="shared" si="232"/>
        <v>61</v>
      </c>
      <c r="GD39" s="62">
        <f t="shared" si="233"/>
        <v>61</v>
      </c>
      <c r="GE39" s="62">
        <f t="shared" si="234"/>
        <v>61</v>
      </c>
      <c r="GF39" s="62">
        <f t="shared" si="235"/>
        <v>61</v>
      </c>
      <c r="GG39" s="62">
        <f t="shared" si="236"/>
        <v>61</v>
      </c>
      <c r="GH39" s="62">
        <f t="shared" si="237"/>
        <v>61</v>
      </c>
      <c r="GI39" s="62">
        <f t="shared" si="238"/>
        <v>61</v>
      </c>
      <c r="GJ39" s="62">
        <f t="shared" si="239"/>
        <v>61</v>
      </c>
      <c r="GK39" s="62">
        <f t="shared" si="240"/>
        <v>61</v>
      </c>
      <c r="GL39" s="62">
        <f t="shared" si="241"/>
        <v>61</v>
      </c>
      <c r="GM39" s="62">
        <f t="shared" si="242"/>
        <v>61</v>
      </c>
      <c r="GN39" s="62">
        <f t="shared" si="243"/>
        <v>61</v>
      </c>
      <c r="GO39" s="62">
        <f t="shared" si="244"/>
        <v>61</v>
      </c>
      <c r="GP39" s="62">
        <f t="shared" si="245"/>
        <v>61</v>
      </c>
      <c r="GQ39" s="62">
        <f t="shared" si="246"/>
        <v>61</v>
      </c>
      <c r="GR39" s="62">
        <f t="shared" si="247"/>
        <v>61</v>
      </c>
      <c r="GT39" s="62">
        <f>IF(Deltagarlista!$K$3=2,
IF(GW39="1",
      IF(Arrangörslista!$U$5=1,J102,
IF(Arrangörslista!$U$5=2,K102,
IF(Arrangörslista!$U$5=3,L102,
IF(Arrangörslista!$U$5=4,M102,
IF(Arrangörslista!$U$5=5,N102,
IF(Arrangörslista!$U$5=6,O102,
IF(Arrangörslista!$U$5=7,P102,
IF(Arrangörslista!$U$5=8,Q102,
IF(Arrangörslista!$U$5=9,R102,
IF(Arrangörslista!$U$5=10,S102,
IF(Arrangörslista!$U$5=11,T102,
IF(Arrangörslista!$U$5=12,U102,
IF(Arrangörslista!$U$5=13,V102,
IF(Arrangörslista!$U$5=14,W102,
IF(Arrangörslista!$U$5=15,X102,
IF(Arrangörslista!$U$5=16,Y102,IF(Arrangörslista!$U$5=17,Z102,IF(Arrangörslista!$U$5=18,AA102,IF(Arrangörslista!$U$5=19,AB102,IF(Arrangörslista!$U$5=20,AC102,IF(Arrangörslista!$U$5=21,AD102,IF(Arrangörslista!$U$5=22,AE102,IF(Arrangörslista!$U$5=23,AF102, IF(Arrangörslista!$U$5=24,AG102, IF(Arrangörslista!$U$5=25,AH102, IF(Arrangörslista!$U$5=26,AI102, IF(Arrangörslista!$U$5=27,AJ102, IF(Arrangörslista!$U$5=28,AK102, IF(Arrangörslista!$U$5=29,AL102, IF(Arrangörslista!$U$5=30,AM102, IF(Arrangörslista!$U$5=31,AN102, IF(Arrangörslista!$U$5=32,AO102, IF(Arrangörslista!$U$5=33,AP102, IF(Arrangörslista!$U$5=34,AQ102, IF(Arrangörslista!$U$5=35,AR102, IF(Arrangörslista!$U$5=36,AS102, IF(Arrangörslista!$U$5=37,AT102, IF(Arrangörslista!$U$5=38,AU102, IF(Arrangörslista!$U$5=39,AV102, IF(Arrangörslista!$U$5=40,AW102, IF(Arrangörslista!$U$5=41,AX102, IF(Arrangörslista!$U$5=42,AY102, IF(Arrangörslista!$U$5=43,AZ102, IF(Arrangörslista!$U$5=44,BA102, IF(Arrangörslista!$U$5=45,BB102, IF(Arrangörslista!$U$5=46,BC102, IF(Arrangörslista!$U$5=47,BD102, IF(Arrangörslista!$U$5=48,BE102, IF(Arrangörslista!$U$5=49,BF102, IF(Arrangörslista!$U$5=50,BG102, IF(Arrangörslista!$U$5=51,BH102, IF(Arrangörslista!$U$5=52,BI102, IF(Arrangörslista!$U$5=53,BJ102, IF(Arrangörslista!$U$5=54,BK102, IF(Arrangörslista!$U$5=55,BL102, IF(Arrangörslista!$U$5=56,BM102, IF(Arrangörslista!$U$5=57,BN102, IF(Arrangörslista!$U$5=58,BO102, IF(Arrangörslista!$U$5=59,BP102, IF(Arrangörslista!$U$5=60,BQ102,0))))))))))))))))))))))))))))))))))))))))))))))))))))))))))))),IF(Deltagarlista!$K$3=4, IF(Arrangörslista!$U$5=1,J102,
IF(Arrangörslista!$U$5=2,J102,
IF(Arrangörslista!$U$5=3,K102,
IF(Arrangörslista!$U$5=4,K102,
IF(Arrangörslista!$U$5=5,L102,
IF(Arrangörslista!$U$5=6,L102,
IF(Arrangörslista!$U$5=7,M102,
IF(Arrangörslista!$U$5=8,M102,
IF(Arrangörslista!$U$5=9,N102,
IF(Arrangörslista!$U$5=10,N102,
IF(Arrangörslista!$U$5=11,O102,
IF(Arrangörslista!$U$5=12,O102,
IF(Arrangörslista!$U$5=13,P102,
IF(Arrangörslista!$U$5=14,P102,
IF(Arrangörslista!$U$5=15,Q102,
IF(Arrangörslista!$U$5=16,Q102,
IF(Arrangörslista!$U$5=17,R102,
IF(Arrangörslista!$U$5=18,R102,
IF(Arrangörslista!$U$5=19,S102,
IF(Arrangörslista!$U$5=20,S102,
IF(Arrangörslista!$U$5=21,T102,
IF(Arrangörslista!$U$5=22,T102,IF(Arrangörslista!$U$5=23,U102, IF(Arrangörslista!$U$5=24,U102, IF(Arrangörslista!$U$5=25,V102, IF(Arrangörslista!$U$5=26,V102, IF(Arrangörslista!$U$5=27,W102, IF(Arrangörslista!$U$5=28,W102, IF(Arrangörslista!$U$5=29,X102, IF(Arrangörslista!$U$5=30,X102, IF(Arrangörslista!$U$5=31,X102, IF(Arrangörslista!$U$5=32,Y102, IF(Arrangörslista!$U$5=33,AO102, IF(Arrangörslista!$U$5=34,Y102, IF(Arrangörslista!$U$5=35,Z102, IF(Arrangörslista!$U$5=36,AR102, IF(Arrangörslista!$U$5=37,Z102, IF(Arrangörslista!$U$5=38,AA102, IF(Arrangörslista!$U$5=39,AU102, IF(Arrangörslista!$U$5=40,AA102, IF(Arrangörslista!$U$5=41,AB102, IF(Arrangörslista!$U$5=42,AX102, IF(Arrangörslista!$U$5=43,AB102, IF(Arrangörslista!$U$5=44,AC102, IF(Arrangörslista!$U$5=45,BA102, IF(Arrangörslista!$U$5=46,AC102, IF(Arrangörslista!$U$5=47,AD102, IF(Arrangörslista!$U$5=48,BD102, IF(Arrangörslista!$U$5=49,AD102, IF(Arrangörslista!$U$5=50,AE102, IF(Arrangörslista!$U$5=51,BG102, IF(Arrangörslista!$U$5=52,AE102, IF(Arrangörslista!$U$5=53,AF102, IF(Arrangörslista!$U$5=54,BJ102, IF(Arrangörslista!$U$5=55,AF102, IF(Arrangörslista!$U$5=56,AG102, IF(Arrangörslista!$U$5=57,BM102, IF(Arrangörslista!$U$5=58,AG102, IF(Arrangörslista!$U$5=59,AH102, IF(Arrangörslista!$U$5=60,AH102,0)))))))))))))))))))))))))))))))))))))))))))))))))))))))))))),IF(Arrangörslista!$U$5=1,J102,
IF(Arrangörslista!$U$5=2,K102,
IF(Arrangörslista!$U$5=3,L102,
IF(Arrangörslista!$U$5=4,M102,
IF(Arrangörslista!$U$5=5,N102,
IF(Arrangörslista!$U$5=6,O102,
IF(Arrangörslista!$U$5=7,P102,
IF(Arrangörslista!$U$5=8,Q102,
IF(Arrangörslista!$U$5=9,R102,
IF(Arrangörslista!$U$5=10,S102,
IF(Arrangörslista!$U$5=11,T102,
IF(Arrangörslista!$U$5=12,U102,
IF(Arrangörslista!$U$5=13,V102,
IF(Arrangörslista!$U$5=14,W102,
IF(Arrangörslista!$U$5=15,X102,
IF(Arrangörslista!$U$5=16,Y102,IF(Arrangörslista!$U$5=17,Z102,IF(Arrangörslista!$U$5=18,AA102,IF(Arrangörslista!$U$5=19,AB102,IF(Arrangörslista!$U$5=20,AC102,IF(Arrangörslista!$U$5=21,AD102,IF(Arrangörslista!$U$5=22,AE102,IF(Arrangörslista!$U$5=23,AF102, IF(Arrangörslista!$U$5=24,AG102, IF(Arrangörslista!$U$5=25,AH102, IF(Arrangörslista!$U$5=26,AI102, IF(Arrangörslista!$U$5=27,AJ102, IF(Arrangörslista!$U$5=28,AK102, IF(Arrangörslista!$U$5=29,AL102, IF(Arrangörslista!$U$5=30,AM102, IF(Arrangörslista!$U$5=31,AN102, IF(Arrangörslista!$U$5=32,AO102, IF(Arrangörslista!$U$5=33,AP102, IF(Arrangörslista!$U$5=34,AQ102, IF(Arrangörslista!$U$5=35,AR102, IF(Arrangörslista!$U$5=36,AS102, IF(Arrangörslista!$U$5=37,AT102, IF(Arrangörslista!$U$5=38,AU102, IF(Arrangörslista!$U$5=39,AV102, IF(Arrangörslista!$U$5=40,AW102, IF(Arrangörslista!$U$5=41,AX102, IF(Arrangörslista!$U$5=42,AY102, IF(Arrangörslista!$U$5=43,AZ102, IF(Arrangörslista!$U$5=44,BA102, IF(Arrangörslista!$U$5=45,BB102, IF(Arrangörslista!$U$5=46,BC102, IF(Arrangörslista!$U$5=47,BD102, IF(Arrangörslista!$U$5=48,BE102, IF(Arrangörslista!$U$5=49,BF102, IF(Arrangörslista!$U$5=50,BG102, IF(Arrangörslista!$U$5=51,BH102, IF(Arrangörslista!$U$5=52,BI102, IF(Arrangörslista!$U$5=53,BJ102, IF(Arrangörslista!$U$5=54,BK102, IF(Arrangörslista!$U$5=55,BL102, IF(Arrangörslista!$U$5=56,BM102, IF(Arrangörslista!$U$5=57,BN102, IF(Arrangörslista!$U$5=58,BO102, IF(Arrangörslista!$U$5=59,BP102, IF(Arrangörslista!$U$5=60,BQ102,0))))))))))))))))))))))))))))))))))))))))))))))))))))))))))))
))</f>
        <v>0</v>
      </c>
      <c r="GV39" s="65" t="str">
        <f>IFERROR(IF(VLOOKUP(F39,Deltagarlista!$E$5:$I$64,5,FALSE)="Grön","Gr",IF(VLOOKUP(F39,Deltagarlista!$E$5:$I$64,5,FALSE)="Röd","R",IF(VLOOKUP(F39,Deltagarlista!$E$5:$I$64,5,FALSE)="Blå","B","Gu"))),"")</f>
        <v/>
      </c>
      <c r="GW39" s="62" t="str">
        <f t="shared" si="124"/>
        <v/>
      </c>
    </row>
    <row r="40" spans="2:205" ht="15.75" customHeight="1" x14ac:dyDescent="0.3">
      <c r="B40" s="23" t="str">
        <f>IF((COUNTIF(Deltagarlista!$H$5:$H$64,"GM"))&gt;36,37,"")</f>
        <v/>
      </c>
      <c r="C40" s="92" t="str">
        <f>IF(ISBLANK(Deltagarlista!C30),"",Deltagarlista!C30)</f>
        <v/>
      </c>
      <c r="D40" s="109" t="str">
        <f>CONCATENATE(IF(Deltagarlista!H30="GM","GM   ",""), IF(OR(Deltagarlista!$K$3=4,Deltagarlista!$K$3=2),Deltagarlista!I30,""))</f>
        <v/>
      </c>
      <c r="E40" s="8" t="str">
        <f>IF(ISBLANK(Deltagarlista!D30),"",Deltagarlista!D30)</f>
        <v/>
      </c>
      <c r="F40" s="8" t="str">
        <f>IF(ISBLANK(Deltagarlista!E30),"",Deltagarlista!E30)</f>
        <v/>
      </c>
      <c r="G40" s="95" t="str">
        <f>IF(ISBLANK(Deltagarlista!F30),"",Deltagarlista!F30)</f>
        <v/>
      </c>
      <c r="H40" s="72" t="str">
        <f>IF(ISBLANK(Deltagarlista!C30),"",BU40-EE40)</f>
        <v/>
      </c>
      <c r="I40" s="13" t="str">
        <f>IF(ISBLANK(Deltagarlista!C30),"",IF(AND(Deltagarlista!$K$3=2,Deltagarlista!$L$3&lt;37),SUM(SUM(BV40:EC40)-(ROUNDDOWN(Arrangörslista!$U$5/3,1))*($BW$3+1)),SUM(BV40:EC40)))</f>
        <v/>
      </c>
      <c r="J40" s="79" t="str">
        <f>IF(Deltagarlista!$K$3=4,IF(ISBLANK(Deltagarlista!$C30),"",IF(ISBLANK(Arrangörslista!C$8),"",IFERROR(VLOOKUP($F40,Arrangörslista!C$8:$AG$45,16,FALSE),IF(ISBLANK(Deltagarlista!$C30),"",IF(ISBLANK(Arrangörslista!C$8),"",IFERROR(VLOOKUP($F40,Arrangörslista!D$8:$AG$45,16,FALSE),"DNS")))))),IF(Deltagarlista!$K$3=2,
IF(ISBLANK(Deltagarlista!$C30),"",IF(ISBLANK(Arrangörslista!C$8),"",IF($GV40=J$64," DNS ",IFERROR(VLOOKUP($F40,Arrangörslista!C$8:$AG$45,16,FALSE),"DNS")))),IF(ISBLANK(Deltagarlista!$C30),"",IF(ISBLANK(Arrangörslista!C$8),"",IFERROR(VLOOKUP($F40,Arrangörslista!C$8:$AG$45,16,FALSE),"DNS")))))</f>
        <v/>
      </c>
      <c r="K40" s="5" t="str">
        <f>IF(Deltagarlista!$K$3=4,IF(ISBLANK(Deltagarlista!$C30),"",IF(ISBLANK(Arrangörslista!E$8),"",IFERROR(VLOOKUP($F40,Arrangörslista!E$8:$AG$45,16,FALSE),IF(ISBLANK(Deltagarlista!$C30),"",IF(ISBLANK(Arrangörslista!E$8),"",IFERROR(VLOOKUP($F40,Arrangörslista!F$8:$AG$45,16,FALSE),"DNS")))))),IF(Deltagarlista!$K$3=2,
IF(ISBLANK(Deltagarlista!$C30),"",IF(ISBLANK(Arrangörslista!D$8),"",IF($GV40=K$64," DNS ",IFERROR(VLOOKUP($F40,Arrangörslista!D$8:$AG$45,16,FALSE),"DNS")))),IF(ISBLANK(Deltagarlista!$C30),"",IF(ISBLANK(Arrangörslista!D$8),"",IFERROR(VLOOKUP($F40,Arrangörslista!D$8:$AG$45,16,FALSE),"DNS")))))</f>
        <v/>
      </c>
      <c r="L40" s="5" t="str">
        <f>IF(Deltagarlista!$K$3=4,IF(ISBLANK(Deltagarlista!$C30),"",IF(ISBLANK(Arrangörslista!G$8),"",IFERROR(VLOOKUP($F40,Arrangörslista!G$8:$AG$45,16,FALSE),IF(ISBLANK(Deltagarlista!$C30),"",IF(ISBLANK(Arrangörslista!G$8),"",IFERROR(VLOOKUP($F40,Arrangörslista!H$8:$AG$45,16,FALSE),"DNS")))))),IF(Deltagarlista!$K$3=2,
IF(ISBLANK(Deltagarlista!$C30),"",IF(ISBLANK(Arrangörslista!E$8),"",IF($GV40=L$64," DNS ",IFERROR(VLOOKUP($F40,Arrangörslista!E$8:$AG$45,16,FALSE),"DNS")))),IF(ISBLANK(Deltagarlista!$C30),"",IF(ISBLANK(Arrangörslista!E$8),"",IFERROR(VLOOKUP($F40,Arrangörslista!E$8:$AG$45,16,FALSE),"DNS")))))</f>
        <v/>
      </c>
      <c r="M40" s="5" t="str">
        <f>IF(Deltagarlista!$K$3=4,IF(ISBLANK(Deltagarlista!$C30),"",IF(ISBLANK(Arrangörslista!I$8),"",IFERROR(VLOOKUP($F40,Arrangörslista!I$8:$AG$45,16,FALSE),IF(ISBLANK(Deltagarlista!$C30),"",IF(ISBLANK(Arrangörslista!I$8),"",IFERROR(VLOOKUP($F40,Arrangörslista!J$8:$AG$45,16,FALSE),"DNS")))))),IF(Deltagarlista!$K$3=2,
IF(ISBLANK(Deltagarlista!$C30),"",IF(ISBLANK(Arrangörslista!F$8),"",IF($GV40=M$64," DNS ",IFERROR(VLOOKUP($F40,Arrangörslista!F$8:$AG$45,16,FALSE),"DNS")))),IF(ISBLANK(Deltagarlista!$C30),"",IF(ISBLANK(Arrangörslista!F$8),"",IFERROR(VLOOKUP($F40,Arrangörslista!F$8:$AG$45,16,FALSE),"DNS")))))</f>
        <v/>
      </c>
      <c r="N40" s="5" t="str">
        <f>IF(Deltagarlista!$K$3=4,IF(ISBLANK(Deltagarlista!$C30),"",IF(ISBLANK(Arrangörslista!K$8),"",IFERROR(VLOOKUP($F40,Arrangörslista!K$8:$AG$45,16,FALSE),IF(ISBLANK(Deltagarlista!$C30),"",IF(ISBLANK(Arrangörslista!K$8),"",IFERROR(VLOOKUP($F40,Arrangörslista!L$8:$AG$45,16,FALSE),"DNS")))))),IF(Deltagarlista!$K$3=2,
IF(ISBLANK(Deltagarlista!$C30),"",IF(ISBLANK(Arrangörslista!G$8),"",IF($GV40=N$64," DNS ",IFERROR(VLOOKUP($F40,Arrangörslista!G$8:$AG$45,16,FALSE),"DNS")))),IF(ISBLANK(Deltagarlista!$C30),"",IF(ISBLANK(Arrangörslista!G$8),"",IFERROR(VLOOKUP($F40,Arrangörslista!G$8:$AG$45,16,FALSE),"DNS")))))</f>
        <v/>
      </c>
      <c r="O40" s="5" t="str">
        <f>IF(Deltagarlista!$K$3=4,IF(ISBLANK(Deltagarlista!$C30),"",IF(ISBLANK(Arrangörslista!M$8),"",IFERROR(VLOOKUP($F40,Arrangörslista!M$8:$AG$45,16,FALSE),IF(ISBLANK(Deltagarlista!$C30),"",IF(ISBLANK(Arrangörslista!M$8),"",IFERROR(VLOOKUP($F40,Arrangörslista!N$8:$AG$45,16,FALSE),"DNS")))))),IF(Deltagarlista!$K$3=2,
IF(ISBLANK(Deltagarlista!$C30),"",IF(ISBLANK(Arrangörslista!H$8),"",IF($GV40=O$64," DNS ",IFERROR(VLOOKUP($F40,Arrangörslista!H$8:$AG$45,16,FALSE),"DNS")))),IF(ISBLANK(Deltagarlista!$C30),"",IF(ISBLANK(Arrangörslista!H$8),"",IFERROR(VLOOKUP($F40,Arrangörslista!H$8:$AG$45,16,FALSE),"DNS")))))</f>
        <v/>
      </c>
      <c r="P40" s="5" t="str">
        <f>IF(Deltagarlista!$K$3=4,IF(ISBLANK(Deltagarlista!$C30),"",IF(ISBLANK(Arrangörslista!O$8),"",IFERROR(VLOOKUP($F40,Arrangörslista!O$8:$AG$45,16,FALSE),IF(ISBLANK(Deltagarlista!$C30),"",IF(ISBLANK(Arrangörslista!O$8),"",IFERROR(VLOOKUP($F40,Arrangörslista!P$8:$AG$45,16,FALSE),"DNS")))))),IF(Deltagarlista!$K$3=2,
IF(ISBLANK(Deltagarlista!$C30),"",IF(ISBLANK(Arrangörslista!I$8),"",IF($GV40=P$64," DNS ",IFERROR(VLOOKUP($F40,Arrangörslista!I$8:$AG$45,16,FALSE),"DNS")))),IF(ISBLANK(Deltagarlista!$C30),"",IF(ISBLANK(Arrangörslista!I$8),"",IFERROR(VLOOKUP($F40,Arrangörslista!I$8:$AG$45,16,FALSE),"DNS")))))</f>
        <v/>
      </c>
      <c r="Q40" s="5" t="str">
        <f>IF(Deltagarlista!$K$3=4,IF(ISBLANK(Deltagarlista!$C30),"",IF(ISBLANK(Arrangörslista!Q$8),"",IFERROR(VLOOKUP($F40,Arrangörslista!Q$8:$AG$45,16,FALSE),IF(ISBLANK(Deltagarlista!$C30),"",IF(ISBLANK(Arrangörslista!Q$8),"",IFERROR(VLOOKUP($F40,Arrangörslista!C$53:$AG$90,16,FALSE),"DNS")))))),IF(Deltagarlista!$K$3=2,
IF(ISBLANK(Deltagarlista!$C30),"",IF(ISBLANK(Arrangörslista!J$8),"",IF($GV40=Q$64," DNS ",IFERROR(VLOOKUP($F40,Arrangörslista!J$8:$AG$45,16,FALSE),"DNS")))),IF(ISBLANK(Deltagarlista!$C30),"",IF(ISBLANK(Arrangörslista!J$8),"",IFERROR(VLOOKUP($F40,Arrangörslista!J$8:$AG$45,16,FALSE),"DNS")))))</f>
        <v/>
      </c>
      <c r="R40" s="5" t="str">
        <f>IF(Deltagarlista!$K$3=4,IF(ISBLANK(Deltagarlista!$C30),"",IF(ISBLANK(Arrangörslista!D$53),"",IFERROR(VLOOKUP($F40,Arrangörslista!D$53:$AG$90,16,FALSE),IF(ISBLANK(Deltagarlista!$C30),"",IF(ISBLANK(Arrangörslista!D$53),"",IFERROR(VLOOKUP($F40,Arrangörslista!E$53:$AG$90,16,FALSE),"DNS")))))),IF(Deltagarlista!$K$3=2,
IF(ISBLANK(Deltagarlista!$C30),"",IF(ISBLANK(Arrangörslista!K$8),"",IF($GV40=R$64," DNS ",IFERROR(VLOOKUP($F40,Arrangörslista!K$8:$AG$45,16,FALSE),"DNS")))),IF(ISBLANK(Deltagarlista!$C30),"",IF(ISBLANK(Arrangörslista!K$8),"",IFERROR(VLOOKUP($F40,Arrangörslista!K$8:$AG$45,16,FALSE),"DNS")))))</f>
        <v/>
      </c>
      <c r="S40" s="5" t="str">
        <f>IF(Deltagarlista!$K$3=4,IF(ISBLANK(Deltagarlista!$C30),"",IF(ISBLANK(Arrangörslista!F$53),"",IFERROR(VLOOKUP($F40,Arrangörslista!F$53:$AG$90,16,FALSE),IF(ISBLANK(Deltagarlista!$C30),"",IF(ISBLANK(Arrangörslista!F$53),"",IFERROR(VLOOKUP($F40,Arrangörslista!G$53:$AG$90,16,FALSE),"DNS")))))),IF(Deltagarlista!$K$3=2,
IF(ISBLANK(Deltagarlista!$C30),"",IF(ISBLANK(Arrangörslista!L$8),"",IF($GV40=S$64," DNS ",IFERROR(VLOOKUP($F40,Arrangörslista!L$8:$AG$45,16,FALSE),"DNS")))),IF(ISBLANK(Deltagarlista!$C30),"",IF(ISBLANK(Arrangörslista!L$8),"",IFERROR(VLOOKUP($F40,Arrangörslista!L$8:$AG$45,16,FALSE),"DNS")))))</f>
        <v/>
      </c>
      <c r="T40" s="5" t="str">
        <f>IF(Deltagarlista!$K$3=4,IF(ISBLANK(Deltagarlista!$C30),"",IF(ISBLANK(Arrangörslista!H$53),"",IFERROR(VLOOKUP($F40,Arrangörslista!H$53:$AG$90,16,FALSE),IF(ISBLANK(Deltagarlista!$C30),"",IF(ISBLANK(Arrangörslista!H$53),"",IFERROR(VLOOKUP($F40,Arrangörslista!I$53:$AG$90,16,FALSE),"DNS")))))),IF(Deltagarlista!$K$3=2,
IF(ISBLANK(Deltagarlista!$C30),"",IF(ISBLANK(Arrangörslista!M$8),"",IF($GV40=T$64," DNS ",IFERROR(VLOOKUP($F40,Arrangörslista!M$8:$AG$45,16,FALSE),"DNS")))),IF(ISBLANK(Deltagarlista!$C30),"",IF(ISBLANK(Arrangörslista!M$8),"",IFERROR(VLOOKUP($F40,Arrangörslista!M$8:$AG$45,16,FALSE),"DNS")))))</f>
        <v/>
      </c>
      <c r="U40" s="5" t="str">
        <f>IF(Deltagarlista!$K$3=4,IF(ISBLANK(Deltagarlista!$C30),"",IF(ISBLANK(Arrangörslista!J$53),"",IFERROR(VLOOKUP($F40,Arrangörslista!J$53:$AG$90,16,FALSE),IF(ISBLANK(Deltagarlista!$C30),"",IF(ISBLANK(Arrangörslista!J$53),"",IFERROR(VLOOKUP($F40,Arrangörslista!K$53:$AG$90,16,FALSE),"DNS")))))),IF(Deltagarlista!$K$3=2,
IF(ISBLANK(Deltagarlista!$C30),"",IF(ISBLANK(Arrangörslista!N$8),"",IF($GV40=U$64," DNS ",IFERROR(VLOOKUP($F40,Arrangörslista!N$8:$AG$45,16,FALSE),"DNS")))),IF(ISBLANK(Deltagarlista!$C30),"",IF(ISBLANK(Arrangörslista!N$8),"",IFERROR(VLOOKUP($F40,Arrangörslista!N$8:$AG$45,16,FALSE),"DNS")))))</f>
        <v/>
      </c>
      <c r="V40" s="5" t="str">
        <f>IF(Deltagarlista!$K$3=4,IF(ISBLANK(Deltagarlista!$C30),"",IF(ISBLANK(Arrangörslista!L$53),"",IFERROR(VLOOKUP($F40,Arrangörslista!L$53:$AG$90,16,FALSE),IF(ISBLANK(Deltagarlista!$C30),"",IF(ISBLANK(Arrangörslista!L$53),"",IFERROR(VLOOKUP($F40,Arrangörslista!M$53:$AG$90,16,FALSE),"DNS")))))),IF(Deltagarlista!$K$3=2,
IF(ISBLANK(Deltagarlista!$C30),"",IF(ISBLANK(Arrangörslista!O$8),"",IF($GV40=V$64," DNS ",IFERROR(VLOOKUP($F40,Arrangörslista!O$8:$AG$45,16,FALSE),"DNS")))),IF(ISBLANK(Deltagarlista!$C30),"",IF(ISBLANK(Arrangörslista!O$8),"",IFERROR(VLOOKUP($F40,Arrangörslista!O$8:$AG$45,16,FALSE),"DNS")))))</f>
        <v/>
      </c>
      <c r="W40" s="5" t="str">
        <f>IF(Deltagarlista!$K$3=4,IF(ISBLANK(Deltagarlista!$C30),"",IF(ISBLANK(Arrangörslista!N$53),"",IFERROR(VLOOKUP($F40,Arrangörslista!N$53:$AG$90,16,FALSE),IF(ISBLANK(Deltagarlista!$C30),"",IF(ISBLANK(Arrangörslista!N$53),"",IFERROR(VLOOKUP($F40,Arrangörslista!O$53:$AG$90,16,FALSE),"DNS")))))),IF(Deltagarlista!$K$3=2,
IF(ISBLANK(Deltagarlista!$C30),"",IF(ISBLANK(Arrangörslista!P$8),"",IF($GV40=W$64," DNS ",IFERROR(VLOOKUP($F40,Arrangörslista!P$8:$AG$45,16,FALSE),"DNS")))),IF(ISBLANK(Deltagarlista!$C30),"",IF(ISBLANK(Arrangörslista!P$8),"",IFERROR(VLOOKUP($F40,Arrangörslista!P$8:$AG$45,16,FALSE),"DNS")))))</f>
        <v/>
      </c>
      <c r="X40" s="5" t="str">
        <f>IF(Deltagarlista!$K$3=4,IF(ISBLANK(Deltagarlista!$C30),"",IF(ISBLANK(Arrangörslista!P$53),"",IFERROR(VLOOKUP($F40,Arrangörslista!P$53:$AG$90,16,FALSE),IF(ISBLANK(Deltagarlista!$C30),"",IF(ISBLANK(Arrangörslista!P$53),"",IFERROR(VLOOKUP($F40,Arrangörslista!Q$53:$AG$90,16,FALSE),"DNS")))))),IF(Deltagarlista!$K$3=2,
IF(ISBLANK(Deltagarlista!$C30),"",IF(ISBLANK(Arrangörslista!Q$8),"",IF($GV40=X$64," DNS ",IFERROR(VLOOKUP($F40,Arrangörslista!Q$8:$AG$45,16,FALSE),"DNS")))),IF(ISBLANK(Deltagarlista!$C30),"",IF(ISBLANK(Arrangörslista!Q$8),"",IFERROR(VLOOKUP($F40,Arrangörslista!Q$8:$AG$45,16,FALSE),"DNS")))))</f>
        <v/>
      </c>
      <c r="Y40" s="5" t="str">
        <f>IF(Deltagarlista!$K$3=4,IF(ISBLANK(Deltagarlista!$C30),"",IF(ISBLANK(Arrangörslista!C$98),"",IFERROR(VLOOKUP($F40,Arrangörslista!C$98:$AG$135,16,FALSE),IF(ISBLANK(Deltagarlista!$C30),"",IF(ISBLANK(Arrangörslista!C$98),"",IFERROR(VLOOKUP($F40,Arrangörslista!D$98:$AG$135,16,FALSE),"DNS")))))),IF(Deltagarlista!$K$3=2,
IF(ISBLANK(Deltagarlista!$C30),"",IF(ISBLANK(Arrangörslista!C$53),"",IF($GV40=Y$64," DNS ",IFERROR(VLOOKUP($F40,Arrangörslista!C$53:$AG$90,16,FALSE),"DNS")))),IF(ISBLANK(Deltagarlista!$C30),"",IF(ISBLANK(Arrangörslista!C$53),"",IFERROR(VLOOKUP($F40,Arrangörslista!C$53:$AG$90,16,FALSE),"DNS")))))</f>
        <v/>
      </c>
      <c r="Z40" s="5" t="str">
        <f>IF(Deltagarlista!$K$3=4,IF(ISBLANK(Deltagarlista!$C30),"",IF(ISBLANK(Arrangörslista!E$98),"",IFERROR(VLOOKUP($F40,Arrangörslista!E$98:$AG$135,16,FALSE),IF(ISBLANK(Deltagarlista!$C30),"",IF(ISBLANK(Arrangörslista!E$98),"",IFERROR(VLOOKUP($F40,Arrangörslista!F$98:$AG$135,16,FALSE),"DNS")))))),IF(Deltagarlista!$K$3=2,
IF(ISBLANK(Deltagarlista!$C30),"",IF(ISBLANK(Arrangörslista!D$53),"",IF($GV40=Z$64," DNS ",IFERROR(VLOOKUP($F40,Arrangörslista!D$53:$AG$90,16,FALSE),"DNS")))),IF(ISBLANK(Deltagarlista!$C30),"",IF(ISBLANK(Arrangörslista!D$53),"",IFERROR(VLOOKUP($F40,Arrangörslista!D$53:$AG$90,16,FALSE),"DNS")))))</f>
        <v/>
      </c>
      <c r="AA40" s="5" t="str">
        <f>IF(Deltagarlista!$K$3=4,IF(ISBLANK(Deltagarlista!$C30),"",IF(ISBLANK(Arrangörslista!G$98),"",IFERROR(VLOOKUP($F40,Arrangörslista!G$98:$AG$135,16,FALSE),IF(ISBLANK(Deltagarlista!$C30),"",IF(ISBLANK(Arrangörslista!G$98),"",IFERROR(VLOOKUP($F40,Arrangörslista!H$98:$AG$135,16,FALSE),"DNS")))))),IF(Deltagarlista!$K$3=2,
IF(ISBLANK(Deltagarlista!$C30),"",IF(ISBLANK(Arrangörslista!E$53),"",IF($GV40=AA$64," DNS ",IFERROR(VLOOKUP($F40,Arrangörslista!E$53:$AG$90,16,FALSE),"DNS")))),IF(ISBLANK(Deltagarlista!$C30),"",IF(ISBLANK(Arrangörslista!E$53),"",IFERROR(VLOOKUP($F40,Arrangörslista!E$53:$AG$90,16,FALSE),"DNS")))))</f>
        <v/>
      </c>
      <c r="AB40" s="5" t="str">
        <f>IF(Deltagarlista!$K$3=4,IF(ISBLANK(Deltagarlista!$C30),"",IF(ISBLANK(Arrangörslista!I$98),"",IFERROR(VLOOKUP($F40,Arrangörslista!I$98:$AG$135,16,FALSE),IF(ISBLANK(Deltagarlista!$C30),"",IF(ISBLANK(Arrangörslista!I$98),"",IFERROR(VLOOKUP($F40,Arrangörslista!J$98:$AG$135,16,FALSE),"DNS")))))),IF(Deltagarlista!$K$3=2,
IF(ISBLANK(Deltagarlista!$C30),"",IF(ISBLANK(Arrangörslista!F$53),"",IF($GV40=AB$64," DNS ",IFERROR(VLOOKUP($F40,Arrangörslista!F$53:$AG$90,16,FALSE),"DNS")))),IF(ISBLANK(Deltagarlista!$C30),"",IF(ISBLANK(Arrangörslista!F$53),"",IFERROR(VLOOKUP($F40,Arrangörslista!F$53:$AG$90,16,FALSE),"DNS")))))</f>
        <v/>
      </c>
      <c r="AC40" s="5" t="str">
        <f>IF(Deltagarlista!$K$3=4,IF(ISBLANK(Deltagarlista!$C30),"",IF(ISBLANK(Arrangörslista!K$98),"",IFERROR(VLOOKUP($F40,Arrangörslista!K$98:$AG$135,16,FALSE),IF(ISBLANK(Deltagarlista!$C30),"",IF(ISBLANK(Arrangörslista!K$98),"",IFERROR(VLOOKUP($F40,Arrangörslista!L$98:$AG$135,16,FALSE),"DNS")))))),IF(Deltagarlista!$K$3=2,
IF(ISBLANK(Deltagarlista!$C30),"",IF(ISBLANK(Arrangörslista!G$53),"",IF($GV40=AC$64," DNS ",IFERROR(VLOOKUP($F40,Arrangörslista!G$53:$AG$90,16,FALSE),"DNS")))),IF(ISBLANK(Deltagarlista!$C30),"",IF(ISBLANK(Arrangörslista!G$53),"",IFERROR(VLOOKUP($F40,Arrangörslista!G$53:$AG$90,16,FALSE),"DNS")))))</f>
        <v/>
      </c>
      <c r="AD40" s="5" t="str">
        <f>IF(Deltagarlista!$K$3=4,IF(ISBLANK(Deltagarlista!$C30),"",IF(ISBLANK(Arrangörslista!M$98),"",IFERROR(VLOOKUP($F40,Arrangörslista!M$98:$AG$135,16,FALSE),IF(ISBLANK(Deltagarlista!$C30),"",IF(ISBLANK(Arrangörslista!M$98),"",IFERROR(VLOOKUP($F40,Arrangörslista!N$98:$AG$135,16,FALSE),"DNS")))))),IF(Deltagarlista!$K$3=2,
IF(ISBLANK(Deltagarlista!$C30),"",IF(ISBLANK(Arrangörslista!H$53),"",IF($GV40=AD$64," DNS ",IFERROR(VLOOKUP($F40,Arrangörslista!H$53:$AG$90,16,FALSE),"DNS")))),IF(ISBLANK(Deltagarlista!$C30),"",IF(ISBLANK(Arrangörslista!H$53),"",IFERROR(VLOOKUP($F40,Arrangörslista!H$53:$AG$90,16,FALSE),"DNS")))))</f>
        <v/>
      </c>
      <c r="AE40" s="5" t="str">
        <f>IF(Deltagarlista!$K$3=4,IF(ISBLANK(Deltagarlista!$C30),"",IF(ISBLANK(Arrangörslista!O$98),"",IFERROR(VLOOKUP($F40,Arrangörslista!O$98:$AG$135,16,FALSE),IF(ISBLANK(Deltagarlista!$C30),"",IF(ISBLANK(Arrangörslista!O$98),"",IFERROR(VLOOKUP($F40,Arrangörslista!P$98:$AG$135,16,FALSE),"DNS")))))),IF(Deltagarlista!$K$3=2,
IF(ISBLANK(Deltagarlista!$C30),"",IF(ISBLANK(Arrangörslista!I$53),"",IF($GV40=AE$64," DNS ",IFERROR(VLOOKUP($F40,Arrangörslista!I$53:$AG$90,16,FALSE),"DNS")))),IF(ISBLANK(Deltagarlista!$C30),"",IF(ISBLANK(Arrangörslista!I$53),"",IFERROR(VLOOKUP($F40,Arrangörslista!I$53:$AG$90,16,FALSE),"DNS")))))</f>
        <v/>
      </c>
      <c r="AF40" s="5" t="str">
        <f>IF(Deltagarlista!$K$3=4,IF(ISBLANK(Deltagarlista!$C30),"",IF(ISBLANK(Arrangörslista!Q$98),"",IFERROR(VLOOKUP($F40,Arrangörslista!Q$98:$AG$135,16,FALSE),IF(ISBLANK(Deltagarlista!$C30),"",IF(ISBLANK(Arrangörslista!Q$98),"",IFERROR(VLOOKUP($F40,Arrangörslista!C$143:$AG$180,16,FALSE),"DNS")))))),IF(Deltagarlista!$K$3=2,
IF(ISBLANK(Deltagarlista!$C30),"",IF(ISBLANK(Arrangörslista!J$53),"",IF($GV40=AF$64," DNS ",IFERROR(VLOOKUP($F40,Arrangörslista!J$53:$AG$90,16,FALSE),"DNS")))),IF(ISBLANK(Deltagarlista!$C30),"",IF(ISBLANK(Arrangörslista!J$53),"",IFERROR(VLOOKUP($F40,Arrangörslista!J$53:$AG$90,16,FALSE),"DNS")))))</f>
        <v/>
      </c>
      <c r="AG40" s="5" t="str">
        <f>IF(Deltagarlista!$K$3=4,IF(ISBLANK(Deltagarlista!$C30),"",IF(ISBLANK(Arrangörslista!D$143),"",IFERROR(VLOOKUP($F40,Arrangörslista!D$143:$AG$180,16,FALSE),IF(ISBLANK(Deltagarlista!$C30),"",IF(ISBLANK(Arrangörslista!D$143),"",IFERROR(VLOOKUP($F40,Arrangörslista!E$143:$AG$180,16,FALSE),"DNS")))))),IF(Deltagarlista!$K$3=2,
IF(ISBLANK(Deltagarlista!$C30),"",IF(ISBLANK(Arrangörslista!K$53),"",IF($GV40=AG$64," DNS ",IFERROR(VLOOKUP($F40,Arrangörslista!K$53:$AG$90,16,FALSE),"DNS")))),IF(ISBLANK(Deltagarlista!$C30),"",IF(ISBLANK(Arrangörslista!K$53),"",IFERROR(VLOOKUP($F40,Arrangörslista!K$53:$AG$90,16,FALSE),"DNS")))))</f>
        <v/>
      </c>
      <c r="AH40" s="5" t="str">
        <f>IF(Deltagarlista!$K$3=4,IF(ISBLANK(Deltagarlista!$C30),"",IF(ISBLANK(Arrangörslista!F$143),"",IFERROR(VLOOKUP($F40,Arrangörslista!F$143:$AG$180,16,FALSE),IF(ISBLANK(Deltagarlista!$C30),"",IF(ISBLANK(Arrangörslista!F$143),"",IFERROR(VLOOKUP($F40,Arrangörslista!G$143:$AG$180,16,FALSE),"DNS")))))),IF(Deltagarlista!$K$3=2,
IF(ISBLANK(Deltagarlista!$C30),"",IF(ISBLANK(Arrangörslista!L$53),"",IF($GV40=AH$64," DNS ",IFERROR(VLOOKUP($F40,Arrangörslista!L$53:$AG$90,16,FALSE),"DNS")))),IF(ISBLANK(Deltagarlista!$C30),"",IF(ISBLANK(Arrangörslista!L$53),"",IFERROR(VLOOKUP($F40,Arrangörslista!L$53:$AG$90,16,FALSE),"DNS")))))</f>
        <v/>
      </c>
      <c r="AI40" s="5" t="str">
        <f>IF(Deltagarlista!$K$3=4,IF(ISBLANK(Deltagarlista!$C30),"",IF(ISBLANK(Arrangörslista!H$143),"",IFERROR(VLOOKUP($F40,Arrangörslista!H$143:$AG$180,16,FALSE),IF(ISBLANK(Deltagarlista!$C30),"",IF(ISBLANK(Arrangörslista!H$143),"",IFERROR(VLOOKUP($F40,Arrangörslista!I$143:$AG$180,16,FALSE),"DNS")))))),IF(Deltagarlista!$K$3=2,
IF(ISBLANK(Deltagarlista!$C30),"",IF(ISBLANK(Arrangörslista!M$53),"",IF($GV40=AI$64," DNS ",IFERROR(VLOOKUP($F40,Arrangörslista!M$53:$AG$90,16,FALSE),"DNS")))),IF(ISBLANK(Deltagarlista!$C30),"",IF(ISBLANK(Arrangörslista!M$53),"",IFERROR(VLOOKUP($F40,Arrangörslista!M$53:$AG$90,16,FALSE),"DNS")))))</f>
        <v/>
      </c>
      <c r="AJ40" s="5" t="str">
        <f>IF(Deltagarlista!$K$3=4,IF(ISBLANK(Deltagarlista!$C30),"",IF(ISBLANK(Arrangörslista!J$143),"",IFERROR(VLOOKUP($F40,Arrangörslista!J$143:$AG$180,16,FALSE),IF(ISBLANK(Deltagarlista!$C30),"",IF(ISBLANK(Arrangörslista!J$143),"",IFERROR(VLOOKUP($F40,Arrangörslista!K$143:$AG$180,16,FALSE),"DNS")))))),IF(Deltagarlista!$K$3=2,
IF(ISBLANK(Deltagarlista!$C30),"",IF(ISBLANK(Arrangörslista!N$53),"",IF($GV40=AJ$64," DNS ",IFERROR(VLOOKUP($F40,Arrangörslista!N$53:$AG$90,16,FALSE),"DNS")))),IF(ISBLANK(Deltagarlista!$C30),"",IF(ISBLANK(Arrangörslista!N$53),"",IFERROR(VLOOKUP($F40,Arrangörslista!N$53:$AG$90,16,FALSE),"DNS")))))</f>
        <v/>
      </c>
      <c r="AK40" s="5" t="str">
        <f>IF(Deltagarlista!$K$3=4,IF(ISBLANK(Deltagarlista!$C30),"",IF(ISBLANK(Arrangörslista!L$143),"",IFERROR(VLOOKUP($F40,Arrangörslista!L$143:$AG$180,16,FALSE),IF(ISBLANK(Deltagarlista!$C30),"",IF(ISBLANK(Arrangörslista!L$143),"",IFERROR(VLOOKUP($F40,Arrangörslista!M$143:$AG$180,16,FALSE),"DNS")))))),IF(Deltagarlista!$K$3=2,
IF(ISBLANK(Deltagarlista!$C30),"",IF(ISBLANK(Arrangörslista!O$53),"",IF($GV40=AK$64," DNS ",IFERROR(VLOOKUP($F40,Arrangörslista!O$53:$AG$90,16,FALSE),"DNS")))),IF(ISBLANK(Deltagarlista!$C30),"",IF(ISBLANK(Arrangörslista!O$53),"",IFERROR(VLOOKUP($F40,Arrangörslista!O$53:$AG$90,16,FALSE),"DNS")))))</f>
        <v/>
      </c>
      <c r="AL40" s="5" t="str">
        <f>IF(Deltagarlista!$K$3=4,IF(ISBLANK(Deltagarlista!$C30),"",IF(ISBLANK(Arrangörslista!N$143),"",IFERROR(VLOOKUP($F40,Arrangörslista!N$143:$AG$180,16,FALSE),IF(ISBLANK(Deltagarlista!$C30),"",IF(ISBLANK(Arrangörslista!N$143),"",IFERROR(VLOOKUP($F40,Arrangörslista!O$143:$AG$180,16,FALSE),"DNS")))))),IF(Deltagarlista!$K$3=2,
IF(ISBLANK(Deltagarlista!$C30),"",IF(ISBLANK(Arrangörslista!P$53),"",IF($GV40=AL$64," DNS ",IFERROR(VLOOKUP($F40,Arrangörslista!P$53:$AG$90,16,FALSE),"DNS")))),IF(ISBLANK(Deltagarlista!$C30),"",IF(ISBLANK(Arrangörslista!P$53),"",IFERROR(VLOOKUP($F40,Arrangörslista!P$53:$AG$90,16,FALSE),"DNS")))))</f>
        <v/>
      </c>
      <c r="AM40" s="5" t="str">
        <f>IF(Deltagarlista!$K$3=4,IF(ISBLANK(Deltagarlista!$C30),"",IF(ISBLANK(Arrangörslista!P$143),"",IFERROR(VLOOKUP($F40,Arrangörslista!P$143:$AG$180,16,FALSE),IF(ISBLANK(Deltagarlista!$C30),"",IF(ISBLANK(Arrangörslista!P$143),"",IFERROR(VLOOKUP($F40,Arrangörslista!Q$143:$AG$180,16,FALSE),"DNS")))))),IF(Deltagarlista!$K$3=2,
IF(ISBLANK(Deltagarlista!$C30),"",IF(ISBLANK(Arrangörslista!Q$53),"",IF($GV40=AM$64," DNS ",IFERROR(VLOOKUP($F40,Arrangörslista!Q$53:$AG$90,16,FALSE),"DNS")))),IF(ISBLANK(Deltagarlista!$C30),"",IF(ISBLANK(Arrangörslista!Q$53),"",IFERROR(VLOOKUP($F40,Arrangörslista!Q$53:$AG$90,16,FALSE),"DNS")))))</f>
        <v/>
      </c>
      <c r="AN40" s="5" t="str">
        <f>IF(Deltagarlista!$K$3=2,
IF(ISBLANK(Deltagarlista!$C30),"",IF(ISBLANK(Arrangörslista!C$98),"",IF($GV40=AN$64," DNS ",IFERROR(VLOOKUP($F40,Arrangörslista!C$98:$AG$135,16,FALSE), "DNS")))), IF(Deltagarlista!$K$3=1,IF(ISBLANK(Deltagarlista!$C30),"",IF(ISBLANK(Arrangörslista!C$98),"",IFERROR(VLOOKUP($F40,Arrangörslista!C$98:$AG$135,16,FALSE), "DNS"))),""))</f>
        <v/>
      </c>
      <c r="AO40" s="5" t="str">
        <f>IF(Deltagarlista!$K$3=2,
IF(ISBLANK(Deltagarlista!$C30),"",IF(ISBLANK(Arrangörslista!D$98),"",IF($GV40=AO$64," DNS ",IFERROR(VLOOKUP($F40,Arrangörslista!D$98:$AG$135,16,FALSE), "DNS")))), IF(Deltagarlista!$K$3=1,IF(ISBLANK(Deltagarlista!$C30),"",IF(ISBLANK(Arrangörslista!D$98),"",IFERROR(VLOOKUP($F40,Arrangörslista!D$98:$AG$135,16,FALSE), "DNS"))),""))</f>
        <v/>
      </c>
      <c r="AP40" s="5" t="str">
        <f>IF(Deltagarlista!$K$3=2,
IF(ISBLANK(Deltagarlista!$C30),"",IF(ISBLANK(Arrangörslista!E$98),"",IF($GV40=AP$64," DNS ",IFERROR(VLOOKUP($F40,Arrangörslista!E$98:$AG$135,16,FALSE), "DNS")))), IF(Deltagarlista!$K$3=1,IF(ISBLANK(Deltagarlista!$C30),"",IF(ISBLANK(Arrangörslista!E$98),"",IFERROR(VLOOKUP($F40,Arrangörslista!E$98:$AG$135,16,FALSE), "DNS"))),""))</f>
        <v/>
      </c>
      <c r="AQ40" s="5" t="str">
        <f>IF(Deltagarlista!$K$3=2,
IF(ISBLANK(Deltagarlista!$C30),"",IF(ISBLANK(Arrangörslista!F$98),"",IF($GV40=AQ$64," DNS ",IFERROR(VLOOKUP($F40,Arrangörslista!F$98:$AG$135,16,FALSE), "DNS")))), IF(Deltagarlista!$K$3=1,IF(ISBLANK(Deltagarlista!$C30),"",IF(ISBLANK(Arrangörslista!F$98),"",IFERROR(VLOOKUP($F40,Arrangörslista!F$98:$AG$135,16,FALSE), "DNS"))),""))</f>
        <v/>
      </c>
      <c r="AR40" s="5" t="str">
        <f>IF(Deltagarlista!$K$3=2,
IF(ISBLANK(Deltagarlista!$C30),"",IF(ISBLANK(Arrangörslista!G$98),"",IF($GV40=AR$64," DNS ",IFERROR(VLOOKUP($F40,Arrangörslista!G$98:$AG$135,16,FALSE), "DNS")))), IF(Deltagarlista!$K$3=1,IF(ISBLANK(Deltagarlista!$C30),"",IF(ISBLANK(Arrangörslista!G$98),"",IFERROR(VLOOKUP($F40,Arrangörslista!G$98:$AG$135,16,FALSE), "DNS"))),""))</f>
        <v/>
      </c>
      <c r="AS40" s="5" t="str">
        <f>IF(Deltagarlista!$K$3=2,
IF(ISBLANK(Deltagarlista!$C30),"",IF(ISBLANK(Arrangörslista!H$98),"",IF($GV40=AS$64," DNS ",IFERROR(VLOOKUP($F40,Arrangörslista!H$98:$AG$135,16,FALSE), "DNS")))), IF(Deltagarlista!$K$3=1,IF(ISBLANK(Deltagarlista!$C30),"",IF(ISBLANK(Arrangörslista!H$98),"",IFERROR(VLOOKUP($F40,Arrangörslista!H$98:$AG$135,16,FALSE), "DNS"))),""))</f>
        <v/>
      </c>
      <c r="AT40" s="5" t="str">
        <f>IF(Deltagarlista!$K$3=2,
IF(ISBLANK(Deltagarlista!$C30),"",IF(ISBLANK(Arrangörslista!I$98),"",IF($GV40=AT$64," DNS ",IFERROR(VLOOKUP($F40,Arrangörslista!I$98:$AG$135,16,FALSE), "DNS")))), IF(Deltagarlista!$K$3=1,IF(ISBLANK(Deltagarlista!$C30),"",IF(ISBLANK(Arrangörslista!I$98),"",IFERROR(VLOOKUP($F40,Arrangörslista!I$98:$AG$135,16,FALSE), "DNS"))),""))</f>
        <v/>
      </c>
      <c r="AU40" s="5" t="str">
        <f>IF(Deltagarlista!$K$3=2,
IF(ISBLANK(Deltagarlista!$C30),"",IF(ISBLANK(Arrangörslista!J$98),"",IF($GV40=AU$64," DNS ",IFERROR(VLOOKUP($F40,Arrangörslista!J$98:$AG$135,16,FALSE), "DNS")))), IF(Deltagarlista!$K$3=1,IF(ISBLANK(Deltagarlista!$C30),"",IF(ISBLANK(Arrangörslista!J$98),"",IFERROR(VLOOKUP($F40,Arrangörslista!J$98:$AG$135,16,FALSE), "DNS"))),""))</f>
        <v/>
      </c>
      <c r="AV40" s="5" t="str">
        <f>IF(Deltagarlista!$K$3=2,
IF(ISBLANK(Deltagarlista!$C30),"",IF(ISBLANK(Arrangörslista!K$98),"",IF($GV40=AV$64," DNS ",IFERROR(VLOOKUP($F40,Arrangörslista!K$98:$AG$135,16,FALSE), "DNS")))), IF(Deltagarlista!$K$3=1,IF(ISBLANK(Deltagarlista!$C30),"",IF(ISBLANK(Arrangörslista!K$98),"",IFERROR(VLOOKUP($F40,Arrangörslista!K$98:$AG$135,16,FALSE), "DNS"))),""))</f>
        <v/>
      </c>
      <c r="AW40" s="5" t="str">
        <f>IF(Deltagarlista!$K$3=2,
IF(ISBLANK(Deltagarlista!$C30),"",IF(ISBLANK(Arrangörslista!L$98),"",IF($GV40=AW$64," DNS ",IFERROR(VLOOKUP($F40,Arrangörslista!L$98:$AG$135,16,FALSE), "DNS")))), IF(Deltagarlista!$K$3=1,IF(ISBLANK(Deltagarlista!$C30),"",IF(ISBLANK(Arrangörslista!L$98),"",IFERROR(VLOOKUP($F40,Arrangörslista!L$98:$AG$135,16,FALSE), "DNS"))),""))</f>
        <v/>
      </c>
      <c r="AX40" s="5" t="str">
        <f>IF(Deltagarlista!$K$3=2,
IF(ISBLANK(Deltagarlista!$C30),"",IF(ISBLANK(Arrangörslista!M$98),"",IF($GV40=AX$64," DNS ",IFERROR(VLOOKUP($F40,Arrangörslista!M$98:$AG$135,16,FALSE), "DNS")))), IF(Deltagarlista!$K$3=1,IF(ISBLANK(Deltagarlista!$C30),"",IF(ISBLANK(Arrangörslista!M$98),"",IFERROR(VLOOKUP($F40,Arrangörslista!M$98:$AG$135,16,FALSE), "DNS"))),""))</f>
        <v/>
      </c>
      <c r="AY40" s="5" t="str">
        <f>IF(Deltagarlista!$K$3=2,
IF(ISBLANK(Deltagarlista!$C30),"",IF(ISBLANK(Arrangörslista!N$98),"",IF($GV40=AY$64," DNS ",IFERROR(VLOOKUP($F40,Arrangörslista!N$98:$AG$135,16,FALSE), "DNS")))), IF(Deltagarlista!$K$3=1,IF(ISBLANK(Deltagarlista!$C30),"",IF(ISBLANK(Arrangörslista!N$98),"",IFERROR(VLOOKUP($F40,Arrangörslista!N$98:$AG$135,16,FALSE), "DNS"))),""))</f>
        <v/>
      </c>
      <c r="AZ40" s="5" t="str">
        <f>IF(Deltagarlista!$K$3=2,
IF(ISBLANK(Deltagarlista!$C30),"",IF(ISBLANK(Arrangörslista!O$98),"",IF($GV40=AZ$64," DNS ",IFERROR(VLOOKUP($F40,Arrangörslista!O$98:$AG$135,16,FALSE), "DNS")))), IF(Deltagarlista!$K$3=1,IF(ISBLANK(Deltagarlista!$C30),"",IF(ISBLANK(Arrangörslista!O$98),"",IFERROR(VLOOKUP($F40,Arrangörslista!O$98:$AG$135,16,FALSE), "DNS"))),""))</f>
        <v/>
      </c>
      <c r="BA40" s="5" t="str">
        <f>IF(Deltagarlista!$K$3=2,
IF(ISBLANK(Deltagarlista!$C30),"",IF(ISBLANK(Arrangörslista!P$98),"",IF($GV40=BA$64," DNS ",IFERROR(VLOOKUP($F40,Arrangörslista!P$98:$AG$135,16,FALSE), "DNS")))), IF(Deltagarlista!$K$3=1,IF(ISBLANK(Deltagarlista!$C30),"",IF(ISBLANK(Arrangörslista!P$98),"",IFERROR(VLOOKUP($F40,Arrangörslista!P$98:$AG$135,16,FALSE), "DNS"))),""))</f>
        <v/>
      </c>
      <c r="BB40" s="5" t="str">
        <f>IF(Deltagarlista!$K$3=2,
IF(ISBLANK(Deltagarlista!$C30),"",IF(ISBLANK(Arrangörslista!Q$98),"",IF($GV40=BB$64," DNS ",IFERROR(VLOOKUP($F40,Arrangörslista!Q$98:$AG$135,16,FALSE), "DNS")))), IF(Deltagarlista!$K$3=1,IF(ISBLANK(Deltagarlista!$C30),"",IF(ISBLANK(Arrangörslista!Q$98),"",IFERROR(VLOOKUP($F40,Arrangörslista!Q$98:$AG$135,16,FALSE), "DNS"))),""))</f>
        <v/>
      </c>
      <c r="BC40" s="5" t="str">
        <f>IF(Deltagarlista!$K$3=2,
IF(ISBLANK(Deltagarlista!$C30),"",IF(ISBLANK(Arrangörslista!C$143),"",IF($GV40=BC$64," DNS ",IFERROR(VLOOKUP($F40,Arrangörslista!C$143:$AG$180,16,FALSE), "DNS")))), IF(Deltagarlista!$K$3=1,IF(ISBLANK(Deltagarlista!$C30),"",IF(ISBLANK(Arrangörslista!C$143),"",IFERROR(VLOOKUP($F40,Arrangörslista!C$143:$AG$180,16,FALSE), "DNS"))),""))</f>
        <v/>
      </c>
      <c r="BD40" s="5" t="str">
        <f>IF(Deltagarlista!$K$3=2,
IF(ISBLANK(Deltagarlista!$C30),"",IF(ISBLANK(Arrangörslista!D$143),"",IF($GV40=BD$64," DNS ",IFERROR(VLOOKUP($F40,Arrangörslista!D$143:$AG$180,16,FALSE), "DNS")))), IF(Deltagarlista!$K$3=1,IF(ISBLANK(Deltagarlista!$C30),"",IF(ISBLANK(Arrangörslista!D$143),"",IFERROR(VLOOKUP($F40,Arrangörslista!D$143:$AG$180,16,FALSE), "DNS"))),""))</f>
        <v/>
      </c>
      <c r="BE40" s="5" t="str">
        <f>IF(Deltagarlista!$K$3=2,
IF(ISBLANK(Deltagarlista!$C30),"",IF(ISBLANK(Arrangörslista!E$143),"",IF($GV40=BE$64," DNS ",IFERROR(VLOOKUP($F40,Arrangörslista!E$143:$AG$180,16,FALSE), "DNS")))), IF(Deltagarlista!$K$3=1,IF(ISBLANK(Deltagarlista!$C30),"",IF(ISBLANK(Arrangörslista!E$143),"",IFERROR(VLOOKUP($F40,Arrangörslista!E$143:$AG$180,16,FALSE), "DNS"))),""))</f>
        <v/>
      </c>
      <c r="BF40" s="5" t="str">
        <f>IF(Deltagarlista!$K$3=2,
IF(ISBLANK(Deltagarlista!$C30),"",IF(ISBLANK(Arrangörslista!F$143),"",IF($GV40=BF$64," DNS ",IFERROR(VLOOKUP($F40,Arrangörslista!F$143:$AG$180,16,FALSE), "DNS")))), IF(Deltagarlista!$K$3=1,IF(ISBLANK(Deltagarlista!$C30),"",IF(ISBLANK(Arrangörslista!F$143),"",IFERROR(VLOOKUP($F40,Arrangörslista!F$143:$AG$180,16,FALSE), "DNS"))),""))</f>
        <v/>
      </c>
      <c r="BG40" s="5" t="str">
        <f>IF(Deltagarlista!$K$3=2,
IF(ISBLANK(Deltagarlista!$C30),"",IF(ISBLANK(Arrangörslista!G$143),"",IF($GV40=BG$64," DNS ",IFERROR(VLOOKUP($F40,Arrangörslista!G$143:$AG$180,16,FALSE), "DNS")))), IF(Deltagarlista!$K$3=1,IF(ISBLANK(Deltagarlista!$C30),"",IF(ISBLANK(Arrangörslista!G$143),"",IFERROR(VLOOKUP($F40,Arrangörslista!G$143:$AG$180,16,FALSE), "DNS"))),""))</f>
        <v/>
      </c>
      <c r="BH40" s="5" t="str">
        <f>IF(Deltagarlista!$K$3=2,
IF(ISBLANK(Deltagarlista!$C30),"",IF(ISBLANK(Arrangörslista!H$143),"",IF($GV40=BH$64," DNS ",IFERROR(VLOOKUP($F40,Arrangörslista!H$143:$AG$180,16,FALSE), "DNS")))), IF(Deltagarlista!$K$3=1,IF(ISBLANK(Deltagarlista!$C30),"",IF(ISBLANK(Arrangörslista!H$143),"",IFERROR(VLOOKUP($F40,Arrangörslista!H$143:$AG$180,16,FALSE), "DNS"))),""))</f>
        <v/>
      </c>
      <c r="BI40" s="5" t="str">
        <f>IF(Deltagarlista!$K$3=2,
IF(ISBLANK(Deltagarlista!$C30),"",IF(ISBLANK(Arrangörslista!I$143),"",IF($GV40=BI$64," DNS ",IFERROR(VLOOKUP($F40,Arrangörslista!I$143:$AG$180,16,FALSE), "DNS")))), IF(Deltagarlista!$K$3=1,IF(ISBLANK(Deltagarlista!$C30),"",IF(ISBLANK(Arrangörslista!I$143),"",IFERROR(VLOOKUP($F40,Arrangörslista!I$143:$AG$180,16,FALSE), "DNS"))),""))</f>
        <v/>
      </c>
      <c r="BJ40" s="5" t="str">
        <f>IF(Deltagarlista!$K$3=2,
IF(ISBLANK(Deltagarlista!$C30),"",IF(ISBLANK(Arrangörslista!J$143),"",IF($GV40=BJ$64," DNS ",IFERROR(VLOOKUP($F40,Arrangörslista!J$143:$AG$180,16,FALSE), "DNS")))), IF(Deltagarlista!$K$3=1,IF(ISBLANK(Deltagarlista!$C30),"",IF(ISBLANK(Arrangörslista!J$143),"",IFERROR(VLOOKUP($F40,Arrangörslista!J$143:$AG$180,16,FALSE), "DNS"))),""))</f>
        <v/>
      </c>
      <c r="BK40" s="5" t="str">
        <f>IF(Deltagarlista!$K$3=2,
IF(ISBLANK(Deltagarlista!$C30),"",IF(ISBLANK(Arrangörslista!K$143),"",IF($GV40=BK$64," DNS ",IFERROR(VLOOKUP($F40,Arrangörslista!K$143:$AG$180,16,FALSE), "DNS")))), IF(Deltagarlista!$K$3=1,IF(ISBLANK(Deltagarlista!$C30),"",IF(ISBLANK(Arrangörslista!K$143),"",IFERROR(VLOOKUP($F40,Arrangörslista!K$143:$AG$180,16,FALSE), "DNS"))),""))</f>
        <v/>
      </c>
      <c r="BL40" s="5" t="str">
        <f>IF(Deltagarlista!$K$3=2,
IF(ISBLANK(Deltagarlista!$C30),"",IF(ISBLANK(Arrangörslista!L$143),"",IF($GV40=BL$64," DNS ",IFERROR(VLOOKUP($F40,Arrangörslista!L$143:$AG$180,16,FALSE), "DNS")))), IF(Deltagarlista!$K$3=1,IF(ISBLANK(Deltagarlista!$C30),"",IF(ISBLANK(Arrangörslista!L$143),"",IFERROR(VLOOKUP($F40,Arrangörslista!L$143:$AG$180,16,FALSE), "DNS"))),""))</f>
        <v/>
      </c>
      <c r="BM40" s="5" t="str">
        <f>IF(Deltagarlista!$K$3=2,
IF(ISBLANK(Deltagarlista!$C30),"",IF(ISBLANK(Arrangörslista!M$143),"",IF($GV40=BM$64," DNS ",IFERROR(VLOOKUP($F40,Arrangörslista!M$143:$AG$180,16,FALSE), "DNS")))), IF(Deltagarlista!$K$3=1,IF(ISBLANK(Deltagarlista!$C30),"",IF(ISBLANK(Arrangörslista!M$143),"",IFERROR(VLOOKUP($F40,Arrangörslista!M$143:$AG$180,16,FALSE), "DNS"))),""))</f>
        <v/>
      </c>
      <c r="BN40" s="5" t="str">
        <f>IF(Deltagarlista!$K$3=2,
IF(ISBLANK(Deltagarlista!$C30),"",IF(ISBLANK(Arrangörslista!N$143),"",IF($GV40=BN$64," DNS ",IFERROR(VLOOKUP($F40,Arrangörslista!N$143:$AG$180,16,FALSE), "DNS")))), IF(Deltagarlista!$K$3=1,IF(ISBLANK(Deltagarlista!$C30),"",IF(ISBLANK(Arrangörslista!N$143),"",IFERROR(VLOOKUP($F40,Arrangörslista!N$143:$AG$180,16,FALSE), "DNS"))),""))</f>
        <v/>
      </c>
      <c r="BO40" s="5" t="str">
        <f>IF(Deltagarlista!$K$3=2,
IF(ISBLANK(Deltagarlista!$C30),"",IF(ISBLANK(Arrangörslista!O$143),"",IF($GV40=BO$64," DNS ",IFERROR(VLOOKUP($F40,Arrangörslista!O$143:$AG$180,16,FALSE), "DNS")))), IF(Deltagarlista!$K$3=1,IF(ISBLANK(Deltagarlista!$C30),"",IF(ISBLANK(Arrangörslista!O$143),"",IFERROR(VLOOKUP($F40,Arrangörslista!O$143:$AG$180,16,FALSE), "DNS"))),""))</f>
        <v/>
      </c>
      <c r="BP40" s="5" t="str">
        <f>IF(Deltagarlista!$K$3=2,
IF(ISBLANK(Deltagarlista!$C30),"",IF(ISBLANK(Arrangörslista!P$143),"",IF($GV40=BP$64," DNS ",IFERROR(VLOOKUP($F40,Arrangörslista!P$143:$AG$180,16,FALSE), "DNS")))), IF(Deltagarlista!$K$3=1,IF(ISBLANK(Deltagarlista!$C30),"",IF(ISBLANK(Arrangörslista!P$143),"",IFERROR(VLOOKUP($F40,Arrangörslista!P$143:$AG$180,16,FALSE), "DNS"))),""))</f>
        <v/>
      </c>
      <c r="BQ40" s="80" t="str">
        <f>IF(Deltagarlista!$K$3=2,
IF(ISBLANK(Deltagarlista!$C30),"",IF(ISBLANK(Arrangörslista!Q$143),"",IF($GV40=BQ$64," DNS ",IFERROR(VLOOKUP($F40,Arrangörslista!Q$143:$AG$180,16,FALSE), "DNS")))), IF(Deltagarlista!$K$3=1,IF(ISBLANK(Deltagarlista!$C30),"",IF(ISBLANK(Arrangörslista!Q$143),"",IFERROR(VLOOKUP($F40,Arrangörslista!Q$143:$AG$180,16,FALSE), "DNS"))),""))</f>
        <v/>
      </c>
      <c r="BR40" s="51"/>
      <c r="BS40" s="50" t="str">
        <f t="shared" si="125"/>
        <v>2</v>
      </c>
      <c r="BT40" s="51"/>
      <c r="BU40" s="71">
        <f t="shared" si="126"/>
        <v>0</v>
      </c>
      <c r="BV40" s="61">
        <f t="shared" si="127"/>
        <v>0</v>
      </c>
      <c r="BW40" s="61">
        <f t="shared" si="128"/>
        <v>0</v>
      </c>
      <c r="BX40" s="61">
        <f t="shared" si="129"/>
        <v>0</v>
      </c>
      <c r="BY40" s="61">
        <f t="shared" si="130"/>
        <v>0</v>
      </c>
      <c r="BZ40" s="61">
        <f t="shared" si="131"/>
        <v>0</v>
      </c>
      <c r="CA40" s="61">
        <f t="shared" si="132"/>
        <v>0</v>
      </c>
      <c r="CB40" s="61">
        <f t="shared" si="133"/>
        <v>0</v>
      </c>
      <c r="CC40" s="61">
        <f t="shared" si="134"/>
        <v>0</v>
      </c>
      <c r="CD40" s="61">
        <f t="shared" si="135"/>
        <v>0</v>
      </c>
      <c r="CE40" s="61">
        <f t="shared" si="136"/>
        <v>0</v>
      </c>
      <c r="CF40" s="61">
        <f t="shared" si="137"/>
        <v>0</v>
      </c>
      <c r="CG40" s="61">
        <f t="shared" si="138"/>
        <v>0</v>
      </c>
      <c r="CH40" s="61">
        <f t="shared" si="139"/>
        <v>0</v>
      </c>
      <c r="CI40" s="61">
        <f t="shared" si="140"/>
        <v>0</v>
      </c>
      <c r="CJ40" s="61">
        <f t="shared" si="141"/>
        <v>0</v>
      </c>
      <c r="CK40" s="61">
        <f t="shared" si="142"/>
        <v>0</v>
      </c>
      <c r="CL40" s="61">
        <f t="shared" si="143"/>
        <v>0</v>
      </c>
      <c r="CM40" s="61">
        <f t="shared" si="144"/>
        <v>0</v>
      </c>
      <c r="CN40" s="61">
        <f t="shared" si="145"/>
        <v>0</v>
      </c>
      <c r="CO40" s="61">
        <f t="shared" si="146"/>
        <v>0</v>
      </c>
      <c r="CP40" s="61">
        <f t="shared" si="147"/>
        <v>0</v>
      </c>
      <c r="CQ40" s="61">
        <f t="shared" si="148"/>
        <v>0</v>
      </c>
      <c r="CR40" s="61">
        <f t="shared" si="149"/>
        <v>0</v>
      </c>
      <c r="CS40" s="61">
        <f t="shared" si="150"/>
        <v>0</v>
      </c>
      <c r="CT40" s="61">
        <f t="shared" si="151"/>
        <v>0</v>
      </c>
      <c r="CU40" s="61">
        <f t="shared" si="152"/>
        <v>0</v>
      </c>
      <c r="CV40" s="61">
        <f t="shared" si="153"/>
        <v>0</v>
      </c>
      <c r="CW40" s="61">
        <f t="shared" si="154"/>
        <v>0</v>
      </c>
      <c r="CX40" s="61">
        <f t="shared" si="155"/>
        <v>0</v>
      </c>
      <c r="CY40" s="61">
        <f t="shared" si="156"/>
        <v>0</v>
      </c>
      <c r="CZ40" s="61">
        <f t="shared" si="157"/>
        <v>0</v>
      </c>
      <c r="DA40" s="61">
        <f t="shared" si="158"/>
        <v>0</v>
      </c>
      <c r="DB40" s="61">
        <f t="shared" si="159"/>
        <v>0</v>
      </c>
      <c r="DC40" s="61">
        <f t="shared" si="160"/>
        <v>0</v>
      </c>
      <c r="DD40" s="61">
        <f t="shared" si="161"/>
        <v>0</v>
      </c>
      <c r="DE40" s="61">
        <f t="shared" si="162"/>
        <v>0</v>
      </c>
      <c r="DF40" s="61">
        <f t="shared" si="163"/>
        <v>0</v>
      </c>
      <c r="DG40" s="61">
        <f t="shared" si="164"/>
        <v>0</v>
      </c>
      <c r="DH40" s="61">
        <f t="shared" si="165"/>
        <v>0</v>
      </c>
      <c r="DI40" s="61">
        <f t="shared" si="166"/>
        <v>0</v>
      </c>
      <c r="DJ40" s="61">
        <f t="shared" si="167"/>
        <v>0</v>
      </c>
      <c r="DK40" s="61">
        <f t="shared" si="168"/>
        <v>0</v>
      </c>
      <c r="DL40" s="61">
        <f t="shared" si="169"/>
        <v>0</v>
      </c>
      <c r="DM40" s="61">
        <f t="shared" si="170"/>
        <v>0</v>
      </c>
      <c r="DN40" s="61">
        <f t="shared" si="171"/>
        <v>0</v>
      </c>
      <c r="DO40" s="61">
        <f t="shared" si="172"/>
        <v>0</v>
      </c>
      <c r="DP40" s="61">
        <f t="shared" si="173"/>
        <v>0</v>
      </c>
      <c r="DQ40" s="61">
        <f t="shared" si="174"/>
        <v>0</v>
      </c>
      <c r="DR40" s="61">
        <f t="shared" si="175"/>
        <v>0</v>
      </c>
      <c r="DS40" s="61">
        <f t="shared" si="176"/>
        <v>0</v>
      </c>
      <c r="DT40" s="61">
        <f t="shared" si="177"/>
        <v>0</v>
      </c>
      <c r="DU40" s="61">
        <f t="shared" si="178"/>
        <v>0</v>
      </c>
      <c r="DV40" s="61">
        <f t="shared" si="179"/>
        <v>0</v>
      </c>
      <c r="DW40" s="61">
        <f t="shared" si="180"/>
        <v>0</v>
      </c>
      <c r="DX40" s="61">
        <f t="shared" si="181"/>
        <v>0</v>
      </c>
      <c r="DY40" s="61">
        <f t="shared" si="182"/>
        <v>0</v>
      </c>
      <c r="DZ40" s="61">
        <f t="shared" si="183"/>
        <v>0</v>
      </c>
      <c r="EA40" s="61">
        <f t="shared" si="184"/>
        <v>0</v>
      </c>
      <c r="EB40" s="61">
        <f t="shared" si="185"/>
        <v>0</v>
      </c>
      <c r="EC40" s="61">
        <f t="shared" si="186"/>
        <v>0</v>
      </c>
      <c r="EE40" s="61">
        <f xml:space="preserve">
IF(OR(Deltagarlista!$K$3=3,Deltagarlista!$K$3=4),
IF(Arrangörslista!$U$5&lt;8,0,
IF(Arrangörslista!$U$5&lt;16,SUM(LARGE(BV40:CJ40,1)),
IF(Arrangörslista!$U$5&lt;24,SUM(LARGE(BV40:CR40,{1;2})),
IF(Arrangörslista!$U$5&lt;32,SUM(LARGE(BV40:CZ40,{1;2;3})),
IF(Arrangörslista!$U$5&lt;40,SUM(LARGE(BV40:DH40,{1;2;3;4})),
IF(Arrangörslista!$U$5&lt;48,SUM(LARGE(BV40:DP40,{1;2;3;4;5})),
IF(Arrangörslista!$U$5&lt;56,SUM(LARGE(BV40:DX40,{1;2;3;4;5;6})),
IF(Arrangörslista!$U$5&lt;64,SUM(LARGE(BV40:EC40,{1;2;3;4;5;6;7})),0)))))))),
IF(Deltagarlista!$K$3=2,
IF(Arrangörslista!$U$5&lt;4,LARGE(BV40:BX40,1),
IF(Arrangörslista!$U$5&lt;7,SUM(LARGE(BV40:CA40,{1;2;3})),
IF(Arrangörslista!$U$5&lt;10,SUM(LARGE(BV40:CD40,{1;2;3;4})),
IF(Arrangörslista!$U$5&lt;13,SUM(LARGE(BV40:CG40,{1;2;3;4;5;6})),
IF(Arrangörslista!$U$5&lt;16,SUM(LARGE(BV40:CJ40,{1;2;3;4;5;6;7})),
IF(Arrangörslista!$U$5&lt;19,SUM(LARGE(BV40:CM40,{1;2;3;4;5;6;7;8;9})),
IF(Arrangörslista!$U$5&lt;22,SUM(LARGE(BV40:CP40,{1;2;3;4;5;6;7;8;9;10})),
IF(Arrangörslista!$U$5&lt;25,SUM(LARGE(BV40:CS40,{1;2;3;4;5;6;7;8;9;10;11;12})),
IF(Arrangörslista!$U$5&lt;28,SUM(LARGE(BV40:CV40,{1;2;3;4;5;6;7;8;9;10;11;12;13})),
IF(Arrangörslista!$U$5&lt;31,SUM(LARGE(BV40:CY40,{1;2;3;4;5;6;7;8;9;10;11;12;13;14;15})),
IF(Arrangörslista!$U$5&lt;34,SUM(LARGE(BV40:DB40,{1;2;3;4;5;6;7;8;9;10;11;12;13;14;15;16})),
IF(Arrangörslista!$U$5&lt;37,SUM(LARGE(BV40:DE40,{1;2;3;4;5;6;7;8;9;10;11;12;13;14;15;16;17;18})),
IF(Arrangörslista!$U$5&lt;40,SUM(LARGE(BV40:DH40,{1;2;3;4;5;6;7;8;9;10;11;12;13;14;15;16;17;18;19})),
IF(Arrangörslista!$U$5&lt;43,SUM(LARGE(BV40:DK40,{1;2;3;4;5;6;7;8;9;10;11;12;13;14;15;16;17;18;19;20;21})),
IF(Arrangörslista!$U$5&lt;46,SUM(LARGE(BV40:DN40,{1;2;3;4;5;6;7;8;9;10;11;12;13;14;15;16;17;18;19;20;21;22})),
IF(Arrangörslista!$U$5&lt;49,SUM(LARGE(BV40:DQ40,{1;2;3;4;5;6;7;8;9;10;11;12;13;14;15;16;17;18;19;20;21;22;23;24})),
IF(Arrangörslista!$U$5&lt;52,SUM(LARGE(BV40:DT40,{1;2;3;4;5;6;7;8;9;10;11;12;13;14;15;16;17;18;19;20;21;22;23;24;25})),
IF(Arrangörslista!$U$5&lt;55,SUM(LARGE(BV40:DW40,{1;2;3;4;5;6;7;8;9;10;11;12;13;14;15;16;17;18;19;20;21;22;23;24;25;26;27})),
IF(Arrangörslista!$U$5&lt;58,SUM(LARGE(BV40:DZ40,{1;2;3;4;5;6;7;8;9;10;11;12;13;14;15;16;17;18;19;20;21;22;23;24;25;26;27;28})),
IF(Arrangörslista!$U$5&lt;61,SUM(LARGE(BV40:EC40,{1;2;3;4;5;6;7;8;9;10;11;12;13;14;15;16;17;18;19;20;21;22;23;24;25;26;27;28;29;30})),0)))))))))))))))))))),
IF(Arrangörslista!$U$5&lt;4,0,
IF(Arrangörslista!$U$5&lt;8,SUM(LARGE(BV40:CB40,1)),
IF(Arrangörslista!$U$5&lt;12,SUM(LARGE(BV40:CF40,{1;2})),
IF(Arrangörslista!$U$5&lt;16,SUM(LARGE(BV40:CJ40,{1;2;3})),
IF(Arrangörslista!$U$5&lt;20,SUM(LARGE(BV40:CN40,{1;2;3;4})),
IF(Arrangörslista!$U$5&lt;24,SUM(LARGE(BV40:CR40,{1;2;3;4;5})),
IF(Arrangörslista!$U$5&lt;28,SUM(LARGE(BV40:CV40,{1;2;3;4;5;6})),
IF(Arrangörslista!$U$5&lt;32,SUM(LARGE(BV40:CZ40,{1;2;3;4;5;6;7})),
IF(Arrangörslista!$U$5&lt;36,SUM(LARGE(BV40:DD40,{1;2;3;4;5;6;7;8})),
IF(Arrangörslista!$U$5&lt;40,SUM(LARGE(BV40:DH40,{1;2;3;4;5;6;7;8;9})),
IF(Arrangörslista!$U$5&lt;44,SUM(LARGE(BV40:DL40,{1;2;3;4;5;6;7;8;9;10})),
IF(Arrangörslista!$U$5&lt;48,SUM(LARGE(BV40:DP40,{1;2;3;4;5;6;7;8;9;10;11})),
IF(Arrangörslista!$U$5&lt;52,SUM(LARGE(BV40:DT40,{1;2;3;4;5;6;7;8;9;10;11;12})),
IF(Arrangörslista!$U$5&lt;56,SUM(LARGE(BV40:DX40,{1;2;3;4;5;6;7;8;9;10;11;12;13})),
IF(Arrangörslista!$U$5&lt;60,SUM(LARGE(BV40:EB40,{1;2;3;4;5;6;7;8;9;10;11;12;13;14})),
IF(Arrangörslista!$U$5=60,SUM(LARGE(BV40:EC40,{1;2;3;4;5;6;7;8;9;10;11;12;13;14;15})),0))))))))))))))))))</f>
        <v>0</v>
      </c>
      <c r="EG40" s="67">
        <f t="shared" si="187"/>
        <v>0</v>
      </c>
      <c r="EH40" s="61"/>
      <c r="EI40" s="61"/>
      <c r="EK40" s="62">
        <f t="shared" si="188"/>
        <v>61</v>
      </c>
      <c r="EL40" s="62">
        <f t="shared" si="189"/>
        <v>61</v>
      </c>
      <c r="EM40" s="62">
        <f t="shared" si="190"/>
        <v>61</v>
      </c>
      <c r="EN40" s="62">
        <f t="shared" si="191"/>
        <v>61</v>
      </c>
      <c r="EO40" s="62">
        <f t="shared" si="192"/>
        <v>61</v>
      </c>
      <c r="EP40" s="62">
        <f t="shared" si="193"/>
        <v>61</v>
      </c>
      <c r="EQ40" s="62">
        <f t="shared" si="194"/>
        <v>61</v>
      </c>
      <c r="ER40" s="62">
        <f t="shared" si="195"/>
        <v>61</v>
      </c>
      <c r="ES40" s="62">
        <f t="shared" si="196"/>
        <v>61</v>
      </c>
      <c r="ET40" s="62">
        <f t="shared" si="197"/>
        <v>61</v>
      </c>
      <c r="EU40" s="62">
        <f t="shared" si="198"/>
        <v>61</v>
      </c>
      <c r="EV40" s="62">
        <f t="shared" si="199"/>
        <v>61</v>
      </c>
      <c r="EW40" s="62">
        <f t="shared" si="200"/>
        <v>61</v>
      </c>
      <c r="EX40" s="62">
        <f t="shared" si="201"/>
        <v>61</v>
      </c>
      <c r="EY40" s="62">
        <f t="shared" si="202"/>
        <v>61</v>
      </c>
      <c r="EZ40" s="62">
        <f t="shared" si="203"/>
        <v>61</v>
      </c>
      <c r="FA40" s="62">
        <f t="shared" si="204"/>
        <v>61</v>
      </c>
      <c r="FB40" s="62">
        <f t="shared" si="205"/>
        <v>61</v>
      </c>
      <c r="FC40" s="62">
        <f t="shared" si="206"/>
        <v>61</v>
      </c>
      <c r="FD40" s="62">
        <f t="shared" si="207"/>
        <v>61</v>
      </c>
      <c r="FE40" s="62">
        <f t="shared" si="208"/>
        <v>61</v>
      </c>
      <c r="FF40" s="62">
        <f t="shared" si="209"/>
        <v>61</v>
      </c>
      <c r="FG40" s="62">
        <f t="shared" si="210"/>
        <v>61</v>
      </c>
      <c r="FH40" s="62">
        <f t="shared" si="211"/>
        <v>61</v>
      </c>
      <c r="FI40" s="62">
        <f t="shared" si="212"/>
        <v>61</v>
      </c>
      <c r="FJ40" s="62">
        <f t="shared" si="213"/>
        <v>61</v>
      </c>
      <c r="FK40" s="62">
        <f t="shared" si="214"/>
        <v>61</v>
      </c>
      <c r="FL40" s="62">
        <f t="shared" si="215"/>
        <v>61</v>
      </c>
      <c r="FM40" s="62">
        <f t="shared" si="216"/>
        <v>61</v>
      </c>
      <c r="FN40" s="62">
        <f t="shared" si="217"/>
        <v>61</v>
      </c>
      <c r="FO40" s="62">
        <f t="shared" si="218"/>
        <v>61</v>
      </c>
      <c r="FP40" s="62">
        <f t="shared" si="219"/>
        <v>61</v>
      </c>
      <c r="FQ40" s="62">
        <f t="shared" si="220"/>
        <v>61</v>
      </c>
      <c r="FR40" s="62">
        <f t="shared" si="221"/>
        <v>61</v>
      </c>
      <c r="FS40" s="62">
        <f t="shared" si="222"/>
        <v>61</v>
      </c>
      <c r="FT40" s="62">
        <f t="shared" si="223"/>
        <v>61</v>
      </c>
      <c r="FU40" s="62">
        <f t="shared" si="224"/>
        <v>61</v>
      </c>
      <c r="FV40" s="62">
        <f t="shared" si="225"/>
        <v>61</v>
      </c>
      <c r="FW40" s="62">
        <f t="shared" si="226"/>
        <v>61</v>
      </c>
      <c r="FX40" s="62">
        <f t="shared" si="227"/>
        <v>61</v>
      </c>
      <c r="FY40" s="62">
        <f t="shared" si="228"/>
        <v>61</v>
      </c>
      <c r="FZ40" s="62">
        <f t="shared" si="229"/>
        <v>61</v>
      </c>
      <c r="GA40" s="62">
        <f t="shared" si="230"/>
        <v>61</v>
      </c>
      <c r="GB40" s="62">
        <f t="shared" si="231"/>
        <v>61</v>
      </c>
      <c r="GC40" s="62">
        <f t="shared" si="232"/>
        <v>61</v>
      </c>
      <c r="GD40" s="62">
        <f t="shared" si="233"/>
        <v>61</v>
      </c>
      <c r="GE40" s="62">
        <f t="shared" si="234"/>
        <v>61</v>
      </c>
      <c r="GF40" s="62">
        <f t="shared" si="235"/>
        <v>61</v>
      </c>
      <c r="GG40" s="62">
        <f t="shared" si="236"/>
        <v>61</v>
      </c>
      <c r="GH40" s="62">
        <f t="shared" si="237"/>
        <v>61</v>
      </c>
      <c r="GI40" s="62">
        <f t="shared" si="238"/>
        <v>61</v>
      </c>
      <c r="GJ40" s="62">
        <f t="shared" si="239"/>
        <v>61</v>
      </c>
      <c r="GK40" s="62">
        <f t="shared" si="240"/>
        <v>61</v>
      </c>
      <c r="GL40" s="62">
        <f t="shared" si="241"/>
        <v>61</v>
      </c>
      <c r="GM40" s="62">
        <f t="shared" si="242"/>
        <v>61</v>
      </c>
      <c r="GN40" s="62">
        <f t="shared" si="243"/>
        <v>61</v>
      </c>
      <c r="GO40" s="62">
        <f t="shared" si="244"/>
        <v>61</v>
      </c>
      <c r="GP40" s="62">
        <f t="shared" si="245"/>
        <v>61</v>
      </c>
      <c r="GQ40" s="62">
        <f t="shared" si="246"/>
        <v>61</v>
      </c>
      <c r="GR40" s="62">
        <f t="shared" si="247"/>
        <v>61</v>
      </c>
      <c r="GT40" s="62">
        <f>IF(Deltagarlista!$K$3=2,
IF(GW40="1",
      IF(Arrangörslista!$U$5=1,J103,
IF(Arrangörslista!$U$5=2,K103,
IF(Arrangörslista!$U$5=3,L103,
IF(Arrangörslista!$U$5=4,M103,
IF(Arrangörslista!$U$5=5,N103,
IF(Arrangörslista!$U$5=6,O103,
IF(Arrangörslista!$U$5=7,P103,
IF(Arrangörslista!$U$5=8,Q103,
IF(Arrangörslista!$U$5=9,R103,
IF(Arrangörslista!$U$5=10,S103,
IF(Arrangörslista!$U$5=11,T103,
IF(Arrangörslista!$U$5=12,U103,
IF(Arrangörslista!$U$5=13,V103,
IF(Arrangörslista!$U$5=14,W103,
IF(Arrangörslista!$U$5=15,X103,
IF(Arrangörslista!$U$5=16,Y103,IF(Arrangörslista!$U$5=17,Z103,IF(Arrangörslista!$U$5=18,AA103,IF(Arrangörslista!$U$5=19,AB103,IF(Arrangörslista!$U$5=20,AC103,IF(Arrangörslista!$U$5=21,AD103,IF(Arrangörslista!$U$5=22,AE103,IF(Arrangörslista!$U$5=23,AF103, IF(Arrangörslista!$U$5=24,AG103, IF(Arrangörslista!$U$5=25,AH103, IF(Arrangörslista!$U$5=26,AI103, IF(Arrangörslista!$U$5=27,AJ103, IF(Arrangörslista!$U$5=28,AK103, IF(Arrangörslista!$U$5=29,AL103, IF(Arrangörslista!$U$5=30,AM103, IF(Arrangörslista!$U$5=31,AN103, IF(Arrangörslista!$U$5=32,AO103, IF(Arrangörslista!$U$5=33,AP103, IF(Arrangörslista!$U$5=34,AQ103, IF(Arrangörslista!$U$5=35,AR103, IF(Arrangörslista!$U$5=36,AS103, IF(Arrangörslista!$U$5=37,AT103, IF(Arrangörslista!$U$5=38,AU103, IF(Arrangörslista!$U$5=39,AV103, IF(Arrangörslista!$U$5=40,AW103, IF(Arrangörslista!$U$5=41,AX103, IF(Arrangörslista!$U$5=42,AY103, IF(Arrangörslista!$U$5=43,AZ103, IF(Arrangörslista!$U$5=44,BA103, IF(Arrangörslista!$U$5=45,BB103, IF(Arrangörslista!$U$5=46,BC103, IF(Arrangörslista!$U$5=47,BD103, IF(Arrangörslista!$U$5=48,BE103, IF(Arrangörslista!$U$5=49,BF103, IF(Arrangörslista!$U$5=50,BG103, IF(Arrangörslista!$U$5=51,BH103, IF(Arrangörslista!$U$5=52,BI103, IF(Arrangörslista!$U$5=53,BJ103, IF(Arrangörslista!$U$5=54,BK103, IF(Arrangörslista!$U$5=55,BL103, IF(Arrangörslista!$U$5=56,BM103, IF(Arrangörslista!$U$5=57,BN103, IF(Arrangörslista!$U$5=58,BO103, IF(Arrangörslista!$U$5=59,BP103, IF(Arrangörslista!$U$5=60,BQ103,0))))))))))))))))))))))))))))))))))))))))))))))))))))))))))))),IF(Deltagarlista!$K$3=4, IF(Arrangörslista!$U$5=1,J103,
IF(Arrangörslista!$U$5=2,J103,
IF(Arrangörslista!$U$5=3,K103,
IF(Arrangörslista!$U$5=4,K103,
IF(Arrangörslista!$U$5=5,L103,
IF(Arrangörslista!$U$5=6,L103,
IF(Arrangörslista!$U$5=7,M103,
IF(Arrangörslista!$U$5=8,M103,
IF(Arrangörslista!$U$5=9,N103,
IF(Arrangörslista!$U$5=10,N103,
IF(Arrangörslista!$U$5=11,O103,
IF(Arrangörslista!$U$5=12,O103,
IF(Arrangörslista!$U$5=13,P103,
IF(Arrangörslista!$U$5=14,P103,
IF(Arrangörslista!$U$5=15,Q103,
IF(Arrangörslista!$U$5=16,Q103,
IF(Arrangörslista!$U$5=17,R103,
IF(Arrangörslista!$U$5=18,R103,
IF(Arrangörslista!$U$5=19,S103,
IF(Arrangörslista!$U$5=20,S103,
IF(Arrangörslista!$U$5=21,T103,
IF(Arrangörslista!$U$5=22,T103,IF(Arrangörslista!$U$5=23,U103, IF(Arrangörslista!$U$5=24,U103, IF(Arrangörslista!$U$5=25,V103, IF(Arrangörslista!$U$5=26,V103, IF(Arrangörslista!$U$5=27,W103, IF(Arrangörslista!$U$5=28,W103, IF(Arrangörslista!$U$5=29,X103, IF(Arrangörslista!$U$5=30,X103, IF(Arrangörslista!$U$5=31,X103, IF(Arrangörslista!$U$5=32,Y103, IF(Arrangörslista!$U$5=33,AO103, IF(Arrangörslista!$U$5=34,Y103, IF(Arrangörslista!$U$5=35,Z103, IF(Arrangörslista!$U$5=36,AR103, IF(Arrangörslista!$U$5=37,Z103, IF(Arrangörslista!$U$5=38,AA103, IF(Arrangörslista!$U$5=39,AU103, IF(Arrangörslista!$U$5=40,AA103, IF(Arrangörslista!$U$5=41,AB103, IF(Arrangörslista!$U$5=42,AX103, IF(Arrangörslista!$U$5=43,AB103, IF(Arrangörslista!$U$5=44,AC103, IF(Arrangörslista!$U$5=45,BA103, IF(Arrangörslista!$U$5=46,AC103, IF(Arrangörslista!$U$5=47,AD103, IF(Arrangörslista!$U$5=48,BD103, IF(Arrangörslista!$U$5=49,AD103, IF(Arrangörslista!$U$5=50,AE103, IF(Arrangörslista!$U$5=51,BG103, IF(Arrangörslista!$U$5=52,AE103, IF(Arrangörslista!$U$5=53,AF103, IF(Arrangörslista!$U$5=54,BJ103, IF(Arrangörslista!$U$5=55,AF103, IF(Arrangörslista!$U$5=56,AG103, IF(Arrangörslista!$U$5=57,BM103, IF(Arrangörslista!$U$5=58,AG103, IF(Arrangörslista!$U$5=59,AH103, IF(Arrangörslista!$U$5=60,AH103,0)))))))))))))))))))))))))))))))))))))))))))))))))))))))))))),IF(Arrangörslista!$U$5=1,J103,
IF(Arrangörslista!$U$5=2,K103,
IF(Arrangörslista!$U$5=3,L103,
IF(Arrangörslista!$U$5=4,M103,
IF(Arrangörslista!$U$5=5,N103,
IF(Arrangörslista!$U$5=6,O103,
IF(Arrangörslista!$U$5=7,P103,
IF(Arrangörslista!$U$5=8,Q103,
IF(Arrangörslista!$U$5=9,R103,
IF(Arrangörslista!$U$5=10,S103,
IF(Arrangörslista!$U$5=11,T103,
IF(Arrangörslista!$U$5=12,U103,
IF(Arrangörslista!$U$5=13,V103,
IF(Arrangörslista!$U$5=14,W103,
IF(Arrangörslista!$U$5=15,X103,
IF(Arrangörslista!$U$5=16,Y103,IF(Arrangörslista!$U$5=17,Z103,IF(Arrangörslista!$U$5=18,AA103,IF(Arrangörslista!$U$5=19,AB103,IF(Arrangörslista!$U$5=20,AC103,IF(Arrangörslista!$U$5=21,AD103,IF(Arrangörslista!$U$5=22,AE103,IF(Arrangörslista!$U$5=23,AF103, IF(Arrangörslista!$U$5=24,AG103, IF(Arrangörslista!$U$5=25,AH103, IF(Arrangörslista!$U$5=26,AI103, IF(Arrangörslista!$U$5=27,AJ103, IF(Arrangörslista!$U$5=28,AK103, IF(Arrangörslista!$U$5=29,AL103, IF(Arrangörslista!$U$5=30,AM103, IF(Arrangörslista!$U$5=31,AN103, IF(Arrangörslista!$U$5=32,AO103, IF(Arrangörslista!$U$5=33,AP103, IF(Arrangörslista!$U$5=34,AQ103, IF(Arrangörslista!$U$5=35,AR103, IF(Arrangörslista!$U$5=36,AS103, IF(Arrangörslista!$U$5=37,AT103, IF(Arrangörslista!$U$5=38,AU103, IF(Arrangörslista!$U$5=39,AV103, IF(Arrangörslista!$U$5=40,AW103, IF(Arrangörslista!$U$5=41,AX103, IF(Arrangörslista!$U$5=42,AY103, IF(Arrangörslista!$U$5=43,AZ103, IF(Arrangörslista!$U$5=44,BA103, IF(Arrangörslista!$U$5=45,BB103, IF(Arrangörslista!$U$5=46,BC103, IF(Arrangörslista!$U$5=47,BD103, IF(Arrangörslista!$U$5=48,BE103, IF(Arrangörslista!$U$5=49,BF103, IF(Arrangörslista!$U$5=50,BG103, IF(Arrangörslista!$U$5=51,BH103, IF(Arrangörslista!$U$5=52,BI103, IF(Arrangörslista!$U$5=53,BJ103, IF(Arrangörslista!$U$5=54,BK103, IF(Arrangörslista!$U$5=55,BL103, IF(Arrangörslista!$U$5=56,BM103, IF(Arrangörslista!$U$5=57,BN103, IF(Arrangörslista!$U$5=58,BO103, IF(Arrangörslista!$U$5=59,BP103, IF(Arrangörslista!$U$5=60,BQ103,0))))))))))))))))))))))))))))))))))))))))))))))))))))))))))))
))</f>
        <v>0</v>
      </c>
      <c r="GV40" s="65" t="str">
        <f>IFERROR(IF(VLOOKUP(F40,Deltagarlista!$E$5:$I$64,5,FALSE)="Grön","Gr",IF(VLOOKUP(F40,Deltagarlista!$E$5:$I$64,5,FALSE)="Röd","R",IF(VLOOKUP(F40,Deltagarlista!$E$5:$I$64,5,FALSE)="Blå","B","Gu"))),"")</f>
        <v/>
      </c>
      <c r="GW40" s="62" t="str">
        <f t="shared" si="124"/>
        <v/>
      </c>
    </row>
    <row r="41" spans="2:205" ht="15.75" customHeight="1" x14ac:dyDescent="0.3">
      <c r="B41" s="23" t="str">
        <f>IF((COUNTIF(Deltagarlista!$H$5:$H$64,"GM"))&gt;37,38,"")</f>
        <v/>
      </c>
      <c r="C41" s="92" t="str">
        <f>IF(ISBLANK(Deltagarlista!C29),"",Deltagarlista!C29)</f>
        <v/>
      </c>
      <c r="D41" s="109" t="str">
        <f>CONCATENATE(IF(Deltagarlista!H29="GM","GM   ",""), IF(OR(Deltagarlista!$K$3=4,Deltagarlista!$K$3=2),Deltagarlista!I29,""))</f>
        <v/>
      </c>
      <c r="E41" s="8" t="str">
        <f>IF(ISBLANK(Deltagarlista!D29),"",Deltagarlista!D29)</f>
        <v/>
      </c>
      <c r="F41" s="8" t="str">
        <f>IF(ISBLANK(Deltagarlista!E29),"",Deltagarlista!E29)</f>
        <v/>
      </c>
      <c r="G41" s="95" t="str">
        <f>IF(ISBLANK(Deltagarlista!F29),"",Deltagarlista!F29)</f>
        <v/>
      </c>
      <c r="H41" s="72" t="str">
        <f>IF(ISBLANK(Deltagarlista!C29),"",BU41-EE41)</f>
        <v/>
      </c>
      <c r="I41" s="13" t="str">
        <f>IF(ISBLANK(Deltagarlista!C29),"",IF(AND(Deltagarlista!$K$3=2,Deltagarlista!$L$3&lt;37),SUM(SUM(BV41:EC41)-(ROUNDDOWN(Arrangörslista!$U$5/3,1))*($BW$3+1)),SUM(BV41:EC41)))</f>
        <v/>
      </c>
      <c r="J41" s="79" t="str">
        <f>IF(Deltagarlista!$K$3=4,IF(ISBLANK(Deltagarlista!$C29),"",IF(ISBLANK(Arrangörslista!C$8),"",IFERROR(VLOOKUP($F41,Arrangörslista!C$8:$AG$45,16,FALSE),IF(ISBLANK(Deltagarlista!$C29),"",IF(ISBLANK(Arrangörslista!C$8),"",IFERROR(VLOOKUP($F41,Arrangörslista!D$8:$AG$45,16,FALSE),"DNS")))))),IF(Deltagarlista!$K$3=2,
IF(ISBLANK(Deltagarlista!$C29),"",IF(ISBLANK(Arrangörslista!C$8),"",IF($GV41=J$64," DNS ",IFERROR(VLOOKUP($F41,Arrangörslista!C$8:$AG$45,16,FALSE),"DNS")))),IF(ISBLANK(Deltagarlista!$C29),"",IF(ISBLANK(Arrangörslista!C$8),"",IFERROR(VLOOKUP($F41,Arrangörslista!C$8:$AG$45,16,FALSE),"DNS")))))</f>
        <v/>
      </c>
      <c r="K41" s="5" t="str">
        <f>IF(Deltagarlista!$K$3=4,IF(ISBLANK(Deltagarlista!$C29),"",IF(ISBLANK(Arrangörslista!E$8),"",IFERROR(VLOOKUP($F41,Arrangörslista!E$8:$AG$45,16,FALSE),IF(ISBLANK(Deltagarlista!$C29),"",IF(ISBLANK(Arrangörslista!E$8),"",IFERROR(VLOOKUP($F41,Arrangörslista!F$8:$AG$45,16,FALSE),"DNS")))))),IF(Deltagarlista!$K$3=2,
IF(ISBLANK(Deltagarlista!$C29),"",IF(ISBLANK(Arrangörslista!D$8),"",IF($GV41=K$64," DNS ",IFERROR(VLOOKUP($F41,Arrangörslista!D$8:$AG$45,16,FALSE),"DNS")))),IF(ISBLANK(Deltagarlista!$C29),"",IF(ISBLANK(Arrangörslista!D$8),"",IFERROR(VLOOKUP($F41,Arrangörslista!D$8:$AG$45,16,FALSE),"DNS")))))</f>
        <v/>
      </c>
      <c r="L41" s="5" t="str">
        <f>IF(Deltagarlista!$K$3=4,IF(ISBLANK(Deltagarlista!$C29),"",IF(ISBLANK(Arrangörslista!G$8),"",IFERROR(VLOOKUP($F41,Arrangörslista!G$8:$AG$45,16,FALSE),IF(ISBLANK(Deltagarlista!$C29),"",IF(ISBLANK(Arrangörslista!G$8),"",IFERROR(VLOOKUP($F41,Arrangörslista!H$8:$AG$45,16,FALSE),"DNS")))))),IF(Deltagarlista!$K$3=2,
IF(ISBLANK(Deltagarlista!$C29),"",IF(ISBLANK(Arrangörslista!E$8),"",IF($GV41=L$64," DNS ",IFERROR(VLOOKUP($F41,Arrangörslista!E$8:$AG$45,16,FALSE),"DNS")))),IF(ISBLANK(Deltagarlista!$C29),"",IF(ISBLANK(Arrangörslista!E$8),"",IFERROR(VLOOKUP($F41,Arrangörslista!E$8:$AG$45,16,FALSE),"DNS")))))</f>
        <v/>
      </c>
      <c r="M41" s="5" t="str">
        <f>IF(Deltagarlista!$K$3=4,IF(ISBLANK(Deltagarlista!$C29),"",IF(ISBLANK(Arrangörslista!I$8),"",IFERROR(VLOOKUP($F41,Arrangörslista!I$8:$AG$45,16,FALSE),IF(ISBLANK(Deltagarlista!$C29),"",IF(ISBLANK(Arrangörslista!I$8),"",IFERROR(VLOOKUP($F41,Arrangörslista!J$8:$AG$45,16,FALSE),"DNS")))))),IF(Deltagarlista!$K$3=2,
IF(ISBLANK(Deltagarlista!$C29),"",IF(ISBLANK(Arrangörslista!F$8),"",IF($GV41=M$64," DNS ",IFERROR(VLOOKUP($F41,Arrangörslista!F$8:$AG$45,16,FALSE),"DNS")))),IF(ISBLANK(Deltagarlista!$C29),"",IF(ISBLANK(Arrangörslista!F$8),"",IFERROR(VLOOKUP($F41,Arrangörslista!F$8:$AG$45,16,FALSE),"DNS")))))</f>
        <v/>
      </c>
      <c r="N41" s="5" t="str">
        <f>IF(Deltagarlista!$K$3=4,IF(ISBLANK(Deltagarlista!$C29),"",IF(ISBLANK(Arrangörslista!K$8),"",IFERROR(VLOOKUP($F41,Arrangörslista!K$8:$AG$45,16,FALSE),IF(ISBLANK(Deltagarlista!$C29),"",IF(ISBLANK(Arrangörslista!K$8),"",IFERROR(VLOOKUP($F41,Arrangörslista!L$8:$AG$45,16,FALSE),"DNS")))))),IF(Deltagarlista!$K$3=2,
IF(ISBLANK(Deltagarlista!$C29),"",IF(ISBLANK(Arrangörslista!G$8),"",IF($GV41=N$64," DNS ",IFERROR(VLOOKUP($F41,Arrangörslista!G$8:$AG$45,16,FALSE),"DNS")))),IF(ISBLANK(Deltagarlista!$C29),"",IF(ISBLANK(Arrangörslista!G$8),"",IFERROR(VLOOKUP($F41,Arrangörslista!G$8:$AG$45,16,FALSE),"DNS")))))</f>
        <v/>
      </c>
      <c r="O41" s="5" t="str">
        <f>IF(Deltagarlista!$K$3=4,IF(ISBLANK(Deltagarlista!$C29),"",IF(ISBLANK(Arrangörslista!M$8),"",IFERROR(VLOOKUP($F41,Arrangörslista!M$8:$AG$45,16,FALSE),IF(ISBLANK(Deltagarlista!$C29),"",IF(ISBLANK(Arrangörslista!M$8),"",IFERROR(VLOOKUP($F41,Arrangörslista!N$8:$AG$45,16,FALSE),"DNS")))))),IF(Deltagarlista!$K$3=2,
IF(ISBLANK(Deltagarlista!$C29),"",IF(ISBLANK(Arrangörslista!H$8),"",IF($GV41=O$64," DNS ",IFERROR(VLOOKUP($F41,Arrangörslista!H$8:$AG$45,16,FALSE),"DNS")))),IF(ISBLANK(Deltagarlista!$C29),"",IF(ISBLANK(Arrangörslista!H$8),"",IFERROR(VLOOKUP($F41,Arrangörslista!H$8:$AG$45,16,FALSE),"DNS")))))</f>
        <v/>
      </c>
      <c r="P41" s="5" t="str">
        <f>IF(Deltagarlista!$K$3=4,IF(ISBLANK(Deltagarlista!$C29),"",IF(ISBLANK(Arrangörslista!O$8),"",IFERROR(VLOOKUP($F41,Arrangörslista!O$8:$AG$45,16,FALSE),IF(ISBLANK(Deltagarlista!$C29),"",IF(ISBLANK(Arrangörslista!O$8),"",IFERROR(VLOOKUP($F41,Arrangörslista!P$8:$AG$45,16,FALSE),"DNS")))))),IF(Deltagarlista!$K$3=2,
IF(ISBLANK(Deltagarlista!$C29),"",IF(ISBLANK(Arrangörslista!I$8),"",IF($GV41=P$64," DNS ",IFERROR(VLOOKUP($F41,Arrangörslista!I$8:$AG$45,16,FALSE),"DNS")))),IF(ISBLANK(Deltagarlista!$C29),"",IF(ISBLANK(Arrangörslista!I$8),"",IFERROR(VLOOKUP($F41,Arrangörslista!I$8:$AG$45,16,FALSE),"DNS")))))</f>
        <v/>
      </c>
      <c r="Q41" s="5" t="str">
        <f>IF(Deltagarlista!$K$3=4,IF(ISBLANK(Deltagarlista!$C29),"",IF(ISBLANK(Arrangörslista!Q$8),"",IFERROR(VLOOKUP($F41,Arrangörslista!Q$8:$AG$45,16,FALSE),IF(ISBLANK(Deltagarlista!$C29),"",IF(ISBLANK(Arrangörslista!Q$8),"",IFERROR(VLOOKUP($F41,Arrangörslista!C$53:$AG$90,16,FALSE),"DNS")))))),IF(Deltagarlista!$K$3=2,
IF(ISBLANK(Deltagarlista!$C29),"",IF(ISBLANK(Arrangörslista!J$8),"",IF($GV41=Q$64," DNS ",IFERROR(VLOOKUP($F41,Arrangörslista!J$8:$AG$45,16,FALSE),"DNS")))),IF(ISBLANK(Deltagarlista!$C29),"",IF(ISBLANK(Arrangörslista!J$8),"",IFERROR(VLOOKUP($F41,Arrangörslista!J$8:$AG$45,16,FALSE),"DNS")))))</f>
        <v/>
      </c>
      <c r="R41" s="5" t="str">
        <f>IF(Deltagarlista!$K$3=4,IF(ISBLANK(Deltagarlista!$C29),"",IF(ISBLANK(Arrangörslista!D$53),"",IFERROR(VLOOKUP($F41,Arrangörslista!D$53:$AG$90,16,FALSE),IF(ISBLANK(Deltagarlista!$C29),"",IF(ISBLANK(Arrangörslista!D$53),"",IFERROR(VLOOKUP($F41,Arrangörslista!E$53:$AG$90,16,FALSE),"DNS")))))),IF(Deltagarlista!$K$3=2,
IF(ISBLANK(Deltagarlista!$C29),"",IF(ISBLANK(Arrangörslista!K$8),"",IF($GV41=R$64," DNS ",IFERROR(VLOOKUP($F41,Arrangörslista!K$8:$AG$45,16,FALSE),"DNS")))),IF(ISBLANK(Deltagarlista!$C29),"",IF(ISBLANK(Arrangörslista!K$8),"",IFERROR(VLOOKUP($F41,Arrangörslista!K$8:$AG$45,16,FALSE),"DNS")))))</f>
        <v/>
      </c>
      <c r="S41" s="5" t="str">
        <f>IF(Deltagarlista!$K$3=4,IF(ISBLANK(Deltagarlista!$C29),"",IF(ISBLANK(Arrangörslista!F$53),"",IFERROR(VLOOKUP($F41,Arrangörslista!F$53:$AG$90,16,FALSE),IF(ISBLANK(Deltagarlista!$C29),"",IF(ISBLANK(Arrangörslista!F$53),"",IFERROR(VLOOKUP($F41,Arrangörslista!G$53:$AG$90,16,FALSE),"DNS")))))),IF(Deltagarlista!$K$3=2,
IF(ISBLANK(Deltagarlista!$C29),"",IF(ISBLANK(Arrangörslista!L$8),"",IF($GV41=S$64," DNS ",IFERROR(VLOOKUP($F41,Arrangörslista!L$8:$AG$45,16,FALSE),"DNS")))),IF(ISBLANK(Deltagarlista!$C29),"",IF(ISBLANK(Arrangörslista!L$8),"",IFERROR(VLOOKUP($F41,Arrangörslista!L$8:$AG$45,16,FALSE),"DNS")))))</f>
        <v/>
      </c>
      <c r="T41" s="5" t="str">
        <f>IF(Deltagarlista!$K$3=4,IF(ISBLANK(Deltagarlista!$C29),"",IF(ISBLANK(Arrangörslista!H$53),"",IFERROR(VLOOKUP($F41,Arrangörslista!H$53:$AG$90,16,FALSE),IF(ISBLANK(Deltagarlista!$C29),"",IF(ISBLANK(Arrangörslista!H$53),"",IFERROR(VLOOKUP($F41,Arrangörslista!I$53:$AG$90,16,FALSE),"DNS")))))),IF(Deltagarlista!$K$3=2,
IF(ISBLANK(Deltagarlista!$C29),"",IF(ISBLANK(Arrangörslista!M$8),"",IF($GV41=T$64," DNS ",IFERROR(VLOOKUP($F41,Arrangörslista!M$8:$AG$45,16,FALSE),"DNS")))),IF(ISBLANK(Deltagarlista!$C29),"",IF(ISBLANK(Arrangörslista!M$8),"",IFERROR(VLOOKUP($F41,Arrangörslista!M$8:$AG$45,16,FALSE),"DNS")))))</f>
        <v/>
      </c>
      <c r="U41" s="5" t="str">
        <f>IF(Deltagarlista!$K$3=4,IF(ISBLANK(Deltagarlista!$C29),"",IF(ISBLANK(Arrangörslista!J$53),"",IFERROR(VLOOKUP($F41,Arrangörslista!J$53:$AG$90,16,FALSE),IF(ISBLANK(Deltagarlista!$C29),"",IF(ISBLANK(Arrangörslista!J$53),"",IFERROR(VLOOKUP($F41,Arrangörslista!K$53:$AG$90,16,FALSE),"DNS")))))),IF(Deltagarlista!$K$3=2,
IF(ISBLANK(Deltagarlista!$C29),"",IF(ISBLANK(Arrangörslista!N$8),"",IF($GV41=U$64," DNS ",IFERROR(VLOOKUP($F41,Arrangörslista!N$8:$AG$45,16,FALSE),"DNS")))),IF(ISBLANK(Deltagarlista!$C29),"",IF(ISBLANK(Arrangörslista!N$8),"",IFERROR(VLOOKUP($F41,Arrangörslista!N$8:$AG$45,16,FALSE),"DNS")))))</f>
        <v/>
      </c>
      <c r="V41" s="5" t="str">
        <f>IF(Deltagarlista!$K$3=4,IF(ISBLANK(Deltagarlista!$C29),"",IF(ISBLANK(Arrangörslista!L$53),"",IFERROR(VLOOKUP($F41,Arrangörslista!L$53:$AG$90,16,FALSE),IF(ISBLANK(Deltagarlista!$C29),"",IF(ISBLANK(Arrangörslista!L$53),"",IFERROR(VLOOKUP($F41,Arrangörslista!M$53:$AG$90,16,FALSE),"DNS")))))),IF(Deltagarlista!$K$3=2,
IF(ISBLANK(Deltagarlista!$C29),"",IF(ISBLANK(Arrangörslista!O$8),"",IF($GV41=V$64," DNS ",IFERROR(VLOOKUP($F41,Arrangörslista!O$8:$AG$45,16,FALSE),"DNS")))),IF(ISBLANK(Deltagarlista!$C29),"",IF(ISBLANK(Arrangörslista!O$8),"",IFERROR(VLOOKUP($F41,Arrangörslista!O$8:$AG$45,16,FALSE),"DNS")))))</f>
        <v/>
      </c>
      <c r="W41" s="5" t="str">
        <f>IF(Deltagarlista!$K$3=4,IF(ISBLANK(Deltagarlista!$C29),"",IF(ISBLANK(Arrangörslista!N$53),"",IFERROR(VLOOKUP($F41,Arrangörslista!N$53:$AG$90,16,FALSE),IF(ISBLANK(Deltagarlista!$C29),"",IF(ISBLANK(Arrangörslista!N$53),"",IFERROR(VLOOKUP($F41,Arrangörslista!O$53:$AG$90,16,FALSE),"DNS")))))),IF(Deltagarlista!$K$3=2,
IF(ISBLANK(Deltagarlista!$C29),"",IF(ISBLANK(Arrangörslista!P$8),"",IF($GV41=W$64," DNS ",IFERROR(VLOOKUP($F41,Arrangörslista!P$8:$AG$45,16,FALSE),"DNS")))),IF(ISBLANK(Deltagarlista!$C29),"",IF(ISBLANK(Arrangörslista!P$8),"",IFERROR(VLOOKUP($F41,Arrangörslista!P$8:$AG$45,16,FALSE),"DNS")))))</f>
        <v/>
      </c>
      <c r="X41" s="5" t="str">
        <f>IF(Deltagarlista!$K$3=4,IF(ISBLANK(Deltagarlista!$C29),"",IF(ISBLANK(Arrangörslista!P$53),"",IFERROR(VLOOKUP($F41,Arrangörslista!P$53:$AG$90,16,FALSE),IF(ISBLANK(Deltagarlista!$C29),"",IF(ISBLANK(Arrangörslista!P$53),"",IFERROR(VLOOKUP($F41,Arrangörslista!Q$53:$AG$90,16,FALSE),"DNS")))))),IF(Deltagarlista!$K$3=2,
IF(ISBLANK(Deltagarlista!$C29),"",IF(ISBLANK(Arrangörslista!Q$8),"",IF($GV41=X$64," DNS ",IFERROR(VLOOKUP($F41,Arrangörslista!Q$8:$AG$45,16,FALSE),"DNS")))),IF(ISBLANK(Deltagarlista!$C29),"",IF(ISBLANK(Arrangörslista!Q$8),"",IFERROR(VLOOKUP($F41,Arrangörslista!Q$8:$AG$45,16,FALSE),"DNS")))))</f>
        <v/>
      </c>
      <c r="Y41" s="5" t="str">
        <f>IF(Deltagarlista!$K$3=4,IF(ISBLANK(Deltagarlista!$C29),"",IF(ISBLANK(Arrangörslista!C$98),"",IFERROR(VLOOKUP($F41,Arrangörslista!C$98:$AG$135,16,FALSE),IF(ISBLANK(Deltagarlista!$C29),"",IF(ISBLANK(Arrangörslista!C$98),"",IFERROR(VLOOKUP($F41,Arrangörslista!D$98:$AG$135,16,FALSE),"DNS")))))),IF(Deltagarlista!$K$3=2,
IF(ISBLANK(Deltagarlista!$C29),"",IF(ISBLANK(Arrangörslista!C$53),"",IF($GV41=Y$64," DNS ",IFERROR(VLOOKUP($F41,Arrangörslista!C$53:$AG$90,16,FALSE),"DNS")))),IF(ISBLANK(Deltagarlista!$C29),"",IF(ISBLANK(Arrangörslista!C$53),"",IFERROR(VLOOKUP($F41,Arrangörslista!C$53:$AG$90,16,FALSE),"DNS")))))</f>
        <v/>
      </c>
      <c r="Z41" s="5" t="str">
        <f>IF(Deltagarlista!$K$3=4,IF(ISBLANK(Deltagarlista!$C29),"",IF(ISBLANK(Arrangörslista!E$98),"",IFERROR(VLOOKUP($F41,Arrangörslista!E$98:$AG$135,16,FALSE),IF(ISBLANK(Deltagarlista!$C29),"",IF(ISBLANK(Arrangörslista!E$98),"",IFERROR(VLOOKUP($F41,Arrangörslista!F$98:$AG$135,16,FALSE),"DNS")))))),IF(Deltagarlista!$K$3=2,
IF(ISBLANK(Deltagarlista!$C29),"",IF(ISBLANK(Arrangörslista!D$53),"",IF($GV41=Z$64," DNS ",IFERROR(VLOOKUP($F41,Arrangörslista!D$53:$AG$90,16,FALSE),"DNS")))),IF(ISBLANK(Deltagarlista!$C29),"",IF(ISBLANK(Arrangörslista!D$53),"",IFERROR(VLOOKUP($F41,Arrangörslista!D$53:$AG$90,16,FALSE),"DNS")))))</f>
        <v/>
      </c>
      <c r="AA41" s="5" t="str">
        <f>IF(Deltagarlista!$K$3=4,IF(ISBLANK(Deltagarlista!$C29),"",IF(ISBLANK(Arrangörslista!G$98),"",IFERROR(VLOOKUP($F41,Arrangörslista!G$98:$AG$135,16,FALSE),IF(ISBLANK(Deltagarlista!$C29),"",IF(ISBLANK(Arrangörslista!G$98),"",IFERROR(VLOOKUP($F41,Arrangörslista!H$98:$AG$135,16,FALSE),"DNS")))))),IF(Deltagarlista!$K$3=2,
IF(ISBLANK(Deltagarlista!$C29),"",IF(ISBLANK(Arrangörslista!E$53),"",IF($GV41=AA$64," DNS ",IFERROR(VLOOKUP($F41,Arrangörslista!E$53:$AG$90,16,FALSE),"DNS")))),IF(ISBLANK(Deltagarlista!$C29),"",IF(ISBLANK(Arrangörslista!E$53),"",IFERROR(VLOOKUP($F41,Arrangörslista!E$53:$AG$90,16,FALSE),"DNS")))))</f>
        <v/>
      </c>
      <c r="AB41" s="5" t="str">
        <f>IF(Deltagarlista!$K$3=4,IF(ISBLANK(Deltagarlista!$C29),"",IF(ISBLANK(Arrangörslista!I$98),"",IFERROR(VLOOKUP($F41,Arrangörslista!I$98:$AG$135,16,FALSE),IF(ISBLANK(Deltagarlista!$C29),"",IF(ISBLANK(Arrangörslista!I$98),"",IFERROR(VLOOKUP($F41,Arrangörslista!J$98:$AG$135,16,FALSE),"DNS")))))),IF(Deltagarlista!$K$3=2,
IF(ISBLANK(Deltagarlista!$C29),"",IF(ISBLANK(Arrangörslista!F$53),"",IF($GV41=AB$64," DNS ",IFERROR(VLOOKUP($F41,Arrangörslista!F$53:$AG$90,16,FALSE),"DNS")))),IF(ISBLANK(Deltagarlista!$C29),"",IF(ISBLANK(Arrangörslista!F$53),"",IFERROR(VLOOKUP($F41,Arrangörslista!F$53:$AG$90,16,FALSE),"DNS")))))</f>
        <v/>
      </c>
      <c r="AC41" s="5" t="str">
        <f>IF(Deltagarlista!$K$3=4,IF(ISBLANK(Deltagarlista!$C29),"",IF(ISBLANK(Arrangörslista!K$98),"",IFERROR(VLOOKUP($F41,Arrangörslista!K$98:$AG$135,16,FALSE),IF(ISBLANK(Deltagarlista!$C29),"",IF(ISBLANK(Arrangörslista!K$98),"",IFERROR(VLOOKUP($F41,Arrangörslista!L$98:$AG$135,16,FALSE),"DNS")))))),IF(Deltagarlista!$K$3=2,
IF(ISBLANK(Deltagarlista!$C29),"",IF(ISBLANK(Arrangörslista!G$53),"",IF($GV41=AC$64," DNS ",IFERROR(VLOOKUP($F41,Arrangörslista!G$53:$AG$90,16,FALSE),"DNS")))),IF(ISBLANK(Deltagarlista!$C29),"",IF(ISBLANK(Arrangörslista!G$53),"",IFERROR(VLOOKUP($F41,Arrangörslista!G$53:$AG$90,16,FALSE),"DNS")))))</f>
        <v/>
      </c>
      <c r="AD41" s="5" t="str">
        <f>IF(Deltagarlista!$K$3=4,IF(ISBLANK(Deltagarlista!$C29),"",IF(ISBLANK(Arrangörslista!M$98),"",IFERROR(VLOOKUP($F41,Arrangörslista!M$98:$AG$135,16,FALSE),IF(ISBLANK(Deltagarlista!$C29),"",IF(ISBLANK(Arrangörslista!M$98),"",IFERROR(VLOOKUP($F41,Arrangörslista!N$98:$AG$135,16,FALSE),"DNS")))))),IF(Deltagarlista!$K$3=2,
IF(ISBLANK(Deltagarlista!$C29),"",IF(ISBLANK(Arrangörslista!H$53),"",IF($GV41=AD$64," DNS ",IFERROR(VLOOKUP($F41,Arrangörslista!H$53:$AG$90,16,FALSE),"DNS")))),IF(ISBLANK(Deltagarlista!$C29),"",IF(ISBLANK(Arrangörslista!H$53),"",IFERROR(VLOOKUP($F41,Arrangörslista!H$53:$AG$90,16,FALSE),"DNS")))))</f>
        <v/>
      </c>
      <c r="AE41" s="5" t="str">
        <f>IF(Deltagarlista!$K$3=4,IF(ISBLANK(Deltagarlista!$C29),"",IF(ISBLANK(Arrangörslista!O$98),"",IFERROR(VLOOKUP($F41,Arrangörslista!O$98:$AG$135,16,FALSE),IF(ISBLANK(Deltagarlista!$C29),"",IF(ISBLANK(Arrangörslista!O$98),"",IFERROR(VLOOKUP($F41,Arrangörslista!P$98:$AG$135,16,FALSE),"DNS")))))),IF(Deltagarlista!$K$3=2,
IF(ISBLANK(Deltagarlista!$C29),"",IF(ISBLANK(Arrangörslista!I$53),"",IF($GV41=AE$64," DNS ",IFERROR(VLOOKUP($F41,Arrangörslista!I$53:$AG$90,16,FALSE),"DNS")))),IF(ISBLANK(Deltagarlista!$C29),"",IF(ISBLANK(Arrangörslista!I$53),"",IFERROR(VLOOKUP($F41,Arrangörslista!I$53:$AG$90,16,FALSE),"DNS")))))</f>
        <v/>
      </c>
      <c r="AF41" s="5" t="str">
        <f>IF(Deltagarlista!$K$3=4,IF(ISBLANK(Deltagarlista!$C29),"",IF(ISBLANK(Arrangörslista!Q$98),"",IFERROR(VLOOKUP($F41,Arrangörslista!Q$98:$AG$135,16,FALSE),IF(ISBLANK(Deltagarlista!$C29),"",IF(ISBLANK(Arrangörslista!Q$98),"",IFERROR(VLOOKUP($F41,Arrangörslista!C$143:$AG$180,16,FALSE),"DNS")))))),IF(Deltagarlista!$K$3=2,
IF(ISBLANK(Deltagarlista!$C29),"",IF(ISBLANK(Arrangörslista!J$53),"",IF($GV41=AF$64," DNS ",IFERROR(VLOOKUP($F41,Arrangörslista!J$53:$AG$90,16,FALSE),"DNS")))),IF(ISBLANK(Deltagarlista!$C29),"",IF(ISBLANK(Arrangörslista!J$53),"",IFERROR(VLOOKUP($F41,Arrangörslista!J$53:$AG$90,16,FALSE),"DNS")))))</f>
        <v/>
      </c>
      <c r="AG41" s="5" t="str">
        <f>IF(Deltagarlista!$K$3=4,IF(ISBLANK(Deltagarlista!$C29),"",IF(ISBLANK(Arrangörslista!D$143),"",IFERROR(VLOOKUP($F41,Arrangörslista!D$143:$AG$180,16,FALSE),IF(ISBLANK(Deltagarlista!$C29),"",IF(ISBLANK(Arrangörslista!D$143),"",IFERROR(VLOOKUP($F41,Arrangörslista!E$143:$AG$180,16,FALSE),"DNS")))))),IF(Deltagarlista!$K$3=2,
IF(ISBLANK(Deltagarlista!$C29),"",IF(ISBLANK(Arrangörslista!K$53),"",IF($GV41=AG$64," DNS ",IFERROR(VLOOKUP($F41,Arrangörslista!K$53:$AG$90,16,FALSE),"DNS")))),IF(ISBLANK(Deltagarlista!$C29),"",IF(ISBLANK(Arrangörslista!K$53),"",IFERROR(VLOOKUP($F41,Arrangörslista!K$53:$AG$90,16,FALSE),"DNS")))))</f>
        <v/>
      </c>
      <c r="AH41" s="5" t="str">
        <f>IF(Deltagarlista!$K$3=4,IF(ISBLANK(Deltagarlista!$C29),"",IF(ISBLANK(Arrangörslista!F$143),"",IFERROR(VLOOKUP($F41,Arrangörslista!F$143:$AG$180,16,FALSE),IF(ISBLANK(Deltagarlista!$C29),"",IF(ISBLANK(Arrangörslista!F$143),"",IFERROR(VLOOKUP($F41,Arrangörslista!G$143:$AG$180,16,FALSE),"DNS")))))),IF(Deltagarlista!$K$3=2,
IF(ISBLANK(Deltagarlista!$C29),"",IF(ISBLANK(Arrangörslista!L$53),"",IF($GV41=AH$64," DNS ",IFERROR(VLOOKUP($F41,Arrangörslista!L$53:$AG$90,16,FALSE),"DNS")))),IF(ISBLANK(Deltagarlista!$C29),"",IF(ISBLANK(Arrangörslista!L$53),"",IFERROR(VLOOKUP($F41,Arrangörslista!L$53:$AG$90,16,FALSE),"DNS")))))</f>
        <v/>
      </c>
      <c r="AI41" s="5" t="str">
        <f>IF(Deltagarlista!$K$3=4,IF(ISBLANK(Deltagarlista!$C29),"",IF(ISBLANK(Arrangörslista!H$143),"",IFERROR(VLOOKUP($F41,Arrangörslista!H$143:$AG$180,16,FALSE),IF(ISBLANK(Deltagarlista!$C29),"",IF(ISBLANK(Arrangörslista!H$143),"",IFERROR(VLOOKUP($F41,Arrangörslista!I$143:$AG$180,16,FALSE),"DNS")))))),IF(Deltagarlista!$K$3=2,
IF(ISBLANK(Deltagarlista!$C29),"",IF(ISBLANK(Arrangörslista!M$53),"",IF($GV41=AI$64," DNS ",IFERROR(VLOOKUP($F41,Arrangörslista!M$53:$AG$90,16,FALSE),"DNS")))),IF(ISBLANK(Deltagarlista!$C29),"",IF(ISBLANK(Arrangörslista!M$53),"",IFERROR(VLOOKUP($F41,Arrangörslista!M$53:$AG$90,16,FALSE),"DNS")))))</f>
        <v/>
      </c>
      <c r="AJ41" s="5" t="str">
        <f>IF(Deltagarlista!$K$3=4,IF(ISBLANK(Deltagarlista!$C29),"",IF(ISBLANK(Arrangörslista!J$143),"",IFERROR(VLOOKUP($F41,Arrangörslista!J$143:$AG$180,16,FALSE),IF(ISBLANK(Deltagarlista!$C29),"",IF(ISBLANK(Arrangörslista!J$143),"",IFERROR(VLOOKUP($F41,Arrangörslista!K$143:$AG$180,16,FALSE),"DNS")))))),IF(Deltagarlista!$K$3=2,
IF(ISBLANK(Deltagarlista!$C29),"",IF(ISBLANK(Arrangörslista!N$53),"",IF($GV41=AJ$64," DNS ",IFERROR(VLOOKUP($F41,Arrangörslista!N$53:$AG$90,16,FALSE),"DNS")))),IF(ISBLANK(Deltagarlista!$C29),"",IF(ISBLANK(Arrangörslista!N$53),"",IFERROR(VLOOKUP($F41,Arrangörslista!N$53:$AG$90,16,FALSE),"DNS")))))</f>
        <v/>
      </c>
      <c r="AK41" s="5" t="str">
        <f>IF(Deltagarlista!$K$3=4,IF(ISBLANK(Deltagarlista!$C29),"",IF(ISBLANK(Arrangörslista!L$143),"",IFERROR(VLOOKUP($F41,Arrangörslista!L$143:$AG$180,16,FALSE),IF(ISBLANK(Deltagarlista!$C29),"",IF(ISBLANK(Arrangörslista!L$143),"",IFERROR(VLOOKUP($F41,Arrangörslista!M$143:$AG$180,16,FALSE),"DNS")))))),IF(Deltagarlista!$K$3=2,
IF(ISBLANK(Deltagarlista!$C29),"",IF(ISBLANK(Arrangörslista!O$53),"",IF($GV41=AK$64," DNS ",IFERROR(VLOOKUP($F41,Arrangörslista!O$53:$AG$90,16,FALSE),"DNS")))),IF(ISBLANK(Deltagarlista!$C29),"",IF(ISBLANK(Arrangörslista!O$53),"",IFERROR(VLOOKUP($F41,Arrangörslista!O$53:$AG$90,16,FALSE),"DNS")))))</f>
        <v/>
      </c>
      <c r="AL41" s="5" t="str">
        <f>IF(Deltagarlista!$K$3=4,IF(ISBLANK(Deltagarlista!$C29),"",IF(ISBLANK(Arrangörslista!N$143),"",IFERROR(VLOOKUP($F41,Arrangörslista!N$143:$AG$180,16,FALSE),IF(ISBLANK(Deltagarlista!$C29),"",IF(ISBLANK(Arrangörslista!N$143),"",IFERROR(VLOOKUP($F41,Arrangörslista!O$143:$AG$180,16,FALSE),"DNS")))))),IF(Deltagarlista!$K$3=2,
IF(ISBLANK(Deltagarlista!$C29),"",IF(ISBLANK(Arrangörslista!P$53),"",IF($GV41=AL$64," DNS ",IFERROR(VLOOKUP($F41,Arrangörslista!P$53:$AG$90,16,FALSE),"DNS")))),IF(ISBLANK(Deltagarlista!$C29),"",IF(ISBLANK(Arrangörslista!P$53),"",IFERROR(VLOOKUP($F41,Arrangörslista!P$53:$AG$90,16,FALSE),"DNS")))))</f>
        <v/>
      </c>
      <c r="AM41" s="5" t="str">
        <f>IF(Deltagarlista!$K$3=4,IF(ISBLANK(Deltagarlista!$C29),"",IF(ISBLANK(Arrangörslista!P$143),"",IFERROR(VLOOKUP($F41,Arrangörslista!P$143:$AG$180,16,FALSE),IF(ISBLANK(Deltagarlista!$C29),"",IF(ISBLANK(Arrangörslista!P$143),"",IFERROR(VLOOKUP($F41,Arrangörslista!Q$143:$AG$180,16,FALSE),"DNS")))))),IF(Deltagarlista!$K$3=2,
IF(ISBLANK(Deltagarlista!$C29),"",IF(ISBLANK(Arrangörslista!Q$53),"",IF($GV41=AM$64," DNS ",IFERROR(VLOOKUP($F41,Arrangörslista!Q$53:$AG$90,16,FALSE),"DNS")))),IF(ISBLANK(Deltagarlista!$C29),"",IF(ISBLANK(Arrangörslista!Q$53),"",IFERROR(VLOOKUP($F41,Arrangörslista!Q$53:$AG$90,16,FALSE),"DNS")))))</f>
        <v/>
      </c>
      <c r="AN41" s="5" t="str">
        <f>IF(Deltagarlista!$K$3=2,
IF(ISBLANK(Deltagarlista!$C29),"",IF(ISBLANK(Arrangörslista!C$98),"",IF($GV41=AN$64," DNS ",IFERROR(VLOOKUP($F41,Arrangörslista!C$98:$AG$135,16,FALSE), "DNS")))), IF(Deltagarlista!$K$3=1,IF(ISBLANK(Deltagarlista!$C29),"",IF(ISBLANK(Arrangörslista!C$98),"",IFERROR(VLOOKUP($F41,Arrangörslista!C$98:$AG$135,16,FALSE), "DNS"))),""))</f>
        <v/>
      </c>
      <c r="AO41" s="5" t="str">
        <f>IF(Deltagarlista!$K$3=2,
IF(ISBLANK(Deltagarlista!$C29),"",IF(ISBLANK(Arrangörslista!D$98),"",IF($GV41=AO$64," DNS ",IFERROR(VLOOKUP($F41,Arrangörslista!D$98:$AG$135,16,FALSE), "DNS")))), IF(Deltagarlista!$K$3=1,IF(ISBLANK(Deltagarlista!$C29),"",IF(ISBLANK(Arrangörslista!D$98),"",IFERROR(VLOOKUP($F41,Arrangörslista!D$98:$AG$135,16,FALSE), "DNS"))),""))</f>
        <v/>
      </c>
      <c r="AP41" s="5" t="str">
        <f>IF(Deltagarlista!$K$3=2,
IF(ISBLANK(Deltagarlista!$C29),"",IF(ISBLANK(Arrangörslista!E$98),"",IF($GV41=AP$64," DNS ",IFERROR(VLOOKUP($F41,Arrangörslista!E$98:$AG$135,16,FALSE), "DNS")))), IF(Deltagarlista!$K$3=1,IF(ISBLANK(Deltagarlista!$C29),"",IF(ISBLANK(Arrangörslista!E$98),"",IFERROR(VLOOKUP($F41,Arrangörslista!E$98:$AG$135,16,FALSE), "DNS"))),""))</f>
        <v/>
      </c>
      <c r="AQ41" s="5" t="str">
        <f>IF(Deltagarlista!$K$3=2,
IF(ISBLANK(Deltagarlista!$C29),"",IF(ISBLANK(Arrangörslista!F$98),"",IF($GV41=AQ$64," DNS ",IFERROR(VLOOKUP($F41,Arrangörslista!F$98:$AG$135,16,FALSE), "DNS")))), IF(Deltagarlista!$K$3=1,IF(ISBLANK(Deltagarlista!$C29),"",IF(ISBLANK(Arrangörslista!F$98),"",IFERROR(VLOOKUP($F41,Arrangörslista!F$98:$AG$135,16,FALSE), "DNS"))),""))</f>
        <v/>
      </c>
      <c r="AR41" s="5" t="str">
        <f>IF(Deltagarlista!$K$3=2,
IF(ISBLANK(Deltagarlista!$C29),"",IF(ISBLANK(Arrangörslista!G$98),"",IF($GV41=AR$64," DNS ",IFERROR(VLOOKUP($F41,Arrangörslista!G$98:$AG$135,16,FALSE), "DNS")))), IF(Deltagarlista!$K$3=1,IF(ISBLANK(Deltagarlista!$C29),"",IF(ISBLANK(Arrangörslista!G$98),"",IFERROR(VLOOKUP($F41,Arrangörslista!G$98:$AG$135,16,FALSE), "DNS"))),""))</f>
        <v/>
      </c>
      <c r="AS41" s="5" t="str">
        <f>IF(Deltagarlista!$K$3=2,
IF(ISBLANK(Deltagarlista!$C29),"",IF(ISBLANK(Arrangörslista!H$98),"",IF($GV41=AS$64," DNS ",IFERROR(VLOOKUP($F41,Arrangörslista!H$98:$AG$135,16,FALSE), "DNS")))), IF(Deltagarlista!$K$3=1,IF(ISBLANK(Deltagarlista!$C29),"",IF(ISBLANK(Arrangörslista!H$98),"",IFERROR(VLOOKUP($F41,Arrangörslista!H$98:$AG$135,16,FALSE), "DNS"))),""))</f>
        <v/>
      </c>
      <c r="AT41" s="5" t="str">
        <f>IF(Deltagarlista!$K$3=2,
IF(ISBLANK(Deltagarlista!$C29),"",IF(ISBLANK(Arrangörslista!I$98),"",IF($GV41=AT$64," DNS ",IFERROR(VLOOKUP($F41,Arrangörslista!I$98:$AG$135,16,FALSE), "DNS")))), IF(Deltagarlista!$K$3=1,IF(ISBLANK(Deltagarlista!$C29),"",IF(ISBLANK(Arrangörslista!I$98),"",IFERROR(VLOOKUP($F41,Arrangörslista!I$98:$AG$135,16,FALSE), "DNS"))),""))</f>
        <v/>
      </c>
      <c r="AU41" s="5" t="str">
        <f>IF(Deltagarlista!$K$3=2,
IF(ISBLANK(Deltagarlista!$C29),"",IF(ISBLANK(Arrangörslista!J$98),"",IF($GV41=AU$64," DNS ",IFERROR(VLOOKUP($F41,Arrangörslista!J$98:$AG$135,16,FALSE), "DNS")))), IF(Deltagarlista!$K$3=1,IF(ISBLANK(Deltagarlista!$C29),"",IF(ISBLANK(Arrangörslista!J$98),"",IFERROR(VLOOKUP($F41,Arrangörslista!J$98:$AG$135,16,FALSE), "DNS"))),""))</f>
        <v/>
      </c>
      <c r="AV41" s="5" t="str">
        <f>IF(Deltagarlista!$K$3=2,
IF(ISBLANK(Deltagarlista!$C29),"",IF(ISBLANK(Arrangörslista!K$98),"",IF($GV41=AV$64," DNS ",IFERROR(VLOOKUP($F41,Arrangörslista!K$98:$AG$135,16,FALSE), "DNS")))), IF(Deltagarlista!$K$3=1,IF(ISBLANK(Deltagarlista!$C29),"",IF(ISBLANK(Arrangörslista!K$98),"",IFERROR(VLOOKUP($F41,Arrangörslista!K$98:$AG$135,16,FALSE), "DNS"))),""))</f>
        <v/>
      </c>
      <c r="AW41" s="5" t="str">
        <f>IF(Deltagarlista!$K$3=2,
IF(ISBLANK(Deltagarlista!$C29),"",IF(ISBLANK(Arrangörslista!L$98),"",IF($GV41=AW$64," DNS ",IFERROR(VLOOKUP($F41,Arrangörslista!L$98:$AG$135,16,FALSE), "DNS")))), IF(Deltagarlista!$K$3=1,IF(ISBLANK(Deltagarlista!$C29),"",IF(ISBLANK(Arrangörslista!L$98),"",IFERROR(VLOOKUP($F41,Arrangörslista!L$98:$AG$135,16,FALSE), "DNS"))),""))</f>
        <v/>
      </c>
      <c r="AX41" s="5" t="str">
        <f>IF(Deltagarlista!$K$3=2,
IF(ISBLANK(Deltagarlista!$C29),"",IF(ISBLANK(Arrangörslista!M$98),"",IF($GV41=AX$64," DNS ",IFERROR(VLOOKUP($F41,Arrangörslista!M$98:$AG$135,16,FALSE), "DNS")))), IF(Deltagarlista!$K$3=1,IF(ISBLANK(Deltagarlista!$C29),"",IF(ISBLANK(Arrangörslista!M$98),"",IFERROR(VLOOKUP($F41,Arrangörslista!M$98:$AG$135,16,FALSE), "DNS"))),""))</f>
        <v/>
      </c>
      <c r="AY41" s="5" t="str">
        <f>IF(Deltagarlista!$K$3=2,
IF(ISBLANK(Deltagarlista!$C29),"",IF(ISBLANK(Arrangörslista!N$98),"",IF($GV41=AY$64," DNS ",IFERROR(VLOOKUP($F41,Arrangörslista!N$98:$AG$135,16,FALSE), "DNS")))), IF(Deltagarlista!$K$3=1,IF(ISBLANK(Deltagarlista!$C29),"",IF(ISBLANK(Arrangörslista!N$98),"",IFERROR(VLOOKUP($F41,Arrangörslista!N$98:$AG$135,16,FALSE), "DNS"))),""))</f>
        <v/>
      </c>
      <c r="AZ41" s="5" t="str">
        <f>IF(Deltagarlista!$K$3=2,
IF(ISBLANK(Deltagarlista!$C29),"",IF(ISBLANK(Arrangörslista!O$98),"",IF($GV41=AZ$64," DNS ",IFERROR(VLOOKUP($F41,Arrangörslista!O$98:$AG$135,16,FALSE), "DNS")))), IF(Deltagarlista!$K$3=1,IF(ISBLANK(Deltagarlista!$C29),"",IF(ISBLANK(Arrangörslista!O$98),"",IFERROR(VLOOKUP($F41,Arrangörslista!O$98:$AG$135,16,FALSE), "DNS"))),""))</f>
        <v/>
      </c>
      <c r="BA41" s="5" t="str">
        <f>IF(Deltagarlista!$K$3=2,
IF(ISBLANK(Deltagarlista!$C29),"",IF(ISBLANK(Arrangörslista!P$98),"",IF($GV41=BA$64," DNS ",IFERROR(VLOOKUP($F41,Arrangörslista!P$98:$AG$135,16,FALSE), "DNS")))), IF(Deltagarlista!$K$3=1,IF(ISBLANK(Deltagarlista!$C29),"",IF(ISBLANK(Arrangörslista!P$98),"",IFERROR(VLOOKUP($F41,Arrangörslista!P$98:$AG$135,16,FALSE), "DNS"))),""))</f>
        <v/>
      </c>
      <c r="BB41" s="5" t="str">
        <f>IF(Deltagarlista!$K$3=2,
IF(ISBLANK(Deltagarlista!$C29),"",IF(ISBLANK(Arrangörslista!Q$98),"",IF($GV41=BB$64," DNS ",IFERROR(VLOOKUP($F41,Arrangörslista!Q$98:$AG$135,16,FALSE), "DNS")))), IF(Deltagarlista!$K$3=1,IF(ISBLANK(Deltagarlista!$C29),"",IF(ISBLANK(Arrangörslista!Q$98),"",IFERROR(VLOOKUP($F41,Arrangörslista!Q$98:$AG$135,16,FALSE), "DNS"))),""))</f>
        <v/>
      </c>
      <c r="BC41" s="5" t="str">
        <f>IF(Deltagarlista!$K$3=2,
IF(ISBLANK(Deltagarlista!$C29),"",IF(ISBLANK(Arrangörslista!C$143),"",IF($GV41=BC$64," DNS ",IFERROR(VLOOKUP($F41,Arrangörslista!C$143:$AG$180,16,FALSE), "DNS")))), IF(Deltagarlista!$K$3=1,IF(ISBLANK(Deltagarlista!$C29),"",IF(ISBLANK(Arrangörslista!C$143),"",IFERROR(VLOOKUP($F41,Arrangörslista!C$143:$AG$180,16,FALSE), "DNS"))),""))</f>
        <v/>
      </c>
      <c r="BD41" s="5" t="str">
        <f>IF(Deltagarlista!$K$3=2,
IF(ISBLANK(Deltagarlista!$C29),"",IF(ISBLANK(Arrangörslista!D$143),"",IF($GV41=BD$64," DNS ",IFERROR(VLOOKUP($F41,Arrangörslista!D$143:$AG$180,16,FALSE), "DNS")))), IF(Deltagarlista!$K$3=1,IF(ISBLANK(Deltagarlista!$C29),"",IF(ISBLANK(Arrangörslista!D$143),"",IFERROR(VLOOKUP($F41,Arrangörslista!D$143:$AG$180,16,FALSE), "DNS"))),""))</f>
        <v/>
      </c>
      <c r="BE41" s="5" t="str">
        <f>IF(Deltagarlista!$K$3=2,
IF(ISBLANK(Deltagarlista!$C29),"",IF(ISBLANK(Arrangörslista!E$143),"",IF($GV41=BE$64," DNS ",IFERROR(VLOOKUP($F41,Arrangörslista!E$143:$AG$180,16,FALSE), "DNS")))), IF(Deltagarlista!$K$3=1,IF(ISBLANK(Deltagarlista!$C29),"",IF(ISBLANK(Arrangörslista!E$143),"",IFERROR(VLOOKUP($F41,Arrangörslista!E$143:$AG$180,16,FALSE), "DNS"))),""))</f>
        <v/>
      </c>
      <c r="BF41" s="5" t="str">
        <f>IF(Deltagarlista!$K$3=2,
IF(ISBLANK(Deltagarlista!$C29),"",IF(ISBLANK(Arrangörslista!F$143),"",IF($GV41=BF$64," DNS ",IFERROR(VLOOKUP($F41,Arrangörslista!F$143:$AG$180,16,FALSE), "DNS")))), IF(Deltagarlista!$K$3=1,IF(ISBLANK(Deltagarlista!$C29),"",IF(ISBLANK(Arrangörslista!F$143),"",IFERROR(VLOOKUP($F41,Arrangörslista!F$143:$AG$180,16,FALSE), "DNS"))),""))</f>
        <v/>
      </c>
      <c r="BG41" s="5" t="str">
        <f>IF(Deltagarlista!$K$3=2,
IF(ISBLANK(Deltagarlista!$C29),"",IF(ISBLANK(Arrangörslista!G$143),"",IF($GV41=BG$64," DNS ",IFERROR(VLOOKUP($F41,Arrangörslista!G$143:$AG$180,16,FALSE), "DNS")))), IF(Deltagarlista!$K$3=1,IF(ISBLANK(Deltagarlista!$C29),"",IF(ISBLANK(Arrangörslista!G$143),"",IFERROR(VLOOKUP($F41,Arrangörslista!G$143:$AG$180,16,FALSE), "DNS"))),""))</f>
        <v/>
      </c>
      <c r="BH41" s="5" t="str">
        <f>IF(Deltagarlista!$K$3=2,
IF(ISBLANK(Deltagarlista!$C29),"",IF(ISBLANK(Arrangörslista!H$143),"",IF($GV41=BH$64," DNS ",IFERROR(VLOOKUP($F41,Arrangörslista!H$143:$AG$180,16,FALSE), "DNS")))), IF(Deltagarlista!$K$3=1,IF(ISBLANK(Deltagarlista!$C29),"",IF(ISBLANK(Arrangörslista!H$143),"",IFERROR(VLOOKUP($F41,Arrangörslista!H$143:$AG$180,16,FALSE), "DNS"))),""))</f>
        <v/>
      </c>
      <c r="BI41" s="5" t="str">
        <f>IF(Deltagarlista!$K$3=2,
IF(ISBLANK(Deltagarlista!$C29),"",IF(ISBLANK(Arrangörslista!I$143),"",IF($GV41=BI$64," DNS ",IFERROR(VLOOKUP($F41,Arrangörslista!I$143:$AG$180,16,FALSE), "DNS")))), IF(Deltagarlista!$K$3=1,IF(ISBLANK(Deltagarlista!$C29),"",IF(ISBLANK(Arrangörslista!I$143),"",IFERROR(VLOOKUP($F41,Arrangörslista!I$143:$AG$180,16,FALSE), "DNS"))),""))</f>
        <v/>
      </c>
      <c r="BJ41" s="5" t="str">
        <f>IF(Deltagarlista!$K$3=2,
IF(ISBLANK(Deltagarlista!$C29),"",IF(ISBLANK(Arrangörslista!J$143),"",IF($GV41=BJ$64," DNS ",IFERROR(VLOOKUP($F41,Arrangörslista!J$143:$AG$180,16,FALSE), "DNS")))), IF(Deltagarlista!$K$3=1,IF(ISBLANK(Deltagarlista!$C29),"",IF(ISBLANK(Arrangörslista!J$143),"",IFERROR(VLOOKUP($F41,Arrangörslista!J$143:$AG$180,16,FALSE), "DNS"))),""))</f>
        <v/>
      </c>
      <c r="BK41" s="5" t="str">
        <f>IF(Deltagarlista!$K$3=2,
IF(ISBLANK(Deltagarlista!$C29),"",IF(ISBLANK(Arrangörslista!K$143),"",IF($GV41=BK$64," DNS ",IFERROR(VLOOKUP($F41,Arrangörslista!K$143:$AG$180,16,FALSE), "DNS")))), IF(Deltagarlista!$K$3=1,IF(ISBLANK(Deltagarlista!$C29),"",IF(ISBLANK(Arrangörslista!K$143),"",IFERROR(VLOOKUP($F41,Arrangörslista!K$143:$AG$180,16,FALSE), "DNS"))),""))</f>
        <v/>
      </c>
      <c r="BL41" s="5" t="str">
        <f>IF(Deltagarlista!$K$3=2,
IF(ISBLANK(Deltagarlista!$C29),"",IF(ISBLANK(Arrangörslista!L$143),"",IF($GV41=BL$64," DNS ",IFERROR(VLOOKUP($F41,Arrangörslista!L$143:$AG$180,16,FALSE), "DNS")))), IF(Deltagarlista!$K$3=1,IF(ISBLANK(Deltagarlista!$C29),"",IF(ISBLANK(Arrangörslista!L$143),"",IFERROR(VLOOKUP($F41,Arrangörslista!L$143:$AG$180,16,FALSE), "DNS"))),""))</f>
        <v/>
      </c>
      <c r="BM41" s="5" t="str">
        <f>IF(Deltagarlista!$K$3=2,
IF(ISBLANK(Deltagarlista!$C29),"",IF(ISBLANK(Arrangörslista!M$143),"",IF($GV41=BM$64," DNS ",IFERROR(VLOOKUP($F41,Arrangörslista!M$143:$AG$180,16,FALSE), "DNS")))), IF(Deltagarlista!$K$3=1,IF(ISBLANK(Deltagarlista!$C29),"",IF(ISBLANK(Arrangörslista!M$143),"",IFERROR(VLOOKUP($F41,Arrangörslista!M$143:$AG$180,16,FALSE), "DNS"))),""))</f>
        <v/>
      </c>
      <c r="BN41" s="5" t="str">
        <f>IF(Deltagarlista!$K$3=2,
IF(ISBLANK(Deltagarlista!$C29),"",IF(ISBLANK(Arrangörslista!N$143),"",IF($GV41=BN$64," DNS ",IFERROR(VLOOKUP($F41,Arrangörslista!N$143:$AG$180,16,FALSE), "DNS")))), IF(Deltagarlista!$K$3=1,IF(ISBLANK(Deltagarlista!$C29),"",IF(ISBLANK(Arrangörslista!N$143),"",IFERROR(VLOOKUP($F41,Arrangörslista!N$143:$AG$180,16,FALSE), "DNS"))),""))</f>
        <v/>
      </c>
      <c r="BO41" s="5" t="str">
        <f>IF(Deltagarlista!$K$3=2,
IF(ISBLANK(Deltagarlista!$C29),"",IF(ISBLANK(Arrangörslista!O$143),"",IF($GV41=BO$64," DNS ",IFERROR(VLOOKUP($F41,Arrangörslista!O$143:$AG$180,16,FALSE), "DNS")))), IF(Deltagarlista!$K$3=1,IF(ISBLANK(Deltagarlista!$C29),"",IF(ISBLANK(Arrangörslista!O$143),"",IFERROR(VLOOKUP($F41,Arrangörslista!O$143:$AG$180,16,FALSE), "DNS"))),""))</f>
        <v/>
      </c>
      <c r="BP41" s="5" t="str">
        <f>IF(Deltagarlista!$K$3=2,
IF(ISBLANK(Deltagarlista!$C29),"",IF(ISBLANK(Arrangörslista!P$143),"",IF($GV41=BP$64," DNS ",IFERROR(VLOOKUP($F41,Arrangörslista!P$143:$AG$180,16,FALSE), "DNS")))), IF(Deltagarlista!$K$3=1,IF(ISBLANK(Deltagarlista!$C29),"",IF(ISBLANK(Arrangörslista!P$143),"",IFERROR(VLOOKUP($F41,Arrangörslista!P$143:$AG$180,16,FALSE), "DNS"))),""))</f>
        <v/>
      </c>
      <c r="BQ41" s="80" t="str">
        <f>IF(Deltagarlista!$K$3=2,
IF(ISBLANK(Deltagarlista!$C29),"",IF(ISBLANK(Arrangörslista!Q$143),"",IF($GV41=BQ$64," DNS ",IFERROR(VLOOKUP($F41,Arrangörslista!Q$143:$AG$180,16,FALSE), "DNS")))), IF(Deltagarlista!$K$3=1,IF(ISBLANK(Deltagarlista!$C29),"",IF(ISBLANK(Arrangörslista!Q$143),"",IFERROR(VLOOKUP($F41,Arrangörslista!Q$143:$AG$180,16,FALSE), "DNS"))),""))</f>
        <v/>
      </c>
      <c r="BR41" s="51"/>
      <c r="BS41" s="50" t="str">
        <f t="shared" si="125"/>
        <v>2</v>
      </c>
      <c r="BT41" s="51"/>
      <c r="BU41" s="71">
        <f t="shared" si="126"/>
        <v>0</v>
      </c>
      <c r="BV41" s="61">
        <f t="shared" si="127"/>
        <v>0</v>
      </c>
      <c r="BW41" s="61">
        <f t="shared" si="128"/>
        <v>0</v>
      </c>
      <c r="BX41" s="61">
        <f t="shared" si="129"/>
        <v>0</v>
      </c>
      <c r="BY41" s="61">
        <f t="shared" si="130"/>
        <v>0</v>
      </c>
      <c r="BZ41" s="61">
        <f t="shared" si="131"/>
        <v>0</v>
      </c>
      <c r="CA41" s="61">
        <f t="shared" si="132"/>
        <v>0</v>
      </c>
      <c r="CB41" s="61">
        <f t="shared" si="133"/>
        <v>0</v>
      </c>
      <c r="CC41" s="61">
        <f t="shared" si="134"/>
        <v>0</v>
      </c>
      <c r="CD41" s="61">
        <f t="shared" si="135"/>
        <v>0</v>
      </c>
      <c r="CE41" s="61">
        <f t="shared" si="136"/>
        <v>0</v>
      </c>
      <c r="CF41" s="61">
        <f t="shared" si="137"/>
        <v>0</v>
      </c>
      <c r="CG41" s="61">
        <f t="shared" si="138"/>
        <v>0</v>
      </c>
      <c r="CH41" s="61">
        <f t="shared" si="139"/>
        <v>0</v>
      </c>
      <c r="CI41" s="61">
        <f t="shared" si="140"/>
        <v>0</v>
      </c>
      <c r="CJ41" s="61">
        <f t="shared" si="141"/>
        <v>0</v>
      </c>
      <c r="CK41" s="61">
        <f t="shared" si="142"/>
        <v>0</v>
      </c>
      <c r="CL41" s="61">
        <f t="shared" si="143"/>
        <v>0</v>
      </c>
      <c r="CM41" s="61">
        <f t="shared" si="144"/>
        <v>0</v>
      </c>
      <c r="CN41" s="61">
        <f t="shared" si="145"/>
        <v>0</v>
      </c>
      <c r="CO41" s="61">
        <f t="shared" si="146"/>
        <v>0</v>
      </c>
      <c r="CP41" s="61">
        <f t="shared" si="147"/>
        <v>0</v>
      </c>
      <c r="CQ41" s="61">
        <f t="shared" si="148"/>
        <v>0</v>
      </c>
      <c r="CR41" s="61">
        <f t="shared" si="149"/>
        <v>0</v>
      </c>
      <c r="CS41" s="61">
        <f t="shared" si="150"/>
        <v>0</v>
      </c>
      <c r="CT41" s="61">
        <f t="shared" si="151"/>
        <v>0</v>
      </c>
      <c r="CU41" s="61">
        <f t="shared" si="152"/>
        <v>0</v>
      </c>
      <c r="CV41" s="61">
        <f t="shared" si="153"/>
        <v>0</v>
      </c>
      <c r="CW41" s="61">
        <f t="shared" si="154"/>
        <v>0</v>
      </c>
      <c r="CX41" s="61">
        <f t="shared" si="155"/>
        <v>0</v>
      </c>
      <c r="CY41" s="61">
        <f t="shared" si="156"/>
        <v>0</v>
      </c>
      <c r="CZ41" s="61">
        <f t="shared" si="157"/>
        <v>0</v>
      </c>
      <c r="DA41" s="61">
        <f t="shared" si="158"/>
        <v>0</v>
      </c>
      <c r="DB41" s="61">
        <f t="shared" si="159"/>
        <v>0</v>
      </c>
      <c r="DC41" s="61">
        <f t="shared" si="160"/>
        <v>0</v>
      </c>
      <c r="DD41" s="61">
        <f t="shared" si="161"/>
        <v>0</v>
      </c>
      <c r="DE41" s="61">
        <f t="shared" si="162"/>
        <v>0</v>
      </c>
      <c r="DF41" s="61">
        <f t="shared" si="163"/>
        <v>0</v>
      </c>
      <c r="DG41" s="61">
        <f t="shared" si="164"/>
        <v>0</v>
      </c>
      <c r="DH41" s="61">
        <f t="shared" si="165"/>
        <v>0</v>
      </c>
      <c r="DI41" s="61">
        <f t="shared" si="166"/>
        <v>0</v>
      </c>
      <c r="DJ41" s="61">
        <f t="shared" si="167"/>
        <v>0</v>
      </c>
      <c r="DK41" s="61">
        <f t="shared" si="168"/>
        <v>0</v>
      </c>
      <c r="DL41" s="61">
        <f t="shared" si="169"/>
        <v>0</v>
      </c>
      <c r="DM41" s="61">
        <f t="shared" si="170"/>
        <v>0</v>
      </c>
      <c r="DN41" s="61">
        <f t="shared" si="171"/>
        <v>0</v>
      </c>
      <c r="DO41" s="61">
        <f t="shared" si="172"/>
        <v>0</v>
      </c>
      <c r="DP41" s="61">
        <f t="shared" si="173"/>
        <v>0</v>
      </c>
      <c r="DQ41" s="61">
        <f t="shared" si="174"/>
        <v>0</v>
      </c>
      <c r="DR41" s="61">
        <f t="shared" si="175"/>
        <v>0</v>
      </c>
      <c r="DS41" s="61">
        <f t="shared" si="176"/>
        <v>0</v>
      </c>
      <c r="DT41" s="61">
        <f t="shared" si="177"/>
        <v>0</v>
      </c>
      <c r="DU41" s="61">
        <f t="shared" si="178"/>
        <v>0</v>
      </c>
      <c r="DV41" s="61">
        <f t="shared" si="179"/>
        <v>0</v>
      </c>
      <c r="DW41" s="61">
        <f t="shared" si="180"/>
        <v>0</v>
      </c>
      <c r="DX41" s="61">
        <f t="shared" si="181"/>
        <v>0</v>
      </c>
      <c r="DY41" s="61">
        <f t="shared" si="182"/>
        <v>0</v>
      </c>
      <c r="DZ41" s="61">
        <f t="shared" si="183"/>
        <v>0</v>
      </c>
      <c r="EA41" s="61">
        <f t="shared" si="184"/>
        <v>0</v>
      </c>
      <c r="EB41" s="61">
        <f t="shared" si="185"/>
        <v>0</v>
      </c>
      <c r="EC41" s="61">
        <f t="shared" si="186"/>
        <v>0</v>
      </c>
      <c r="EE41" s="61">
        <f xml:space="preserve">
IF(OR(Deltagarlista!$K$3=3,Deltagarlista!$K$3=4),
IF(Arrangörslista!$U$5&lt;8,0,
IF(Arrangörslista!$U$5&lt;16,SUM(LARGE(BV41:CJ41,1)),
IF(Arrangörslista!$U$5&lt;24,SUM(LARGE(BV41:CR41,{1;2})),
IF(Arrangörslista!$U$5&lt;32,SUM(LARGE(BV41:CZ41,{1;2;3})),
IF(Arrangörslista!$U$5&lt;40,SUM(LARGE(BV41:DH41,{1;2;3;4})),
IF(Arrangörslista!$U$5&lt;48,SUM(LARGE(BV41:DP41,{1;2;3;4;5})),
IF(Arrangörslista!$U$5&lt;56,SUM(LARGE(BV41:DX41,{1;2;3;4;5;6})),
IF(Arrangörslista!$U$5&lt;64,SUM(LARGE(BV41:EC41,{1;2;3;4;5;6;7})),0)))))))),
IF(Deltagarlista!$K$3=2,
IF(Arrangörslista!$U$5&lt;4,LARGE(BV41:BX41,1),
IF(Arrangörslista!$U$5&lt;7,SUM(LARGE(BV41:CA41,{1;2;3})),
IF(Arrangörslista!$U$5&lt;10,SUM(LARGE(BV41:CD41,{1;2;3;4})),
IF(Arrangörslista!$U$5&lt;13,SUM(LARGE(BV41:CG41,{1;2;3;4;5;6})),
IF(Arrangörslista!$U$5&lt;16,SUM(LARGE(BV41:CJ41,{1;2;3;4;5;6;7})),
IF(Arrangörslista!$U$5&lt;19,SUM(LARGE(BV41:CM41,{1;2;3;4;5;6;7;8;9})),
IF(Arrangörslista!$U$5&lt;22,SUM(LARGE(BV41:CP41,{1;2;3;4;5;6;7;8;9;10})),
IF(Arrangörslista!$U$5&lt;25,SUM(LARGE(BV41:CS41,{1;2;3;4;5;6;7;8;9;10;11;12})),
IF(Arrangörslista!$U$5&lt;28,SUM(LARGE(BV41:CV41,{1;2;3;4;5;6;7;8;9;10;11;12;13})),
IF(Arrangörslista!$U$5&lt;31,SUM(LARGE(BV41:CY41,{1;2;3;4;5;6;7;8;9;10;11;12;13;14;15})),
IF(Arrangörslista!$U$5&lt;34,SUM(LARGE(BV41:DB41,{1;2;3;4;5;6;7;8;9;10;11;12;13;14;15;16})),
IF(Arrangörslista!$U$5&lt;37,SUM(LARGE(BV41:DE41,{1;2;3;4;5;6;7;8;9;10;11;12;13;14;15;16;17;18})),
IF(Arrangörslista!$U$5&lt;40,SUM(LARGE(BV41:DH41,{1;2;3;4;5;6;7;8;9;10;11;12;13;14;15;16;17;18;19})),
IF(Arrangörslista!$U$5&lt;43,SUM(LARGE(BV41:DK41,{1;2;3;4;5;6;7;8;9;10;11;12;13;14;15;16;17;18;19;20;21})),
IF(Arrangörslista!$U$5&lt;46,SUM(LARGE(BV41:DN41,{1;2;3;4;5;6;7;8;9;10;11;12;13;14;15;16;17;18;19;20;21;22})),
IF(Arrangörslista!$U$5&lt;49,SUM(LARGE(BV41:DQ41,{1;2;3;4;5;6;7;8;9;10;11;12;13;14;15;16;17;18;19;20;21;22;23;24})),
IF(Arrangörslista!$U$5&lt;52,SUM(LARGE(BV41:DT41,{1;2;3;4;5;6;7;8;9;10;11;12;13;14;15;16;17;18;19;20;21;22;23;24;25})),
IF(Arrangörslista!$U$5&lt;55,SUM(LARGE(BV41:DW41,{1;2;3;4;5;6;7;8;9;10;11;12;13;14;15;16;17;18;19;20;21;22;23;24;25;26;27})),
IF(Arrangörslista!$U$5&lt;58,SUM(LARGE(BV41:DZ41,{1;2;3;4;5;6;7;8;9;10;11;12;13;14;15;16;17;18;19;20;21;22;23;24;25;26;27;28})),
IF(Arrangörslista!$U$5&lt;61,SUM(LARGE(BV41:EC41,{1;2;3;4;5;6;7;8;9;10;11;12;13;14;15;16;17;18;19;20;21;22;23;24;25;26;27;28;29;30})),0)))))))))))))))))))),
IF(Arrangörslista!$U$5&lt;4,0,
IF(Arrangörslista!$U$5&lt;8,SUM(LARGE(BV41:CB41,1)),
IF(Arrangörslista!$U$5&lt;12,SUM(LARGE(BV41:CF41,{1;2})),
IF(Arrangörslista!$U$5&lt;16,SUM(LARGE(BV41:CJ41,{1;2;3})),
IF(Arrangörslista!$U$5&lt;20,SUM(LARGE(BV41:CN41,{1;2;3;4})),
IF(Arrangörslista!$U$5&lt;24,SUM(LARGE(BV41:CR41,{1;2;3;4;5})),
IF(Arrangörslista!$U$5&lt;28,SUM(LARGE(BV41:CV41,{1;2;3;4;5;6})),
IF(Arrangörslista!$U$5&lt;32,SUM(LARGE(BV41:CZ41,{1;2;3;4;5;6;7})),
IF(Arrangörslista!$U$5&lt;36,SUM(LARGE(BV41:DD41,{1;2;3;4;5;6;7;8})),
IF(Arrangörslista!$U$5&lt;40,SUM(LARGE(BV41:DH41,{1;2;3;4;5;6;7;8;9})),
IF(Arrangörslista!$U$5&lt;44,SUM(LARGE(BV41:DL41,{1;2;3;4;5;6;7;8;9;10})),
IF(Arrangörslista!$U$5&lt;48,SUM(LARGE(BV41:DP41,{1;2;3;4;5;6;7;8;9;10;11})),
IF(Arrangörslista!$U$5&lt;52,SUM(LARGE(BV41:DT41,{1;2;3;4;5;6;7;8;9;10;11;12})),
IF(Arrangörslista!$U$5&lt;56,SUM(LARGE(BV41:DX41,{1;2;3;4;5;6;7;8;9;10;11;12;13})),
IF(Arrangörslista!$U$5&lt;60,SUM(LARGE(BV41:EB41,{1;2;3;4;5;6;7;8;9;10;11;12;13;14})),
IF(Arrangörslista!$U$5=60,SUM(LARGE(BV41:EC41,{1;2;3;4;5;6;7;8;9;10;11;12;13;14;15})),0))))))))))))))))))</f>
        <v>0</v>
      </c>
      <c r="EG41" s="67">
        <f t="shared" si="187"/>
        <v>0</v>
      </c>
      <c r="EH41" s="61"/>
      <c r="EI41" s="61"/>
      <c r="EK41" s="62">
        <f t="shared" si="188"/>
        <v>61</v>
      </c>
      <c r="EL41" s="62">
        <f t="shared" si="189"/>
        <v>61</v>
      </c>
      <c r="EM41" s="62">
        <f t="shared" si="190"/>
        <v>61</v>
      </c>
      <c r="EN41" s="62">
        <f t="shared" si="191"/>
        <v>61</v>
      </c>
      <c r="EO41" s="62">
        <f t="shared" si="192"/>
        <v>61</v>
      </c>
      <c r="EP41" s="62">
        <f t="shared" si="193"/>
        <v>61</v>
      </c>
      <c r="EQ41" s="62">
        <f t="shared" si="194"/>
        <v>61</v>
      </c>
      <c r="ER41" s="62">
        <f t="shared" si="195"/>
        <v>61</v>
      </c>
      <c r="ES41" s="62">
        <f t="shared" si="196"/>
        <v>61</v>
      </c>
      <c r="ET41" s="62">
        <f t="shared" si="197"/>
        <v>61</v>
      </c>
      <c r="EU41" s="62">
        <f t="shared" si="198"/>
        <v>61</v>
      </c>
      <c r="EV41" s="62">
        <f t="shared" si="199"/>
        <v>61</v>
      </c>
      <c r="EW41" s="62">
        <f t="shared" si="200"/>
        <v>61</v>
      </c>
      <c r="EX41" s="62">
        <f t="shared" si="201"/>
        <v>61</v>
      </c>
      <c r="EY41" s="62">
        <f t="shared" si="202"/>
        <v>61</v>
      </c>
      <c r="EZ41" s="62">
        <f t="shared" si="203"/>
        <v>61</v>
      </c>
      <c r="FA41" s="62">
        <f t="shared" si="204"/>
        <v>61</v>
      </c>
      <c r="FB41" s="62">
        <f t="shared" si="205"/>
        <v>61</v>
      </c>
      <c r="FC41" s="62">
        <f t="shared" si="206"/>
        <v>61</v>
      </c>
      <c r="FD41" s="62">
        <f t="shared" si="207"/>
        <v>61</v>
      </c>
      <c r="FE41" s="62">
        <f t="shared" si="208"/>
        <v>61</v>
      </c>
      <c r="FF41" s="62">
        <f t="shared" si="209"/>
        <v>61</v>
      </c>
      <c r="FG41" s="62">
        <f t="shared" si="210"/>
        <v>61</v>
      </c>
      <c r="FH41" s="62">
        <f t="shared" si="211"/>
        <v>61</v>
      </c>
      <c r="FI41" s="62">
        <f t="shared" si="212"/>
        <v>61</v>
      </c>
      <c r="FJ41" s="62">
        <f t="shared" si="213"/>
        <v>61</v>
      </c>
      <c r="FK41" s="62">
        <f t="shared" si="214"/>
        <v>61</v>
      </c>
      <c r="FL41" s="62">
        <f t="shared" si="215"/>
        <v>61</v>
      </c>
      <c r="FM41" s="62">
        <f t="shared" si="216"/>
        <v>61</v>
      </c>
      <c r="FN41" s="62">
        <f t="shared" si="217"/>
        <v>61</v>
      </c>
      <c r="FO41" s="62">
        <f t="shared" si="218"/>
        <v>61</v>
      </c>
      <c r="FP41" s="62">
        <f t="shared" si="219"/>
        <v>61</v>
      </c>
      <c r="FQ41" s="62">
        <f t="shared" si="220"/>
        <v>61</v>
      </c>
      <c r="FR41" s="62">
        <f t="shared" si="221"/>
        <v>61</v>
      </c>
      <c r="FS41" s="62">
        <f t="shared" si="222"/>
        <v>61</v>
      </c>
      <c r="FT41" s="62">
        <f t="shared" si="223"/>
        <v>61</v>
      </c>
      <c r="FU41" s="62">
        <f t="shared" si="224"/>
        <v>61</v>
      </c>
      <c r="FV41" s="62">
        <f t="shared" si="225"/>
        <v>61</v>
      </c>
      <c r="FW41" s="62">
        <f t="shared" si="226"/>
        <v>61</v>
      </c>
      <c r="FX41" s="62">
        <f t="shared" si="227"/>
        <v>61</v>
      </c>
      <c r="FY41" s="62">
        <f t="shared" si="228"/>
        <v>61</v>
      </c>
      <c r="FZ41" s="62">
        <f t="shared" si="229"/>
        <v>61</v>
      </c>
      <c r="GA41" s="62">
        <f t="shared" si="230"/>
        <v>61</v>
      </c>
      <c r="GB41" s="62">
        <f t="shared" si="231"/>
        <v>61</v>
      </c>
      <c r="GC41" s="62">
        <f t="shared" si="232"/>
        <v>61</v>
      </c>
      <c r="GD41" s="62">
        <f t="shared" si="233"/>
        <v>61</v>
      </c>
      <c r="GE41" s="62">
        <f t="shared" si="234"/>
        <v>61</v>
      </c>
      <c r="GF41" s="62">
        <f t="shared" si="235"/>
        <v>61</v>
      </c>
      <c r="GG41" s="62">
        <f t="shared" si="236"/>
        <v>61</v>
      </c>
      <c r="GH41" s="62">
        <f t="shared" si="237"/>
        <v>61</v>
      </c>
      <c r="GI41" s="62">
        <f t="shared" si="238"/>
        <v>61</v>
      </c>
      <c r="GJ41" s="62">
        <f t="shared" si="239"/>
        <v>61</v>
      </c>
      <c r="GK41" s="62">
        <f t="shared" si="240"/>
        <v>61</v>
      </c>
      <c r="GL41" s="62">
        <f t="shared" si="241"/>
        <v>61</v>
      </c>
      <c r="GM41" s="62">
        <f t="shared" si="242"/>
        <v>61</v>
      </c>
      <c r="GN41" s="62">
        <f t="shared" si="243"/>
        <v>61</v>
      </c>
      <c r="GO41" s="62">
        <f t="shared" si="244"/>
        <v>61</v>
      </c>
      <c r="GP41" s="62">
        <f t="shared" si="245"/>
        <v>61</v>
      </c>
      <c r="GQ41" s="62">
        <f t="shared" si="246"/>
        <v>61</v>
      </c>
      <c r="GR41" s="62">
        <f t="shared" si="247"/>
        <v>61</v>
      </c>
      <c r="GT41" s="62">
        <f>IF(Deltagarlista!$K$3=2,
IF(GW41="1",
      IF(Arrangörslista!$U$5=1,J104,
IF(Arrangörslista!$U$5=2,K104,
IF(Arrangörslista!$U$5=3,L104,
IF(Arrangörslista!$U$5=4,M104,
IF(Arrangörslista!$U$5=5,N104,
IF(Arrangörslista!$U$5=6,O104,
IF(Arrangörslista!$U$5=7,P104,
IF(Arrangörslista!$U$5=8,Q104,
IF(Arrangörslista!$U$5=9,R104,
IF(Arrangörslista!$U$5=10,S104,
IF(Arrangörslista!$U$5=11,T104,
IF(Arrangörslista!$U$5=12,U104,
IF(Arrangörslista!$U$5=13,V104,
IF(Arrangörslista!$U$5=14,W104,
IF(Arrangörslista!$U$5=15,X104,
IF(Arrangörslista!$U$5=16,Y104,IF(Arrangörslista!$U$5=17,Z104,IF(Arrangörslista!$U$5=18,AA104,IF(Arrangörslista!$U$5=19,AB104,IF(Arrangörslista!$U$5=20,AC104,IF(Arrangörslista!$U$5=21,AD104,IF(Arrangörslista!$U$5=22,AE104,IF(Arrangörslista!$U$5=23,AF104, IF(Arrangörslista!$U$5=24,AG104, IF(Arrangörslista!$U$5=25,AH104, IF(Arrangörslista!$U$5=26,AI104, IF(Arrangörslista!$U$5=27,AJ104, IF(Arrangörslista!$U$5=28,AK104, IF(Arrangörslista!$U$5=29,AL104, IF(Arrangörslista!$U$5=30,AM104, IF(Arrangörslista!$U$5=31,AN104, IF(Arrangörslista!$U$5=32,AO104, IF(Arrangörslista!$U$5=33,AP104, IF(Arrangörslista!$U$5=34,AQ104, IF(Arrangörslista!$U$5=35,AR104, IF(Arrangörslista!$U$5=36,AS104, IF(Arrangörslista!$U$5=37,AT104, IF(Arrangörslista!$U$5=38,AU104, IF(Arrangörslista!$U$5=39,AV104, IF(Arrangörslista!$U$5=40,AW104, IF(Arrangörslista!$U$5=41,AX104, IF(Arrangörslista!$U$5=42,AY104, IF(Arrangörslista!$U$5=43,AZ104, IF(Arrangörslista!$U$5=44,BA104, IF(Arrangörslista!$U$5=45,BB104, IF(Arrangörslista!$U$5=46,BC104, IF(Arrangörslista!$U$5=47,BD104, IF(Arrangörslista!$U$5=48,BE104, IF(Arrangörslista!$U$5=49,BF104, IF(Arrangörslista!$U$5=50,BG104, IF(Arrangörslista!$U$5=51,BH104, IF(Arrangörslista!$U$5=52,BI104, IF(Arrangörslista!$U$5=53,BJ104, IF(Arrangörslista!$U$5=54,BK104, IF(Arrangörslista!$U$5=55,BL104, IF(Arrangörslista!$U$5=56,BM104, IF(Arrangörslista!$U$5=57,BN104, IF(Arrangörslista!$U$5=58,BO104, IF(Arrangörslista!$U$5=59,BP104, IF(Arrangörslista!$U$5=60,BQ104,0))))))))))))))))))))))))))))))))))))))))))))))))))))))))))))),IF(Deltagarlista!$K$3=4, IF(Arrangörslista!$U$5=1,J104,
IF(Arrangörslista!$U$5=2,J104,
IF(Arrangörslista!$U$5=3,K104,
IF(Arrangörslista!$U$5=4,K104,
IF(Arrangörslista!$U$5=5,L104,
IF(Arrangörslista!$U$5=6,L104,
IF(Arrangörslista!$U$5=7,M104,
IF(Arrangörslista!$U$5=8,M104,
IF(Arrangörslista!$U$5=9,N104,
IF(Arrangörslista!$U$5=10,N104,
IF(Arrangörslista!$U$5=11,O104,
IF(Arrangörslista!$U$5=12,O104,
IF(Arrangörslista!$U$5=13,P104,
IF(Arrangörslista!$U$5=14,P104,
IF(Arrangörslista!$U$5=15,Q104,
IF(Arrangörslista!$U$5=16,Q104,
IF(Arrangörslista!$U$5=17,R104,
IF(Arrangörslista!$U$5=18,R104,
IF(Arrangörslista!$U$5=19,S104,
IF(Arrangörslista!$U$5=20,S104,
IF(Arrangörslista!$U$5=21,T104,
IF(Arrangörslista!$U$5=22,T104,IF(Arrangörslista!$U$5=23,U104, IF(Arrangörslista!$U$5=24,U104, IF(Arrangörslista!$U$5=25,V104, IF(Arrangörslista!$U$5=26,V104, IF(Arrangörslista!$U$5=27,W104, IF(Arrangörslista!$U$5=28,W104, IF(Arrangörslista!$U$5=29,X104, IF(Arrangörslista!$U$5=30,X104, IF(Arrangörslista!$U$5=31,X104, IF(Arrangörslista!$U$5=32,Y104, IF(Arrangörslista!$U$5=33,AO104, IF(Arrangörslista!$U$5=34,Y104, IF(Arrangörslista!$U$5=35,Z104, IF(Arrangörslista!$U$5=36,AR104, IF(Arrangörslista!$U$5=37,Z104, IF(Arrangörslista!$U$5=38,AA104, IF(Arrangörslista!$U$5=39,AU104, IF(Arrangörslista!$U$5=40,AA104, IF(Arrangörslista!$U$5=41,AB104, IF(Arrangörslista!$U$5=42,AX104, IF(Arrangörslista!$U$5=43,AB104, IF(Arrangörslista!$U$5=44,AC104, IF(Arrangörslista!$U$5=45,BA104, IF(Arrangörslista!$U$5=46,AC104, IF(Arrangörslista!$U$5=47,AD104, IF(Arrangörslista!$U$5=48,BD104, IF(Arrangörslista!$U$5=49,AD104, IF(Arrangörslista!$U$5=50,AE104, IF(Arrangörslista!$U$5=51,BG104, IF(Arrangörslista!$U$5=52,AE104, IF(Arrangörslista!$U$5=53,AF104, IF(Arrangörslista!$U$5=54,BJ104, IF(Arrangörslista!$U$5=55,AF104, IF(Arrangörslista!$U$5=56,AG104, IF(Arrangörslista!$U$5=57,BM104, IF(Arrangörslista!$U$5=58,AG104, IF(Arrangörslista!$U$5=59,AH104, IF(Arrangörslista!$U$5=60,AH104,0)))))))))))))))))))))))))))))))))))))))))))))))))))))))))))),IF(Arrangörslista!$U$5=1,J104,
IF(Arrangörslista!$U$5=2,K104,
IF(Arrangörslista!$U$5=3,L104,
IF(Arrangörslista!$U$5=4,M104,
IF(Arrangörslista!$U$5=5,N104,
IF(Arrangörslista!$U$5=6,O104,
IF(Arrangörslista!$U$5=7,P104,
IF(Arrangörslista!$U$5=8,Q104,
IF(Arrangörslista!$U$5=9,R104,
IF(Arrangörslista!$U$5=10,S104,
IF(Arrangörslista!$U$5=11,T104,
IF(Arrangörslista!$U$5=12,U104,
IF(Arrangörslista!$U$5=13,V104,
IF(Arrangörslista!$U$5=14,W104,
IF(Arrangörslista!$U$5=15,X104,
IF(Arrangörslista!$U$5=16,Y104,IF(Arrangörslista!$U$5=17,Z104,IF(Arrangörslista!$U$5=18,AA104,IF(Arrangörslista!$U$5=19,AB104,IF(Arrangörslista!$U$5=20,AC104,IF(Arrangörslista!$U$5=21,AD104,IF(Arrangörslista!$U$5=22,AE104,IF(Arrangörslista!$U$5=23,AF104, IF(Arrangörslista!$U$5=24,AG104, IF(Arrangörslista!$U$5=25,AH104, IF(Arrangörslista!$U$5=26,AI104, IF(Arrangörslista!$U$5=27,AJ104, IF(Arrangörslista!$U$5=28,AK104, IF(Arrangörslista!$U$5=29,AL104, IF(Arrangörslista!$U$5=30,AM104, IF(Arrangörslista!$U$5=31,AN104, IF(Arrangörslista!$U$5=32,AO104, IF(Arrangörslista!$U$5=33,AP104, IF(Arrangörslista!$U$5=34,AQ104, IF(Arrangörslista!$U$5=35,AR104, IF(Arrangörslista!$U$5=36,AS104, IF(Arrangörslista!$U$5=37,AT104, IF(Arrangörslista!$U$5=38,AU104, IF(Arrangörslista!$U$5=39,AV104, IF(Arrangörslista!$U$5=40,AW104, IF(Arrangörslista!$U$5=41,AX104, IF(Arrangörslista!$U$5=42,AY104, IF(Arrangörslista!$U$5=43,AZ104, IF(Arrangörslista!$U$5=44,BA104, IF(Arrangörslista!$U$5=45,BB104, IF(Arrangörslista!$U$5=46,BC104, IF(Arrangörslista!$U$5=47,BD104, IF(Arrangörslista!$U$5=48,BE104, IF(Arrangörslista!$U$5=49,BF104, IF(Arrangörslista!$U$5=50,BG104, IF(Arrangörslista!$U$5=51,BH104, IF(Arrangörslista!$U$5=52,BI104, IF(Arrangörslista!$U$5=53,BJ104, IF(Arrangörslista!$U$5=54,BK104, IF(Arrangörslista!$U$5=55,BL104, IF(Arrangörslista!$U$5=56,BM104, IF(Arrangörslista!$U$5=57,BN104, IF(Arrangörslista!$U$5=58,BO104, IF(Arrangörslista!$U$5=59,BP104, IF(Arrangörslista!$U$5=60,BQ104,0))))))))))))))))))))))))))))))))))))))))))))))))))))))))))))
))</f>
        <v>0</v>
      </c>
      <c r="GV41" s="65" t="str">
        <f>IFERROR(IF(VLOOKUP(F41,Deltagarlista!$E$5:$I$64,5,FALSE)="Grön","Gr",IF(VLOOKUP(F41,Deltagarlista!$E$5:$I$64,5,FALSE)="Röd","R",IF(VLOOKUP(F41,Deltagarlista!$E$5:$I$64,5,FALSE)="Blå","B","Gu"))),"")</f>
        <v/>
      </c>
      <c r="GW41" s="62" t="str">
        <f t="shared" si="124"/>
        <v/>
      </c>
    </row>
    <row r="42" spans="2:205" ht="15.75" customHeight="1" x14ac:dyDescent="0.3">
      <c r="B42" s="23" t="str">
        <f>IF((COUNTIF(Deltagarlista!$H$5:$H$64,"GM"))&gt;38,39,"")</f>
        <v/>
      </c>
      <c r="C42" s="92" t="str">
        <f>IF(ISBLANK(Deltagarlista!C28),"",Deltagarlista!C28)</f>
        <v/>
      </c>
      <c r="D42" s="109" t="str">
        <f>CONCATENATE(IF(Deltagarlista!H28="GM","GM   ",""), IF(OR(Deltagarlista!$K$3=4,Deltagarlista!$K$3=2),Deltagarlista!I28,""))</f>
        <v/>
      </c>
      <c r="E42" s="8" t="str">
        <f>IF(ISBLANK(Deltagarlista!D28),"",Deltagarlista!D28)</f>
        <v/>
      </c>
      <c r="F42" s="8" t="str">
        <f>IF(ISBLANK(Deltagarlista!E28),"",Deltagarlista!E28)</f>
        <v/>
      </c>
      <c r="G42" s="95" t="str">
        <f>IF(ISBLANK(Deltagarlista!F28),"",Deltagarlista!F28)</f>
        <v/>
      </c>
      <c r="H42" s="72" t="str">
        <f>IF(ISBLANK(Deltagarlista!C28),"",BU42-EE42)</f>
        <v/>
      </c>
      <c r="I42" s="13" t="str">
        <f>IF(ISBLANK(Deltagarlista!C28),"",IF(AND(Deltagarlista!$K$3=2,Deltagarlista!$L$3&lt;37),SUM(SUM(BV42:EC42)-(ROUNDDOWN(Arrangörslista!$U$5/3,1))*($BW$3+1)),SUM(BV42:EC42)))</f>
        <v/>
      </c>
      <c r="J42" s="79" t="str">
        <f>IF(Deltagarlista!$K$3=4,IF(ISBLANK(Deltagarlista!$C28),"",IF(ISBLANK(Arrangörslista!C$8),"",IFERROR(VLOOKUP($F42,Arrangörslista!C$8:$AG$45,16,FALSE),IF(ISBLANK(Deltagarlista!$C28),"",IF(ISBLANK(Arrangörslista!C$8),"",IFERROR(VLOOKUP($F42,Arrangörslista!D$8:$AG$45,16,FALSE),"DNS")))))),IF(Deltagarlista!$K$3=2,
IF(ISBLANK(Deltagarlista!$C28),"",IF(ISBLANK(Arrangörslista!C$8),"",IF($GV42=J$64," DNS ",IFERROR(VLOOKUP($F42,Arrangörslista!C$8:$AG$45,16,FALSE),"DNS")))),IF(ISBLANK(Deltagarlista!$C28),"",IF(ISBLANK(Arrangörslista!C$8),"",IFERROR(VLOOKUP($F42,Arrangörslista!C$8:$AG$45,16,FALSE),"DNS")))))</f>
        <v/>
      </c>
      <c r="K42" s="5" t="str">
        <f>IF(Deltagarlista!$K$3=4,IF(ISBLANK(Deltagarlista!$C28),"",IF(ISBLANK(Arrangörslista!E$8),"",IFERROR(VLOOKUP($F42,Arrangörslista!E$8:$AG$45,16,FALSE),IF(ISBLANK(Deltagarlista!$C28),"",IF(ISBLANK(Arrangörslista!E$8),"",IFERROR(VLOOKUP($F42,Arrangörslista!F$8:$AG$45,16,FALSE),"DNS")))))),IF(Deltagarlista!$K$3=2,
IF(ISBLANK(Deltagarlista!$C28),"",IF(ISBLANK(Arrangörslista!D$8),"",IF($GV42=K$64," DNS ",IFERROR(VLOOKUP($F42,Arrangörslista!D$8:$AG$45,16,FALSE),"DNS")))),IF(ISBLANK(Deltagarlista!$C28),"",IF(ISBLANK(Arrangörslista!D$8),"",IFERROR(VLOOKUP($F42,Arrangörslista!D$8:$AG$45,16,FALSE),"DNS")))))</f>
        <v/>
      </c>
      <c r="L42" s="5" t="str">
        <f>IF(Deltagarlista!$K$3=4,IF(ISBLANK(Deltagarlista!$C28),"",IF(ISBLANK(Arrangörslista!G$8),"",IFERROR(VLOOKUP($F42,Arrangörslista!G$8:$AG$45,16,FALSE),IF(ISBLANK(Deltagarlista!$C28),"",IF(ISBLANK(Arrangörslista!G$8),"",IFERROR(VLOOKUP($F42,Arrangörslista!H$8:$AG$45,16,FALSE),"DNS")))))),IF(Deltagarlista!$K$3=2,
IF(ISBLANK(Deltagarlista!$C28),"",IF(ISBLANK(Arrangörslista!E$8),"",IF($GV42=L$64," DNS ",IFERROR(VLOOKUP($F42,Arrangörslista!E$8:$AG$45,16,FALSE),"DNS")))),IF(ISBLANK(Deltagarlista!$C28),"",IF(ISBLANK(Arrangörslista!E$8),"",IFERROR(VLOOKUP($F42,Arrangörslista!E$8:$AG$45,16,FALSE),"DNS")))))</f>
        <v/>
      </c>
      <c r="M42" s="5" t="str">
        <f>IF(Deltagarlista!$K$3=4,IF(ISBLANK(Deltagarlista!$C28),"",IF(ISBLANK(Arrangörslista!I$8),"",IFERROR(VLOOKUP($F42,Arrangörslista!I$8:$AG$45,16,FALSE),IF(ISBLANK(Deltagarlista!$C28),"",IF(ISBLANK(Arrangörslista!I$8),"",IFERROR(VLOOKUP($F42,Arrangörslista!J$8:$AG$45,16,FALSE),"DNS")))))),IF(Deltagarlista!$K$3=2,
IF(ISBLANK(Deltagarlista!$C28),"",IF(ISBLANK(Arrangörslista!F$8),"",IF($GV42=M$64," DNS ",IFERROR(VLOOKUP($F42,Arrangörslista!F$8:$AG$45,16,FALSE),"DNS")))),IF(ISBLANK(Deltagarlista!$C28),"",IF(ISBLANK(Arrangörslista!F$8),"",IFERROR(VLOOKUP($F42,Arrangörslista!F$8:$AG$45,16,FALSE),"DNS")))))</f>
        <v/>
      </c>
      <c r="N42" s="5" t="str">
        <f>IF(Deltagarlista!$K$3=4,IF(ISBLANK(Deltagarlista!$C28),"",IF(ISBLANK(Arrangörslista!K$8),"",IFERROR(VLOOKUP($F42,Arrangörslista!K$8:$AG$45,16,FALSE),IF(ISBLANK(Deltagarlista!$C28),"",IF(ISBLANK(Arrangörslista!K$8),"",IFERROR(VLOOKUP($F42,Arrangörslista!L$8:$AG$45,16,FALSE),"DNS")))))),IF(Deltagarlista!$K$3=2,
IF(ISBLANK(Deltagarlista!$C28),"",IF(ISBLANK(Arrangörslista!G$8),"",IF($GV42=N$64," DNS ",IFERROR(VLOOKUP($F42,Arrangörslista!G$8:$AG$45,16,FALSE),"DNS")))),IF(ISBLANK(Deltagarlista!$C28),"",IF(ISBLANK(Arrangörslista!G$8),"",IFERROR(VLOOKUP($F42,Arrangörslista!G$8:$AG$45,16,FALSE),"DNS")))))</f>
        <v/>
      </c>
      <c r="O42" s="5" t="str">
        <f>IF(Deltagarlista!$K$3=4,IF(ISBLANK(Deltagarlista!$C28),"",IF(ISBLANK(Arrangörslista!M$8),"",IFERROR(VLOOKUP($F42,Arrangörslista!M$8:$AG$45,16,FALSE),IF(ISBLANK(Deltagarlista!$C28),"",IF(ISBLANK(Arrangörslista!M$8),"",IFERROR(VLOOKUP($F42,Arrangörslista!N$8:$AG$45,16,FALSE),"DNS")))))),IF(Deltagarlista!$K$3=2,
IF(ISBLANK(Deltagarlista!$C28),"",IF(ISBLANK(Arrangörslista!H$8),"",IF($GV42=O$64," DNS ",IFERROR(VLOOKUP($F42,Arrangörslista!H$8:$AG$45,16,FALSE),"DNS")))),IF(ISBLANK(Deltagarlista!$C28),"",IF(ISBLANK(Arrangörslista!H$8),"",IFERROR(VLOOKUP($F42,Arrangörslista!H$8:$AG$45,16,FALSE),"DNS")))))</f>
        <v/>
      </c>
      <c r="P42" s="5" t="str">
        <f>IF(Deltagarlista!$K$3=4,IF(ISBLANK(Deltagarlista!$C28),"",IF(ISBLANK(Arrangörslista!O$8),"",IFERROR(VLOOKUP($F42,Arrangörslista!O$8:$AG$45,16,FALSE),IF(ISBLANK(Deltagarlista!$C28),"",IF(ISBLANK(Arrangörslista!O$8),"",IFERROR(VLOOKUP($F42,Arrangörslista!P$8:$AG$45,16,FALSE),"DNS")))))),IF(Deltagarlista!$K$3=2,
IF(ISBLANK(Deltagarlista!$C28),"",IF(ISBLANK(Arrangörslista!I$8),"",IF($GV42=P$64," DNS ",IFERROR(VLOOKUP($F42,Arrangörslista!I$8:$AG$45,16,FALSE),"DNS")))),IF(ISBLANK(Deltagarlista!$C28),"",IF(ISBLANK(Arrangörslista!I$8),"",IFERROR(VLOOKUP($F42,Arrangörslista!I$8:$AG$45,16,FALSE),"DNS")))))</f>
        <v/>
      </c>
      <c r="Q42" s="5" t="str">
        <f>IF(Deltagarlista!$K$3=4,IF(ISBLANK(Deltagarlista!$C28),"",IF(ISBLANK(Arrangörslista!Q$8),"",IFERROR(VLOOKUP($F42,Arrangörslista!Q$8:$AG$45,16,FALSE),IF(ISBLANK(Deltagarlista!$C28),"",IF(ISBLANK(Arrangörslista!Q$8),"",IFERROR(VLOOKUP($F42,Arrangörslista!C$53:$AG$90,16,FALSE),"DNS")))))),IF(Deltagarlista!$K$3=2,
IF(ISBLANK(Deltagarlista!$C28),"",IF(ISBLANK(Arrangörslista!J$8),"",IF($GV42=Q$64," DNS ",IFERROR(VLOOKUP($F42,Arrangörslista!J$8:$AG$45,16,FALSE),"DNS")))),IF(ISBLANK(Deltagarlista!$C28),"",IF(ISBLANK(Arrangörslista!J$8),"",IFERROR(VLOOKUP($F42,Arrangörslista!J$8:$AG$45,16,FALSE),"DNS")))))</f>
        <v/>
      </c>
      <c r="R42" s="5" t="str">
        <f>IF(Deltagarlista!$K$3=4,IF(ISBLANK(Deltagarlista!$C28),"",IF(ISBLANK(Arrangörslista!D$53),"",IFERROR(VLOOKUP($F42,Arrangörslista!D$53:$AG$90,16,FALSE),IF(ISBLANK(Deltagarlista!$C28),"",IF(ISBLANK(Arrangörslista!D$53),"",IFERROR(VLOOKUP($F42,Arrangörslista!E$53:$AG$90,16,FALSE),"DNS")))))),IF(Deltagarlista!$K$3=2,
IF(ISBLANK(Deltagarlista!$C28),"",IF(ISBLANK(Arrangörslista!K$8),"",IF($GV42=R$64," DNS ",IFERROR(VLOOKUP($F42,Arrangörslista!K$8:$AG$45,16,FALSE),"DNS")))),IF(ISBLANK(Deltagarlista!$C28),"",IF(ISBLANK(Arrangörslista!K$8),"",IFERROR(VLOOKUP($F42,Arrangörslista!K$8:$AG$45,16,FALSE),"DNS")))))</f>
        <v/>
      </c>
      <c r="S42" s="5" t="str">
        <f>IF(Deltagarlista!$K$3=4,IF(ISBLANK(Deltagarlista!$C28),"",IF(ISBLANK(Arrangörslista!F$53),"",IFERROR(VLOOKUP($F42,Arrangörslista!F$53:$AG$90,16,FALSE),IF(ISBLANK(Deltagarlista!$C28),"",IF(ISBLANK(Arrangörslista!F$53),"",IFERROR(VLOOKUP($F42,Arrangörslista!G$53:$AG$90,16,FALSE),"DNS")))))),IF(Deltagarlista!$K$3=2,
IF(ISBLANK(Deltagarlista!$C28),"",IF(ISBLANK(Arrangörslista!L$8),"",IF($GV42=S$64," DNS ",IFERROR(VLOOKUP($F42,Arrangörslista!L$8:$AG$45,16,FALSE),"DNS")))),IF(ISBLANK(Deltagarlista!$C28),"",IF(ISBLANK(Arrangörslista!L$8),"",IFERROR(VLOOKUP($F42,Arrangörslista!L$8:$AG$45,16,FALSE),"DNS")))))</f>
        <v/>
      </c>
      <c r="T42" s="5" t="str">
        <f>IF(Deltagarlista!$K$3=4,IF(ISBLANK(Deltagarlista!$C28),"",IF(ISBLANK(Arrangörslista!H$53),"",IFERROR(VLOOKUP($F42,Arrangörslista!H$53:$AG$90,16,FALSE),IF(ISBLANK(Deltagarlista!$C28),"",IF(ISBLANK(Arrangörslista!H$53),"",IFERROR(VLOOKUP($F42,Arrangörslista!I$53:$AG$90,16,FALSE),"DNS")))))),IF(Deltagarlista!$K$3=2,
IF(ISBLANK(Deltagarlista!$C28),"",IF(ISBLANK(Arrangörslista!M$8),"",IF($GV42=T$64," DNS ",IFERROR(VLOOKUP($F42,Arrangörslista!M$8:$AG$45,16,FALSE),"DNS")))),IF(ISBLANK(Deltagarlista!$C28),"",IF(ISBLANK(Arrangörslista!M$8),"",IFERROR(VLOOKUP($F42,Arrangörslista!M$8:$AG$45,16,FALSE),"DNS")))))</f>
        <v/>
      </c>
      <c r="U42" s="5" t="str">
        <f>IF(Deltagarlista!$K$3=4,IF(ISBLANK(Deltagarlista!$C28),"",IF(ISBLANK(Arrangörslista!J$53),"",IFERROR(VLOOKUP($F42,Arrangörslista!J$53:$AG$90,16,FALSE),IF(ISBLANK(Deltagarlista!$C28),"",IF(ISBLANK(Arrangörslista!J$53),"",IFERROR(VLOOKUP($F42,Arrangörslista!K$53:$AG$90,16,FALSE),"DNS")))))),IF(Deltagarlista!$K$3=2,
IF(ISBLANK(Deltagarlista!$C28),"",IF(ISBLANK(Arrangörslista!N$8),"",IF($GV42=U$64," DNS ",IFERROR(VLOOKUP($F42,Arrangörslista!N$8:$AG$45,16,FALSE),"DNS")))),IF(ISBLANK(Deltagarlista!$C28),"",IF(ISBLANK(Arrangörslista!N$8),"",IFERROR(VLOOKUP($F42,Arrangörslista!N$8:$AG$45,16,FALSE),"DNS")))))</f>
        <v/>
      </c>
      <c r="V42" s="5" t="str">
        <f>IF(Deltagarlista!$K$3=4,IF(ISBLANK(Deltagarlista!$C28),"",IF(ISBLANK(Arrangörslista!L$53),"",IFERROR(VLOOKUP($F42,Arrangörslista!L$53:$AG$90,16,FALSE),IF(ISBLANK(Deltagarlista!$C28),"",IF(ISBLANK(Arrangörslista!L$53),"",IFERROR(VLOOKUP($F42,Arrangörslista!M$53:$AG$90,16,FALSE),"DNS")))))),IF(Deltagarlista!$K$3=2,
IF(ISBLANK(Deltagarlista!$C28),"",IF(ISBLANK(Arrangörslista!O$8),"",IF($GV42=V$64," DNS ",IFERROR(VLOOKUP($F42,Arrangörslista!O$8:$AG$45,16,FALSE),"DNS")))),IF(ISBLANK(Deltagarlista!$C28),"",IF(ISBLANK(Arrangörslista!O$8),"",IFERROR(VLOOKUP($F42,Arrangörslista!O$8:$AG$45,16,FALSE),"DNS")))))</f>
        <v/>
      </c>
      <c r="W42" s="5" t="str">
        <f>IF(Deltagarlista!$K$3=4,IF(ISBLANK(Deltagarlista!$C28),"",IF(ISBLANK(Arrangörslista!N$53),"",IFERROR(VLOOKUP($F42,Arrangörslista!N$53:$AG$90,16,FALSE),IF(ISBLANK(Deltagarlista!$C28),"",IF(ISBLANK(Arrangörslista!N$53),"",IFERROR(VLOOKUP($F42,Arrangörslista!O$53:$AG$90,16,FALSE),"DNS")))))),IF(Deltagarlista!$K$3=2,
IF(ISBLANK(Deltagarlista!$C28),"",IF(ISBLANK(Arrangörslista!P$8),"",IF($GV42=W$64," DNS ",IFERROR(VLOOKUP($F42,Arrangörslista!P$8:$AG$45,16,FALSE),"DNS")))),IF(ISBLANK(Deltagarlista!$C28),"",IF(ISBLANK(Arrangörslista!P$8),"",IFERROR(VLOOKUP($F42,Arrangörslista!P$8:$AG$45,16,FALSE),"DNS")))))</f>
        <v/>
      </c>
      <c r="X42" s="5" t="str">
        <f>IF(Deltagarlista!$K$3=4,IF(ISBLANK(Deltagarlista!$C28),"",IF(ISBLANK(Arrangörslista!P$53),"",IFERROR(VLOOKUP($F42,Arrangörslista!P$53:$AG$90,16,FALSE),IF(ISBLANK(Deltagarlista!$C28),"",IF(ISBLANK(Arrangörslista!P$53),"",IFERROR(VLOOKUP($F42,Arrangörslista!Q$53:$AG$90,16,FALSE),"DNS")))))),IF(Deltagarlista!$K$3=2,
IF(ISBLANK(Deltagarlista!$C28),"",IF(ISBLANK(Arrangörslista!Q$8),"",IF($GV42=X$64," DNS ",IFERROR(VLOOKUP($F42,Arrangörslista!Q$8:$AG$45,16,FALSE),"DNS")))),IF(ISBLANK(Deltagarlista!$C28),"",IF(ISBLANK(Arrangörslista!Q$8),"",IFERROR(VLOOKUP($F42,Arrangörslista!Q$8:$AG$45,16,FALSE),"DNS")))))</f>
        <v/>
      </c>
      <c r="Y42" s="5" t="str">
        <f>IF(Deltagarlista!$K$3=4,IF(ISBLANK(Deltagarlista!$C28),"",IF(ISBLANK(Arrangörslista!C$98),"",IFERROR(VLOOKUP($F42,Arrangörslista!C$98:$AG$135,16,FALSE),IF(ISBLANK(Deltagarlista!$C28),"",IF(ISBLANK(Arrangörslista!C$98),"",IFERROR(VLOOKUP($F42,Arrangörslista!D$98:$AG$135,16,FALSE),"DNS")))))),IF(Deltagarlista!$K$3=2,
IF(ISBLANK(Deltagarlista!$C28),"",IF(ISBLANK(Arrangörslista!C$53),"",IF($GV42=Y$64," DNS ",IFERROR(VLOOKUP($F42,Arrangörslista!C$53:$AG$90,16,FALSE),"DNS")))),IF(ISBLANK(Deltagarlista!$C28),"",IF(ISBLANK(Arrangörslista!C$53),"",IFERROR(VLOOKUP($F42,Arrangörslista!C$53:$AG$90,16,FALSE),"DNS")))))</f>
        <v/>
      </c>
      <c r="Z42" s="5" t="str">
        <f>IF(Deltagarlista!$K$3=4,IF(ISBLANK(Deltagarlista!$C28),"",IF(ISBLANK(Arrangörslista!E$98),"",IFERROR(VLOOKUP($F42,Arrangörslista!E$98:$AG$135,16,FALSE),IF(ISBLANK(Deltagarlista!$C28),"",IF(ISBLANK(Arrangörslista!E$98),"",IFERROR(VLOOKUP($F42,Arrangörslista!F$98:$AG$135,16,FALSE),"DNS")))))),IF(Deltagarlista!$K$3=2,
IF(ISBLANK(Deltagarlista!$C28),"",IF(ISBLANK(Arrangörslista!D$53),"",IF($GV42=Z$64," DNS ",IFERROR(VLOOKUP($F42,Arrangörslista!D$53:$AG$90,16,FALSE),"DNS")))),IF(ISBLANK(Deltagarlista!$C28),"",IF(ISBLANK(Arrangörslista!D$53),"",IFERROR(VLOOKUP($F42,Arrangörslista!D$53:$AG$90,16,FALSE),"DNS")))))</f>
        <v/>
      </c>
      <c r="AA42" s="5" t="str">
        <f>IF(Deltagarlista!$K$3=4,IF(ISBLANK(Deltagarlista!$C28),"",IF(ISBLANK(Arrangörslista!G$98),"",IFERROR(VLOOKUP($F42,Arrangörslista!G$98:$AG$135,16,FALSE),IF(ISBLANK(Deltagarlista!$C28),"",IF(ISBLANK(Arrangörslista!G$98),"",IFERROR(VLOOKUP($F42,Arrangörslista!H$98:$AG$135,16,FALSE),"DNS")))))),IF(Deltagarlista!$K$3=2,
IF(ISBLANK(Deltagarlista!$C28),"",IF(ISBLANK(Arrangörslista!E$53),"",IF($GV42=AA$64," DNS ",IFERROR(VLOOKUP($F42,Arrangörslista!E$53:$AG$90,16,FALSE),"DNS")))),IF(ISBLANK(Deltagarlista!$C28),"",IF(ISBLANK(Arrangörslista!E$53),"",IFERROR(VLOOKUP($F42,Arrangörslista!E$53:$AG$90,16,FALSE),"DNS")))))</f>
        <v/>
      </c>
      <c r="AB42" s="5" t="str">
        <f>IF(Deltagarlista!$K$3=4,IF(ISBLANK(Deltagarlista!$C28),"",IF(ISBLANK(Arrangörslista!I$98),"",IFERROR(VLOOKUP($F42,Arrangörslista!I$98:$AG$135,16,FALSE),IF(ISBLANK(Deltagarlista!$C28),"",IF(ISBLANK(Arrangörslista!I$98),"",IFERROR(VLOOKUP($F42,Arrangörslista!J$98:$AG$135,16,FALSE),"DNS")))))),IF(Deltagarlista!$K$3=2,
IF(ISBLANK(Deltagarlista!$C28),"",IF(ISBLANK(Arrangörslista!F$53),"",IF($GV42=AB$64," DNS ",IFERROR(VLOOKUP($F42,Arrangörslista!F$53:$AG$90,16,FALSE),"DNS")))),IF(ISBLANK(Deltagarlista!$C28),"",IF(ISBLANK(Arrangörslista!F$53),"",IFERROR(VLOOKUP($F42,Arrangörslista!F$53:$AG$90,16,FALSE),"DNS")))))</f>
        <v/>
      </c>
      <c r="AC42" s="5" t="str">
        <f>IF(Deltagarlista!$K$3=4,IF(ISBLANK(Deltagarlista!$C28),"",IF(ISBLANK(Arrangörslista!K$98),"",IFERROR(VLOOKUP($F42,Arrangörslista!K$98:$AG$135,16,FALSE),IF(ISBLANK(Deltagarlista!$C28),"",IF(ISBLANK(Arrangörslista!K$98),"",IFERROR(VLOOKUP($F42,Arrangörslista!L$98:$AG$135,16,FALSE),"DNS")))))),IF(Deltagarlista!$K$3=2,
IF(ISBLANK(Deltagarlista!$C28),"",IF(ISBLANK(Arrangörslista!G$53),"",IF($GV42=AC$64," DNS ",IFERROR(VLOOKUP($F42,Arrangörslista!G$53:$AG$90,16,FALSE),"DNS")))),IF(ISBLANK(Deltagarlista!$C28),"",IF(ISBLANK(Arrangörslista!G$53),"",IFERROR(VLOOKUP($F42,Arrangörslista!G$53:$AG$90,16,FALSE),"DNS")))))</f>
        <v/>
      </c>
      <c r="AD42" s="5" t="str">
        <f>IF(Deltagarlista!$K$3=4,IF(ISBLANK(Deltagarlista!$C28),"",IF(ISBLANK(Arrangörslista!M$98),"",IFERROR(VLOOKUP($F42,Arrangörslista!M$98:$AG$135,16,FALSE),IF(ISBLANK(Deltagarlista!$C28),"",IF(ISBLANK(Arrangörslista!M$98),"",IFERROR(VLOOKUP($F42,Arrangörslista!N$98:$AG$135,16,FALSE),"DNS")))))),IF(Deltagarlista!$K$3=2,
IF(ISBLANK(Deltagarlista!$C28),"",IF(ISBLANK(Arrangörslista!H$53),"",IF($GV42=AD$64," DNS ",IFERROR(VLOOKUP($F42,Arrangörslista!H$53:$AG$90,16,FALSE),"DNS")))),IF(ISBLANK(Deltagarlista!$C28),"",IF(ISBLANK(Arrangörslista!H$53),"",IFERROR(VLOOKUP($F42,Arrangörslista!H$53:$AG$90,16,FALSE),"DNS")))))</f>
        <v/>
      </c>
      <c r="AE42" s="5" t="str">
        <f>IF(Deltagarlista!$K$3=4,IF(ISBLANK(Deltagarlista!$C28),"",IF(ISBLANK(Arrangörslista!O$98),"",IFERROR(VLOOKUP($F42,Arrangörslista!O$98:$AG$135,16,FALSE),IF(ISBLANK(Deltagarlista!$C28),"",IF(ISBLANK(Arrangörslista!O$98),"",IFERROR(VLOOKUP($F42,Arrangörslista!P$98:$AG$135,16,FALSE),"DNS")))))),IF(Deltagarlista!$K$3=2,
IF(ISBLANK(Deltagarlista!$C28),"",IF(ISBLANK(Arrangörslista!I$53),"",IF($GV42=AE$64," DNS ",IFERROR(VLOOKUP($F42,Arrangörslista!I$53:$AG$90,16,FALSE),"DNS")))),IF(ISBLANK(Deltagarlista!$C28),"",IF(ISBLANK(Arrangörslista!I$53),"",IFERROR(VLOOKUP($F42,Arrangörslista!I$53:$AG$90,16,FALSE),"DNS")))))</f>
        <v/>
      </c>
      <c r="AF42" s="5" t="str">
        <f>IF(Deltagarlista!$K$3=4,IF(ISBLANK(Deltagarlista!$C28),"",IF(ISBLANK(Arrangörslista!Q$98),"",IFERROR(VLOOKUP($F42,Arrangörslista!Q$98:$AG$135,16,FALSE),IF(ISBLANK(Deltagarlista!$C28),"",IF(ISBLANK(Arrangörslista!Q$98),"",IFERROR(VLOOKUP($F42,Arrangörslista!C$143:$AG$180,16,FALSE),"DNS")))))),IF(Deltagarlista!$K$3=2,
IF(ISBLANK(Deltagarlista!$C28),"",IF(ISBLANK(Arrangörslista!J$53),"",IF($GV42=AF$64," DNS ",IFERROR(VLOOKUP($F42,Arrangörslista!J$53:$AG$90,16,FALSE),"DNS")))),IF(ISBLANK(Deltagarlista!$C28),"",IF(ISBLANK(Arrangörslista!J$53),"",IFERROR(VLOOKUP($F42,Arrangörslista!J$53:$AG$90,16,FALSE),"DNS")))))</f>
        <v/>
      </c>
      <c r="AG42" s="5" t="str">
        <f>IF(Deltagarlista!$K$3=4,IF(ISBLANK(Deltagarlista!$C28),"",IF(ISBLANK(Arrangörslista!D$143),"",IFERROR(VLOOKUP($F42,Arrangörslista!D$143:$AG$180,16,FALSE),IF(ISBLANK(Deltagarlista!$C28),"",IF(ISBLANK(Arrangörslista!D$143),"",IFERROR(VLOOKUP($F42,Arrangörslista!E$143:$AG$180,16,FALSE),"DNS")))))),IF(Deltagarlista!$K$3=2,
IF(ISBLANK(Deltagarlista!$C28),"",IF(ISBLANK(Arrangörslista!K$53),"",IF($GV42=AG$64," DNS ",IFERROR(VLOOKUP($F42,Arrangörslista!K$53:$AG$90,16,FALSE),"DNS")))),IF(ISBLANK(Deltagarlista!$C28),"",IF(ISBLANK(Arrangörslista!K$53),"",IFERROR(VLOOKUP($F42,Arrangörslista!K$53:$AG$90,16,FALSE),"DNS")))))</f>
        <v/>
      </c>
      <c r="AH42" s="5" t="str">
        <f>IF(Deltagarlista!$K$3=4,IF(ISBLANK(Deltagarlista!$C28),"",IF(ISBLANK(Arrangörslista!F$143),"",IFERROR(VLOOKUP($F42,Arrangörslista!F$143:$AG$180,16,FALSE),IF(ISBLANK(Deltagarlista!$C28),"",IF(ISBLANK(Arrangörslista!F$143),"",IFERROR(VLOOKUP($F42,Arrangörslista!G$143:$AG$180,16,FALSE),"DNS")))))),IF(Deltagarlista!$K$3=2,
IF(ISBLANK(Deltagarlista!$C28),"",IF(ISBLANK(Arrangörslista!L$53),"",IF($GV42=AH$64," DNS ",IFERROR(VLOOKUP($F42,Arrangörslista!L$53:$AG$90,16,FALSE),"DNS")))),IF(ISBLANK(Deltagarlista!$C28),"",IF(ISBLANK(Arrangörslista!L$53),"",IFERROR(VLOOKUP($F42,Arrangörslista!L$53:$AG$90,16,FALSE),"DNS")))))</f>
        <v/>
      </c>
      <c r="AI42" s="5" t="str">
        <f>IF(Deltagarlista!$K$3=4,IF(ISBLANK(Deltagarlista!$C28),"",IF(ISBLANK(Arrangörslista!H$143),"",IFERROR(VLOOKUP($F42,Arrangörslista!H$143:$AG$180,16,FALSE),IF(ISBLANK(Deltagarlista!$C28),"",IF(ISBLANK(Arrangörslista!H$143),"",IFERROR(VLOOKUP($F42,Arrangörslista!I$143:$AG$180,16,FALSE),"DNS")))))),IF(Deltagarlista!$K$3=2,
IF(ISBLANK(Deltagarlista!$C28),"",IF(ISBLANK(Arrangörslista!M$53),"",IF($GV42=AI$64," DNS ",IFERROR(VLOOKUP($F42,Arrangörslista!M$53:$AG$90,16,FALSE),"DNS")))),IF(ISBLANK(Deltagarlista!$C28),"",IF(ISBLANK(Arrangörslista!M$53),"",IFERROR(VLOOKUP($F42,Arrangörslista!M$53:$AG$90,16,FALSE),"DNS")))))</f>
        <v/>
      </c>
      <c r="AJ42" s="5" t="str">
        <f>IF(Deltagarlista!$K$3=4,IF(ISBLANK(Deltagarlista!$C28),"",IF(ISBLANK(Arrangörslista!J$143),"",IFERROR(VLOOKUP($F42,Arrangörslista!J$143:$AG$180,16,FALSE),IF(ISBLANK(Deltagarlista!$C28),"",IF(ISBLANK(Arrangörslista!J$143),"",IFERROR(VLOOKUP($F42,Arrangörslista!K$143:$AG$180,16,FALSE),"DNS")))))),IF(Deltagarlista!$K$3=2,
IF(ISBLANK(Deltagarlista!$C28),"",IF(ISBLANK(Arrangörslista!N$53),"",IF($GV42=AJ$64," DNS ",IFERROR(VLOOKUP($F42,Arrangörslista!N$53:$AG$90,16,FALSE),"DNS")))),IF(ISBLANK(Deltagarlista!$C28),"",IF(ISBLANK(Arrangörslista!N$53),"",IFERROR(VLOOKUP($F42,Arrangörslista!N$53:$AG$90,16,FALSE),"DNS")))))</f>
        <v/>
      </c>
      <c r="AK42" s="5" t="str">
        <f>IF(Deltagarlista!$K$3=4,IF(ISBLANK(Deltagarlista!$C28),"",IF(ISBLANK(Arrangörslista!L$143),"",IFERROR(VLOOKUP($F42,Arrangörslista!L$143:$AG$180,16,FALSE),IF(ISBLANK(Deltagarlista!$C28),"",IF(ISBLANK(Arrangörslista!L$143),"",IFERROR(VLOOKUP($F42,Arrangörslista!M$143:$AG$180,16,FALSE),"DNS")))))),IF(Deltagarlista!$K$3=2,
IF(ISBLANK(Deltagarlista!$C28),"",IF(ISBLANK(Arrangörslista!O$53),"",IF($GV42=AK$64," DNS ",IFERROR(VLOOKUP($F42,Arrangörslista!O$53:$AG$90,16,FALSE),"DNS")))),IF(ISBLANK(Deltagarlista!$C28),"",IF(ISBLANK(Arrangörslista!O$53),"",IFERROR(VLOOKUP($F42,Arrangörslista!O$53:$AG$90,16,FALSE),"DNS")))))</f>
        <v/>
      </c>
      <c r="AL42" s="5" t="str">
        <f>IF(Deltagarlista!$K$3=4,IF(ISBLANK(Deltagarlista!$C28),"",IF(ISBLANK(Arrangörslista!N$143),"",IFERROR(VLOOKUP($F42,Arrangörslista!N$143:$AG$180,16,FALSE),IF(ISBLANK(Deltagarlista!$C28),"",IF(ISBLANK(Arrangörslista!N$143),"",IFERROR(VLOOKUP($F42,Arrangörslista!O$143:$AG$180,16,FALSE),"DNS")))))),IF(Deltagarlista!$K$3=2,
IF(ISBLANK(Deltagarlista!$C28),"",IF(ISBLANK(Arrangörslista!P$53),"",IF($GV42=AL$64," DNS ",IFERROR(VLOOKUP($F42,Arrangörslista!P$53:$AG$90,16,FALSE),"DNS")))),IF(ISBLANK(Deltagarlista!$C28),"",IF(ISBLANK(Arrangörslista!P$53),"",IFERROR(VLOOKUP($F42,Arrangörslista!P$53:$AG$90,16,FALSE),"DNS")))))</f>
        <v/>
      </c>
      <c r="AM42" s="5" t="str">
        <f>IF(Deltagarlista!$K$3=4,IF(ISBLANK(Deltagarlista!$C28),"",IF(ISBLANK(Arrangörslista!P$143),"",IFERROR(VLOOKUP($F42,Arrangörslista!P$143:$AG$180,16,FALSE),IF(ISBLANK(Deltagarlista!$C28),"",IF(ISBLANK(Arrangörslista!P$143),"",IFERROR(VLOOKUP($F42,Arrangörslista!Q$143:$AG$180,16,FALSE),"DNS")))))),IF(Deltagarlista!$K$3=2,
IF(ISBLANK(Deltagarlista!$C28),"",IF(ISBLANK(Arrangörslista!Q$53),"",IF($GV42=AM$64," DNS ",IFERROR(VLOOKUP($F42,Arrangörslista!Q$53:$AG$90,16,FALSE),"DNS")))),IF(ISBLANK(Deltagarlista!$C28),"",IF(ISBLANK(Arrangörslista!Q$53),"",IFERROR(VLOOKUP($F42,Arrangörslista!Q$53:$AG$90,16,FALSE),"DNS")))))</f>
        <v/>
      </c>
      <c r="AN42" s="5" t="str">
        <f>IF(Deltagarlista!$K$3=2,
IF(ISBLANK(Deltagarlista!$C28),"",IF(ISBLANK(Arrangörslista!C$98),"",IF($GV42=AN$64," DNS ",IFERROR(VLOOKUP($F42,Arrangörslista!C$98:$AG$135,16,FALSE), "DNS")))), IF(Deltagarlista!$K$3=1,IF(ISBLANK(Deltagarlista!$C28),"",IF(ISBLANK(Arrangörslista!C$98),"",IFERROR(VLOOKUP($F42,Arrangörslista!C$98:$AG$135,16,FALSE), "DNS"))),""))</f>
        <v/>
      </c>
      <c r="AO42" s="5" t="str">
        <f>IF(Deltagarlista!$K$3=2,
IF(ISBLANK(Deltagarlista!$C28),"",IF(ISBLANK(Arrangörslista!D$98),"",IF($GV42=AO$64," DNS ",IFERROR(VLOOKUP($F42,Arrangörslista!D$98:$AG$135,16,FALSE), "DNS")))), IF(Deltagarlista!$K$3=1,IF(ISBLANK(Deltagarlista!$C28),"",IF(ISBLANK(Arrangörslista!D$98),"",IFERROR(VLOOKUP($F42,Arrangörslista!D$98:$AG$135,16,FALSE), "DNS"))),""))</f>
        <v/>
      </c>
      <c r="AP42" s="5" t="str">
        <f>IF(Deltagarlista!$K$3=2,
IF(ISBLANK(Deltagarlista!$C28),"",IF(ISBLANK(Arrangörslista!E$98),"",IF($GV42=AP$64," DNS ",IFERROR(VLOOKUP($F42,Arrangörslista!E$98:$AG$135,16,FALSE), "DNS")))), IF(Deltagarlista!$K$3=1,IF(ISBLANK(Deltagarlista!$C28),"",IF(ISBLANK(Arrangörslista!E$98),"",IFERROR(VLOOKUP($F42,Arrangörslista!E$98:$AG$135,16,FALSE), "DNS"))),""))</f>
        <v/>
      </c>
      <c r="AQ42" s="5" t="str">
        <f>IF(Deltagarlista!$K$3=2,
IF(ISBLANK(Deltagarlista!$C28),"",IF(ISBLANK(Arrangörslista!F$98),"",IF($GV42=AQ$64," DNS ",IFERROR(VLOOKUP($F42,Arrangörslista!F$98:$AG$135,16,FALSE), "DNS")))), IF(Deltagarlista!$K$3=1,IF(ISBLANK(Deltagarlista!$C28),"",IF(ISBLANK(Arrangörslista!F$98),"",IFERROR(VLOOKUP($F42,Arrangörslista!F$98:$AG$135,16,FALSE), "DNS"))),""))</f>
        <v/>
      </c>
      <c r="AR42" s="5" t="str">
        <f>IF(Deltagarlista!$K$3=2,
IF(ISBLANK(Deltagarlista!$C28),"",IF(ISBLANK(Arrangörslista!G$98),"",IF($GV42=AR$64," DNS ",IFERROR(VLOOKUP($F42,Arrangörslista!G$98:$AG$135,16,FALSE), "DNS")))), IF(Deltagarlista!$K$3=1,IF(ISBLANK(Deltagarlista!$C28),"",IF(ISBLANK(Arrangörslista!G$98),"",IFERROR(VLOOKUP($F42,Arrangörslista!G$98:$AG$135,16,FALSE), "DNS"))),""))</f>
        <v/>
      </c>
      <c r="AS42" s="5" t="str">
        <f>IF(Deltagarlista!$K$3=2,
IF(ISBLANK(Deltagarlista!$C28),"",IF(ISBLANK(Arrangörslista!H$98),"",IF($GV42=AS$64," DNS ",IFERROR(VLOOKUP($F42,Arrangörslista!H$98:$AG$135,16,FALSE), "DNS")))), IF(Deltagarlista!$K$3=1,IF(ISBLANK(Deltagarlista!$C28),"",IF(ISBLANK(Arrangörslista!H$98),"",IFERROR(VLOOKUP($F42,Arrangörslista!H$98:$AG$135,16,FALSE), "DNS"))),""))</f>
        <v/>
      </c>
      <c r="AT42" s="5" t="str">
        <f>IF(Deltagarlista!$K$3=2,
IF(ISBLANK(Deltagarlista!$C28),"",IF(ISBLANK(Arrangörslista!I$98),"",IF($GV42=AT$64," DNS ",IFERROR(VLOOKUP($F42,Arrangörslista!I$98:$AG$135,16,FALSE), "DNS")))), IF(Deltagarlista!$K$3=1,IF(ISBLANK(Deltagarlista!$C28),"",IF(ISBLANK(Arrangörslista!I$98),"",IFERROR(VLOOKUP($F42,Arrangörslista!I$98:$AG$135,16,FALSE), "DNS"))),""))</f>
        <v/>
      </c>
      <c r="AU42" s="5" t="str">
        <f>IF(Deltagarlista!$K$3=2,
IF(ISBLANK(Deltagarlista!$C28),"",IF(ISBLANK(Arrangörslista!J$98),"",IF($GV42=AU$64," DNS ",IFERROR(VLOOKUP($F42,Arrangörslista!J$98:$AG$135,16,FALSE), "DNS")))), IF(Deltagarlista!$K$3=1,IF(ISBLANK(Deltagarlista!$C28),"",IF(ISBLANK(Arrangörslista!J$98),"",IFERROR(VLOOKUP($F42,Arrangörslista!J$98:$AG$135,16,FALSE), "DNS"))),""))</f>
        <v/>
      </c>
      <c r="AV42" s="5" t="str">
        <f>IF(Deltagarlista!$K$3=2,
IF(ISBLANK(Deltagarlista!$C28),"",IF(ISBLANK(Arrangörslista!K$98),"",IF($GV42=AV$64," DNS ",IFERROR(VLOOKUP($F42,Arrangörslista!K$98:$AG$135,16,FALSE), "DNS")))), IF(Deltagarlista!$K$3=1,IF(ISBLANK(Deltagarlista!$C28),"",IF(ISBLANK(Arrangörslista!K$98),"",IFERROR(VLOOKUP($F42,Arrangörslista!K$98:$AG$135,16,FALSE), "DNS"))),""))</f>
        <v/>
      </c>
      <c r="AW42" s="5" t="str">
        <f>IF(Deltagarlista!$K$3=2,
IF(ISBLANK(Deltagarlista!$C28),"",IF(ISBLANK(Arrangörslista!L$98),"",IF($GV42=AW$64," DNS ",IFERROR(VLOOKUP($F42,Arrangörslista!L$98:$AG$135,16,FALSE), "DNS")))), IF(Deltagarlista!$K$3=1,IF(ISBLANK(Deltagarlista!$C28),"",IF(ISBLANK(Arrangörslista!L$98),"",IFERROR(VLOOKUP($F42,Arrangörslista!L$98:$AG$135,16,FALSE), "DNS"))),""))</f>
        <v/>
      </c>
      <c r="AX42" s="5" t="str">
        <f>IF(Deltagarlista!$K$3=2,
IF(ISBLANK(Deltagarlista!$C28),"",IF(ISBLANK(Arrangörslista!M$98),"",IF($GV42=AX$64," DNS ",IFERROR(VLOOKUP($F42,Arrangörslista!M$98:$AG$135,16,FALSE), "DNS")))), IF(Deltagarlista!$K$3=1,IF(ISBLANK(Deltagarlista!$C28),"",IF(ISBLANK(Arrangörslista!M$98),"",IFERROR(VLOOKUP($F42,Arrangörslista!M$98:$AG$135,16,FALSE), "DNS"))),""))</f>
        <v/>
      </c>
      <c r="AY42" s="5" t="str">
        <f>IF(Deltagarlista!$K$3=2,
IF(ISBLANK(Deltagarlista!$C28),"",IF(ISBLANK(Arrangörslista!N$98),"",IF($GV42=AY$64," DNS ",IFERROR(VLOOKUP($F42,Arrangörslista!N$98:$AG$135,16,FALSE), "DNS")))), IF(Deltagarlista!$K$3=1,IF(ISBLANK(Deltagarlista!$C28),"",IF(ISBLANK(Arrangörslista!N$98),"",IFERROR(VLOOKUP($F42,Arrangörslista!N$98:$AG$135,16,FALSE), "DNS"))),""))</f>
        <v/>
      </c>
      <c r="AZ42" s="5" t="str">
        <f>IF(Deltagarlista!$K$3=2,
IF(ISBLANK(Deltagarlista!$C28),"",IF(ISBLANK(Arrangörslista!O$98),"",IF($GV42=AZ$64," DNS ",IFERROR(VLOOKUP($F42,Arrangörslista!O$98:$AG$135,16,FALSE), "DNS")))), IF(Deltagarlista!$K$3=1,IF(ISBLANK(Deltagarlista!$C28),"",IF(ISBLANK(Arrangörslista!O$98),"",IFERROR(VLOOKUP($F42,Arrangörslista!O$98:$AG$135,16,FALSE), "DNS"))),""))</f>
        <v/>
      </c>
      <c r="BA42" s="5" t="str">
        <f>IF(Deltagarlista!$K$3=2,
IF(ISBLANK(Deltagarlista!$C28),"",IF(ISBLANK(Arrangörslista!P$98),"",IF($GV42=BA$64," DNS ",IFERROR(VLOOKUP($F42,Arrangörslista!P$98:$AG$135,16,FALSE), "DNS")))), IF(Deltagarlista!$K$3=1,IF(ISBLANK(Deltagarlista!$C28),"",IF(ISBLANK(Arrangörslista!P$98),"",IFERROR(VLOOKUP($F42,Arrangörslista!P$98:$AG$135,16,FALSE), "DNS"))),""))</f>
        <v/>
      </c>
      <c r="BB42" s="5" t="str">
        <f>IF(Deltagarlista!$K$3=2,
IF(ISBLANK(Deltagarlista!$C28),"",IF(ISBLANK(Arrangörslista!Q$98),"",IF($GV42=BB$64," DNS ",IFERROR(VLOOKUP($F42,Arrangörslista!Q$98:$AG$135,16,FALSE), "DNS")))), IF(Deltagarlista!$K$3=1,IF(ISBLANK(Deltagarlista!$C28),"",IF(ISBLANK(Arrangörslista!Q$98),"",IFERROR(VLOOKUP($F42,Arrangörslista!Q$98:$AG$135,16,FALSE), "DNS"))),""))</f>
        <v/>
      </c>
      <c r="BC42" s="5" t="str">
        <f>IF(Deltagarlista!$K$3=2,
IF(ISBLANK(Deltagarlista!$C28),"",IF(ISBLANK(Arrangörslista!C$143),"",IF($GV42=BC$64," DNS ",IFERROR(VLOOKUP($F42,Arrangörslista!C$143:$AG$180,16,FALSE), "DNS")))), IF(Deltagarlista!$K$3=1,IF(ISBLANK(Deltagarlista!$C28),"",IF(ISBLANK(Arrangörslista!C$143),"",IFERROR(VLOOKUP($F42,Arrangörslista!C$143:$AG$180,16,FALSE), "DNS"))),""))</f>
        <v/>
      </c>
      <c r="BD42" s="5" t="str">
        <f>IF(Deltagarlista!$K$3=2,
IF(ISBLANK(Deltagarlista!$C28),"",IF(ISBLANK(Arrangörslista!D$143),"",IF($GV42=BD$64," DNS ",IFERROR(VLOOKUP($F42,Arrangörslista!D$143:$AG$180,16,FALSE), "DNS")))), IF(Deltagarlista!$K$3=1,IF(ISBLANK(Deltagarlista!$C28),"",IF(ISBLANK(Arrangörslista!D$143),"",IFERROR(VLOOKUP($F42,Arrangörslista!D$143:$AG$180,16,FALSE), "DNS"))),""))</f>
        <v/>
      </c>
      <c r="BE42" s="5" t="str">
        <f>IF(Deltagarlista!$K$3=2,
IF(ISBLANK(Deltagarlista!$C28),"",IF(ISBLANK(Arrangörslista!E$143),"",IF($GV42=BE$64," DNS ",IFERROR(VLOOKUP($F42,Arrangörslista!E$143:$AG$180,16,FALSE), "DNS")))), IF(Deltagarlista!$K$3=1,IF(ISBLANK(Deltagarlista!$C28),"",IF(ISBLANK(Arrangörslista!E$143),"",IFERROR(VLOOKUP($F42,Arrangörslista!E$143:$AG$180,16,FALSE), "DNS"))),""))</f>
        <v/>
      </c>
      <c r="BF42" s="5" t="str">
        <f>IF(Deltagarlista!$K$3=2,
IF(ISBLANK(Deltagarlista!$C28),"",IF(ISBLANK(Arrangörslista!F$143),"",IF($GV42=BF$64," DNS ",IFERROR(VLOOKUP($F42,Arrangörslista!F$143:$AG$180,16,FALSE), "DNS")))), IF(Deltagarlista!$K$3=1,IF(ISBLANK(Deltagarlista!$C28),"",IF(ISBLANK(Arrangörslista!F$143),"",IFERROR(VLOOKUP($F42,Arrangörslista!F$143:$AG$180,16,FALSE), "DNS"))),""))</f>
        <v/>
      </c>
      <c r="BG42" s="5" t="str">
        <f>IF(Deltagarlista!$K$3=2,
IF(ISBLANK(Deltagarlista!$C28),"",IF(ISBLANK(Arrangörslista!G$143),"",IF($GV42=BG$64," DNS ",IFERROR(VLOOKUP($F42,Arrangörslista!G$143:$AG$180,16,FALSE), "DNS")))), IF(Deltagarlista!$K$3=1,IF(ISBLANK(Deltagarlista!$C28),"",IF(ISBLANK(Arrangörslista!G$143),"",IFERROR(VLOOKUP($F42,Arrangörslista!G$143:$AG$180,16,FALSE), "DNS"))),""))</f>
        <v/>
      </c>
      <c r="BH42" s="5" t="str">
        <f>IF(Deltagarlista!$K$3=2,
IF(ISBLANK(Deltagarlista!$C28),"",IF(ISBLANK(Arrangörslista!H$143),"",IF($GV42=BH$64," DNS ",IFERROR(VLOOKUP($F42,Arrangörslista!H$143:$AG$180,16,FALSE), "DNS")))), IF(Deltagarlista!$K$3=1,IF(ISBLANK(Deltagarlista!$C28),"",IF(ISBLANK(Arrangörslista!H$143),"",IFERROR(VLOOKUP($F42,Arrangörslista!H$143:$AG$180,16,FALSE), "DNS"))),""))</f>
        <v/>
      </c>
      <c r="BI42" s="5" t="str">
        <f>IF(Deltagarlista!$K$3=2,
IF(ISBLANK(Deltagarlista!$C28),"",IF(ISBLANK(Arrangörslista!I$143),"",IF($GV42=BI$64," DNS ",IFERROR(VLOOKUP($F42,Arrangörslista!I$143:$AG$180,16,FALSE), "DNS")))), IF(Deltagarlista!$K$3=1,IF(ISBLANK(Deltagarlista!$C28),"",IF(ISBLANK(Arrangörslista!I$143),"",IFERROR(VLOOKUP($F42,Arrangörslista!I$143:$AG$180,16,FALSE), "DNS"))),""))</f>
        <v/>
      </c>
      <c r="BJ42" s="5" t="str">
        <f>IF(Deltagarlista!$K$3=2,
IF(ISBLANK(Deltagarlista!$C28),"",IF(ISBLANK(Arrangörslista!J$143),"",IF($GV42=BJ$64," DNS ",IFERROR(VLOOKUP($F42,Arrangörslista!J$143:$AG$180,16,FALSE), "DNS")))), IF(Deltagarlista!$K$3=1,IF(ISBLANK(Deltagarlista!$C28),"",IF(ISBLANK(Arrangörslista!J$143),"",IFERROR(VLOOKUP($F42,Arrangörslista!J$143:$AG$180,16,FALSE), "DNS"))),""))</f>
        <v/>
      </c>
      <c r="BK42" s="5" t="str">
        <f>IF(Deltagarlista!$K$3=2,
IF(ISBLANK(Deltagarlista!$C28),"",IF(ISBLANK(Arrangörslista!K$143),"",IF($GV42=BK$64," DNS ",IFERROR(VLOOKUP($F42,Arrangörslista!K$143:$AG$180,16,FALSE), "DNS")))), IF(Deltagarlista!$K$3=1,IF(ISBLANK(Deltagarlista!$C28),"",IF(ISBLANK(Arrangörslista!K$143),"",IFERROR(VLOOKUP($F42,Arrangörslista!K$143:$AG$180,16,FALSE), "DNS"))),""))</f>
        <v/>
      </c>
      <c r="BL42" s="5" t="str">
        <f>IF(Deltagarlista!$K$3=2,
IF(ISBLANK(Deltagarlista!$C28),"",IF(ISBLANK(Arrangörslista!L$143),"",IF($GV42=BL$64," DNS ",IFERROR(VLOOKUP($F42,Arrangörslista!L$143:$AG$180,16,FALSE), "DNS")))), IF(Deltagarlista!$K$3=1,IF(ISBLANK(Deltagarlista!$C28),"",IF(ISBLANK(Arrangörslista!L$143),"",IFERROR(VLOOKUP($F42,Arrangörslista!L$143:$AG$180,16,FALSE), "DNS"))),""))</f>
        <v/>
      </c>
      <c r="BM42" s="5" t="str">
        <f>IF(Deltagarlista!$K$3=2,
IF(ISBLANK(Deltagarlista!$C28),"",IF(ISBLANK(Arrangörslista!M$143),"",IF($GV42=BM$64," DNS ",IFERROR(VLOOKUP($F42,Arrangörslista!M$143:$AG$180,16,FALSE), "DNS")))), IF(Deltagarlista!$K$3=1,IF(ISBLANK(Deltagarlista!$C28),"",IF(ISBLANK(Arrangörslista!M$143),"",IFERROR(VLOOKUP($F42,Arrangörslista!M$143:$AG$180,16,FALSE), "DNS"))),""))</f>
        <v/>
      </c>
      <c r="BN42" s="5" t="str">
        <f>IF(Deltagarlista!$K$3=2,
IF(ISBLANK(Deltagarlista!$C28),"",IF(ISBLANK(Arrangörslista!N$143),"",IF($GV42=BN$64," DNS ",IFERROR(VLOOKUP($F42,Arrangörslista!N$143:$AG$180,16,FALSE), "DNS")))), IF(Deltagarlista!$K$3=1,IF(ISBLANK(Deltagarlista!$C28),"",IF(ISBLANK(Arrangörslista!N$143),"",IFERROR(VLOOKUP($F42,Arrangörslista!N$143:$AG$180,16,FALSE), "DNS"))),""))</f>
        <v/>
      </c>
      <c r="BO42" s="5" t="str">
        <f>IF(Deltagarlista!$K$3=2,
IF(ISBLANK(Deltagarlista!$C28),"",IF(ISBLANK(Arrangörslista!O$143),"",IF($GV42=BO$64," DNS ",IFERROR(VLOOKUP($F42,Arrangörslista!O$143:$AG$180,16,FALSE), "DNS")))), IF(Deltagarlista!$K$3=1,IF(ISBLANK(Deltagarlista!$C28),"",IF(ISBLANK(Arrangörslista!O$143),"",IFERROR(VLOOKUP($F42,Arrangörslista!O$143:$AG$180,16,FALSE), "DNS"))),""))</f>
        <v/>
      </c>
      <c r="BP42" s="5" t="str">
        <f>IF(Deltagarlista!$K$3=2,
IF(ISBLANK(Deltagarlista!$C28),"",IF(ISBLANK(Arrangörslista!P$143),"",IF($GV42=BP$64," DNS ",IFERROR(VLOOKUP($F42,Arrangörslista!P$143:$AG$180,16,FALSE), "DNS")))), IF(Deltagarlista!$K$3=1,IF(ISBLANK(Deltagarlista!$C28),"",IF(ISBLANK(Arrangörslista!P$143),"",IFERROR(VLOOKUP($F42,Arrangörslista!P$143:$AG$180,16,FALSE), "DNS"))),""))</f>
        <v/>
      </c>
      <c r="BQ42" s="80" t="str">
        <f>IF(Deltagarlista!$K$3=2,
IF(ISBLANK(Deltagarlista!$C28),"",IF(ISBLANK(Arrangörslista!Q$143),"",IF($GV42=BQ$64," DNS ",IFERROR(VLOOKUP($F42,Arrangörslista!Q$143:$AG$180,16,FALSE), "DNS")))), IF(Deltagarlista!$K$3=1,IF(ISBLANK(Deltagarlista!$C28),"",IF(ISBLANK(Arrangörslista!Q$143),"",IFERROR(VLOOKUP($F42,Arrangörslista!Q$143:$AG$180,16,FALSE), "DNS"))),""))</f>
        <v/>
      </c>
      <c r="BR42" s="51"/>
      <c r="BS42" s="50" t="str">
        <f t="shared" si="125"/>
        <v>2</v>
      </c>
      <c r="BT42" s="51"/>
      <c r="BU42" s="71">
        <f t="shared" si="126"/>
        <v>0</v>
      </c>
      <c r="BV42" s="61">
        <f t="shared" si="127"/>
        <v>0</v>
      </c>
      <c r="BW42" s="61">
        <f t="shared" si="128"/>
        <v>0</v>
      </c>
      <c r="BX42" s="61">
        <f t="shared" si="129"/>
        <v>0</v>
      </c>
      <c r="BY42" s="61">
        <f t="shared" si="130"/>
        <v>0</v>
      </c>
      <c r="BZ42" s="61">
        <f t="shared" si="131"/>
        <v>0</v>
      </c>
      <c r="CA42" s="61">
        <f t="shared" si="132"/>
        <v>0</v>
      </c>
      <c r="CB42" s="61">
        <f t="shared" si="133"/>
        <v>0</v>
      </c>
      <c r="CC42" s="61">
        <f t="shared" si="134"/>
        <v>0</v>
      </c>
      <c r="CD42" s="61">
        <f t="shared" si="135"/>
        <v>0</v>
      </c>
      <c r="CE42" s="61">
        <f t="shared" si="136"/>
        <v>0</v>
      </c>
      <c r="CF42" s="61">
        <f t="shared" si="137"/>
        <v>0</v>
      </c>
      <c r="CG42" s="61">
        <f t="shared" si="138"/>
        <v>0</v>
      </c>
      <c r="CH42" s="61">
        <f t="shared" si="139"/>
        <v>0</v>
      </c>
      <c r="CI42" s="61">
        <f t="shared" si="140"/>
        <v>0</v>
      </c>
      <c r="CJ42" s="61">
        <f t="shared" si="141"/>
        <v>0</v>
      </c>
      <c r="CK42" s="61">
        <f t="shared" si="142"/>
        <v>0</v>
      </c>
      <c r="CL42" s="61">
        <f t="shared" si="143"/>
        <v>0</v>
      </c>
      <c r="CM42" s="61">
        <f t="shared" si="144"/>
        <v>0</v>
      </c>
      <c r="CN42" s="61">
        <f t="shared" si="145"/>
        <v>0</v>
      </c>
      <c r="CO42" s="61">
        <f t="shared" si="146"/>
        <v>0</v>
      </c>
      <c r="CP42" s="61">
        <f t="shared" si="147"/>
        <v>0</v>
      </c>
      <c r="CQ42" s="61">
        <f t="shared" si="148"/>
        <v>0</v>
      </c>
      <c r="CR42" s="61">
        <f t="shared" si="149"/>
        <v>0</v>
      </c>
      <c r="CS42" s="61">
        <f t="shared" si="150"/>
        <v>0</v>
      </c>
      <c r="CT42" s="61">
        <f t="shared" si="151"/>
        <v>0</v>
      </c>
      <c r="CU42" s="61">
        <f t="shared" si="152"/>
        <v>0</v>
      </c>
      <c r="CV42" s="61">
        <f t="shared" si="153"/>
        <v>0</v>
      </c>
      <c r="CW42" s="61">
        <f t="shared" si="154"/>
        <v>0</v>
      </c>
      <c r="CX42" s="61">
        <f t="shared" si="155"/>
        <v>0</v>
      </c>
      <c r="CY42" s="61">
        <f t="shared" si="156"/>
        <v>0</v>
      </c>
      <c r="CZ42" s="61">
        <f t="shared" si="157"/>
        <v>0</v>
      </c>
      <c r="DA42" s="61">
        <f t="shared" si="158"/>
        <v>0</v>
      </c>
      <c r="DB42" s="61">
        <f t="shared" si="159"/>
        <v>0</v>
      </c>
      <c r="DC42" s="61">
        <f t="shared" si="160"/>
        <v>0</v>
      </c>
      <c r="DD42" s="61">
        <f t="shared" si="161"/>
        <v>0</v>
      </c>
      <c r="DE42" s="61">
        <f t="shared" si="162"/>
        <v>0</v>
      </c>
      <c r="DF42" s="61">
        <f t="shared" si="163"/>
        <v>0</v>
      </c>
      <c r="DG42" s="61">
        <f t="shared" si="164"/>
        <v>0</v>
      </c>
      <c r="DH42" s="61">
        <f t="shared" si="165"/>
        <v>0</v>
      </c>
      <c r="DI42" s="61">
        <f t="shared" si="166"/>
        <v>0</v>
      </c>
      <c r="DJ42" s="61">
        <f t="shared" si="167"/>
        <v>0</v>
      </c>
      <c r="DK42" s="61">
        <f t="shared" si="168"/>
        <v>0</v>
      </c>
      <c r="DL42" s="61">
        <f t="shared" si="169"/>
        <v>0</v>
      </c>
      <c r="DM42" s="61">
        <f t="shared" si="170"/>
        <v>0</v>
      </c>
      <c r="DN42" s="61">
        <f t="shared" si="171"/>
        <v>0</v>
      </c>
      <c r="DO42" s="61">
        <f t="shared" si="172"/>
        <v>0</v>
      </c>
      <c r="DP42" s="61">
        <f t="shared" si="173"/>
        <v>0</v>
      </c>
      <c r="DQ42" s="61">
        <f t="shared" si="174"/>
        <v>0</v>
      </c>
      <c r="DR42" s="61">
        <f t="shared" si="175"/>
        <v>0</v>
      </c>
      <c r="DS42" s="61">
        <f t="shared" si="176"/>
        <v>0</v>
      </c>
      <c r="DT42" s="61">
        <f t="shared" si="177"/>
        <v>0</v>
      </c>
      <c r="DU42" s="61">
        <f t="shared" si="178"/>
        <v>0</v>
      </c>
      <c r="DV42" s="61">
        <f t="shared" si="179"/>
        <v>0</v>
      </c>
      <c r="DW42" s="61">
        <f t="shared" si="180"/>
        <v>0</v>
      </c>
      <c r="DX42" s="61">
        <f t="shared" si="181"/>
        <v>0</v>
      </c>
      <c r="DY42" s="61">
        <f t="shared" si="182"/>
        <v>0</v>
      </c>
      <c r="DZ42" s="61">
        <f t="shared" si="183"/>
        <v>0</v>
      </c>
      <c r="EA42" s="61">
        <f t="shared" si="184"/>
        <v>0</v>
      </c>
      <c r="EB42" s="61">
        <f t="shared" si="185"/>
        <v>0</v>
      </c>
      <c r="EC42" s="61">
        <f t="shared" si="186"/>
        <v>0</v>
      </c>
      <c r="EE42" s="61">
        <f xml:space="preserve">
IF(OR(Deltagarlista!$K$3=3,Deltagarlista!$K$3=4),
IF(Arrangörslista!$U$5&lt;8,0,
IF(Arrangörslista!$U$5&lt;16,SUM(LARGE(BV42:CJ42,1)),
IF(Arrangörslista!$U$5&lt;24,SUM(LARGE(BV42:CR42,{1;2})),
IF(Arrangörslista!$U$5&lt;32,SUM(LARGE(BV42:CZ42,{1;2;3})),
IF(Arrangörslista!$U$5&lt;40,SUM(LARGE(BV42:DH42,{1;2;3;4})),
IF(Arrangörslista!$U$5&lt;48,SUM(LARGE(BV42:DP42,{1;2;3;4;5})),
IF(Arrangörslista!$U$5&lt;56,SUM(LARGE(BV42:DX42,{1;2;3;4;5;6})),
IF(Arrangörslista!$U$5&lt;64,SUM(LARGE(BV42:EC42,{1;2;3;4;5;6;7})),0)))))))),
IF(Deltagarlista!$K$3=2,
IF(Arrangörslista!$U$5&lt;4,LARGE(BV42:BX42,1),
IF(Arrangörslista!$U$5&lt;7,SUM(LARGE(BV42:CA42,{1;2;3})),
IF(Arrangörslista!$U$5&lt;10,SUM(LARGE(BV42:CD42,{1;2;3;4})),
IF(Arrangörslista!$U$5&lt;13,SUM(LARGE(BV42:CG42,{1;2;3;4;5;6})),
IF(Arrangörslista!$U$5&lt;16,SUM(LARGE(BV42:CJ42,{1;2;3;4;5;6;7})),
IF(Arrangörslista!$U$5&lt;19,SUM(LARGE(BV42:CM42,{1;2;3;4;5;6;7;8;9})),
IF(Arrangörslista!$U$5&lt;22,SUM(LARGE(BV42:CP42,{1;2;3;4;5;6;7;8;9;10})),
IF(Arrangörslista!$U$5&lt;25,SUM(LARGE(BV42:CS42,{1;2;3;4;5;6;7;8;9;10;11;12})),
IF(Arrangörslista!$U$5&lt;28,SUM(LARGE(BV42:CV42,{1;2;3;4;5;6;7;8;9;10;11;12;13})),
IF(Arrangörslista!$U$5&lt;31,SUM(LARGE(BV42:CY42,{1;2;3;4;5;6;7;8;9;10;11;12;13;14;15})),
IF(Arrangörslista!$U$5&lt;34,SUM(LARGE(BV42:DB42,{1;2;3;4;5;6;7;8;9;10;11;12;13;14;15;16})),
IF(Arrangörslista!$U$5&lt;37,SUM(LARGE(BV42:DE42,{1;2;3;4;5;6;7;8;9;10;11;12;13;14;15;16;17;18})),
IF(Arrangörslista!$U$5&lt;40,SUM(LARGE(BV42:DH42,{1;2;3;4;5;6;7;8;9;10;11;12;13;14;15;16;17;18;19})),
IF(Arrangörslista!$U$5&lt;43,SUM(LARGE(BV42:DK42,{1;2;3;4;5;6;7;8;9;10;11;12;13;14;15;16;17;18;19;20;21})),
IF(Arrangörslista!$U$5&lt;46,SUM(LARGE(BV42:DN42,{1;2;3;4;5;6;7;8;9;10;11;12;13;14;15;16;17;18;19;20;21;22})),
IF(Arrangörslista!$U$5&lt;49,SUM(LARGE(BV42:DQ42,{1;2;3;4;5;6;7;8;9;10;11;12;13;14;15;16;17;18;19;20;21;22;23;24})),
IF(Arrangörslista!$U$5&lt;52,SUM(LARGE(BV42:DT42,{1;2;3;4;5;6;7;8;9;10;11;12;13;14;15;16;17;18;19;20;21;22;23;24;25})),
IF(Arrangörslista!$U$5&lt;55,SUM(LARGE(BV42:DW42,{1;2;3;4;5;6;7;8;9;10;11;12;13;14;15;16;17;18;19;20;21;22;23;24;25;26;27})),
IF(Arrangörslista!$U$5&lt;58,SUM(LARGE(BV42:DZ42,{1;2;3;4;5;6;7;8;9;10;11;12;13;14;15;16;17;18;19;20;21;22;23;24;25;26;27;28})),
IF(Arrangörslista!$U$5&lt;61,SUM(LARGE(BV42:EC42,{1;2;3;4;5;6;7;8;9;10;11;12;13;14;15;16;17;18;19;20;21;22;23;24;25;26;27;28;29;30})),0)))))))))))))))))))),
IF(Arrangörslista!$U$5&lt;4,0,
IF(Arrangörslista!$U$5&lt;8,SUM(LARGE(BV42:CB42,1)),
IF(Arrangörslista!$U$5&lt;12,SUM(LARGE(BV42:CF42,{1;2})),
IF(Arrangörslista!$U$5&lt;16,SUM(LARGE(BV42:CJ42,{1;2;3})),
IF(Arrangörslista!$U$5&lt;20,SUM(LARGE(BV42:CN42,{1;2;3;4})),
IF(Arrangörslista!$U$5&lt;24,SUM(LARGE(BV42:CR42,{1;2;3;4;5})),
IF(Arrangörslista!$U$5&lt;28,SUM(LARGE(BV42:CV42,{1;2;3;4;5;6})),
IF(Arrangörslista!$U$5&lt;32,SUM(LARGE(BV42:CZ42,{1;2;3;4;5;6;7})),
IF(Arrangörslista!$U$5&lt;36,SUM(LARGE(BV42:DD42,{1;2;3;4;5;6;7;8})),
IF(Arrangörslista!$U$5&lt;40,SUM(LARGE(BV42:DH42,{1;2;3;4;5;6;7;8;9})),
IF(Arrangörslista!$U$5&lt;44,SUM(LARGE(BV42:DL42,{1;2;3;4;5;6;7;8;9;10})),
IF(Arrangörslista!$U$5&lt;48,SUM(LARGE(BV42:DP42,{1;2;3;4;5;6;7;8;9;10;11})),
IF(Arrangörslista!$U$5&lt;52,SUM(LARGE(BV42:DT42,{1;2;3;4;5;6;7;8;9;10;11;12})),
IF(Arrangörslista!$U$5&lt;56,SUM(LARGE(BV42:DX42,{1;2;3;4;5;6;7;8;9;10;11;12;13})),
IF(Arrangörslista!$U$5&lt;60,SUM(LARGE(BV42:EB42,{1;2;3;4;5;6;7;8;9;10;11;12;13;14})),
IF(Arrangörslista!$U$5=60,SUM(LARGE(BV42:EC42,{1;2;3;4;5;6;7;8;9;10;11;12;13;14;15})),0))))))))))))))))))</f>
        <v>0</v>
      </c>
      <c r="EG42" s="67">
        <f t="shared" si="187"/>
        <v>0</v>
      </c>
      <c r="EH42" s="61"/>
      <c r="EI42" s="61"/>
      <c r="EK42" s="62">
        <f t="shared" si="188"/>
        <v>61</v>
      </c>
      <c r="EL42" s="62">
        <f t="shared" si="189"/>
        <v>61</v>
      </c>
      <c r="EM42" s="62">
        <f t="shared" si="190"/>
        <v>61</v>
      </c>
      <c r="EN42" s="62">
        <f t="shared" si="191"/>
        <v>61</v>
      </c>
      <c r="EO42" s="62">
        <f t="shared" si="192"/>
        <v>61</v>
      </c>
      <c r="EP42" s="62">
        <f t="shared" si="193"/>
        <v>61</v>
      </c>
      <c r="EQ42" s="62">
        <f t="shared" si="194"/>
        <v>61</v>
      </c>
      <c r="ER42" s="62">
        <f t="shared" si="195"/>
        <v>61</v>
      </c>
      <c r="ES42" s="62">
        <f t="shared" si="196"/>
        <v>61</v>
      </c>
      <c r="ET42" s="62">
        <f t="shared" si="197"/>
        <v>61</v>
      </c>
      <c r="EU42" s="62">
        <f t="shared" si="198"/>
        <v>61</v>
      </c>
      <c r="EV42" s="62">
        <f t="shared" si="199"/>
        <v>61</v>
      </c>
      <c r="EW42" s="62">
        <f t="shared" si="200"/>
        <v>61</v>
      </c>
      <c r="EX42" s="62">
        <f t="shared" si="201"/>
        <v>61</v>
      </c>
      <c r="EY42" s="62">
        <f t="shared" si="202"/>
        <v>61</v>
      </c>
      <c r="EZ42" s="62">
        <f t="shared" si="203"/>
        <v>61</v>
      </c>
      <c r="FA42" s="62">
        <f t="shared" si="204"/>
        <v>61</v>
      </c>
      <c r="FB42" s="62">
        <f t="shared" si="205"/>
        <v>61</v>
      </c>
      <c r="FC42" s="62">
        <f t="shared" si="206"/>
        <v>61</v>
      </c>
      <c r="FD42" s="62">
        <f t="shared" si="207"/>
        <v>61</v>
      </c>
      <c r="FE42" s="62">
        <f t="shared" si="208"/>
        <v>61</v>
      </c>
      <c r="FF42" s="62">
        <f t="shared" si="209"/>
        <v>61</v>
      </c>
      <c r="FG42" s="62">
        <f t="shared" si="210"/>
        <v>61</v>
      </c>
      <c r="FH42" s="62">
        <f t="shared" si="211"/>
        <v>61</v>
      </c>
      <c r="FI42" s="62">
        <f t="shared" si="212"/>
        <v>61</v>
      </c>
      <c r="FJ42" s="62">
        <f t="shared" si="213"/>
        <v>61</v>
      </c>
      <c r="FK42" s="62">
        <f t="shared" si="214"/>
        <v>61</v>
      </c>
      <c r="FL42" s="62">
        <f t="shared" si="215"/>
        <v>61</v>
      </c>
      <c r="FM42" s="62">
        <f t="shared" si="216"/>
        <v>61</v>
      </c>
      <c r="FN42" s="62">
        <f t="shared" si="217"/>
        <v>61</v>
      </c>
      <c r="FO42" s="62">
        <f t="shared" si="218"/>
        <v>61</v>
      </c>
      <c r="FP42" s="62">
        <f t="shared" si="219"/>
        <v>61</v>
      </c>
      <c r="FQ42" s="62">
        <f t="shared" si="220"/>
        <v>61</v>
      </c>
      <c r="FR42" s="62">
        <f t="shared" si="221"/>
        <v>61</v>
      </c>
      <c r="FS42" s="62">
        <f t="shared" si="222"/>
        <v>61</v>
      </c>
      <c r="FT42" s="62">
        <f t="shared" si="223"/>
        <v>61</v>
      </c>
      <c r="FU42" s="62">
        <f t="shared" si="224"/>
        <v>61</v>
      </c>
      <c r="FV42" s="62">
        <f t="shared" si="225"/>
        <v>61</v>
      </c>
      <c r="FW42" s="62">
        <f t="shared" si="226"/>
        <v>61</v>
      </c>
      <c r="FX42" s="62">
        <f t="shared" si="227"/>
        <v>61</v>
      </c>
      <c r="FY42" s="62">
        <f t="shared" si="228"/>
        <v>61</v>
      </c>
      <c r="FZ42" s="62">
        <f t="shared" si="229"/>
        <v>61</v>
      </c>
      <c r="GA42" s="62">
        <f t="shared" si="230"/>
        <v>61</v>
      </c>
      <c r="GB42" s="62">
        <f t="shared" si="231"/>
        <v>61</v>
      </c>
      <c r="GC42" s="62">
        <f t="shared" si="232"/>
        <v>61</v>
      </c>
      <c r="GD42" s="62">
        <f t="shared" si="233"/>
        <v>61</v>
      </c>
      <c r="GE42" s="62">
        <f t="shared" si="234"/>
        <v>61</v>
      </c>
      <c r="GF42" s="62">
        <f t="shared" si="235"/>
        <v>61</v>
      </c>
      <c r="GG42" s="62">
        <f t="shared" si="236"/>
        <v>61</v>
      </c>
      <c r="GH42" s="62">
        <f t="shared" si="237"/>
        <v>61</v>
      </c>
      <c r="GI42" s="62">
        <f t="shared" si="238"/>
        <v>61</v>
      </c>
      <c r="GJ42" s="62">
        <f t="shared" si="239"/>
        <v>61</v>
      </c>
      <c r="GK42" s="62">
        <f t="shared" si="240"/>
        <v>61</v>
      </c>
      <c r="GL42" s="62">
        <f t="shared" si="241"/>
        <v>61</v>
      </c>
      <c r="GM42" s="62">
        <f t="shared" si="242"/>
        <v>61</v>
      </c>
      <c r="GN42" s="62">
        <f t="shared" si="243"/>
        <v>61</v>
      </c>
      <c r="GO42" s="62">
        <f t="shared" si="244"/>
        <v>61</v>
      </c>
      <c r="GP42" s="62">
        <f t="shared" si="245"/>
        <v>61</v>
      </c>
      <c r="GQ42" s="62">
        <f t="shared" si="246"/>
        <v>61</v>
      </c>
      <c r="GR42" s="62">
        <f t="shared" si="247"/>
        <v>61</v>
      </c>
      <c r="GT42" s="62">
        <f>IF(Deltagarlista!$K$3=2,
IF(GW42="1",
      IF(Arrangörslista!$U$5=1,J105,
IF(Arrangörslista!$U$5=2,K105,
IF(Arrangörslista!$U$5=3,L105,
IF(Arrangörslista!$U$5=4,M105,
IF(Arrangörslista!$U$5=5,N105,
IF(Arrangörslista!$U$5=6,O105,
IF(Arrangörslista!$U$5=7,P105,
IF(Arrangörslista!$U$5=8,Q105,
IF(Arrangörslista!$U$5=9,R105,
IF(Arrangörslista!$U$5=10,S105,
IF(Arrangörslista!$U$5=11,T105,
IF(Arrangörslista!$U$5=12,U105,
IF(Arrangörslista!$U$5=13,V105,
IF(Arrangörslista!$U$5=14,W105,
IF(Arrangörslista!$U$5=15,X105,
IF(Arrangörslista!$U$5=16,Y105,IF(Arrangörslista!$U$5=17,Z105,IF(Arrangörslista!$U$5=18,AA105,IF(Arrangörslista!$U$5=19,AB105,IF(Arrangörslista!$U$5=20,AC105,IF(Arrangörslista!$U$5=21,AD105,IF(Arrangörslista!$U$5=22,AE105,IF(Arrangörslista!$U$5=23,AF105, IF(Arrangörslista!$U$5=24,AG105, IF(Arrangörslista!$U$5=25,AH105, IF(Arrangörslista!$U$5=26,AI105, IF(Arrangörslista!$U$5=27,AJ105, IF(Arrangörslista!$U$5=28,AK105, IF(Arrangörslista!$U$5=29,AL105, IF(Arrangörslista!$U$5=30,AM105, IF(Arrangörslista!$U$5=31,AN105, IF(Arrangörslista!$U$5=32,AO105, IF(Arrangörslista!$U$5=33,AP105, IF(Arrangörslista!$U$5=34,AQ105, IF(Arrangörslista!$U$5=35,AR105, IF(Arrangörslista!$U$5=36,AS105, IF(Arrangörslista!$U$5=37,AT105, IF(Arrangörslista!$U$5=38,AU105, IF(Arrangörslista!$U$5=39,AV105, IF(Arrangörslista!$U$5=40,AW105, IF(Arrangörslista!$U$5=41,AX105, IF(Arrangörslista!$U$5=42,AY105, IF(Arrangörslista!$U$5=43,AZ105, IF(Arrangörslista!$U$5=44,BA105, IF(Arrangörslista!$U$5=45,BB105, IF(Arrangörslista!$U$5=46,BC105, IF(Arrangörslista!$U$5=47,BD105, IF(Arrangörslista!$U$5=48,BE105, IF(Arrangörslista!$U$5=49,BF105, IF(Arrangörslista!$U$5=50,BG105, IF(Arrangörslista!$U$5=51,BH105, IF(Arrangörslista!$U$5=52,BI105, IF(Arrangörslista!$U$5=53,BJ105, IF(Arrangörslista!$U$5=54,BK105, IF(Arrangörslista!$U$5=55,BL105, IF(Arrangörslista!$U$5=56,BM105, IF(Arrangörslista!$U$5=57,BN105, IF(Arrangörslista!$U$5=58,BO105, IF(Arrangörslista!$U$5=59,BP105, IF(Arrangörslista!$U$5=60,BQ105,0))))))))))))))))))))))))))))))))))))))))))))))))))))))))))))),IF(Deltagarlista!$K$3=4, IF(Arrangörslista!$U$5=1,J105,
IF(Arrangörslista!$U$5=2,J105,
IF(Arrangörslista!$U$5=3,K105,
IF(Arrangörslista!$U$5=4,K105,
IF(Arrangörslista!$U$5=5,L105,
IF(Arrangörslista!$U$5=6,L105,
IF(Arrangörslista!$U$5=7,M105,
IF(Arrangörslista!$U$5=8,M105,
IF(Arrangörslista!$U$5=9,N105,
IF(Arrangörslista!$U$5=10,N105,
IF(Arrangörslista!$U$5=11,O105,
IF(Arrangörslista!$U$5=12,O105,
IF(Arrangörslista!$U$5=13,P105,
IF(Arrangörslista!$U$5=14,P105,
IF(Arrangörslista!$U$5=15,Q105,
IF(Arrangörslista!$U$5=16,Q105,
IF(Arrangörslista!$U$5=17,R105,
IF(Arrangörslista!$U$5=18,R105,
IF(Arrangörslista!$U$5=19,S105,
IF(Arrangörslista!$U$5=20,S105,
IF(Arrangörslista!$U$5=21,T105,
IF(Arrangörslista!$U$5=22,T105,IF(Arrangörslista!$U$5=23,U105, IF(Arrangörslista!$U$5=24,U105, IF(Arrangörslista!$U$5=25,V105, IF(Arrangörslista!$U$5=26,V105, IF(Arrangörslista!$U$5=27,W105, IF(Arrangörslista!$U$5=28,W105, IF(Arrangörslista!$U$5=29,X105, IF(Arrangörslista!$U$5=30,X105, IF(Arrangörslista!$U$5=31,X105, IF(Arrangörslista!$U$5=32,Y105, IF(Arrangörslista!$U$5=33,AO105, IF(Arrangörslista!$U$5=34,Y105, IF(Arrangörslista!$U$5=35,Z105, IF(Arrangörslista!$U$5=36,AR105, IF(Arrangörslista!$U$5=37,Z105, IF(Arrangörslista!$U$5=38,AA105, IF(Arrangörslista!$U$5=39,AU105, IF(Arrangörslista!$U$5=40,AA105, IF(Arrangörslista!$U$5=41,AB105, IF(Arrangörslista!$U$5=42,AX105, IF(Arrangörslista!$U$5=43,AB105, IF(Arrangörslista!$U$5=44,AC105, IF(Arrangörslista!$U$5=45,BA105, IF(Arrangörslista!$U$5=46,AC105, IF(Arrangörslista!$U$5=47,AD105, IF(Arrangörslista!$U$5=48,BD105, IF(Arrangörslista!$U$5=49,AD105, IF(Arrangörslista!$U$5=50,AE105, IF(Arrangörslista!$U$5=51,BG105, IF(Arrangörslista!$U$5=52,AE105, IF(Arrangörslista!$U$5=53,AF105, IF(Arrangörslista!$U$5=54,BJ105, IF(Arrangörslista!$U$5=55,AF105, IF(Arrangörslista!$U$5=56,AG105, IF(Arrangörslista!$U$5=57,BM105, IF(Arrangörslista!$U$5=58,AG105, IF(Arrangörslista!$U$5=59,AH105, IF(Arrangörslista!$U$5=60,AH105,0)))))))))))))))))))))))))))))))))))))))))))))))))))))))))))),IF(Arrangörslista!$U$5=1,J105,
IF(Arrangörslista!$U$5=2,K105,
IF(Arrangörslista!$U$5=3,L105,
IF(Arrangörslista!$U$5=4,M105,
IF(Arrangörslista!$U$5=5,N105,
IF(Arrangörslista!$U$5=6,O105,
IF(Arrangörslista!$U$5=7,P105,
IF(Arrangörslista!$U$5=8,Q105,
IF(Arrangörslista!$U$5=9,R105,
IF(Arrangörslista!$U$5=10,S105,
IF(Arrangörslista!$U$5=11,T105,
IF(Arrangörslista!$U$5=12,U105,
IF(Arrangörslista!$U$5=13,V105,
IF(Arrangörslista!$U$5=14,W105,
IF(Arrangörslista!$U$5=15,X105,
IF(Arrangörslista!$U$5=16,Y105,IF(Arrangörslista!$U$5=17,Z105,IF(Arrangörslista!$U$5=18,AA105,IF(Arrangörslista!$U$5=19,AB105,IF(Arrangörslista!$U$5=20,AC105,IF(Arrangörslista!$U$5=21,AD105,IF(Arrangörslista!$U$5=22,AE105,IF(Arrangörslista!$U$5=23,AF105, IF(Arrangörslista!$U$5=24,AG105, IF(Arrangörslista!$U$5=25,AH105, IF(Arrangörslista!$U$5=26,AI105, IF(Arrangörslista!$U$5=27,AJ105, IF(Arrangörslista!$U$5=28,AK105, IF(Arrangörslista!$U$5=29,AL105, IF(Arrangörslista!$U$5=30,AM105, IF(Arrangörslista!$U$5=31,AN105, IF(Arrangörslista!$U$5=32,AO105, IF(Arrangörslista!$U$5=33,AP105, IF(Arrangörslista!$U$5=34,AQ105, IF(Arrangörslista!$U$5=35,AR105, IF(Arrangörslista!$U$5=36,AS105, IF(Arrangörslista!$U$5=37,AT105, IF(Arrangörslista!$U$5=38,AU105, IF(Arrangörslista!$U$5=39,AV105, IF(Arrangörslista!$U$5=40,AW105, IF(Arrangörslista!$U$5=41,AX105, IF(Arrangörslista!$U$5=42,AY105, IF(Arrangörslista!$U$5=43,AZ105, IF(Arrangörslista!$U$5=44,BA105, IF(Arrangörslista!$U$5=45,BB105, IF(Arrangörslista!$U$5=46,BC105, IF(Arrangörslista!$U$5=47,BD105, IF(Arrangörslista!$U$5=48,BE105, IF(Arrangörslista!$U$5=49,BF105, IF(Arrangörslista!$U$5=50,BG105, IF(Arrangörslista!$U$5=51,BH105, IF(Arrangörslista!$U$5=52,BI105, IF(Arrangörslista!$U$5=53,BJ105, IF(Arrangörslista!$U$5=54,BK105, IF(Arrangörslista!$U$5=55,BL105, IF(Arrangörslista!$U$5=56,BM105, IF(Arrangörslista!$U$5=57,BN105, IF(Arrangörslista!$U$5=58,BO105, IF(Arrangörslista!$U$5=59,BP105, IF(Arrangörslista!$U$5=60,BQ105,0))))))))))))))))))))))))))))))))))))))))))))))))))))))))))))
))</f>
        <v>0</v>
      </c>
      <c r="GV42" s="65" t="str">
        <f>IFERROR(IF(VLOOKUP(F42,Deltagarlista!$E$5:$I$64,5,FALSE)="Grön","Gr",IF(VLOOKUP(F42,Deltagarlista!$E$5:$I$64,5,FALSE)="Röd","R",IF(VLOOKUP(F42,Deltagarlista!$E$5:$I$64,5,FALSE)="Blå","B","Gu"))),"")</f>
        <v/>
      </c>
      <c r="GW42" s="62" t="str">
        <f t="shared" si="124"/>
        <v/>
      </c>
    </row>
    <row r="43" spans="2:205" ht="15.75" customHeight="1" x14ac:dyDescent="0.3">
      <c r="B43" s="23" t="str">
        <f>IF((COUNTIF(Deltagarlista!$H$5:$H$64,"GM"))&gt;39,40,"")</f>
        <v/>
      </c>
      <c r="C43" s="92" t="str">
        <f>IF(ISBLANK(Deltagarlista!C19),"",Deltagarlista!C19)</f>
        <v/>
      </c>
      <c r="D43" s="109" t="str">
        <f>CONCATENATE(IF(Deltagarlista!H19="GM","GM   ",""), IF(OR(Deltagarlista!$K$3=4,Deltagarlista!$K$3=2),Deltagarlista!I19,""))</f>
        <v/>
      </c>
      <c r="E43" s="8" t="str">
        <f>IF(ISBLANK(Deltagarlista!D19),"",Deltagarlista!D19)</f>
        <v/>
      </c>
      <c r="F43" s="8" t="str">
        <f>IF(ISBLANK(Deltagarlista!E19),"",Deltagarlista!E19)</f>
        <v/>
      </c>
      <c r="G43" s="95" t="str">
        <f>IF(ISBLANK(Deltagarlista!F19),"",Deltagarlista!F19)</f>
        <v/>
      </c>
      <c r="H43" s="72" t="str">
        <f>IF(ISBLANK(Deltagarlista!C19),"",BU43-EE43)</f>
        <v/>
      </c>
      <c r="I43" s="13" t="str">
        <f>IF(ISBLANK(Deltagarlista!C19),"",IF(AND(Deltagarlista!$K$3=2,Deltagarlista!$L$3&lt;37),SUM(SUM(BV43:EC43)-(ROUNDDOWN(Arrangörslista!$U$5/3,1))*($BW$3+1)),SUM(BV43:EC43)))</f>
        <v/>
      </c>
      <c r="J43" s="79" t="str">
        <f>IF(Deltagarlista!$K$3=4,IF(ISBLANK(Deltagarlista!$C19),"",IF(ISBLANK(Arrangörslista!C$8),"",IFERROR(VLOOKUP($F43,Arrangörslista!C$8:$AG$45,16,FALSE),IF(ISBLANK(Deltagarlista!$C19),"",IF(ISBLANK(Arrangörslista!C$8),"",IFERROR(VLOOKUP($F43,Arrangörslista!D$8:$AG$45,16,FALSE),"DNS")))))),IF(Deltagarlista!$K$3=2,
IF(ISBLANK(Deltagarlista!$C19),"",IF(ISBLANK(Arrangörslista!C$8),"",IF($GV43=J$64," DNS ",IFERROR(VLOOKUP($F43,Arrangörslista!C$8:$AG$45,16,FALSE),"DNS")))),IF(ISBLANK(Deltagarlista!$C19),"",IF(ISBLANK(Arrangörslista!C$8),"",IFERROR(VLOOKUP($F43,Arrangörslista!C$8:$AG$45,16,FALSE),"DNS")))))</f>
        <v/>
      </c>
      <c r="K43" s="5" t="str">
        <f>IF(Deltagarlista!$K$3=4,IF(ISBLANK(Deltagarlista!$C19),"",IF(ISBLANK(Arrangörslista!E$8),"",IFERROR(VLOOKUP($F43,Arrangörslista!E$8:$AG$45,16,FALSE),IF(ISBLANK(Deltagarlista!$C19),"",IF(ISBLANK(Arrangörslista!E$8),"",IFERROR(VLOOKUP($F43,Arrangörslista!F$8:$AG$45,16,FALSE),"DNS")))))),IF(Deltagarlista!$K$3=2,
IF(ISBLANK(Deltagarlista!$C19),"",IF(ISBLANK(Arrangörslista!D$8),"",IF($GV43=K$64," DNS ",IFERROR(VLOOKUP($F43,Arrangörslista!D$8:$AG$45,16,FALSE),"DNS")))),IF(ISBLANK(Deltagarlista!$C19),"",IF(ISBLANK(Arrangörslista!D$8),"",IFERROR(VLOOKUP($F43,Arrangörslista!D$8:$AG$45,16,FALSE),"DNS")))))</f>
        <v/>
      </c>
      <c r="L43" s="5" t="str">
        <f>IF(Deltagarlista!$K$3=4,IF(ISBLANK(Deltagarlista!$C19),"",IF(ISBLANK(Arrangörslista!G$8),"",IFERROR(VLOOKUP($F43,Arrangörslista!G$8:$AG$45,16,FALSE),IF(ISBLANK(Deltagarlista!$C19),"",IF(ISBLANK(Arrangörslista!G$8),"",IFERROR(VLOOKUP($F43,Arrangörslista!H$8:$AG$45,16,FALSE),"DNS")))))),IF(Deltagarlista!$K$3=2,
IF(ISBLANK(Deltagarlista!$C19),"",IF(ISBLANK(Arrangörslista!E$8),"",IF($GV43=L$64," DNS ",IFERROR(VLOOKUP($F43,Arrangörslista!E$8:$AG$45,16,FALSE),"DNS")))),IF(ISBLANK(Deltagarlista!$C19),"",IF(ISBLANK(Arrangörslista!E$8),"",IFERROR(VLOOKUP($F43,Arrangörslista!E$8:$AG$45,16,FALSE),"DNS")))))</f>
        <v/>
      </c>
      <c r="M43" s="5" t="str">
        <f>IF(Deltagarlista!$K$3=4,IF(ISBLANK(Deltagarlista!$C19),"",IF(ISBLANK(Arrangörslista!I$8),"",IFERROR(VLOOKUP($F43,Arrangörslista!I$8:$AG$45,16,FALSE),IF(ISBLANK(Deltagarlista!$C19),"",IF(ISBLANK(Arrangörslista!I$8),"",IFERROR(VLOOKUP($F43,Arrangörslista!J$8:$AG$45,16,FALSE),"DNS")))))),IF(Deltagarlista!$K$3=2,
IF(ISBLANK(Deltagarlista!$C19),"",IF(ISBLANK(Arrangörslista!F$8),"",IF($GV43=M$64," DNS ",IFERROR(VLOOKUP($F43,Arrangörslista!F$8:$AG$45,16,FALSE),"DNS")))),IF(ISBLANK(Deltagarlista!$C19),"",IF(ISBLANK(Arrangörslista!F$8),"",IFERROR(VLOOKUP($F43,Arrangörslista!F$8:$AG$45,16,FALSE),"DNS")))))</f>
        <v/>
      </c>
      <c r="N43" s="5" t="str">
        <f>IF(Deltagarlista!$K$3=4,IF(ISBLANK(Deltagarlista!$C19),"",IF(ISBLANK(Arrangörslista!K$8),"",IFERROR(VLOOKUP($F43,Arrangörslista!K$8:$AG$45,16,FALSE),IF(ISBLANK(Deltagarlista!$C19),"",IF(ISBLANK(Arrangörslista!K$8),"",IFERROR(VLOOKUP($F43,Arrangörslista!L$8:$AG$45,16,FALSE),"DNS")))))),IF(Deltagarlista!$K$3=2,
IF(ISBLANK(Deltagarlista!$C19),"",IF(ISBLANK(Arrangörslista!G$8),"",IF($GV43=N$64," DNS ",IFERROR(VLOOKUP($F43,Arrangörslista!G$8:$AG$45,16,FALSE),"DNS")))),IF(ISBLANK(Deltagarlista!$C19),"",IF(ISBLANK(Arrangörslista!G$8),"",IFERROR(VLOOKUP($F43,Arrangörslista!G$8:$AG$45,16,FALSE),"DNS")))))</f>
        <v/>
      </c>
      <c r="O43" s="5" t="str">
        <f>IF(Deltagarlista!$K$3=4,IF(ISBLANK(Deltagarlista!$C19),"",IF(ISBLANK(Arrangörslista!M$8),"",IFERROR(VLOOKUP($F43,Arrangörslista!M$8:$AG$45,16,FALSE),IF(ISBLANK(Deltagarlista!$C19),"",IF(ISBLANK(Arrangörslista!M$8),"",IFERROR(VLOOKUP($F43,Arrangörslista!N$8:$AG$45,16,FALSE),"DNS")))))),IF(Deltagarlista!$K$3=2,
IF(ISBLANK(Deltagarlista!$C19),"",IF(ISBLANK(Arrangörslista!H$8),"",IF($GV43=O$64," DNS ",IFERROR(VLOOKUP($F43,Arrangörslista!H$8:$AG$45,16,FALSE),"DNS")))),IF(ISBLANK(Deltagarlista!$C19),"",IF(ISBLANK(Arrangörslista!H$8),"",IFERROR(VLOOKUP($F43,Arrangörslista!H$8:$AG$45,16,FALSE),"DNS")))))</f>
        <v/>
      </c>
      <c r="P43" s="5" t="str">
        <f>IF(Deltagarlista!$K$3=4,IF(ISBLANK(Deltagarlista!$C19),"",IF(ISBLANK(Arrangörslista!O$8),"",IFERROR(VLOOKUP($F43,Arrangörslista!O$8:$AG$45,16,FALSE),IF(ISBLANK(Deltagarlista!$C19),"",IF(ISBLANK(Arrangörslista!O$8),"",IFERROR(VLOOKUP($F43,Arrangörslista!P$8:$AG$45,16,FALSE),"DNS")))))),IF(Deltagarlista!$K$3=2,
IF(ISBLANK(Deltagarlista!$C19),"",IF(ISBLANK(Arrangörslista!I$8),"",IF($GV43=P$64," DNS ",IFERROR(VLOOKUP($F43,Arrangörslista!I$8:$AG$45,16,FALSE),"DNS")))),IF(ISBLANK(Deltagarlista!$C19),"",IF(ISBLANK(Arrangörslista!I$8),"",IFERROR(VLOOKUP($F43,Arrangörslista!I$8:$AG$45,16,FALSE),"DNS")))))</f>
        <v/>
      </c>
      <c r="Q43" s="5" t="str">
        <f>IF(Deltagarlista!$K$3=4,IF(ISBLANK(Deltagarlista!$C19),"",IF(ISBLANK(Arrangörslista!Q$8),"",IFERROR(VLOOKUP($F43,Arrangörslista!Q$8:$AG$45,16,FALSE),IF(ISBLANK(Deltagarlista!$C19),"",IF(ISBLANK(Arrangörslista!Q$8),"",IFERROR(VLOOKUP($F43,Arrangörslista!C$53:$AG$90,16,FALSE),"DNS")))))),IF(Deltagarlista!$K$3=2,
IF(ISBLANK(Deltagarlista!$C19),"",IF(ISBLANK(Arrangörslista!J$8),"",IF($GV43=Q$64," DNS ",IFERROR(VLOOKUP($F43,Arrangörslista!J$8:$AG$45,16,FALSE),"DNS")))),IF(ISBLANK(Deltagarlista!$C19),"",IF(ISBLANK(Arrangörslista!J$8),"",IFERROR(VLOOKUP($F43,Arrangörslista!J$8:$AG$45,16,FALSE),"DNS")))))</f>
        <v/>
      </c>
      <c r="R43" s="5" t="str">
        <f>IF(Deltagarlista!$K$3=4,IF(ISBLANK(Deltagarlista!$C19),"",IF(ISBLANK(Arrangörslista!D$53),"",IFERROR(VLOOKUP($F43,Arrangörslista!D$53:$AG$90,16,FALSE),IF(ISBLANK(Deltagarlista!$C19),"",IF(ISBLANK(Arrangörslista!D$53),"",IFERROR(VLOOKUP($F43,Arrangörslista!E$53:$AG$90,16,FALSE),"DNS")))))),IF(Deltagarlista!$K$3=2,
IF(ISBLANK(Deltagarlista!$C19),"",IF(ISBLANK(Arrangörslista!K$8),"",IF($GV43=R$64," DNS ",IFERROR(VLOOKUP($F43,Arrangörslista!K$8:$AG$45,16,FALSE),"DNS")))),IF(ISBLANK(Deltagarlista!$C19),"",IF(ISBLANK(Arrangörslista!K$8),"",IFERROR(VLOOKUP($F43,Arrangörslista!K$8:$AG$45,16,FALSE),"DNS")))))</f>
        <v/>
      </c>
      <c r="S43" s="5" t="str">
        <f>IF(Deltagarlista!$K$3=4,IF(ISBLANK(Deltagarlista!$C19),"",IF(ISBLANK(Arrangörslista!F$53),"",IFERROR(VLOOKUP($F43,Arrangörslista!F$53:$AG$90,16,FALSE),IF(ISBLANK(Deltagarlista!$C19),"",IF(ISBLANK(Arrangörslista!F$53),"",IFERROR(VLOOKUP($F43,Arrangörslista!G$53:$AG$90,16,FALSE),"DNS")))))),IF(Deltagarlista!$K$3=2,
IF(ISBLANK(Deltagarlista!$C19),"",IF(ISBLANK(Arrangörslista!L$8),"",IF($GV43=S$64," DNS ",IFERROR(VLOOKUP($F43,Arrangörslista!L$8:$AG$45,16,FALSE),"DNS")))),IF(ISBLANK(Deltagarlista!$C19),"",IF(ISBLANK(Arrangörslista!L$8),"",IFERROR(VLOOKUP($F43,Arrangörslista!L$8:$AG$45,16,FALSE),"DNS")))))</f>
        <v/>
      </c>
      <c r="T43" s="5" t="str">
        <f>IF(Deltagarlista!$K$3=4,IF(ISBLANK(Deltagarlista!$C19),"",IF(ISBLANK(Arrangörslista!H$53),"",IFERROR(VLOOKUP($F43,Arrangörslista!H$53:$AG$90,16,FALSE),IF(ISBLANK(Deltagarlista!$C19),"",IF(ISBLANK(Arrangörslista!H$53),"",IFERROR(VLOOKUP($F43,Arrangörslista!I$53:$AG$90,16,FALSE),"DNS")))))),IF(Deltagarlista!$K$3=2,
IF(ISBLANK(Deltagarlista!$C19),"",IF(ISBLANK(Arrangörslista!M$8),"",IF($GV43=T$64," DNS ",IFERROR(VLOOKUP($F43,Arrangörslista!M$8:$AG$45,16,FALSE),"DNS")))),IF(ISBLANK(Deltagarlista!$C19),"",IF(ISBLANK(Arrangörslista!M$8),"",IFERROR(VLOOKUP($F43,Arrangörslista!M$8:$AG$45,16,FALSE),"DNS")))))</f>
        <v/>
      </c>
      <c r="U43" s="5" t="str">
        <f>IF(Deltagarlista!$K$3=4,IF(ISBLANK(Deltagarlista!$C19),"",IF(ISBLANK(Arrangörslista!J$53),"",IFERROR(VLOOKUP($F43,Arrangörslista!J$53:$AG$90,16,FALSE),IF(ISBLANK(Deltagarlista!$C19),"",IF(ISBLANK(Arrangörslista!J$53),"",IFERROR(VLOOKUP($F43,Arrangörslista!K$53:$AG$90,16,FALSE),"DNS")))))),IF(Deltagarlista!$K$3=2,
IF(ISBLANK(Deltagarlista!$C19),"",IF(ISBLANK(Arrangörslista!N$8),"",IF($GV43=U$64," DNS ",IFERROR(VLOOKUP($F43,Arrangörslista!N$8:$AG$45,16,FALSE),"DNS")))),IF(ISBLANK(Deltagarlista!$C19),"",IF(ISBLANK(Arrangörslista!N$8),"",IFERROR(VLOOKUP($F43,Arrangörslista!N$8:$AG$45,16,FALSE),"DNS")))))</f>
        <v/>
      </c>
      <c r="V43" s="5" t="str">
        <f>IF(Deltagarlista!$K$3=4,IF(ISBLANK(Deltagarlista!$C19),"",IF(ISBLANK(Arrangörslista!L$53),"",IFERROR(VLOOKUP($F43,Arrangörslista!L$53:$AG$90,16,FALSE),IF(ISBLANK(Deltagarlista!$C19),"",IF(ISBLANK(Arrangörslista!L$53),"",IFERROR(VLOOKUP($F43,Arrangörslista!M$53:$AG$90,16,FALSE),"DNS")))))),IF(Deltagarlista!$K$3=2,
IF(ISBLANK(Deltagarlista!$C19),"",IF(ISBLANK(Arrangörslista!O$8),"",IF($GV43=V$64," DNS ",IFERROR(VLOOKUP($F43,Arrangörslista!O$8:$AG$45,16,FALSE),"DNS")))),IF(ISBLANK(Deltagarlista!$C19),"",IF(ISBLANK(Arrangörslista!O$8),"",IFERROR(VLOOKUP($F43,Arrangörslista!O$8:$AG$45,16,FALSE),"DNS")))))</f>
        <v/>
      </c>
      <c r="W43" s="5" t="str">
        <f>IF(Deltagarlista!$K$3=4,IF(ISBLANK(Deltagarlista!$C19),"",IF(ISBLANK(Arrangörslista!N$53),"",IFERROR(VLOOKUP($F43,Arrangörslista!N$53:$AG$90,16,FALSE),IF(ISBLANK(Deltagarlista!$C19),"",IF(ISBLANK(Arrangörslista!N$53),"",IFERROR(VLOOKUP($F43,Arrangörslista!O$53:$AG$90,16,FALSE),"DNS")))))),IF(Deltagarlista!$K$3=2,
IF(ISBLANK(Deltagarlista!$C19),"",IF(ISBLANK(Arrangörslista!P$8),"",IF($GV43=W$64," DNS ",IFERROR(VLOOKUP($F43,Arrangörslista!P$8:$AG$45,16,FALSE),"DNS")))),IF(ISBLANK(Deltagarlista!$C19),"",IF(ISBLANK(Arrangörslista!P$8),"",IFERROR(VLOOKUP($F43,Arrangörslista!P$8:$AG$45,16,FALSE),"DNS")))))</f>
        <v/>
      </c>
      <c r="X43" s="5" t="str">
        <f>IF(Deltagarlista!$K$3=4,IF(ISBLANK(Deltagarlista!$C19),"",IF(ISBLANK(Arrangörslista!P$53),"",IFERROR(VLOOKUP($F43,Arrangörslista!P$53:$AG$90,16,FALSE),IF(ISBLANK(Deltagarlista!$C19),"",IF(ISBLANK(Arrangörslista!P$53),"",IFERROR(VLOOKUP($F43,Arrangörslista!Q$53:$AG$90,16,FALSE),"DNS")))))),IF(Deltagarlista!$K$3=2,
IF(ISBLANK(Deltagarlista!$C19),"",IF(ISBLANK(Arrangörslista!Q$8),"",IF($GV43=X$64," DNS ",IFERROR(VLOOKUP($F43,Arrangörslista!Q$8:$AG$45,16,FALSE),"DNS")))),IF(ISBLANK(Deltagarlista!$C19),"",IF(ISBLANK(Arrangörslista!Q$8),"",IFERROR(VLOOKUP($F43,Arrangörslista!Q$8:$AG$45,16,FALSE),"DNS")))))</f>
        <v/>
      </c>
      <c r="Y43" s="5" t="str">
        <f>IF(Deltagarlista!$K$3=4,IF(ISBLANK(Deltagarlista!$C19),"",IF(ISBLANK(Arrangörslista!C$98),"",IFERROR(VLOOKUP($F43,Arrangörslista!C$98:$AG$135,16,FALSE),IF(ISBLANK(Deltagarlista!$C19),"",IF(ISBLANK(Arrangörslista!C$98),"",IFERROR(VLOOKUP($F43,Arrangörslista!D$98:$AG$135,16,FALSE),"DNS")))))),IF(Deltagarlista!$K$3=2,
IF(ISBLANK(Deltagarlista!$C19),"",IF(ISBLANK(Arrangörslista!C$53),"",IF($GV43=Y$64," DNS ",IFERROR(VLOOKUP($F43,Arrangörslista!C$53:$AG$90,16,FALSE),"DNS")))),IF(ISBLANK(Deltagarlista!$C19),"",IF(ISBLANK(Arrangörslista!C$53),"",IFERROR(VLOOKUP($F43,Arrangörslista!C$53:$AG$90,16,FALSE),"DNS")))))</f>
        <v/>
      </c>
      <c r="Z43" s="5" t="str">
        <f>IF(Deltagarlista!$K$3=4,IF(ISBLANK(Deltagarlista!$C19),"",IF(ISBLANK(Arrangörslista!E$98),"",IFERROR(VLOOKUP($F43,Arrangörslista!E$98:$AG$135,16,FALSE),IF(ISBLANK(Deltagarlista!$C19),"",IF(ISBLANK(Arrangörslista!E$98),"",IFERROR(VLOOKUP($F43,Arrangörslista!F$98:$AG$135,16,FALSE),"DNS")))))),IF(Deltagarlista!$K$3=2,
IF(ISBLANK(Deltagarlista!$C19),"",IF(ISBLANK(Arrangörslista!D$53),"",IF($GV43=Z$64," DNS ",IFERROR(VLOOKUP($F43,Arrangörslista!D$53:$AG$90,16,FALSE),"DNS")))),IF(ISBLANK(Deltagarlista!$C19),"",IF(ISBLANK(Arrangörslista!D$53),"",IFERROR(VLOOKUP($F43,Arrangörslista!D$53:$AG$90,16,FALSE),"DNS")))))</f>
        <v/>
      </c>
      <c r="AA43" s="5" t="str">
        <f>IF(Deltagarlista!$K$3=4,IF(ISBLANK(Deltagarlista!$C19),"",IF(ISBLANK(Arrangörslista!G$98),"",IFERROR(VLOOKUP($F43,Arrangörslista!G$98:$AG$135,16,FALSE),IF(ISBLANK(Deltagarlista!$C19),"",IF(ISBLANK(Arrangörslista!G$98),"",IFERROR(VLOOKUP($F43,Arrangörslista!H$98:$AG$135,16,FALSE),"DNS")))))),IF(Deltagarlista!$K$3=2,
IF(ISBLANK(Deltagarlista!$C19),"",IF(ISBLANK(Arrangörslista!E$53),"",IF($GV43=AA$64," DNS ",IFERROR(VLOOKUP($F43,Arrangörslista!E$53:$AG$90,16,FALSE),"DNS")))),IF(ISBLANK(Deltagarlista!$C19),"",IF(ISBLANK(Arrangörslista!E$53),"",IFERROR(VLOOKUP($F43,Arrangörslista!E$53:$AG$90,16,FALSE),"DNS")))))</f>
        <v/>
      </c>
      <c r="AB43" s="5" t="str">
        <f>IF(Deltagarlista!$K$3=4,IF(ISBLANK(Deltagarlista!$C19),"",IF(ISBLANK(Arrangörslista!I$98),"",IFERROR(VLOOKUP($F43,Arrangörslista!I$98:$AG$135,16,FALSE),IF(ISBLANK(Deltagarlista!$C19),"",IF(ISBLANK(Arrangörslista!I$98),"",IFERROR(VLOOKUP($F43,Arrangörslista!J$98:$AG$135,16,FALSE),"DNS")))))),IF(Deltagarlista!$K$3=2,
IF(ISBLANK(Deltagarlista!$C19),"",IF(ISBLANK(Arrangörslista!F$53),"",IF($GV43=AB$64," DNS ",IFERROR(VLOOKUP($F43,Arrangörslista!F$53:$AG$90,16,FALSE),"DNS")))),IF(ISBLANK(Deltagarlista!$C19),"",IF(ISBLANK(Arrangörslista!F$53),"",IFERROR(VLOOKUP($F43,Arrangörslista!F$53:$AG$90,16,FALSE),"DNS")))))</f>
        <v/>
      </c>
      <c r="AC43" s="5" t="str">
        <f>IF(Deltagarlista!$K$3=4,IF(ISBLANK(Deltagarlista!$C19),"",IF(ISBLANK(Arrangörslista!K$98),"",IFERROR(VLOOKUP($F43,Arrangörslista!K$98:$AG$135,16,FALSE),IF(ISBLANK(Deltagarlista!$C19),"",IF(ISBLANK(Arrangörslista!K$98),"",IFERROR(VLOOKUP($F43,Arrangörslista!L$98:$AG$135,16,FALSE),"DNS")))))),IF(Deltagarlista!$K$3=2,
IF(ISBLANK(Deltagarlista!$C19),"",IF(ISBLANK(Arrangörslista!G$53),"",IF($GV43=AC$64," DNS ",IFERROR(VLOOKUP($F43,Arrangörslista!G$53:$AG$90,16,FALSE),"DNS")))),IF(ISBLANK(Deltagarlista!$C19),"",IF(ISBLANK(Arrangörslista!G$53),"",IFERROR(VLOOKUP($F43,Arrangörslista!G$53:$AG$90,16,FALSE),"DNS")))))</f>
        <v/>
      </c>
      <c r="AD43" s="5" t="str">
        <f>IF(Deltagarlista!$K$3=4,IF(ISBLANK(Deltagarlista!$C19),"",IF(ISBLANK(Arrangörslista!M$98),"",IFERROR(VLOOKUP($F43,Arrangörslista!M$98:$AG$135,16,FALSE),IF(ISBLANK(Deltagarlista!$C19),"",IF(ISBLANK(Arrangörslista!M$98),"",IFERROR(VLOOKUP($F43,Arrangörslista!N$98:$AG$135,16,FALSE),"DNS")))))),IF(Deltagarlista!$K$3=2,
IF(ISBLANK(Deltagarlista!$C19),"",IF(ISBLANK(Arrangörslista!H$53),"",IF($GV43=AD$64," DNS ",IFERROR(VLOOKUP($F43,Arrangörslista!H$53:$AG$90,16,FALSE),"DNS")))),IF(ISBLANK(Deltagarlista!$C19),"",IF(ISBLANK(Arrangörslista!H$53),"",IFERROR(VLOOKUP($F43,Arrangörslista!H$53:$AG$90,16,FALSE),"DNS")))))</f>
        <v/>
      </c>
      <c r="AE43" s="5" t="str">
        <f>IF(Deltagarlista!$K$3=4,IF(ISBLANK(Deltagarlista!$C19),"",IF(ISBLANK(Arrangörslista!O$98),"",IFERROR(VLOOKUP($F43,Arrangörslista!O$98:$AG$135,16,FALSE),IF(ISBLANK(Deltagarlista!$C19),"",IF(ISBLANK(Arrangörslista!O$98),"",IFERROR(VLOOKUP($F43,Arrangörslista!P$98:$AG$135,16,FALSE),"DNS")))))),IF(Deltagarlista!$K$3=2,
IF(ISBLANK(Deltagarlista!$C19),"",IF(ISBLANK(Arrangörslista!I$53),"",IF($GV43=AE$64," DNS ",IFERROR(VLOOKUP($F43,Arrangörslista!I$53:$AG$90,16,FALSE),"DNS")))),IF(ISBLANK(Deltagarlista!$C19),"",IF(ISBLANK(Arrangörslista!I$53),"",IFERROR(VLOOKUP($F43,Arrangörslista!I$53:$AG$90,16,FALSE),"DNS")))))</f>
        <v/>
      </c>
      <c r="AF43" s="5" t="str">
        <f>IF(Deltagarlista!$K$3=4,IF(ISBLANK(Deltagarlista!$C19),"",IF(ISBLANK(Arrangörslista!Q$98),"",IFERROR(VLOOKUP($F43,Arrangörslista!Q$98:$AG$135,16,FALSE),IF(ISBLANK(Deltagarlista!$C19),"",IF(ISBLANK(Arrangörslista!Q$98),"",IFERROR(VLOOKUP($F43,Arrangörslista!C$143:$AG$180,16,FALSE),"DNS")))))),IF(Deltagarlista!$K$3=2,
IF(ISBLANK(Deltagarlista!$C19),"",IF(ISBLANK(Arrangörslista!J$53),"",IF($GV43=AF$64," DNS ",IFERROR(VLOOKUP($F43,Arrangörslista!J$53:$AG$90,16,FALSE),"DNS")))),IF(ISBLANK(Deltagarlista!$C19),"",IF(ISBLANK(Arrangörslista!J$53),"",IFERROR(VLOOKUP($F43,Arrangörslista!J$53:$AG$90,16,FALSE),"DNS")))))</f>
        <v/>
      </c>
      <c r="AG43" s="5" t="str">
        <f>IF(Deltagarlista!$K$3=4,IF(ISBLANK(Deltagarlista!$C19),"",IF(ISBLANK(Arrangörslista!D$143),"",IFERROR(VLOOKUP($F43,Arrangörslista!D$143:$AG$180,16,FALSE),IF(ISBLANK(Deltagarlista!$C19),"",IF(ISBLANK(Arrangörslista!D$143),"",IFERROR(VLOOKUP($F43,Arrangörslista!E$143:$AG$180,16,FALSE),"DNS")))))),IF(Deltagarlista!$K$3=2,
IF(ISBLANK(Deltagarlista!$C19),"",IF(ISBLANK(Arrangörslista!K$53),"",IF($GV43=AG$64," DNS ",IFERROR(VLOOKUP($F43,Arrangörslista!K$53:$AG$90,16,FALSE),"DNS")))),IF(ISBLANK(Deltagarlista!$C19),"",IF(ISBLANK(Arrangörslista!K$53),"",IFERROR(VLOOKUP($F43,Arrangörslista!K$53:$AG$90,16,FALSE),"DNS")))))</f>
        <v/>
      </c>
      <c r="AH43" s="5" t="str">
        <f>IF(Deltagarlista!$K$3=4,IF(ISBLANK(Deltagarlista!$C19),"",IF(ISBLANK(Arrangörslista!F$143),"",IFERROR(VLOOKUP($F43,Arrangörslista!F$143:$AG$180,16,FALSE),IF(ISBLANK(Deltagarlista!$C19),"",IF(ISBLANK(Arrangörslista!F$143),"",IFERROR(VLOOKUP($F43,Arrangörslista!G$143:$AG$180,16,FALSE),"DNS")))))),IF(Deltagarlista!$K$3=2,
IF(ISBLANK(Deltagarlista!$C19),"",IF(ISBLANK(Arrangörslista!L$53),"",IF($GV43=AH$64," DNS ",IFERROR(VLOOKUP($F43,Arrangörslista!L$53:$AG$90,16,FALSE),"DNS")))),IF(ISBLANK(Deltagarlista!$C19),"",IF(ISBLANK(Arrangörslista!L$53),"",IFERROR(VLOOKUP($F43,Arrangörslista!L$53:$AG$90,16,FALSE),"DNS")))))</f>
        <v/>
      </c>
      <c r="AI43" s="5" t="str">
        <f>IF(Deltagarlista!$K$3=4,IF(ISBLANK(Deltagarlista!$C19),"",IF(ISBLANK(Arrangörslista!H$143),"",IFERROR(VLOOKUP($F43,Arrangörslista!H$143:$AG$180,16,FALSE),IF(ISBLANK(Deltagarlista!$C19),"",IF(ISBLANK(Arrangörslista!H$143),"",IFERROR(VLOOKUP($F43,Arrangörslista!I$143:$AG$180,16,FALSE),"DNS")))))),IF(Deltagarlista!$K$3=2,
IF(ISBLANK(Deltagarlista!$C19),"",IF(ISBLANK(Arrangörslista!M$53),"",IF($GV43=AI$64," DNS ",IFERROR(VLOOKUP($F43,Arrangörslista!M$53:$AG$90,16,FALSE),"DNS")))),IF(ISBLANK(Deltagarlista!$C19),"",IF(ISBLANK(Arrangörslista!M$53),"",IFERROR(VLOOKUP($F43,Arrangörslista!M$53:$AG$90,16,FALSE),"DNS")))))</f>
        <v/>
      </c>
      <c r="AJ43" s="5" t="str">
        <f>IF(Deltagarlista!$K$3=4,IF(ISBLANK(Deltagarlista!$C19),"",IF(ISBLANK(Arrangörslista!J$143),"",IFERROR(VLOOKUP($F43,Arrangörslista!J$143:$AG$180,16,FALSE),IF(ISBLANK(Deltagarlista!$C19),"",IF(ISBLANK(Arrangörslista!J$143),"",IFERROR(VLOOKUP($F43,Arrangörslista!K$143:$AG$180,16,FALSE),"DNS")))))),IF(Deltagarlista!$K$3=2,
IF(ISBLANK(Deltagarlista!$C19),"",IF(ISBLANK(Arrangörslista!N$53),"",IF($GV43=AJ$64," DNS ",IFERROR(VLOOKUP($F43,Arrangörslista!N$53:$AG$90,16,FALSE),"DNS")))),IF(ISBLANK(Deltagarlista!$C19),"",IF(ISBLANK(Arrangörslista!N$53),"",IFERROR(VLOOKUP($F43,Arrangörslista!N$53:$AG$90,16,FALSE),"DNS")))))</f>
        <v/>
      </c>
      <c r="AK43" s="5" t="str">
        <f>IF(Deltagarlista!$K$3=4,IF(ISBLANK(Deltagarlista!$C19),"",IF(ISBLANK(Arrangörslista!L$143),"",IFERROR(VLOOKUP($F43,Arrangörslista!L$143:$AG$180,16,FALSE),IF(ISBLANK(Deltagarlista!$C19),"",IF(ISBLANK(Arrangörslista!L$143),"",IFERROR(VLOOKUP($F43,Arrangörslista!M$143:$AG$180,16,FALSE),"DNS")))))),IF(Deltagarlista!$K$3=2,
IF(ISBLANK(Deltagarlista!$C19),"",IF(ISBLANK(Arrangörslista!O$53),"",IF($GV43=AK$64," DNS ",IFERROR(VLOOKUP($F43,Arrangörslista!O$53:$AG$90,16,FALSE),"DNS")))),IF(ISBLANK(Deltagarlista!$C19),"",IF(ISBLANK(Arrangörslista!O$53),"",IFERROR(VLOOKUP($F43,Arrangörslista!O$53:$AG$90,16,FALSE),"DNS")))))</f>
        <v/>
      </c>
      <c r="AL43" s="5" t="str">
        <f>IF(Deltagarlista!$K$3=4,IF(ISBLANK(Deltagarlista!$C19),"",IF(ISBLANK(Arrangörslista!N$143),"",IFERROR(VLOOKUP($F43,Arrangörslista!N$143:$AG$180,16,FALSE),IF(ISBLANK(Deltagarlista!$C19),"",IF(ISBLANK(Arrangörslista!N$143),"",IFERROR(VLOOKUP($F43,Arrangörslista!O$143:$AG$180,16,FALSE),"DNS")))))),IF(Deltagarlista!$K$3=2,
IF(ISBLANK(Deltagarlista!$C19),"",IF(ISBLANK(Arrangörslista!P$53),"",IF($GV43=AL$64," DNS ",IFERROR(VLOOKUP($F43,Arrangörslista!P$53:$AG$90,16,FALSE),"DNS")))),IF(ISBLANK(Deltagarlista!$C19),"",IF(ISBLANK(Arrangörslista!P$53),"",IFERROR(VLOOKUP($F43,Arrangörslista!P$53:$AG$90,16,FALSE),"DNS")))))</f>
        <v/>
      </c>
      <c r="AM43" s="5" t="str">
        <f>IF(Deltagarlista!$K$3=4,IF(ISBLANK(Deltagarlista!$C19),"",IF(ISBLANK(Arrangörslista!P$143),"",IFERROR(VLOOKUP($F43,Arrangörslista!P$143:$AG$180,16,FALSE),IF(ISBLANK(Deltagarlista!$C19),"",IF(ISBLANK(Arrangörslista!P$143),"",IFERROR(VLOOKUP($F43,Arrangörslista!Q$143:$AG$180,16,FALSE),"DNS")))))),IF(Deltagarlista!$K$3=2,
IF(ISBLANK(Deltagarlista!$C19),"",IF(ISBLANK(Arrangörslista!Q$53),"",IF($GV43=AM$64," DNS ",IFERROR(VLOOKUP($F43,Arrangörslista!Q$53:$AG$90,16,FALSE),"DNS")))),IF(ISBLANK(Deltagarlista!$C19),"",IF(ISBLANK(Arrangörslista!Q$53),"",IFERROR(VLOOKUP($F43,Arrangörslista!Q$53:$AG$90,16,FALSE),"DNS")))))</f>
        <v/>
      </c>
      <c r="AN43" s="5" t="str">
        <f>IF(Deltagarlista!$K$3=2,
IF(ISBLANK(Deltagarlista!$C19),"",IF(ISBLANK(Arrangörslista!C$98),"",IF($GV43=AN$64," DNS ",IFERROR(VLOOKUP($F43,Arrangörslista!C$98:$AG$135,16,FALSE), "DNS")))), IF(Deltagarlista!$K$3=1,IF(ISBLANK(Deltagarlista!$C19),"",IF(ISBLANK(Arrangörslista!C$98),"",IFERROR(VLOOKUP($F43,Arrangörslista!C$98:$AG$135,16,FALSE), "DNS"))),""))</f>
        <v/>
      </c>
      <c r="AO43" s="5" t="str">
        <f>IF(Deltagarlista!$K$3=2,
IF(ISBLANK(Deltagarlista!$C19),"",IF(ISBLANK(Arrangörslista!D$98),"",IF($GV43=AO$64," DNS ",IFERROR(VLOOKUP($F43,Arrangörslista!D$98:$AG$135,16,FALSE), "DNS")))), IF(Deltagarlista!$K$3=1,IF(ISBLANK(Deltagarlista!$C19),"",IF(ISBLANK(Arrangörslista!D$98),"",IFERROR(VLOOKUP($F43,Arrangörslista!D$98:$AG$135,16,FALSE), "DNS"))),""))</f>
        <v/>
      </c>
      <c r="AP43" s="5" t="str">
        <f>IF(Deltagarlista!$K$3=2,
IF(ISBLANK(Deltagarlista!$C19),"",IF(ISBLANK(Arrangörslista!E$98),"",IF($GV43=AP$64," DNS ",IFERROR(VLOOKUP($F43,Arrangörslista!E$98:$AG$135,16,FALSE), "DNS")))), IF(Deltagarlista!$K$3=1,IF(ISBLANK(Deltagarlista!$C19),"",IF(ISBLANK(Arrangörslista!E$98),"",IFERROR(VLOOKUP($F43,Arrangörslista!E$98:$AG$135,16,FALSE), "DNS"))),""))</f>
        <v/>
      </c>
      <c r="AQ43" s="5" t="str">
        <f>IF(Deltagarlista!$K$3=2,
IF(ISBLANK(Deltagarlista!$C19),"",IF(ISBLANK(Arrangörslista!F$98),"",IF($GV43=AQ$64," DNS ",IFERROR(VLOOKUP($F43,Arrangörslista!F$98:$AG$135,16,FALSE), "DNS")))), IF(Deltagarlista!$K$3=1,IF(ISBLANK(Deltagarlista!$C19),"",IF(ISBLANK(Arrangörslista!F$98),"",IFERROR(VLOOKUP($F43,Arrangörslista!F$98:$AG$135,16,FALSE), "DNS"))),""))</f>
        <v/>
      </c>
      <c r="AR43" s="5" t="str">
        <f>IF(Deltagarlista!$K$3=2,
IF(ISBLANK(Deltagarlista!$C19),"",IF(ISBLANK(Arrangörslista!G$98),"",IF($GV43=AR$64," DNS ",IFERROR(VLOOKUP($F43,Arrangörslista!G$98:$AG$135,16,FALSE), "DNS")))), IF(Deltagarlista!$K$3=1,IF(ISBLANK(Deltagarlista!$C19),"",IF(ISBLANK(Arrangörslista!G$98),"",IFERROR(VLOOKUP($F43,Arrangörslista!G$98:$AG$135,16,FALSE), "DNS"))),""))</f>
        <v/>
      </c>
      <c r="AS43" s="5" t="str">
        <f>IF(Deltagarlista!$K$3=2,
IF(ISBLANK(Deltagarlista!$C19),"",IF(ISBLANK(Arrangörslista!H$98),"",IF($GV43=AS$64," DNS ",IFERROR(VLOOKUP($F43,Arrangörslista!H$98:$AG$135,16,FALSE), "DNS")))), IF(Deltagarlista!$K$3=1,IF(ISBLANK(Deltagarlista!$C19),"",IF(ISBLANK(Arrangörslista!H$98),"",IFERROR(VLOOKUP($F43,Arrangörslista!H$98:$AG$135,16,FALSE), "DNS"))),""))</f>
        <v/>
      </c>
      <c r="AT43" s="5" t="str">
        <f>IF(Deltagarlista!$K$3=2,
IF(ISBLANK(Deltagarlista!$C19),"",IF(ISBLANK(Arrangörslista!I$98),"",IF($GV43=AT$64," DNS ",IFERROR(VLOOKUP($F43,Arrangörslista!I$98:$AG$135,16,FALSE), "DNS")))), IF(Deltagarlista!$K$3=1,IF(ISBLANK(Deltagarlista!$C19),"",IF(ISBLANK(Arrangörslista!I$98),"",IFERROR(VLOOKUP($F43,Arrangörslista!I$98:$AG$135,16,FALSE), "DNS"))),""))</f>
        <v/>
      </c>
      <c r="AU43" s="5" t="str">
        <f>IF(Deltagarlista!$K$3=2,
IF(ISBLANK(Deltagarlista!$C19),"",IF(ISBLANK(Arrangörslista!J$98),"",IF($GV43=AU$64," DNS ",IFERROR(VLOOKUP($F43,Arrangörslista!J$98:$AG$135,16,FALSE), "DNS")))), IF(Deltagarlista!$K$3=1,IF(ISBLANK(Deltagarlista!$C19),"",IF(ISBLANK(Arrangörslista!J$98),"",IFERROR(VLOOKUP($F43,Arrangörslista!J$98:$AG$135,16,FALSE), "DNS"))),""))</f>
        <v/>
      </c>
      <c r="AV43" s="5" t="str">
        <f>IF(Deltagarlista!$K$3=2,
IF(ISBLANK(Deltagarlista!$C19),"",IF(ISBLANK(Arrangörslista!K$98),"",IF($GV43=AV$64," DNS ",IFERROR(VLOOKUP($F43,Arrangörslista!K$98:$AG$135,16,FALSE), "DNS")))), IF(Deltagarlista!$K$3=1,IF(ISBLANK(Deltagarlista!$C19),"",IF(ISBLANK(Arrangörslista!K$98),"",IFERROR(VLOOKUP($F43,Arrangörslista!K$98:$AG$135,16,FALSE), "DNS"))),""))</f>
        <v/>
      </c>
      <c r="AW43" s="5" t="str">
        <f>IF(Deltagarlista!$K$3=2,
IF(ISBLANK(Deltagarlista!$C19),"",IF(ISBLANK(Arrangörslista!L$98),"",IF($GV43=AW$64," DNS ",IFERROR(VLOOKUP($F43,Arrangörslista!L$98:$AG$135,16,FALSE), "DNS")))), IF(Deltagarlista!$K$3=1,IF(ISBLANK(Deltagarlista!$C19),"",IF(ISBLANK(Arrangörslista!L$98),"",IFERROR(VLOOKUP($F43,Arrangörslista!L$98:$AG$135,16,FALSE), "DNS"))),""))</f>
        <v/>
      </c>
      <c r="AX43" s="5" t="str">
        <f>IF(Deltagarlista!$K$3=2,
IF(ISBLANK(Deltagarlista!$C19),"",IF(ISBLANK(Arrangörslista!M$98),"",IF($GV43=AX$64," DNS ",IFERROR(VLOOKUP($F43,Arrangörslista!M$98:$AG$135,16,FALSE), "DNS")))), IF(Deltagarlista!$K$3=1,IF(ISBLANK(Deltagarlista!$C19),"",IF(ISBLANK(Arrangörslista!M$98),"",IFERROR(VLOOKUP($F43,Arrangörslista!M$98:$AG$135,16,FALSE), "DNS"))),""))</f>
        <v/>
      </c>
      <c r="AY43" s="5" t="str">
        <f>IF(Deltagarlista!$K$3=2,
IF(ISBLANK(Deltagarlista!$C19),"",IF(ISBLANK(Arrangörslista!N$98),"",IF($GV43=AY$64," DNS ",IFERROR(VLOOKUP($F43,Arrangörslista!N$98:$AG$135,16,FALSE), "DNS")))), IF(Deltagarlista!$K$3=1,IF(ISBLANK(Deltagarlista!$C19),"",IF(ISBLANK(Arrangörslista!N$98),"",IFERROR(VLOOKUP($F43,Arrangörslista!N$98:$AG$135,16,FALSE), "DNS"))),""))</f>
        <v/>
      </c>
      <c r="AZ43" s="5" t="str">
        <f>IF(Deltagarlista!$K$3=2,
IF(ISBLANK(Deltagarlista!$C19),"",IF(ISBLANK(Arrangörslista!O$98),"",IF($GV43=AZ$64," DNS ",IFERROR(VLOOKUP($F43,Arrangörslista!O$98:$AG$135,16,FALSE), "DNS")))), IF(Deltagarlista!$K$3=1,IF(ISBLANK(Deltagarlista!$C19),"",IF(ISBLANK(Arrangörslista!O$98),"",IFERROR(VLOOKUP($F43,Arrangörslista!O$98:$AG$135,16,FALSE), "DNS"))),""))</f>
        <v/>
      </c>
      <c r="BA43" s="5" t="str">
        <f>IF(Deltagarlista!$K$3=2,
IF(ISBLANK(Deltagarlista!$C19),"",IF(ISBLANK(Arrangörslista!P$98),"",IF($GV43=BA$64," DNS ",IFERROR(VLOOKUP($F43,Arrangörslista!P$98:$AG$135,16,FALSE), "DNS")))), IF(Deltagarlista!$K$3=1,IF(ISBLANK(Deltagarlista!$C19),"",IF(ISBLANK(Arrangörslista!P$98),"",IFERROR(VLOOKUP($F43,Arrangörslista!P$98:$AG$135,16,FALSE), "DNS"))),""))</f>
        <v/>
      </c>
      <c r="BB43" s="5" t="str">
        <f>IF(Deltagarlista!$K$3=2,
IF(ISBLANK(Deltagarlista!$C19),"",IF(ISBLANK(Arrangörslista!Q$98),"",IF($GV43=BB$64," DNS ",IFERROR(VLOOKUP($F43,Arrangörslista!Q$98:$AG$135,16,FALSE), "DNS")))), IF(Deltagarlista!$K$3=1,IF(ISBLANK(Deltagarlista!$C19),"",IF(ISBLANK(Arrangörslista!Q$98),"",IFERROR(VLOOKUP($F43,Arrangörslista!Q$98:$AG$135,16,FALSE), "DNS"))),""))</f>
        <v/>
      </c>
      <c r="BC43" s="5" t="str">
        <f>IF(Deltagarlista!$K$3=2,
IF(ISBLANK(Deltagarlista!$C19),"",IF(ISBLANK(Arrangörslista!C$143),"",IF($GV43=BC$64," DNS ",IFERROR(VLOOKUP($F43,Arrangörslista!C$143:$AG$180,16,FALSE), "DNS")))), IF(Deltagarlista!$K$3=1,IF(ISBLANK(Deltagarlista!$C19),"",IF(ISBLANK(Arrangörslista!C$143),"",IFERROR(VLOOKUP($F43,Arrangörslista!C$143:$AG$180,16,FALSE), "DNS"))),""))</f>
        <v/>
      </c>
      <c r="BD43" s="5" t="str">
        <f>IF(Deltagarlista!$K$3=2,
IF(ISBLANK(Deltagarlista!$C19),"",IF(ISBLANK(Arrangörslista!D$143),"",IF($GV43=BD$64," DNS ",IFERROR(VLOOKUP($F43,Arrangörslista!D$143:$AG$180,16,FALSE), "DNS")))), IF(Deltagarlista!$K$3=1,IF(ISBLANK(Deltagarlista!$C19),"",IF(ISBLANK(Arrangörslista!D$143),"",IFERROR(VLOOKUP($F43,Arrangörslista!D$143:$AG$180,16,FALSE), "DNS"))),""))</f>
        <v/>
      </c>
      <c r="BE43" s="5" t="str">
        <f>IF(Deltagarlista!$K$3=2,
IF(ISBLANK(Deltagarlista!$C19),"",IF(ISBLANK(Arrangörslista!E$143),"",IF($GV43=BE$64," DNS ",IFERROR(VLOOKUP($F43,Arrangörslista!E$143:$AG$180,16,FALSE), "DNS")))), IF(Deltagarlista!$K$3=1,IF(ISBLANK(Deltagarlista!$C19),"",IF(ISBLANK(Arrangörslista!E$143),"",IFERROR(VLOOKUP($F43,Arrangörslista!E$143:$AG$180,16,FALSE), "DNS"))),""))</f>
        <v/>
      </c>
      <c r="BF43" s="5" t="str">
        <f>IF(Deltagarlista!$K$3=2,
IF(ISBLANK(Deltagarlista!$C19),"",IF(ISBLANK(Arrangörslista!F$143),"",IF($GV43=BF$64," DNS ",IFERROR(VLOOKUP($F43,Arrangörslista!F$143:$AG$180,16,FALSE), "DNS")))), IF(Deltagarlista!$K$3=1,IF(ISBLANK(Deltagarlista!$C19),"",IF(ISBLANK(Arrangörslista!F$143),"",IFERROR(VLOOKUP($F43,Arrangörslista!F$143:$AG$180,16,FALSE), "DNS"))),""))</f>
        <v/>
      </c>
      <c r="BG43" s="5" t="str">
        <f>IF(Deltagarlista!$K$3=2,
IF(ISBLANK(Deltagarlista!$C19),"",IF(ISBLANK(Arrangörslista!G$143),"",IF($GV43=BG$64," DNS ",IFERROR(VLOOKUP($F43,Arrangörslista!G$143:$AG$180,16,FALSE), "DNS")))), IF(Deltagarlista!$K$3=1,IF(ISBLANK(Deltagarlista!$C19),"",IF(ISBLANK(Arrangörslista!G$143),"",IFERROR(VLOOKUP($F43,Arrangörslista!G$143:$AG$180,16,FALSE), "DNS"))),""))</f>
        <v/>
      </c>
      <c r="BH43" s="5" t="str">
        <f>IF(Deltagarlista!$K$3=2,
IF(ISBLANK(Deltagarlista!$C19),"",IF(ISBLANK(Arrangörslista!H$143),"",IF($GV43=BH$64," DNS ",IFERROR(VLOOKUP($F43,Arrangörslista!H$143:$AG$180,16,FALSE), "DNS")))), IF(Deltagarlista!$K$3=1,IF(ISBLANK(Deltagarlista!$C19),"",IF(ISBLANK(Arrangörslista!H$143),"",IFERROR(VLOOKUP($F43,Arrangörslista!H$143:$AG$180,16,FALSE), "DNS"))),""))</f>
        <v/>
      </c>
      <c r="BI43" s="5" t="str">
        <f>IF(Deltagarlista!$K$3=2,
IF(ISBLANK(Deltagarlista!$C19),"",IF(ISBLANK(Arrangörslista!I$143),"",IF($GV43=BI$64," DNS ",IFERROR(VLOOKUP($F43,Arrangörslista!I$143:$AG$180,16,FALSE), "DNS")))), IF(Deltagarlista!$K$3=1,IF(ISBLANK(Deltagarlista!$C19),"",IF(ISBLANK(Arrangörslista!I$143),"",IFERROR(VLOOKUP($F43,Arrangörslista!I$143:$AG$180,16,FALSE), "DNS"))),""))</f>
        <v/>
      </c>
      <c r="BJ43" s="5" t="str">
        <f>IF(Deltagarlista!$K$3=2,
IF(ISBLANK(Deltagarlista!$C19),"",IF(ISBLANK(Arrangörslista!J$143),"",IF($GV43=BJ$64," DNS ",IFERROR(VLOOKUP($F43,Arrangörslista!J$143:$AG$180,16,FALSE), "DNS")))), IF(Deltagarlista!$K$3=1,IF(ISBLANK(Deltagarlista!$C19),"",IF(ISBLANK(Arrangörslista!J$143),"",IFERROR(VLOOKUP($F43,Arrangörslista!J$143:$AG$180,16,FALSE), "DNS"))),""))</f>
        <v/>
      </c>
      <c r="BK43" s="5" t="str">
        <f>IF(Deltagarlista!$K$3=2,
IF(ISBLANK(Deltagarlista!$C19),"",IF(ISBLANK(Arrangörslista!K$143),"",IF($GV43=BK$64," DNS ",IFERROR(VLOOKUP($F43,Arrangörslista!K$143:$AG$180,16,FALSE), "DNS")))), IF(Deltagarlista!$K$3=1,IF(ISBLANK(Deltagarlista!$C19),"",IF(ISBLANK(Arrangörslista!K$143),"",IFERROR(VLOOKUP($F43,Arrangörslista!K$143:$AG$180,16,FALSE), "DNS"))),""))</f>
        <v/>
      </c>
      <c r="BL43" s="5" t="str">
        <f>IF(Deltagarlista!$K$3=2,
IF(ISBLANK(Deltagarlista!$C19),"",IF(ISBLANK(Arrangörslista!L$143),"",IF($GV43=BL$64," DNS ",IFERROR(VLOOKUP($F43,Arrangörslista!L$143:$AG$180,16,FALSE), "DNS")))), IF(Deltagarlista!$K$3=1,IF(ISBLANK(Deltagarlista!$C19),"",IF(ISBLANK(Arrangörslista!L$143),"",IFERROR(VLOOKUP($F43,Arrangörslista!L$143:$AG$180,16,FALSE), "DNS"))),""))</f>
        <v/>
      </c>
      <c r="BM43" s="5" t="str">
        <f>IF(Deltagarlista!$K$3=2,
IF(ISBLANK(Deltagarlista!$C19),"",IF(ISBLANK(Arrangörslista!M$143),"",IF($GV43=BM$64," DNS ",IFERROR(VLOOKUP($F43,Arrangörslista!M$143:$AG$180,16,FALSE), "DNS")))), IF(Deltagarlista!$K$3=1,IF(ISBLANK(Deltagarlista!$C19),"",IF(ISBLANK(Arrangörslista!M$143),"",IFERROR(VLOOKUP($F43,Arrangörslista!M$143:$AG$180,16,FALSE), "DNS"))),""))</f>
        <v/>
      </c>
      <c r="BN43" s="5" t="str">
        <f>IF(Deltagarlista!$K$3=2,
IF(ISBLANK(Deltagarlista!$C19),"",IF(ISBLANK(Arrangörslista!N$143),"",IF($GV43=BN$64," DNS ",IFERROR(VLOOKUP($F43,Arrangörslista!N$143:$AG$180,16,FALSE), "DNS")))), IF(Deltagarlista!$K$3=1,IF(ISBLANK(Deltagarlista!$C19),"",IF(ISBLANK(Arrangörslista!N$143),"",IFERROR(VLOOKUP($F43,Arrangörslista!N$143:$AG$180,16,FALSE), "DNS"))),""))</f>
        <v/>
      </c>
      <c r="BO43" s="5" t="str">
        <f>IF(Deltagarlista!$K$3=2,
IF(ISBLANK(Deltagarlista!$C19),"",IF(ISBLANK(Arrangörslista!O$143),"",IF($GV43=BO$64," DNS ",IFERROR(VLOOKUP($F43,Arrangörslista!O$143:$AG$180,16,FALSE), "DNS")))), IF(Deltagarlista!$K$3=1,IF(ISBLANK(Deltagarlista!$C19),"",IF(ISBLANK(Arrangörslista!O$143),"",IFERROR(VLOOKUP($F43,Arrangörslista!O$143:$AG$180,16,FALSE), "DNS"))),""))</f>
        <v/>
      </c>
      <c r="BP43" s="5" t="str">
        <f>IF(Deltagarlista!$K$3=2,
IF(ISBLANK(Deltagarlista!$C19),"",IF(ISBLANK(Arrangörslista!P$143),"",IF($GV43=BP$64," DNS ",IFERROR(VLOOKUP($F43,Arrangörslista!P$143:$AG$180,16,FALSE), "DNS")))), IF(Deltagarlista!$K$3=1,IF(ISBLANK(Deltagarlista!$C19),"",IF(ISBLANK(Arrangörslista!P$143),"",IFERROR(VLOOKUP($F43,Arrangörslista!P$143:$AG$180,16,FALSE), "DNS"))),""))</f>
        <v/>
      </c>
      <c r="BQ43" s="80" t="str">
        <f>IF(Deltagarlista!$K$3=2,
IF(ISBLANK(Deltagarlista!$C19),"",IF(ISBLANK(Arrangörslista!Q$143),"",IF($GV43=BQ$64," DNS ",IFERROR(VLOOKUP($F43,Arrangörslista!Q$143:$AG$180,16,FALSE), "DNS")))), IF(Deltagarlista!$K$3=1,IF(ISBLANK(Deltagarlista!$C19),"",IF(ISBLANK(Arrangörslista!Q$143),"",IFERROR(VLOOKUP($F43,Arrangörslista!Q$143:$AG$180,16,FALSE), "DNS"))),""))</f>
        <v/>
      </c>
      <c r="BR43" s="51"/>
      <c r="BS43" s="50" t="str">
        <f t="shared" si="125"/>
        <v>2</v>
      </c>
      <c r="BT43" s="51"/>
      <c r="BU43" s="71">
        <f t="shared" si="126"/>
        <v>0</v>
      </c>
      <c r="BV43" s="61">
        <f t="shared" si="127"/>
        <v>0</v>
      </c>
      <c r="BW43" s="61">
        <f t="shared" si="128"/>
        <v>0</v>
      </c>
      <c r="BX43" s="61">
        <f t="shared" si="129"/>
        <v>0</v>
      </c>
      <c r="BY43" s="61">
        <f t="shared" si="130"/>
        <v>0</v>
      </c>
      <c r="BZ43" s="61">
        <f t="shared" si="131"/>
        <v>0</v>
      </c>
      <c r="CA43" s="61">
        <f t="shared" si="132"/>
        <v>0</v>
      </c>
      <c r="CB43" s="61">
        <f t="shared" si="133"/>
        <v>0</v>
      </c>
      <c r="CC43" s="61">
        <f t="shared" si="134"/>
        <v>0</v>
      </c>
      <c r="CD43" s="61">
        <f t="shared" si="135"/>
        <v>0</v>
      </c>
      <c r="CE43" s="61">
        <f t="shared" si="136"/>
        <v>0</v>
      </c>
      <c r="CF43" s="61">
        <f t="shared" si="137"/>
        <v>0</v>
      </c>
      <c r="CG43" s="61">
        <f t="shared" si="138"/>
        <v>0</v>
      </c>
      <c r="CH43" s="61">
        <f t="shared" si="139"/>
        <v>0</v>
      </c>
      <c r="CI43" s="61">
        <f t="shared" si="140"/>
        <v>0</v>
      </c>
      <c r="CJ43" s="61">
        <f t="shared" si="141"/>
        <v>0</v>
      </c>
      <c r="CK43" s="61">
        <f t="shared" si="142"/>
        <v>0</v>
      </c>
      <c r="CL43" s="61">
        <f t="shared" si="143"/>
        <v>0</v>
      </c>
      <c r="CM43" s="61">
        <f t="shared" si="144"/>
        <v>0</v>
      </c>
      <c r="CN43" s="61">
        <f t="shared" si="145"/>
        <v>0</v>
      </c>
      <c r="CO43" s="61">
        <f t="shared" si="146"/>
        <v>0</v>
      </c>
      <c r="CP43" s="61">
        <f t="shared" si="147"/>
        <v>0</v>
      </c>
      <c r="CQ43" s="61">
        <f t="shared" si="148"/>
        <v>0</v>
      </c>
      <c r="CR43" s="61">
        <f t="shared" si="149"/>
        <v>0</v>
      </c>
      <c r="CS43" s="61">
        <f t="shared" si="150"/>
        <v>0</v>
      </c>
      <c r="CT43" s="61">
        <f t="shared" si="151"/>
        <v>0</v>
      </c>
      <c r="CU43" s="61">
        <f t="shared" si="152"/>
        <v>0</v>
      </c>
      <c r="CV43" s="61">
        <f t="shared" si="153"/>
        <v>0</v>
      </c>
      <c r="CW43" s="61">
        <f t="shared" si="154"/>
        <v>0</v>
      </c>
      <c r="CX43" s="61">
        <f t="shared" si="155"/>
        <v>0</v>
      </c>
      <c r="CY43" s="61">
        <f t="shared" si="156"/>
        <v>0</v>
      </c>
      <c r="CZ43" s="61">
        <f t="shared" si="157"/>
        <v>0</v>
      </c>
      <c r="DA43" s="61">
        <f t="shared" si="158"/>
        <v>0</v>
      </c>
      <c r="DB43" s="61">
        <f t="shared" si="159"/>
        <v>0</v>
      </c>
      <c r="DC43" s="61">
        <f t="shared" si="160"/>
        <v>0</v>
      </c>
      <c r="DD43" s="61">
        <f t="shared" si="161"/>
        <v>0</v>
      </c>
      <c r="DE43" s="61">
        <f t="shared" si="162"/>
        <v>0</v>
      </c>
      <c r="DF43" s="61">
        <f t="shared" si="163"/>
        <v>0</v>
      </c>
      <c r="DG43" s="61">
        <f t="shared" si="164"/>
        <v>0</v>
      </c>
      <c r="DH43" s="61">
        <f t="shared" si="165"/>
        <v>0</v>
      </c>
      <c r="DI43" s="61">
        <f t="shared" si="166"/>
        <v>0</v>
      </c>
      <c r="DJ43" s="61">
        <f t="shared" si="167"/>
        <v>0</v>
      </c>
      <c r="DK43" s="61">
        <f t="shared" si="168"/>
        <v>0</v>
      </c>
      <c r="DL43" s="61">
        <f t="shared" si="169"/>
        <v>0</v>
      </c>
      <c r="DM43" s="61">
        <f t="shared" si="170"/>
        <v>0</v>
      </c>
      <c r="DN43" s="61">
        <f t="shared" si="171"/>
        <v>0</v>
      </c>
      <c r="DO43" s="61">
        <f t="shared" si="172"/>
        <v>0</v>
      </c>
      <c r="DP43" s="61">
        <f t="shared" si="173"/>
        <v>0</v>
      </c>
      <c r="DQ43" s="61">
        <f t="shared" si="174"/>
        <v>0</v>
      </c>
      <c r="DR43" s="61">
        <f t="shared" si="175"/>
        <v>0</v>
      </c>
      <c r="DS43" s="61">
        <f t="shared" si="176"/>
        <v>0</v>
      </c>
      <c r="DT43" s="61">
        <f t="shared" si="177"/>
        <v>0</v>
      </c>
      <c r="DU43" s="61">
        <f t="shared" si="178"/>
        <v>0</v>
      </c>
      <c r="DV43" s="61">
        <f t="shared" si="179"/>
        <v>0</v>
      </c>
      <c r="DW43" s="61">
        <f t="shared" si="180"/>
        <v>0</v>
      </c>
      <c r="DX43" s="61">
        <f t="shared" si="181"/>
        <v>0</v>
      </c>
      <c r="DY43" s="61">
        <f t="shared" si="182"/>
        <v>0</v>
      </c>
      <c r="DZ43" s="61">
        <f t="shared" si="183"/>
        <v>0</v>
      </c>
      <c r="EA43" s="61">
        <f t="shared" si="184"/>
        <v>0</v>
      </c>
      <c r="EB43" s="61">
        <f t="shared" si="185"/>
        <v>0</v>
      </c>
      <c r="EC43" s="61">
        <f t="shared" si="186"/>
        <v>0</v>
      </c>
      <c r="EE43" s="61">
        <f xml:space="preserve">
IF(OR(Deltagarlista!$K$3=3,Deltagarlista!$K$3=4),
IF(Arrangörslista!$U$5&lt;8,0,
IF(Arrangörslista!$U$5&lt;16,SUM(LARGE(BV43:CJ43,1)),
IF(Arrangörslista!$U$5&lt;24,SUM(LARGE(BV43:CR43,{1;2})),
IF(Arrangörslista!$U$5&lt;32,SUM(LARGE(BV43:CZ43,{1;2;3})),
IF(Arrangörslista!$U$5&lt;40,SUM(LARGE(BV43:DH43,{1;2;3;4})),
IF(Arrangörslista!$U$5&lt;48,SUM(LARGE(BV43:DP43,{1;2;3;4;5})),
IF(Arrangörslista!$U$5&lt;56,SUM(LARGE(BV43:DX43,{1;2;3;4;5;6})),
IF(Arrangörslista!$U$5&lt;64,SUM(LARGE(BV43:EC43,{1;2;3;4;5;6;7})),0)))))))),
IF(Deltagarlista!$K$3=2,
IF(Arrangörslista!$U$5&lt;4,LARGE(BV43:BX43,1),
IF(Arrangörslista!$U$5&lt;7,SUM(LARGE(BV43:CA43,{1;2;3})),
IF(Arrangörslista!$U$5&lt;10,SUM(LARGE(BV43:CD43,{1;2;3;4})),
IF(Arrangörslista!$U$5&lt;13,SUM(LARGE(BV43:CG43,{1;2;3;4;5;6})),
IF(Arrangörslista!$U$5&lt;16,SUM(LARGE(BV43:CJ43,{1;2;3;4;5;6;7})),
IF(Arrangörslista!$U$5&lt;19,SUM(LARGE(BV43:CM43,{1;2;3;4;5;6;7;8;9})),
IF(Arrangörslista!$U$5&lt;22,SUM(LARGE(BV43:CP43,{1;2;3;4;5;6;7;8;9;10})),
IF(Arrangörslista!$U$5&lt;25,SUM(LARGE(BV43:CS43,{1;2;3;4;5;6;7;8;9;10;11;12})),
IF(Arrangörslista!$U$5&lt;28,SUM(LARGE(BV43:CV43,{1;2;3;4;5;6;7;8;9;10;11;12;13})),
IF(Arrangörslista!$U$5&lt;31,SUM(LARGE(BV43:CY43,{1;2;3;4;5;6;7;8;9;10;11;12;13;14;15})),
IF(Arrangörslista!$U$5&lt;34,SUM(LARGE(BV43:DB43,{1;2;3;4;5;6;7;8;9;10;11;12;13;14;15;16})),
IF(Arrangörslista!$U$5&lt;37,SUM(LARGE(BV43:DE43,{1;2;3;4;5;6;7;8;9;10;11;12;13;14;15;16;17;18})),
IF(Arrangörslista!$U$5&lt;40,SUM(LARGE(BV43:DH43,{1;2;3;4;5;6;7;8;9;10;11;12;13;14;15;16;17;18;19})),
IF(Arrangörslista!$U$5&lt;43,SUM(LARGE(BV43:DK43,{1;2;3;4;5;6;7;8;9;10;11;12;13;14;15;16;17;18;19;20;21})),
IF(Arrangörslista!$U$5&lt;46,SUM(LARGE(BV43:DN43,{1;2;3;4;5;6;7;8;9;10;11;12;13;14;15;16;17;18;19;20;21;22})),
IF(Arrangörslista!$U$5&lt;49,SUM(LARGE(BV43:DQ43,{1;2;3;4;5;6;7;8;9;10;11;12;13;14;15;16;17;18;19;20;21;22;23;24})),
IF(Arrangörslista!$U$5&lt;52,SUM(LARGE(BV43:DT43,{1;2;3;4;5;6;7;8;9;10;11;12;13;14;15;16;17;18;19;20;21;22;23;24;25})),
IF(Arrangörslista!$U$5&lt;55,SUM(LARGE(BV43:DW43,{1;2;3;4;5;6;7;8;9;10;11;12;13;14;15;16;17;18;19;20;21;22;23;24;25;26;27})),
IF(Arrangörslista!$U$5&lt;58,SUM(LARGE(BV43:DZ43,{1;2;3;4;5;6;7;8;9;10;11;12;13;14;15;16;17;18;19;20;21;22;23;24;25;26;27;28})),
IF(Arrangörslista!$U$5&lt;61,SUM(LARGE(BV43:EC43,{1;2;3;4;5;6;7;8;9;10;11;12;13;14;15;16;17;18;19;20;21;22;23;24;25;26;27;28;29;30})),0)))))))))))))))))))),
IF(Arrangörslista!$U$5&lt;4,0,
IF(Arrangörslista!$U$5&lt;8,SUM(LARGE(BV43:CB43,1)),
IF(Arrangörslista!$U$5&lt;12,SUM(LARGE(BV43:CF43,{1;2})),
IF(Arrangörslista!$U$5&lt;16,SUM(LARGE(BV43:CJ43,{1;2;3})),
IF(Arrangörslista!$U$5&lt;20,SUM(LARGE(BV43:CN43,{1;2;3;4})),
IF(Arrangörslista!$U$5&lt;24,SUM(LARGE(BV43:CR43,{1;2;3;4;5})),
IF(Arrangörslista!$U$5&lt;28,SUM(LARGE(BV43:CV43,{1;2;3;4;5;6})),
IF(Arrangörslista!$U$5&lt;32,SUM(LARGE(BV43:CZ43,{1;2;3;4;5;6;7})),
IF(Arrangörslista!$U$5&lt;36,SUM(LARGE(BV43:DD43,{1;2;3;4;5;6;7;8})),
IF(Arrangörslista!$U$5&lt;40,SUM(LARGE(BV43:DH43,{1;2;3;4;5;6;7;8;9})),
IF(Arrangörslista!$U$5&lt;44,SUM(LARGE(BV43:DL43,{1;2;3;4;5;6;7;8;9;10})),
IF(Arrangörslista!$U$5&lt;48,SUM(LARGE(BV43:DP43,{1;2;3;4;5;6;7;8;9;10;11})),
IF(Arrangörslista!$U$5&lt;52,SUM(LARGE(BV43:DT43,{1;2;3;4;5;6;7;8;9;10;11;12})),
IF(Arrangörslista!$U$5&lt;56,SUM(LARGE(BV43:DX43,{1;2;3;4;5;6;7;8;9;10;11;12;13})),
IF(Arrangörslista!$U$5&lt;60,SUM(LARGE(BV43:EB43,{1;2;3;4;5;6;7;8;9;10;11;12;13;14})),
IF(Arrangörslista!$U$5=60,SUM(LARGE(BV43:EC43,{1;2;3;4;5;6;7;8;9;10;11;12;13;14;15})),0))))))))))))))))))</f>
        <v>0</v>
      </c>
      <c r="EG43" s="67">
        <f t="shared" si="187"/>
        <v>0</v>
      </c>
      <c r="EH43" s="61"/>
      <c r="EI43" s="61"/>
      <c r="EK43" s="62">
        <f t="shared" si="188"/>
        <v>61</v>
      </c>
      <c r="EL43" s="62">
        <f t="shared" si="189"/>
        <v>61</v>
      </c>
      <c r="EM43" s="62">
        <f t="shared" si="190"/>
        <v>61</v>
      </c>
      <c r="EN43" s="62">
        <f t="shared" si="191"/>
        <v>61</v>
      </c>
      <c r="EO43" s="62">
        <f t="shared" si="192"/>
        <v>61</v>
      </c>
      <c r="EP43" s="62">
        <f t="shared" si="193"/>
        <v>61</v>
      </c>
      <c r="EQ43" s="62">
        <f t="shared" si="194"/>
        <v>61</v>
      </c>
      <c r="ER43" s="62">
        <f t="shared" si="195"/>
        <v>61</v>
      </c>
      <c r="ES43" s="62">
        <f t="shared" si="196"/>
        <v>61</v>
      </c>
      <c r="ET43" s="62">
        <f t="shared" si="197"/>
        <v>61</v>
      </c>
      <c r="EU43" s="62">
        <f t="shared" si="198"/>
        <v>61</v>
      </c>
      <c r="EV43" s="62">
        <f t="shared" si="199"/>
        <v>61</v>
      </c>
      <c r="EW43" s="62">
        <f t="shared" si="200"/>
        <v>61</v>
      </c>
      <c r="EX43" s="62">
        <f t="shared" si="201"/>
        <v>61</v>
      </c>
      <c r="EY43" s="62">
        <f t="shared" si="202"/>
        <v>61</v>
      </c>
      <c r="EZ43" s="62">
        <f t="shared" si="203"/>
        <v>61</v>
      </c>
      <c r="FA43" s="62">
        <f t="shared" si="204"/>
        <v>61</v>
      </c>
      <c r="FB43" s="62">
        <f t="shared" si="205"/>
        <v>61</v>
      </c>
      <c r="FC43" s="62">
        <f t="shared" si="206"/>
        <v>61</v>
      </c>
      <c r="FD43" s="62">
        <f t="shared" si="207"/>
        <v>61</v>
      </c>
      <c r="FE43" s="62">
        <f t="shared" si="208"/>
        <v>61</v>
      </c>
      <c r="FF43" s="62">
        <f t="shared" si="209"/>
        <v>61</v>
      </c>
      <c r="FG43" s="62">
        <f t="shared" si="210"/>
        <v>61</v>
      </c>
      <c r="FH43" s="62">
        <f t="shared" si="211"/>
        <v>61</v>
      </c>
      <c r="FI43" s="62">
        <f t="shared" si="212"/>
        <v>61</v>
      </c>
      <c r="FJ43" s="62">
        <f t="shared" si="213"/>
        <v>61</v>
      </c>
      <c r="FK43" s="62">
        <f t="shared" si="214"/>
        <v>61</v>
      </c>
      <c r="FL43" s="62">
        <f t="shared" si="215"/>
        <v>61</v>
      </c>
      <c r="FM43" s="62">
        <f t="shared" si="216"/>
        <v>61</v>
      </c>
      <c r="FN43" s="62">
        <f t="shared" si="217"/>
        <v>61</v>
      </c>
      <c r="FO43" s="62">
        <f t="shared" si="218"/>
        <v>61</v>
      </c>
      <c r="FP43" s="62">
        <f t="shared" si="219"/>
        <v>61</v>
      </c>
      <c r="FQ43" s="62">
        <f t="shared" si="220"/>
        <v>61</v>
      </c>
      <c r="FR43" s="62">
        <f t="shared" si="221"/>
        <v>61</v>
      </c>
      <c r="FS43" s="62">
        <f t="shared" si="222"/>
        <v>61</v>
      </c>
      <c r="FT43" s="62">
        <f t="shared" si="223"/>
        <v>61</v>
      </c>
      <c r="FU43" s="62">
        <f t="shared" si="224"/>
        <v>61</v>
      </c>
      <c r="FV43" s="62">
        <f t="shared" si="225"/>
        <v>61</v>
      </c>
      <c r="FW43" s="62">
        <f t="shared" si="226"/>
        <v>61</v>
      </c>
      <c r="FX43" s="62">
        <f t="shared" si="227"/>
        <v>61</v>
      </c>
      <c r="FY43" s="62">
        <f t="shared" si="228"/>
        <v>61</v>
      </c>
      <c r="FZ43" s="62">
        <f t="shared" si="229"/>
        <v>61</v>
      </c>
      <c r="GA43" s="62">
        <f t="shared" si="230"/>
        <v>61</v>
      </c>
      <c r="GB43" s="62">
        <f t="shared" si="231"/>
        <v>61</v>
      </c>
      <c r="GC43" s="62">
        <f t="shared" si="232"/>
        <v>61</v>
      </c>
      <c r="GD43" s="62">
        <f t="shared" si="233"/>
        <v>61</v>
      </c>
      <c r="GE43" s="62">
        <f t="shared" si="234"/>
        <v>61</v>
      </c>
      <c r="GF43" s="62">
        <f t="shared" si="235"/>
        <v>61</v>
      </c>
      <c r="GG43" s="62">
        <f t="shared" si="236"/>
        <v>61</v>
      </c>
      <c r="GH43" s="62">
        <f t="shared" si="237"/>
        <v>61</v>
      </c>
      <c r="GI43" s="62">
        <f t="shared" si="238"/>
        <v>61</v>
      </c>
      <c r="GJ43" s="62">
        <f t="shared" si="239"/>
        <v>61</v>
      </c>
      <c r="GK43" s="62">
        <f t="shared" si="240"/>
        <v>61</v>
      </c>
      <c r="GL43" s="62">
        <f t="shared" si="241"/>
        <v>61</v>
      </c>
      <c r="GM43" s="62">
        <f t="shared" si="242"/>
        <v>61</v>
      </c>
      <c r="GN43" s="62">
        <f t="shared" si="243"/>
        <v>61</v>
      </c>
      <c r="GO43" s="62">
        <f t="shared" si="244"/>
        <v>61</v>
      </c>
      <c r="GP43" s="62">
        <f t="shared" si="245"/>
        <v>61</v>
      </c>
      <c r="GQ43" s="62">
        <f t="shared" si="246"/>
        <v>61</v>
      </c>
      <c r="GR43" s="62">
        <f t="shared" si="247"/>
        <v>61</v>
      </c>
      <c r="GT43" s="62">
        <f>IF(Deltagarlista!$K$3=2,
IF(GW43="1",
      IF(Arrangörslista!$U$5=1,J106,
IF(Arrangörslista!$U$5=2,K106,
IF(Arrangörslista!$U$5=3,L106,
IF(Arrangörslista!$U$5=4,M106,
IF(Arrangörslista!$U$5=5,N106,
IF(Arrangörslista!$U$5=6,O106,
IF(Arrangörslista!$U$5=7,P106,
IF(Arrangörslista!$U$5=8,Q106,
IF(Arrangörslista!$U$5=9,R106,
IF(Arrangörslista!$U$5=10,S106,
IF(Arrangörslista!$U$5=11,T106,
IF(Arrangörslista!$U$5=12,U106,
IF(Arrangörslista!$U$5=13,V106,
IF(Arrangörslista!$U$5=14,W106,
IF(Arrangörslista!$U$5=15,X106,
IF(Arrangörslista!$U$5=16,Y106,IF(Arrangörslista!$U$5=17,Z106,IF(Arrangörslista!$U$5=18,AA106,IF(Arrangörslista!$U$5=19,AB106,IF(Arrangörslista!$U$5=20,AC106,IF(Arrangörslista!$U$5=21,AD106,IF(Arrangörslista!$U$5=22,AE106,IF(Arrangörslista!$U$5=23,AF106, IF(Arrangörslista!$U$5=24,AG106, IF(Arrangörslista!$U$5=25,AH106, IF(Arrangörslista!$U$5=26,AI106, IF(Arrangörslista!$U$5=27,AJ106, IF(Arrangörslista!$U$5=28,AK106, IF(Arrangörslista!$U$5=29,AL106, IF(Arrangörslista!$U$5=30,AM106, IF(Arrangörslista!$U$5=31,AN106, IF(Arrangörslista!$U$5=32,AO106, IF(Arrangörslista!$U$5=33,AP106, IF(Arrangörslista!$U$5=34,AQ106, IF(Arrangörslista!$U$5=35,AR106, IF(Arrangörslista!$U$5=36,AS106, IF(Arrangörslista!$U$5=37,AT106, IF(Arrangörslista!$U$5=38,AU106, IF(Arrangörslista!$U$5=39,AV106, IF(Arrangörslista!$U$5=40,AW106, IF(Arrangörslista!$U$5=41,AX106, IF(Arrangörslista!$U$5=42,AY106, IF(Arrangörslista!$U$5=43,AZ106, IF(Arrangörslista!$U$5=44,BA106, IF(Arrangörslista!$U$5=45,BB106, IF(Arrangörslista!$U$5=46,BC106, IF(Arrangörslista!$U$5=47,BD106, IF(Arrangörslista!$U$5=48,BE106, IF(Arrangörslista!$U$5=49,BF106, IF(Arrangörslista!$U$5=50,BG106, IF(Arrangörslista!$U$5=51,BH106, IF(Arrangörslista!$U$5=52,BI106, IF(Arrangörslista!$U$5=53,BJ106, IF(Arrangörslista!$U$5=54,BK106, IF(Arrangörslista!$U$5=55,BL106, IF(Arrangörslista!$U$5=56,BM106, IF(Arrangörslista!$U$5=57,BN106, IF(Arrangörslista!$U$5=58,BO106, IF(Arrangörslista!$U$5=59,BP106, IF(Arrangörslista!$U$5=60,BQ106,0))))))))))))))))))))))))))))))))))))))))))))))))))))))))))))),IF(Deltagarlista!$K$3=4, IF(Arrangörslista!$U$5=1,J106,
IF(Arrangörslista!$U$5=2,J106,
IF(Arrangörslista!$U$5=3,K106,
IF(Arrangörslista!$U$5=4,K106,
IF(Arrangörslista!$U$5=5,L106,
IF(Arrangörslista!$U$5=6,L106,
IF(Arrangörslista!$U$5=7,M106,
IF(Arrangörslista!$U$5=8,M106,
IF(Arrangörslista!$U$5=9,N106,
IF(Arrangörslista!$U$5=10,N106,
IF(Arrangörslista!$U$5=11,O106,
IF(Arrangörslista!$U$5=12,O106,
IF(Arrangörslista!$U$5=13,P106,
IF(Arrangörslista!$U$5=14,P106,
IF(Arrangörslista!$U$5=15,Q106,
IF(Arrangörslista!$U$5=16,Q106,
IF(Arrangörslista!$U$5=17,R106,
IF(Arrangörslista!$U$5=18,R106,
IF(Arrangörslista!$U$5=19,S106,
IF(Arrangörslista!$U$5=20,S106,
IF(Arrangörslista!$U$5=21,T106,
IF(Arrangörslista!$U$5=22,T106,IF(Arrangörslista!$U$5=23,U106, IF(Arrangörslista!$U$5=24,U106, IF(Arrangörslista!$U$5=25,V106, IF(Arrangörslista!$U$5=26,V106, IF(Arrangörslista!$U$5=27,W106, IF(Arrangörslista!$U$5=28,W106, IF(Arrangörslista!$U$5=29,X106, IF(Arrangörslista!$U$5=30,X106, IF(Arrangörslista!$U$5=31,X106, IF(Arrangörslista!$U$5=32,Y106, IF(Arrangörslista!$U$5=33,AO106, IF(Arrangörslista!$U$5=34,Y106, IF(Arrangörslista!$U$5=35,Z106, IF(Arrangörslista!$U$5=36,AR106, IF(Arrangörslista!$U$5=37,Z106, IF(Arrangörslista!$U$5=38,AA106, IF(Arrangörslista!$U$5=39,AU106, IF(Arrangörslista!$U$5=40,AA106, IF(Arrangörslista!$U$5=41,AB106, IF(Arrangörslista!$U$5=42,AX106, IF(Arrangörslista!$U$5=43,AB106, IF(Arrangörslista!$U$5=44,AC106, IF(Arrangörslista!$U$5=45,BA106, IF(Arrangörslista!$U$5=46,AC106, IF(Arrangörslista!$U$5=47,AD106, IF(Arrangörslista!$U$5=48,BD106, IF(Arrangörslista!$U$5=49,AD106, IF(Arrangörslista!$U$5=50,AE106, IF(Arrangörslista!$U$5=51,BG106, IF(Arrangörslista!$U$5=52,AE106, IF(Arrangörslista!$U$5=53,AF106, IF(Arrangörslista!$U$5=54,BJ106, IF(Arrangörslista!$U$5=55,AF106, IF(Arrangörslista!$U$5=56,AG106, IF(Arrangörslista!$U$5=57,BM106, IF(Arrangörslista!$U$5=58,AG106, IF(Arrangörslista!$U$5=59,AH106, IF(Arrangörslista!$U$5=60,AH106,0)))))))))))))))))))))))))))))))))))))))))))))))))))))))))))),IF(Arrangörslista!$U$5=1,J106,
IF(Arrangörslista!$U$5=2,K106,
IF(Arrangörslista!$U$5=3,L106,
IF(Arrangörslista!$U$5=4,M106,
IF(Arrangörslista!$U$5=5,N106,
IF(Arrangörslista!$U$5=6,O106,
IF(Arrangörslista!$U$5=7,P106,
IF(Arrangörslista!$U$5=8,Q106,
IF(Arrangörslista!$U$5=9,R106,
IF(Arrangörslista!$U$5=10,S106,
IF(Arrangörslista!$U$5=11,T106,
IF(Arrangörslista!$U$5=12,U106,
IF(Arrangörslista!$U$5=13,V106,
IF(Arrangörslista!$U$5=14,W106,
IF(Arrangörslista!$U$5=15,X106,
IF(Arrangörslista!$U$5=16,Y106,IF(Arrangörslista!$U$5=17,Z106,IF(Arrangörslista!$U$5=18,AA106,IF(Arrangörslista!$U$5=19,AB106,IF(Arrangörslista!$U$5=20,AC106,IF(Arrangörslista!$U$5=21,AD106,IF(Arrangörslista!$U$5=22,AE106,IF(Arrangörslista!$U$5=23,AF106, IF(Arrangörslista!$U$5=24,AG106, IF(Arrangörslista!$U$5=25,AH106, IF(Arrangörslista!$U$5=26,AI106, IF(Arrangörslista!$U$5=27,AJ106, IF(Arrangörslista!$U$5=28,AK106, IF(Arrangörslista!$U$5=29,AL106, IF(Arrangörslista!$U$5=30,AM106, IF(Arrangörslista!$U$5=31,AN106, IF(Arrangörslista!$U$5=32,AO106, IF(Arrangörslista!$U$5=33,AP106, IF(Arrangörslista!$U$5=34,AQ106, IF(Arrangörslista!$U$5=35,AR106, IF(Arrangörslista!$U$5=36,AS106, IF(Arrangörslista!$U$5=37,AT106, IF(Arrangörslista!$U$5=38,AU106, IF(Arrangörslista!$U$5=39,AV106, IF(Arrangörslista!$U$5=40,AW106, IF(Arrangörslista!$U$5=41,AX106, IF(Arrangörslista!$U$5=42,AY106, IF(Arrangörslista!$U$5=43,AZ106, IF(Arrangörslista!$U$5=44,BA106, IF(Arrangörslista!$U$5=45,BB106, IF(Arrangörslista!$U$5=46,BC106, IF(Arrangörslista!$U$5=47,BD106, IF(Arrangörslista!$U$5=48,BE106, IF(Arrangörslista!$U$5=49,BF106, IF(Arrangörslista!$U$5=50,BG106, IF(Arrangörslista!$U$5=51,BH106, IF(Arrangörslista!$U$5=52,BI106, IF(Arrangörslista!$U$5=53,BJ106, IF(Arrangörslista!$U$5=54,BK106, IF(Arrangörslista!$U$5=55,BL106, IF(Arrangörslista!$U$5=56,BM106, IF(Arrangörslista!$U$5=57,BN106, IF(Arrangörslista!$U$5=58,BO106, IF(Arrangörslista!$U$5=59,BP106, IF(Arrangörslista!$U$5=60,BQ106,0))))))))))))))))))))))))))))))))))))))))))))))))))))))))))))
))</f>
        <v>0</v>
      </c>
      <c r="GV43" s="65" t="str">
        <f>IFERROR(IF(VLOOKUP(F43,Deltagarlista!$E$5:$I$64,5,FALSE)="Grön","Gr",IF(VLOOKUP(F43,Deltagarlista!$E$5:$I$64,5,FALSE)="Röd","R",IF(VLOOKUP(F43,Deltagarlista!$E$5:$I$64,5,FALSE)="Blå","B","Gu"))),"")</f>
        <v/>
      </c>
      <c r="GW43" s="62" t="str">
        <f t="shared" si="124"/>
        <v/>
      </c>
    </row>
    <row r="44" spans="2:205" ht="15.75" customHeight="1" x14ac:dyDescent="0.3">
      <c r="B44" s="23" t="str">
        <f>IF((COUNTIF(Deltagarlista!$H$5:$H$64,"GM"))&gt;40,41,"")</f>
        <v/>
      </c>
      <c r="C44" s="92" t="str">
        <f>IF(ISBLANK(Deltagarlista!C25),"",Deltagarlista!C25)</f>
        <v/>
      </c>
      <c r="D44" s="109" t="str">
        <f>CONCATENATE(IF(Deltagarlista!H25="GM","GM   ",""), IF(OR(Deltagarlista!$K$3=4,Deltagarlista!$K$3=2),Deltagarlista!I25,""))</f>
        <v/>
      </c>
      <c r="E44" s="8" t="str">
        <f>IF(ISBLANK(Deltagarlista!D25),"",Deltagarlista!D25)</f>
        <v/>
      </c>
      <c r="F44" s="8" t="str">
        <f>IF(ISBLANK(Deltagarlista!E25),"",Deltagarlista!E25)</f>
        <v/>
      </c>
      <c r="G44" s="95" t="str">
        <f>IF(ISBLANK(Deltagarlista!F25),"",Deltagarlista!F25)</f>
        <v/>
      </c>
      <c r="H44" s="72" t="str">
        <f>IF(ISBLANK(Deltagarlista!C25),"",BU44-EE44)</f>
        <v/>
      </c>
      <c r="I44" s="13" t="str">
        <f>IF(ISBLANK(Deltagarlista!C25),"",IF(AND(Deltagarlista!$K$3=2,Deltagarlista!$L$3&lt;37),SUM(SUM(BV44:EC44)-(ROUNDDOWN(Arrangörslista!$U$5/3,1))*($BW$3+1)),SUM(BV44:EC44)))</f>
        <v/>
      </c>
      <c r="J44" s="79" t="str">
        <f>IF(Deltagarlista!$K$3=4,IF(ISBLANK(Deltagarlista!$C25),"",IF(ISBLANK(Arrangörslista!C$8),"",IFERROR(VLOOKUP($F44,Arrangörslista!C$8:$AG$45,16,FALSE),IF(ISBLANK(Deltagarlista!$C25),"",IF(ISBLANK(Arrangörslista!C$8),"",IFERROR(VLOOKUP($F44,Arrangörslista!D$8:$AG$45,16,FALSE),"DNS")))))),IF(Deltagarlista!$K$3=2,
IF(ISBLANK(Deltagarlista!$C25),"",IF(ISBLANK(Arrangörslista!C$8),"",IF($GV44=J$64," DNS ",IFERROR(VLOOKUP($F44,Arrangörslista!C$8:$AG$45,16,FALSE),"DNS")))),IF(ISBLANK(Deltagarlista!$C25),"",IF(ISBLANK(Arrangörslista!C$8),"",IFERROR(VLOOKUP($F44,Arrangörslista!C$8:$AG$45,16,FALSE),"DNS")))))</f>
        <v/>
      </c>
      <c r="K44" s="5" t="str">
        <f>IF(Deltagarlista!$K$3=4,IF(ISBLANK(Deltagarlista!$C25),"",IF(ISBLANK(Arrangörslista!E$8),"",IFERROR(VLOOKUP($F44,Arrangörslista!E$8:$AG$45,16,FALSE),IF(ISBLANK(Deltagarlista!$C25),"",IF(ISBLANK(Arrangörslista!E$8),"",IFERROR(VLOOKUP($F44,Arrangörslista!F$8:$AG$45,16,FALSE),"DNS")))))),IF(Deltagarlista!$K$3=2,
IF(ISBLANK(Deltagarlista!$C25),"",IF(ISBLANK(Arrangörslista!D$8),"",IF($GV44=K$64," DNS ",IFERROR(VLOOKUP($F44,Arrangörslista!D$8:$AG$45,16,FALSE),"DNS")))),IF(ISBLANK(Deltagarlista!$C25),"",IF(ISBLANK(Arrangörslista!D$8),"",IFERROR(VLOOKUP($F44,Arrangörslista!D$8:$AG$45,16,FALSE),"DNS")))))</f>
        <v/>
      </c>
      <c r="L44" s="5" t="str">
        <f>IF(Deltagarlista!$K$3=4,IF(ISBLANK(Deltagarlista!$C25),"",IF(ISBLANK(Arrangörslista!G$8),"",IFERROR(VLOOKUP($F44,Arrangörslista!G$8:$AG$45,16,FALSE),IF(ISBLANK(Deltagarlista!$C25),"",IF(ISBLANK(Arrangörslista!G$8),"",IFERROR(VLOOKUP($F44,Arrangörslista!H$8:$AG$45,16,FALSE),"DNS")))))),IF(Deltagarlista!$K$3=2,
IF(ISBLANK(Deltagarlista!$C25),"",IF(ISBLANK(Arrangörslista!E$8),"",IF($GV44=L$64," DNS ",IFERROR(VLOOKUP($F44,Arrangörslista!E$8:$AG$45,16,FALSE),"DNS")))),IF(ISBLANK(Deltagarlista!$C25),"",IF(ISBLANK(Arrangörslista!E$8),"",IFERROR(VLOOKUP($F44,Arrangörslista!E$8:$AG$45,16,FALSE),"DNS")))))</f>
        <v/>
      </c>
      <c r="M44" s="5" t="str">
        <f>IF(Deltagarlista!$K$3=4,IF(ISBLANK(Deltagarlista!$C25),"",IF(ISBLANK(Arrangörslista!I$8),"",IFERROR(VLOOKUP($F44,Arrangörslista!I$8:$AG$45,16,FALSE),IF(ISBLANK(Deltagarlista!$C25),"",IF(ISBLANK(Arrangörslista!I$8),"",IFERROR(VLOOKUP($F44,Arrangörslista!J$8:$AG$45,16,FALSE),"DNS")))))),IF(Deltagarlista!$K$3=2,
IF(ISBLANK(Deltagarlista!$C25),"",IF(ISBLANK(Arrangörslista!F$8),"",IF($GV44=M$64," DNS ",IFERROR(VLOOKUP($F44,Arrangörslista!F$8:$AG$45,16,FALSE),"DNS")))),IF(ISBLANK(Deltagarlista!$C25),"",IF(ISBLANK(Arrangörslista!F$8),"",IFERROR(VLOOKUP($F44,Arrangörslista!F$8:$AG$45,16,FALSE),"DNS")))))</f>
        <v/>
      </c>
      <c r="N44" s="5" t="str">
        <f>IF(Deltagarlista!$K$3=4,IF(ISBLANK(Deltagarlista!$C25),"",IF(ISBLANK(Arrangörslista!K$8),"",IFERROR(VLOOKUP($F44,Arrangörslista!K$8:$AG$45,16,FALSE),IF(ISBLANK(Deltagarlista!$C25),"",IF(ISBLANK(Arrangörslista!K$8),"",IFERROR(VLOOKUP($F44,Arrangörslista!L$8:$AG$45,16,FALSE),"DNS")))))),IF(Deltagarlista!$K$3=2,
IF(ISBLANK(Deltagarlista!$C25),"",IF(ISBLANK(Arrangörslista!G$8),"",IF($GV44=N$64," DNS ",IFERROR(VLOOKUP($F44,Arrangörslista!G$8:$AG$45,16,FALSE),"DNS")))),IF(ISBLANK(Deltagarlista!$C25),"",IF(ISBLANK(Arrangörslista!G$8),"",IFERROR(VLOOKUP($F44,Arrangörslista!G$8:$AG$45,16,FALSE),"DNS")))))</f>
        <v/>
      </c>
      <c r="O44" s="5" t="str">
        <f>IF(Deltagarlista!$K$3=4,IF(ISBLANK(Deltagarlista!$C25),"",IF(ISBLANK(Arrangörslista!M$8),"",IFERROR(VLOOKUP($F44,Arrangörslista!M$8:$AG$45,16,FALSE),IF(ISBLANK(Deltagarlista!$C25),"",IF(ISBLANK(Arrangörslista!M$8),"",IFERROR(VLOOKUP($F44,Arrangörslista!N$8:$AG$45,16,FALSE),"DNS")))))),IF(Deltagarlista!$K$3=2,
IF(ISBLANK(Deltagarlista!$C25),"",IF(ISBLANK(Arrangörslista!H$8),"",IF($GV44=O$64," DNS ",IFERROR(VLOOKUP($F44,Arrangörslista!H$8:$AG$45,16,FALSE),"DNS")))),IF(ISBLANK(Deltagarlista!$C25),"",IF(ISBLANK(Arrangörslista!H$8),"",IFERROR(VLOOKUP($F44,Arrangörslista!H$8:$AG$45,16,FALSE),"DNS")))))</f>
        <v/>
      </c>
      <c r="P44" s="5" t="str">
        <f>IF(Deltagarlista!$K$3=4,IF(ISBLANK(Deltagarlista!$C25),"",IF(ISBLANK(Arrangörslista!O$8),"",IFERROR(VLOOKUP($F44,Arrangörslista!O$8:$AG$45,16,FALSE),IF(ISBLANK(Deltagarlista!$C25),"",IF(ISBLANK(Arrangörslista!O$8),"",IFERROR(VLOOKUP($F44,Arrangörslista!P$8:$AG$45,16,FALSE),"DNS")))))),IF(Deltagarlista!$K$3=2,
IF(ISBLANK(Deltagarlista!$C25),"",IF(ISBLANK(Arrangörslista!I$8),"",IF($GV44=P$64," DNS ",IFERROR(VLOOKUP($F44,Arrangörslista!I$8:$AG$45,16,FALSE),"DNS")))),IF(ISBLANK(Deltagarlista!$C25),"",IF(ISBLANK(Arrangörslista!I$8),"",IFERROR(VLOOKUP($F44,Arrangörslista!I$8:$AG$45,16,FALSE),"DNS")))))</f>
        <v/>
      </c>
      <c r="Q44" s="5" t="str">
        <f>IF(Deltagarlista!$K$3=4,IF(ISBLANK(Deltagarlista!$C25),"",IF(ISBLANK(Arrangörslista!Q$8),"",IFERROR(VLOOKUP($F44,Arrangörslista!Q$8:$AG$45,16,FALSE),IF(ISBLANK(Deltagarlista!$C25),"",IF(ISBLANK(Arrangörslista!Q$8),"",IFERROR(VLOOKUP($F44,Arrangörslista!C$53:$AG$90,16,FALSE),"DNS")))))),IF(Deltagarlista!$K$3=2,
IF(ISBLANK(Deltagarlista!$C25),"",IF(ISBLANK(Arrangörslista!J$8),"",IF($GV44=Q$64," DNS ",IFERROR(VLOOKUP($F44,Arrangörslista!J$8:$AG$45,16,FALSE),"DNS")))),IF(ISBLANK(Deltagarlista!$C25),"",IF(ISBLANK(Arrangörslista!J$8),"",IFERROR(VLOOKUP($F44,Arrangörslista!J$8:$AG$45,16,FALSE),"DNS")))))</f>
        <v/>
      </c>
      <c r="R44" s="5" t="str">
        <f>IF(Deltagarlista!$K$3=4,IF(ISBLANK(Deltagarlista!$C25),"",IF(ISBLANK(Arrangörslista!D$53),"",IFERROR(VLOOKUP($F44,Arrangörslista!D$53:$AG$90,16,FALSE),IF(ISBLANK(Deltagarlista!$C25),"",IF(ISBLANK(Arrangörslista!D$53),"",IFERROR(VLOOKUP($F44,Arrangörslista!E$53:$AG$90,16,FALSE),"DNS")))))),IF(Deltagarlista!$K$3=2,
IF(ISBLANK(Deltagarlista!$C25),"",IF(ISBLANK(Arrangörslista!K$8),"",IF($GV44=R$64," DNS ",IFERROR(VLOOKUP($F44,Arrangörslista!K$8:$AG$45,16,FALSE),"DNS")))),IF(ISBLANK(Deltagarlista!$C25),"",IF(ISBLANK(Arrangörslista!K$8),"",IFERROR(VLOOKUP($F44,Arrangörslista!K$8:$AG$45,16,FALSE),"DNS")))))</f>
        <v/>
      </c>
      <c r="S44" s="5" t="str">
        <f>IF(Deltagarlista!$K$3=4,IF(ISBLANK(Deltagarlista!$C25),"",IF(ISBLANK(Arrangörslista!F$53),"",IFERROR(VLOOKUP($F44,Arrangörslista!F$53:$AG$90,16,FALSE),IF(ISBLANK(Deltagarlista!$C25),"",IF(ISBLANK(Arrangörslista!F$53),"",IFERROR(VLOOKUP($F44,Arrangörslista!G$53:$AG$90,16,FALSE),"DNS")))))),IF(Deltagarlista!$K$3=2,
IF(ISBLANK(Deltagarlista!$C25),"",IF(ISBLANK(Arrangörslista!L$8),"",IF($GV44=S$64," DNS ",IFERROR(VLOOKUP($F44,Arrangörslista!L$8:$AG$45,16,FALSE),"DNS")))),IF(ISBLANK(Deltagarlista!$C25),"",IF(ISBLANK(Arrangörslista!L$8),"",IFERROR(VLOOKUP($F44,Arrangörslista!L$8:$AG$45,16,FALSE),"DNS")))))</f>
        <v/>
      </c>
      <c r="T44" s="5" t="str">
        <f>IF(Deltagarlista!$K$3=4,IF(ISBLANK(Deltagarlista!$C25),"",IF(ISBLANK(Arrangörslista!H$53),"",IFERROR(VLOOKUP($F44,Arrangörslista!H$53:$AG$90,16,FALSE),IF(ISBLANK(Deltagarlista!$C25),"",IF(ISBLANK(Arrangörslista!H$53),"",IFERROR(VLOOKUP($F44,Arrangörslista!I$53:$AG$90,16,FALSE),"DNS")))))),IF(Deltagarlista!$K$3=2,
IF(ISBLANK(Deltagarlista!$C25),"",IF(ISBLANK(Arrangörslista!M$8),"",IF($GV44=T$64," DNS ",IFERROR(VLOOKUP($F44,Arrangörslista!M$8:$AG$45,16,FALSE),"DNS")))),IF(ISBLANK(Deltagarlista!$C25),"",IF(ISBLANK(Arrangörslista!M$8),"",IFERROR(VLOOKUP($F44,Arrangörslista!M$8:$AG$45,16,FALSE),"DNS")))))</f>
        <v/>
      </c>
      <c r="U44" s="5" t="str">
        <f>IF(Deltagarlista!$K$3=4,IF(ISBLANK(Deltagarlista!$C25),"",IF(ISBLANK(Arrangörslista!J$53),"",IFERROR(VLOOKUP($F44,Arrangörslista!J$53:$AG$90,16,FALSE),IF(ISBLANK(Deltagarlista!$C25),"",IF(ISBLANK(Arrangörslista!J$53),"",IFERROR(VLOOKUP($F44,Arrangörslista!K$53:$AG$90,16,FALSE),"DNS")))))),IF(Deltagarlista!$K$3=2,
IF(ISBLANK(Deltagarlista!$C25),"",IF(ISBLANK(Arrangörslista!N$8),"",IF($GV44=U$64," DNS ",IFERROR(VLOOKUP($F44,Arrangörslista!N$8:$AG$45,16,FALSE),"DNS")))),IF(ISBLANK(Deltagarlista!$C25),"",IF(ISBLANK(Arrangörslista!N$8),"",IFERROR(VLOOKUP($F44,Arrangörslista!N$8:$AG$45,16,FALSE),"DNS")))))</f>
        <v/>
      </c>
      <c r="V44" s="5" t="str">
        <f>IF(Deltagarlista!$K$3=4,IF(ISBLANK(Deltagarlista!$C25),"",IF(ISBLANK(Arrangörslista!L$53),"",IFERROR(VLOOKUP($F44,Arrangörslista!L$53:$AG$90,16,FALSE),IF(ISBLANK(Deltagarlista!$C25),"",IF(ISBLANK(Arrangörslista!L$53),"",IFERROR(VLOOKUP($F44,Arrangörslista!M$53:$AG$90,16,FALSE),"DNS")))))),IF(Deltagarlista!$K$3=2,
IF(ISBLANK(Deltagarlista!$C25),"",IF(ISBLANK(Arrangörslista!O$8),"",IF($GV44=V$64," DNS ",IFERROR(VLOOKUP($F44,Arrangörslista!O$8:$AG$45,16,FALSE),"DNS")))),IF(ISBLANK(Deltagarlista!$C25),"",IF(ISBLANK(Arrangörslista!O$8),"",IFERROR(VLOOKUP($F44,Arrangörslista!O$8:$AG$45,16,FALSE),"DNS")))))</f>
        <v/>
      </c>
      <c r="W44" s="5" t="str">
        <f>IF(Deltagarlista!$K$3=4,IF(ISBLANK(Deltagarlista!$C25),"",IF(ISBLANK(Arrangörslista!N$53),"",IFERROR(VLOOKUP($F44,Arrangörslista!N$53:$AG$90,16,FALSE),IF(ISBLANK(Deltagarlista!$C25),"",IF(ISBLANK(Arrangörslista!N$53),"",IFERROR(VLOOKUP($F44,Arrangörslista!O$53:$AG$90,16,FALSE),"DNS")))))),IF(Deltagarlista!$K$3=2,
IF(ISBLANK(Deltagarlista!$C25),"",IF(ISBLANK(Arrangörslista!P$8),"",IF($GV44=W$64," DNS ",IFERROR(VLOOKUP($F44,Arrangörslista!P$8:$AG$45,16,FALSE),"DNS")))),IF(ISBLANK(Deltagarlista!$C25),"",IF(ISBLANK(Arrangörslista!P$8),"",IFERROR(VLOOKUP($F44,Arrangörslista!P$8:$AG$45,16,FALSE),"DNS")))))</f>
        <v/>
      </c>
      <c r="X44" s="5" t="str">
        <f>IF(Deltagarlista!$K$3=4,IF(ISBLANK(Deltagarlista!$C25),"",IF(ISBLANK(Arrangörslista!P$53),"",IFERROR(VLOOKUP($F44,Arrangörslista!P$53:$AG$90,16,FALSE),IF(ISBLANK(Deltagarlista!$C25),"",IF(ISBLANK(Arrangörslista!P$53),"",IFERROR(VLOOKUP($F44,Arrangörslista!Q$53:$AG$90,16,FALSE),"DNS")))))),IF(Deltagarlista!$K$3=2,
IF(ISBLANK(Deltagarlista!$C25),"",IF(ISBLANK(Arrangörslista!Q$8),"",IF($GV44=X$64," DNS ",IFERROR(VLOOKUP($F44,Arrangörslista!Q$8:$AG$45,16,FALSE),"DNS")))),IF(ISBLANK(Deltagarlista!$C25),"",IF(ISBLANK(Arrangörslista!Q$8),"",IFERROR(VLOOKUP($F44,Arrangörslista!Q$8:$AG$45,16,FALSE),"DNS")))))</f>
        <v/>
      </c>
      <c r="Y44" s="5" t="str">
        <f>IF(Deltagarlista!$K$3=4,IF(ISBLANK(Deltagarlista!$C25),"",IF(ISBLANK(Arrangörslista!C$98),"",IFERROR(VLOOKUP($F44,Arrangörslista!C$98:$AG$135,16,FALSE),IF(ISBLANK(Deltagarlista!$C25),"",IF(ISBLANK(Arrangörslista!C$98),"",IFERROR(VLOOKUP($F44,Arrangörslista!D$98:$AG$135,16,FALSE),"DNS")))))),IF(Deltagarlista!$K$3=2,
IF(ISBLANK(Deltagarlista!$C25),"",IF(ISBLANK(Arrangörslista!C$53),"",IF($GV44=Y$64," DNS ",IFERROR(VLOOKUP($F44,Arrangörslista!C$53:$AG$90,16,FALSE),"DNS")))),IF(ISBLANK(Deltagarlista!$C25),"",IF(ISBLANK(Arrangörslista!C$53),"",IFERROR(VLOOKUP($F44,Arrangörslista!C$53:$AG$90,16,FALSE),"DNS")))))</f>
        <v/>
      </c>
      <c r="Z44" s="5" t="str">
        <f>IF(Deltagarlista!$K$3=4,IF(ISBLANK(Deltagarlista!$C25),"",IF(ISBLANK(Arrangörslista!E$98),"",IFERROR(VLOOKUP($F44,Arrangörslista!E$98:$AG$135,16,FALSE),IF(ISBLANK(Deltagarlista!$C25),"",IF(ISBLANK(Arrangörslista!E$98),"",IFERROR(VLOOKUP($F44,Arrangörslista!F$98:$AG$135,16,FALSE),"DNS")))))),IF(Deltagarlista!$K$3=2,
IF(ISBLANK(Deltagarlista!$C25),"",IF(ISBLANK(Arrangörslista!D$53),"",IF($GV44=Z$64," DNS ",IFERROR(VLOOKUP($F44,Arrangörslista!D$53:$AG$90,16,FALSE),"DNS")))),IF(ISBLANK(Deltagarlista!$C25),"",IF(ISBLANK(Arrangörslista!D$53),"",IFERROR(VLOOKUP($F44,Arrangörslista!D$53:$AG$90,16,FALSE),"DNS")))))</f>
        <v/>
      </c>
      <c r="AA44" s="5" t="str">
        <f>IF(Deltagarlista!$K$3=4,IF(ISBLANK(Deltagarlista!$C25),"",IF(ISBLANK(Arrangörslista!G$98),"",IFERROR(VLOOKUP($F44,Arrangörslista!G$98:$AG$135,16,FALSE),IF(ISBLANK(Deltagarlista!$C25),"",IF(ISBLANK(Arrangörslista!G$98),"",IFERROR(VLOOKUP($F44,Arrangörslista!H$98:$AG$135,16,FALSE),"DNS")))))),IF(Deltagarlista!$K$3=2,
IF(ISBLANK(Deltagarlista!$C25),"",IF(ISBLANK(Arrangörslista!E$53),"",IF($GV44=AA$64," DNS ",IFERROR(VLOOKUP($F44,Arrangörslista!E$53:$AG$90,16,FALSE),"DNS")))),IF(ISBLANK(Deltagarlista!$C25),"",IF(ISBLANK(Arrangörslista!E$53),"",IFERROR(VLOOKUP($F44,Arrangörslista!E$53:$AG$90,16,FALSE),"DNS")))))</f>
        <v/>
      </c>
      <c r="AB44" s="5" t="str">
        <f>IF(Deltagarlista!$K$3=4,IF(ISBLANK(Deltagarlista!$C25),"",IF(ISBLANK(Arrangörslista!I$98),"",IFERROR(VLOOKUP($F44,Arrangörslista!I$98:$AG$135,16,FALSE),IF(ISBLANK(Deltagarlista!$C25),"",IF(ISBLANK(Arrangörslista!I$98),"",IFERROR(VLOOKUP($F44,Arrangörslista!J$98:$AG$135,16,FALSE),"DNS")))))),IF(Deltagarlista!$K$3=2,
IF(ISBLANK(Deltagarlista!$C25),"",IF(ISBLANK(Arrangörslista!F$53),"",IF($GV44=AB$64," DNS ",IFERROR(VLOOKUP($F44,Arrangörslista!F$53:$AG$90,16,FALSE),"DNS")))),IF(ISBLANK(Deltagarlista!$C25),"",IF(ISBLANK(Arrangörslista!F$53),"",IFERROR(VLOOKUP($F44,Arrangörslista!F$53:$AG$90,16,FALSE),"DNS")))))</f>
        <v/>
      </c>
      <c r="AC44" s="5" t="str">
        <f>IF(Deltagarlista!$K$3=4,IF(ISBLANK(Deltagarlista!$C25),"",IF(ISBLANK(Arrangörslista!K$98),"",IFERROR(VLOOKUP($F44,Arrangörslista!K$98:$AG$135,16,FALSE),IF(ISBLANK(Deltagarlista!$C25),"",IF(ISBLANK(Arrangörslista!K$98),"",IFERROR(VLOOKUP($F44,Arrangörslista!L$98:$AG$135,16,FALSE),"DNS")))))),IF(Deltagarlista!$K$3=2,
IF(ISBLANK(Deltagarlista!$C25),"",IF(ISBLANK(Arrangörslista!G$53),"",IF($GV44=AC$64," DNS ",IFERROR(VLOOKUP($F44,Arrangörslista!G$53:$AG$90,16,FALSE),"DNS")))),IF(ISBLANK(Deltagarlista!$C25),"",IF(ISBLANK(Arrangörslista!G$53),"",IFERROR(VLOOKUP($F44,Arrangörslista!G$53:$AG$90,16,FALSE),"DNS")))))</f>
        <v/>
      </c>
      <c r="AD44" s="5" t="str">
        <f>IF(Deltagarlista!$K$3=4,IF(ISBLANK(Deltagarlista!$C25),"",IF(ISBLANK(Arrangörslista!M$98),"",IFERROR(VLOOKUP($F44,Arrangörslista!M$98:$AG$135,16,FALSE),IF(ISBLANK(Deltagarlista!$C25),"",IF(ISBLANK(Arrangörslista!M$98),"",IFERROR(VLOOKUP($F44,Arrangörslista!N$98:$AG$135,16,FALSE),"DNS")))))),IF(Deltagarlista!$K$3=2,
IF(ISBLANK(Deltagarlista!$C25),"",IF(ISBLANK(Arrangörslista!H$53),"",IF($GV44=AD$64," DNS ",IFERROR(VLOOKUP($F44,Arrangörslista!H$53:$AG$90,16,FALSE),"DNS")))),IF(ISBLANK(Deltagarlista!$C25),"",IF(ISBLANK(Arrangörslista!H$53),"",IFERROR(VLOOKUP($F44,Arrangörslista!H$53:$AG$90,16,FALSE),"DNS")))))</f>
        <v/>
      </c>
      <c r="AE44" s="5" t="str">
        <f>IF(Deltagarlista!$K$3=4,IF(ISBLANK(Deltagarlista!$C25),"",IF(ISBLANK(Arrangörslista!O$98),"",IFERROR(VLOOKUP($F44,Arrangörslista!O$98:$AG$135,16,FALSE),IF(ISBLANK(Deltagarlista!$C25),"",IF(ISBLANK(Arrangörslista!O$98),"",IFERROR(VLOOKUP($F44,Arrangörslista!P$98:$AG$135,16,FALSE),"DNS")))))),IF(Deltagarlista!$K$3=2,
IF(ISBLANK(Deltagarlista!$C25),"",IF(ISBLANK(Arrangörslista!I$53),"",IF($GV44=AE$64," DNS ",IFERROR(VLOOKUP($F44,Arrangörslista!I$53:$AG$90,16,FALSE),"DNS")))),IF(ISBLANK(Deltagarlista!$C25),"",IF(ISBLANK(Arrangörslista!I$53),"",IFERROR(VLOOKUP($F44,Arrangörslista!I$53:$AG$90,16,FALSE),"DNS")))))</f>
        <v/>
      </c>
      <c r="AF44" s="5" t="str">
        <f>IF(Deltagarlista!$K$3=4,IF(ISBLANK(Deltagarlista!$C25),"",IF(ISBLANK(Arrangörslista!Q$98),"",IFERROR(VLOOKUP($F44,Arrangörslista!Q$98:$AG$135,16,FALSE),IF(ISBLANK(Deltagarlista!$C25),"",IF(ISBLANK(Arrangörslista!Q$98),"",IFERROR(VLOOKUP($F44,Arrangörslista!C$143:$AG$180,16,FALSE),"DNS")))))),IF(Deltagarlista!$K$3=2,
IF(ISBLANK(Deltagarlista!$C25),"",IF(ISBLANK(Arrangörslista!J$53),"",IF($GV44=AF$64," DNS ",IFERROR(VLOOKUP($F44,Arrangörslista!J$53:$AG$90,16,FALSE),"DNS")))),IF(ISBLANK(Deltagarlista!$C25),"",IF(ISBLANK(Arrangörslista!J$53),"",IFERROR(VLOOKUP($F44,Arrangörslista!J$53:$AG$90,16,FALSE),"DNS")))))</f>
        <v/>
      </c>
      <c r="AG44" s="5" t="str">
        <f>IF(Deltagarlista!$K$3=4,IF(ISBLANK(Deltagarlista!$C25),"",IF(ISBLANK(Arrangörslista!D$143),"",IFERROR(VLOOKUP($F44,Arrangörslista!D$143:$AG$180,16,FALSE),IF(ISBLANK(Deltagarlista!$C25),"",IF(ISBLANK(Arrangörslista!D$143),"",IFERROR(VLOOKUP($F44,Arrangörslista!E$143:$AG$180,16,FALSE),"DNS")))))),IF(Deltagarlista!$K$3=2,
IF(ISBLANK(Deltagarlista!$C25),"",IF(ISBLANK(Arrangörslista!K$53),"",IF($GV44=AG$64," DNS ",IFERROR(VLOOKUP($F44,Arrangörslista!K$53:$AG$90,16,FALSE),"DNS")))),IF(ISBLANK(Deltagarlista!$C25),"",IF(ISBLANK(Arrangörslista!K$53),"",IFERROR(VLOOKUP($F44,Arrangörslista!K$53:$AG$90,16,FALSE),"DNS")))))</f>
        <v/>
      </c>
      <c r="AH44" s="5" t="str">
        <f>IF(Deltagarlista!$K$3=4,IF(ISBLANK(Deltagarlista!$C25),"",IF(ISBLANK(Arrangörslista!F$143),"",IFERROR(VLOOKUP($F44,Arrangörslista!F$143:$AG$180,16,FALSE),IF(ISBLANK(Deltagarlista!$C25),"",IF(ISBLANK(Arrangörslista!F$143),"",IFERROR(VLOOKUP($F44,Arrangörslista!G$143:$AG$180,16,FALSE),"DNS")))))),IF(Deltagarlista!$K$3=2,
IF(ISBLANK(Deltagarlista!$C25),"",IF(ISBLANK(Arrangörslista!L$53),"",IF($GV44=AH$64," DNS ",IFERROR(VLOOKUP($F44,Arrangörslista!L$53:$AG$90,16,FALSE),"DNS")))),IF(ISBLANK(Deltagarlista!$C25),"",IF(ISBLANK(Arrangörslista!L$53),"",IFERROR(VLOOKUP($F44,Arrangörslista!L$53:$AG$90,16,FALSE),"DNS")))))</f>
        <v/>
      </c>
      <c r="AI44" s="5" t="str">
        <f>IF(Deltagarlista!$K$3=4,IF(ISBLANK(Deltagarlista!$C25),"",IF(ISBLANK(Arrangörslista!H$143),"",IFERROR(VLOOKUP($F44,Arrangörslista!H$143:$AG$180,16,FALSE),IF(ISBLANK(Deltagarlista!$C25),"",IF(ISBLANK(Arrangörslista!H$143),"",IFERROR(VLOOKUP($F44,Arrangörslista!I$143:$AG$180,16,FALSE),"DNS")))))),IF(Deltagarlista!$K$3=2,
IF(ISBLANK(Deltagarlista!$C25),"",IF(ISBLANK(Arrangörslista!M$53),"",IF($GV44=AI$64," DNS ",IFERROR(VLOOKUP($F44,Arrangörslista!M$53:$AG$90,16,FALSE),"DNS")))),IF(ISBLANK(Deltagarlista!$C25),"",IF(ISBLANK(Arrangörslista!M$53),"",IFERROR(VLOOKUP($F44,Arrangörslista!M$53:$AG$90,16,FALSE),"DNS")))))</f>
        <v/>
      </c>
      <c r="AJ44" s="5" t="str">
        <f>IF(Deltagarlista!$K$3=4,IF(ISBLANK(Deltagarlista!$C25),"",IF(ISBLANK(Arrangörslista!J$143),"",IFERROR(VLOOKUP($F44,Arrangörslista!J$143:$AG$180,16,FALSE),IF(ISBLANK(Deltagarlista!$C25),"",IF(ISBLANK(Arrangörslista!J$143),"",IFERROR(VLOOKUP($F44,Arrangörslista!K$143:$AG$180,16,FALSE),"DNS")))))),IF(Deltagarlista!$K$3=2,
IF(ISBLANK(Deltagarlista!$C25),"",IF(ISBLANK(Arrangörslista!N$53),"",IF($GV44=AJ$64," DNS ",IFERROR(VLOOKUP($F44,Arrangörslista!N$53:$AG$90,16,FALSE),"DNS")))),IF(ISBLANK(Deltagarlista!$C25),"",IF(ISBLANK(Arrangörslista!N$53),"",IFERROR(VLOOKUP($F44,Arrangörslista!N$53:$AG$90,16,FALSE),"DNS")))))</f>
        <v/>
      </c>
      <c r="AK44" s="5" t="str">
        <f>IF(Deltagarlista!$K$3=4,IF(ISBLANK(Deltagarlista!$C25),"",IF(ISBLANK(Arrangörslista!L$143),"",IFERROR(VLOOKUP($F44,Arrangörslista!L$143:$AG$180,16,FALSE),IF(ISBLANK(Deltagarlista!$C25),"",IF(ISBLANK(Arrangörslista!L$143),"",IFERROR(VLOOKUP($F44,Arrangörslista!M$143:$AG$180,16,FALSE),"DNS")))))),IF(Deltagarlista!$K$3=2,
IF(ISBLANK(Deltagarlista!$C25),"",IF(ISBLANK(Arrangörslista!O$53),"",IF($GV44=AK$64," DNS ",IFERROR(VLOOKUP($F44,Arrangörslista!O$53:$AG$90,16,FALSE),"DNS")))),IF(ISBLANK(Deltagarlista!$C25),"",IF(ISBLANK(Arrangörslista!O$53),"",IFERROR(VLOOKUP($F44,Arrangörslista!O$53:$AG$90,16,FALSE),"DNS")))))</f>
        <v/>
      </c>
      <c r="AL44" s="5" t="str">
        <f>IF(Deltagarlista!$K$3=4,IF(ISBLANK(Deltagarlista!$C25),"",IF(ISBLANK(Arrangörslista!N$143),"",IFERROR(VLOOKUP($F44,Arrangörslista!N$143:$AG$180,16,FALSE),IF(ISBLANK(Deltagarlista!$C25),"",IF(ISBLANK(Arrangörslista!N$143),"",IFERROR(VLOOKUP($F44,Arrangörslista!O$143:$AG$180,16,FALSE),"DNS")))))),IF(Deltagarlista!$K$3=2,
IF(ISBLANK(Deltagarlista!$C25),"",IF(ISBLANK(Arrangörslista!P$53),"",IF($GV44=AL$64," DNS ",IFERROR(VLOOKUP($F44,Arrangörslista!P$53:$AG$90,16,FALSE),"DNS")))),IF(ISBLANK(Deltagarlista!$C25),"",IF(ISBLANK(Arrangörslista!P$53),"",IFERROR(VLOOKUP($F44,Arrangörslista!P$53:$AG$90,16,FALSE),"DNS")))))</f>
        <v/>
      </c>
      <c r="AM44" s="5" t="str">
        <f>IF(Deltagarlista!$K$3=4,IF(ISBLANK(Deltagarlista!$C25),"",IF(ISBLANK(Arrangörslista!P$143),"",IFERROR(VLOOKUP($F44,Arrangörslista!P$143:$AG$180,16,FALSE),IF(ISBLANK(Deltagarlista!$C25),"",IF(ISBLANK(Arrangörslista!P$143),"",IFERROR(VLOOKUP($F44,Arrangörslista!Q$143:$AG$180,16,FALSE),"DNS")))))),IF(Deltagarlista!$K$3=2,
IF(ISBLANK(Deltagarlista!$C25),"",IF(ISBLANK(Arrangörslista!Q$53),"",IF($GV44=AM$64," DNS ",IFERROR(VLOOKUP($F44,Arrangörslista!Q$53:$AG$90,16,FALSE),"DNS")))),IF(ISBLANK(Deltagarlista!$C25),"",IF(ISBLANK(Arrangörslista!Q$53),"",IFERROR(VLOOKUP($F44,Arrangörslista!Q$53:$AG$90,16,FALSE),"DNS")))))</f>
        <v/>
      </c>
      <c r="AN44" s="5" t="str">
        <f>IF(Deltagarlista!$K$3=2,
IF(ISBLANK(Deltagarlista!$C25),"",IF(ISBLANK(Arrangörslista!C$98),"",IF($GV44=AN$64," DNS ",IFERROR(VLOOKUP($F44,Arrangörslista!C$98:$AG$135,16,FALSE), "DNS")))), IF(Deltagarlista!$K$3=1,IF(ISBLANK(Deltagarlista!$C25),"",IF(ISBLANK(Arrangörslista!C$98),"",IFERROR(VLOOKUP($F44,Arrangörslista!C$98:$AG$135,16,FALSE), "DNS"))),""))</f>
        <v/>
      </c>
      <c r="AO44" s="5" t="str">
        <f>IF(Deltagarlista!$K$3=2,
IF(ISBLANK(Deltagarlista!$C25),"",IF(ISBLANK(Arrangörslista!D$98),"",IF($GV44=AO$64," DNS ",IFERROR(VLOOKUP($F44,Arrangörslista!D$98:$AG$135,16,FALSE), "DNS")))), IF(Deltagarlista!$K$3=1,IF(ISBLANK(Deltagarlista!$C25),"",IF(ISBLANK(Arrangörslista!D$98),"",IFERROR(VLOOKUP($F44,Arrangörslista!D$98:$AG$135,16,FALSE), "DNS"))),""))</f>
        <v/>
      </c>
      <c r="AP44" s="5" t="str">
        <f>IF(Deltagarlista!$K$3=2,
IF(ISBLANK(Deltagarlista!$C25),"",IF(ISBLANK(Arrangörslista!E$98),"",IF($GV44=AP$64," DNS ",IFERROR(VLOOKUP($F44,Arrangörslista!E$98:$AG$135,16,FALSE), "DNS")))), IF(Deltagarlista!$K$3=1,IF(ISBLANK(Deltagarlista!$C25),"",IF(ISBLANK(Arrangörslista!E$98),"",IFERROR(VLOOKUP($F44,Arrangörslista!E$98:$AG$135,16,FALSE), "DNS"))),""))</f>
        <v/>
      </c>
      <c r="AQ44" s="5" t="str">
        <f>IF(Deltagarlista!$K$3=2,
IF(ISBLANK(Deltagarlista!$C25),"",IF(ISBLANK(Arrangörslista!F$98),"",IF($GV44=AQ$64," DNS ",IFERROR(VLOOKUP($F44,Arrangörslista!F$98:$AG$135,16,FALSE), "DNS")))), IF(Deltagarlista!$K$3=1,IF(ISBLANK(Deltagarlista!$C25),"",IF(ISBLANK(Arrangörslista!F$98),"",IFERROR(VLOOKUP($F44,Arrangörslista!F$98:$AG$135,16,FALSE), "DNS"))),""))</f>
        <v/>
      </c>
      <c r="AR44" s="5" t="str">
        <f>IF(Deltagarlista!$K$3=2,
IF(ISBLANK(Deltagarlista!$C25),"",IF(ISBLANK(Arrangörslista!G$98),"",IF($GV44=AR$64," DNS ",IFERROR(VLOOKUP($F44,Arrangörslista!G$98:$AG$135,16,FALSE), "DNS")))), IF(Deltagarlista!$K$3=1,IF(ISBLANK(Deltagarlista!$C25),"",IF(ISBLANK(Arrangörslista!G$98),"",IFERROR(VLOOKUP($F44,Arrangörslista!G$98:$AG$135,16,FALSE), "DNS"))),""))</f>
        <v/>
      </c>
      <c r="AS44" s="5" t="str">
        <f>IF(Deltagarlista!$K$3=2,
IF(ISBLANK(Deltagarlista!$C25),"",IF(ISBLANK(Arrangörslista!H$98),"",IF($GV44=AS$64," DNS ",IFERROR(VLOOKUP($F44,Arrangörslista!H$98:$AG$135,16,FALSE), "DNS")))), IF(Deltagarlista!$K$3=1,IF(ISBLANK(Deltagarlista!$C25),"",IF(ISBLANK(Arrangörslista!H$98),"",IFERROR(VLOOKUP($F44,Arrangörslista!H$98:$AG$135,16,FALSE), "DNS"))),""))</f>
        <v/>
      </c>
      <c r="AT44" s="5" t="str">
        <f>IF(Deltagarlista!$K$3=2,
IF(ISBLANK(Deltagarlista!$C25),"",IF(ISBLANK(Arrangörslista!I$98),"",IF($GV44=AT$64," DNS ",IFERROR(VLOOKUP($F44,Arrangörslista!I$98:$AG$135,16,FALSE), "DNS")))), IF(Deltagarlista!$K$3=1,IF(ISBLANK(Deltagarlista!$C25),"",IF(ISBLANK(Arrangörslista!I$98),"",IFERROR(VLOOKUP($F44,Arrangörslista!I$98:$AG$135,16,FALSE), "DNS"))),""))</f>
        <v/>
      </c>
      <c r="AU44" s="5" t="str">
        <f>IF(Deltagarlista!$K$3=2,
IF(ISBLANK(Deltagarlista!$C25),"",IF(ISBLANK(Arrangörslista!J$98),"",IF($GV44=AU$64," DNS ",IFERROR(VLOOKUP($F44,Arrangörslista!J$98:$AG$135,16,FALSE), "DNS")))), IF(Deltagarlista!$K$3=1,IF(ISBLANK(Deltagarlista!$C25),"",IF(ISBLANK(Arrangörslista!J$98),"",IFERROR(VLOOKUP($F44,Arrangörslista!J$98:$AG$135,16,FALSE), "DNS"))),""))</f>
        <v/>
      </c>
      <c r="AV44" s="5" t="str">
        <f>IF(Deltagarlista!$K$3=2,
IF(ISBLANK(Deltagarlista!$C25),"",IF(ISBLANK(Arrangörslista!K$98),"",IF($GV44=AV$64," DNS ",IFERROR(VLOOKUP($F44,Arrangörslista!K$98:$AG$135,16,FALSE), "DNS")))), IF(Deltagarlista!$K$3=1,IF(ISBLANK(Deltagarlista!$C25),"",IF(ISBLANK(Arrangörslista!K$98),"",IFERROR(VLOOKUP($F44,Arrangörslista!K$98:$AG$135,16,FALSE), "DNS"))),""))</f>
        <v/>
      </c>
      <c r="AW44" s="5" t="str">
        <f>IF(Deltagarlista!$K$3=2,
IF(ISBLANK(Deltagarlista!$C25),"",IF(ISBLANK(Arrangörslista!L$98),"",IF($GV44=AW$64," DNS ",IFERROR(VLOOKUP($F44,Arrangörslista!L$98:$AG$135,16,FALSE), "DNS")))), IF(Deltagarlista!$K$3=1,IF(ISBLANK(Deltagarlista!$C25),"",IF(ISBLANK(Arrangörslista!L$98),"",IFERROR(VLOOKUP($F44,Arrangörslista!L$98:$AG$135,16,FALSE), "DNS"))),""))</f>
        <v/>
      </c>
      <c r="AX44" s="5" t="str">
        <f>IF(Deltagarlista!$K$3=2,
IF(ISBLANK(Deltagarlista!$C25),"",IF(ISBLANK(Arrangörslista!M$98),"",IF($GV44=AX$64," DNS ",IFERROR(VLOOKUP($F44,Arrangörslista!M$98:$AG$135,16,FALSE), "DNS")))), IF(Deltagarlista!$K$3=1,IF(ISBLANK(Deltagarlista!$C25),"",IF(ISBLANK(Arrangörslista!M$98),"",IFERROR(VLOOKUP($F44,Arrangörslista!M$98:$AG$135,16,FALSE), "DNS"))),""))</f>
        <v/>
      </c>
      <c r="AY44" s="5" t="str">
        <f>IF(Deltagarlista!$K$3=2,
IF(ISBLANK(Deltagarlista!$C25),"",IF(ISBLANK(Arrangörslista!N$98),"",IF($GV44=AY$64," DNS ",IFERROR(VLOOKUP($F44,Arrangörslista!N$98:$AG$135,16,FALSE), "DNS")))), IF(Deltagarlista!$K$3=1,IF(ISBLANK(Deltagarlista!$C25),"",IF(ISBLANK(Arrangörslista!N$98),"",IFERROR(VLOOKUP($F44,Arrangörslista!N$98:$AG$135,16,FALSE), "DNS"))),""))</f>
        <v/>
      </c>
      <c r="AZ44" s="5" t="str">
        <f>IF(Deltagarlista!$K$3=2,
IF(ISBLANK(Deltagarlista!$C25),"",IF(ISBLANK(Arrangörslista!O$98),"",IF($GV44=AZ$64," DNS ",IFERROR(VLOOKUP($F44,Arrangörslista!O$98:$AG$135,16,FALSE), "DNS")))), IF(Deltagarlista!$K$3=1,IF(ISBLANK(Deltagarlista!$C25),"",IF(ISBLANK(Arrangörslista!O$98),"",IFERROR(VLOOKUP($F44,Arrangörslista!O$98:$AG$135,16,FALSE), "DNS"))),""))</f>
        <v/>
      </c>
      <c r="BA44" s="5" t="str">
        <f>IF(Deltagarlista!$K$3=2,
IF(ISBLANK(Deltagarlista!$C25),"",IF(ISBLANK(Arrangörslista!P$98),"",IF($GV44=BA$64," DNS ",IFERROR(VLOOKUP($F44,Arrangörslista!P$98:$AG$135,16,FALSE), "DNS")))), IF(Deltagarlista!$K$3=1,IF(ISBLANK(Deltagarlista!$C25),"",IF(ISBLANK(Arrangörslista!P$98),"",IFERROR(VLOOKUP($F44,Arrangörslista!P$98:$AG$135,16,FALSE), "DNS"))),""))</f>
        <v/>
      </c>
      <c r="BB44" s="5" t="str">
        <f>IF(Deltagarlista!$K$3=2,
IF(ISBLANK(Deltagarlista!$C25),"",IF(ISBLANK(Arrangörslista!Q$98),"",IF($GV44=BB$64," DNS ",IFERROR(VLOOKUP($F44,Arrangörslista!Q$98:$AG$135,16,FALSE), "DNS")))), IF(Deltagarlista!$K$3=1,IF(ISBLANK(Deltagarlista!$C25),"",IF(ISBLANK(Arrangörslista!Q$98),"",IFERROR(VLOOKUP($F44,Arrangörslista!Q$98:$AG$135,16,FALSE), "DNS"))),""))</f>
        <v/>
      </c>
      <c r="BC44" s="5" t="str">
        <f>IF(Deltagarlista!$K$3=2,
IF(ISBLANK(Deltagarlista!$C25),"",IF(ISBLANK(Arrangörslista!C$143),"",IF($GV44=BC$64," DNS ",IFERROR(VLOOKUP($F44,Arrangörslista!C$143:$AG$180,16,FALSE), "DNS")))), IF(Deltagarlista!$K$3=1,IF(ISBLANK(Deltagarlista!$C25),"",IF(ISBLANK(Arrangörslista!C$143),"",IFERROR(VLOOKUP($F44,Arrangörslista!C$143:$AG$180,16,FALSE), "DNS"))),""))</f>
        <v/>
      </c>
      <c r="BD44" s="5" t="str">
        <f>IF(Deltagarlista!$K$3=2,
IF(ISBLANK(Deltagarlista!$C25),"",IF(ISBLANK(Arrangörslista!D$143),"",IF($GV44=BD$64," DNS ",IFERROR(VLOOKUP($F44,Arrangörslista!D$143:$AG$180,16,FALSE), "DNS")))), IF(Deltagarlista!$K$3=1,IF(ISBLANK(Deltagarlista!$C25),"",IF(ISBLANK(Arrangörslista!D$143),"",IFERROR(VLOOKUP($F44,Arrangörslista!D$143:$AG$180,16,FALSE), "DNS"))),""))</f>
        <v/>
      </c>
      <c r="BE44" s="5" t="str">
        <f>IF(Deltagarlista!$K$3=2,
IF(ISBLANK(Deltagarlista!$C25),"",IF(ISBLANK(Arrangörslista!E$143),"",IF($GV44=BE$64," DNS ",IFERROR(VLOOKUP($F44,Arrangörslista!E$143:$AG$180,16,FALSE), "DNS")))), IF(Deltagarlista!$K$3=1,IF(ISBLANK(Deltagarlista!$C25),"",IF(ISBLANK(Arrangörslista!E$143),"",IFERROR(VLOOKUP($F44,Arrangörslista!E$143:$AG$180,16,FALSE), "DNS"))),""))</f>
        <v/>
      </c>
      <c r="BF44" s="5" t="str">
        <f>IF(Deltagarlista!$K$3=2,
IF(ISBLANK(Deltagarlista!$C25),"",IF(ISBLANK(Arrangörslista!F$143),"",IF($GV44=BF$64," DNS ",IFERROR(VLOOKUP($F44,Arrangörslista!F$143:$AG$180,16,FALSE), "DNS")))), IF(Deltagarlista!$K$3=1,IF(ISBLANK(Deltagarlista!$C25),"",IF(ISBLANK(Arrangörslista!F$143),"",IFERROR(VLOOKUP($F44,Arrangörslista!F$143:$AG$180,16,FALSE), "DNS"))),""))</f>
        <v/>
      </c>
      <c r="BG44" s="5" t="str">
        <f>IF(Deltagarlista!$K$3=2,
IF(ISBLANK(Deltagarlista!$C25),"",IF(ISBLANK(Arrangörslista!G$143),"",IF($GV44=BG$64," DNS ",IFERROR(VLOOKUP($F44,Arrangörslista!G$143:$AG$180,16,FALSE), "DNS")))), IF(Deltagarlista!$K$3=1,IF(ISBLANK(Deltagarlista!$C25),"",IF(ISBLANK(Arrangörslista!G$143),"",IFERROR(VLOOKUP($F44,Arrangörslista!G$143:$AG$180,16,FALSE), "DNS"))),""))</f>
        <v/>
      </c>
      <c r="BH44" s="5" t="str">
        <f>IF(Deltagarlista!$K$3=2,
IF(ISBLANK(Deltagarlista!$C25),"",IF(ISBLANK(Arrangörslista!H$143),"",IF($GV44=BH$64," DNS ",IFERROR(VLOOKUP($F44,Arrangörslista!H$143:$AG$180,16,FALSE), "DNS")))), IF(Deltagarlista!$K$3=1,IF(ISBLANK(Deltagarlista!$C25),"",IF(ISBLANK(Arrangörslista!H$143),"",IFERROR(VLOOKUP($F44,Arrangörslista!H$143:$AG$180,16,FALSE), "DNS"))),""))</f>
        <v/>
      </c>
      <c r="BI44" s="5" t="str">
        <f>IF(Deltagarlista!$K$3=2,
IF(ISBLANK(Deltagarlista!$C25),"",IF(ISBLANK(Arrangörslista!I$143),"",IF($GV44=BI$64," DNS ",IFERROR(VLOOKUP($F44,Arrangörslista!I$143:$AG$180,16,FALSE), "DNS")))), IF(Deltagarlista!$K$3=1,IF(ISBLANK(Deltagarlista!$C25),"",IF(ISBLANK(Arrangörslista!I$143),"",IFERROR(VLOOKUP($F44,Arrangörslista!I$143:$AG$180,16,FALSE), "DNS"))),""))</f>
        <v/>
      </c>
      <c r="BJ44" s="5" t="str">
        <f>IF(Deltagarlista!$K$3=2,
IF(ISBLANK(Deltagarlista!$C25),"",IF(ISBLANK(Arrangörslista!J$143),"",IF($GV44=BJ$64," DNS ",IFERROR(VLOOKUP($F44,Arrangörslista!J$143:$AG$180,16,FALSE), "DNS")))), IF(Deltagarlista!$K$3=1,IF(ISBLANK(Deltagarlista!$C25),"",IF(ISBLANK(Arrangörslista!J$143),"",IFERROR(VLOOKUP($F44,Arrangörslista!J$143:$AG$180,16,FALSE), "DNS"))),""))</f>
        <v/>
      </c>
      <c r="BK44" s="5" t="str">
        <f>IF(Deltagarlista!$K$3=2,
IF(ISBLANK(Deltagarlista!$C25),"",IF(ISBLANK(Arrangörslista!K$143),"",IF($GV44=BK$64," DNS ",IFERROR(VLOOKUP($F44,Arrangörslista!K$143:$AG$180,16,FALSE), "DNS")))), IF(Deltagarlista!$K$3=1,IF(ISBLANK(Deltagarlista!$C25),"",IF(ISBLANK(Arrangörslista!K$143),"",IFERROR(VLOOKUP($F44,Arrangörslista!K$143:$AG$180,16,FALSE), "DNS"))),""))</f>
        <v/>
      </c>
      <c r="BL44" s="5" t="str">
        <f>IF(Deltagarlista!$K$3=2,
IF(ISBLANK(Deltagarlista!$C25),"",IF(ISBLANK(Arrangörslista!L$143),"",IF($GV44=BL$64," DNS ",IFERROR(VLOOKUP($F44,Arrangörslista!L$143:$AG$180,16,FALSE), "DNS")))), IF(Deltagarlista!$K$3=1,IF(ISBLANK(Deltagarlista!$C25),"",IF(ISBLANK(Arrangörslista!L$143),"",IFERROR(VLOOKUP($F44,Arrangörslista!L$143:$AG$180,16,FALSE), "DNS"))),""))</f>
        <v/>
      </c>
      <c r="BM44" s="5" t="str">
        <f>IF(Deltagarlista!$K$3=2,
IF(ISBLANK(Deltagarlista!$C25),"",IF(ISBLANK(Arrangörslista!M$143),"",IF($GV44=BM$64," DNS ",IFERROR(VLOOKUP($F44,Arrangörslista!M$143:$AG$180,16,FALSE), "DNS")))), IF(Deltagarlista!$K$3=1,IF(ISBLANK(Deltagarlista!$C25),"",IF(ISBLANK(Arrangörslista!M$143),"",IFERROR(VLOOKUP($F44,Arrangörslista!M$143:$AG$180,16,FALSE), "DNS"))),""))</f>
        <v/>
      </c>
      <c r="BN44" s="5" t="str">
        <f>IF(Deltagarlista!$K$3=2,
IF(ISBLANK(Deltagarlista!$C25),"",IF(ISBLANK(Arrangörslista!N$143),"",IF($GV44=BN$64," DNS ",IFERROR(VLOOKUP($F44,Arrangörslista!N$143:$AG$180,16,FALSE), "DNS")))), IF(Deltagarlista!$K$3=1,IF(ISBLANK(Deltagarlista!$C25),"",IF(ISBLANK(Arrangörslista!N$143),"",IFERROR(VLOOKUP($F44,Arrangörslista!N$143:$AG$180,16,FALSE), "DNS"))),""))</f>
        <v/>
      </c>
      <c r="BO44" s="5" t="str">
        <f>IF(Deltagarlista!$K$3=2,
IF(ISBLANK(Deltagarlista!$C25),"",IF(ISBLANK(Arrangörslista!O$143),"",IF($GV44=BO$64," DNS ",IFERROR(VLOOKUP($F44,Arrangörslista!O$143:$AG$180,16,FALSE), "DNS")))), IF(Deltagarlista!$K$3=1,IF(ISBLANK(Deltagarlista!$C25),"",IF(ISBLANK(Arrangörslista!O$143),"",IFERROR(VLOOKUP($F44,Arrangörslista!O$143:$AG$180,16,FALSE), "DNS"))),""))</f>
        <v/>
      </c>
      <c r="BP44" s="5" t="str">
        <f>IF(Deltagarlista!$K$3=2,
IF(ISBLANK(Deltagarlista!$C25),"",IF(ISBLANK(Arrangörslista!P$143),"",IF($GV44=BP$64," DNS ",IFERROR(VLOOKUP($F44,Arrangörslista!P$143:$AG$180,16,FALSE), "DNS")))), IF(Deltagarlista!$K$3=1,IF(ISBLANK(Deltagarlista!$C25),"",IF(ISBLANK(Arrangörslista!P$143),"",IFERROR(VLOOKUP($F44,Arrangörslista!P$143:$AG$180,16,FALSE), "DNS"))),""))</f>
        <v/>
      </c>
      <c r="BQ44" s="80" t="str">
        <f>IF(Deltagarlista!$K$3=2,
IF(ISBLANK(Deltagarlista!$C25),"",IF(ISBLANK(Arrangörslista!Q$143),"",IF($GV44=BQ$64," DNS ",IFERROR(VLOOKUP($F44,Arrangörslista!Q$143:$AG$180,16,FALSE), "DNS")))), IF(Deltagarlista!$K$3=1,IF(ISBLANK(Deltagarlista!$C25),"",IF(ISBLANK(Arrangörslista!Q$143),"",IFERROR(VLOOKUP($F44,Arrangörslista!Q$143:$AG$180,16,FALSE), "DNS"))),""))</f>
        <v/>
      </c>
      <c r="BR44" s="51"/>
      <c r="BS44" s="50" t="str">
        <f t="shared" si="125"/>
        <v>2</v>
      </c>
      <c r="BT44" s="51"/>
      <c r="BU44" s="71">
        <f t="shared" si="126"/>
        <v>0</v>
      </c>
      <c r="BV44" s="61">
        <f t="shared" si="127"/>
        <v>0</v>
      </c>
      <c r="BW44" s="61">
        <f t="shared" si="128"/>
        <v>0</v>
      </c>
      <c r="BX44" s="61">
        <f t="shared" si="129"/>
        <v>0</v>
      </c>
      <c r="BY44" s="61">
        <f t="shared" si="130"/>
        <v>0</v>
      </c>
      <c r="BZ44" s="61">
        <f t="shared" si="131"/>
        <v>0</v>
      </c>
      <c r="CA44" s="61">
        <f t="shared" si="132"/>
        <v>0</v>
      </c>
      <c r="CB44" s="61">
        <f t="shared" si="133"/>
        <v>0</v>
      </c>
      <c r="CC44" s="61">
        <f t="shared" si="134"/>
        <v>0</v>
      </c>
      <c r="CD44" s="61">
        <f t="shared" si="135"/>
        <v>0</v>
      </c>
      <c r="CE44" s="61">
        <f t="shared" si="136"/>
        <v>0</v>
      </c>
      <c r="CF44" s="61">
        <f t="shared" si="137"/>
        <v>0</v>
      </c>
      <c r="CG44" s="61">
        <f t="shared" si="138"/>
        <v>0</v>
      </c>
      <c r="CH44" s="61">
        <f t="shared" si="139"/>
        <v>0</v>
      </c>
      <c r="CI44" s="61">
        <f t="shared" si="140"/>
        <v>0</v>
      </c>
      <c r="CJ44" s="61">
        <f t="shared" si="141"/>
        <v>0</v>
      </c>
      <c r="CK44" s="61">
        <f t="shared" si="142"/>
        <v>0</v>
      </c>
      <c r="CL44" s="61">
        <f t="shared" si="143"/>
        <v>0</v>
      </c>
      <c r="CM44" s="61">
        <f t="shared" si="144"/>
        <v>0</v>
      </c>
      <c r="CN44" s="61">
        <f t="shared" si="145"/>
        <v>0</v>
      </c>
      <c r="CO44" s="61">
        <f t="shared" si="146"/>
        <v>0</v>
      </c>
      <c r="CP44" s="61">
        <f t="shared" si="147"/>
        <v>0</v>
      </c>
      <c r="CQ44" s="61">
        <f t="shared" si="148"/>
        <v>0</v>
      </c>
      <c r="CR44" s="61">
        <f t="shared" si="149"/>
        <v>0</v>
      </c>
      <c r="CS44" s="61">
        <f t="shared" si="150"/>
        <v>0</v>
      </c>
      <c r="CT44" s="61">
        <f t="shared" si="151"/>
        <v>0</v>
      </c>
      <c r="CU44" s="61">
        <f t="shared" si="152"/>
        <v>0</v>
      </c>
      <c r="CV44" s="61">
        <f t="shared" si="153"/>
        <v>0</v>
      </c>
      <c r="CW44" s="61">
        <f t="shared" si="154"/>
        <v>0</v>
      </c>
      <c r="CX44" s="61">
        <f t="shared" si="155"/>
        <v>0</v>
      </c>
      <c r="CY44" s="61">
        <f t="shared" si="156"/>
        <v>0</v>
      </c>
      <c r="CZ44" s="61">
        <f t="shared" si="157"/>
        <v>0</v>
      </c>
      <c r="DA44" s="61">
        <f t="shared" si="158"/>
        <v>0</v>
      </c>
      <c r="DB44" s="61">
        <f t="shared" si="159"/>
        <v>0</v>
      </c>
      <c r="DC44" s="61">
        <f t="shared" si="160"/>
        <v>0</v>
      </c>
      <c r="DD44" s="61">
        <f t="shared" si="161"/>
        <v>0</v>
      </c>
      <c r="DE44" s="61">
        <f t="shared" si="162"/>
        <v>0</v>
      </c>
      <c r="DF44" s="61">
        <f t="shared" si="163"/>
        <v>0</v>
      </c>
      <c r="DG44" s="61">
        <f t="shared" si="164"/>
        <v>0</v>
      </c>
      <c r="DH44" s="61">
        <f t="shared" si="165"/>
        <v>0</v>
      </c>
      <c r="DI44" s="61">
        <f t="shared" si="166"/>
        <v>0</v>
      </c>
      <c r="DJ44" s="61">
        <f t="shared" si="167"/>
        <v>0</v>
      </c>
      <c r="DK44" s="61">
        <f t="shared" si="168"/>
        <v>0</v>
      </c>
      <c r="DL44" s="61">
        <f t="shared" si="169"/>
        <v>0</v>
      </c>
      <c r="DM44" s="61">
        <f t="shared" si="170"/>
        <v>0</v>
      </c>
      <c r="DN44" s="61">
        <f t="shared" si="171"/>
        <v>0</v>
      </c>
      <c r="DO44" s="61">
        <f t="shared" si="172"/>
        <v>0</v>
      </c>
      <c r="DP44" s="61">
        <f t="shared" si="173"/>
        <v>0</v>
      </c>
      <c r="DQ44" s="61">
        <f t="shared" si="174"/>
        <v>0</v>
      </c>
      <c r="DR44" s="61">
        <f t="shared" si="175"/>
        <v>0</v>
      </c>
      <c r="DS44" s="61">
        <f t="shared" si="176"/>
        <v>0</v>
      </c>
      <c r="DT44" s="61">
        <f t="shared" si="177"/>
        <v>0</v>
      </c>
      <c r="DU44" s="61">
        <f t="shared" si="178"/>
        <v>0</v>
      </c>
      <c r="DV44" s="61">
        <f t="shared" si="179"/>
        <v>0</v>
      </c>
      <c r="DW44" s="61">
        <f t="shared" si="180"/>
        <v>0</v>
      </c>
      <c r="DX44" s="61">
        <f t="shared" si="181"/>
        <v>0</v>
      </c>
      <c r="DY44" s="61">
        <f t="shared" si="182"/>
        <v>0</v>
      </c>
      <c r="DZ44" s="61">
        <f t="shared" si="183"/>
        <v>0</v>
      </c>
      <c r="EA44" s="61">
        <f t="shared" si="184"/>
        <v>0</v>
      </c>
      <c r="EB44" s="61">
        <f t="shared" si="185"/>
        <v>0</v>
      </c>
      <c r="EC44" s="61">
        <f t="shared" si="186"/>
        <v>0</v>
      </c>
      <c r="EE44" s="61">
        <f xml:space="preserve">
IF(OR(Deltagarlista!$K$3=3,Deltagarlista!$K$3=4),
IF(Arrangörslista!$U$5&lt;8,0,
IF(Arrangörslista!$U$5&lt;16,SUM(LARGE(BV44:CJ44,1)),
IF(Arrangörslista!$U$5&lt;24,SUM(LARGE(BV44:CR44,{1;2})),
IF(Arrangörslista!$U$5&lt;32,SUM(LARGE(BV44:CZ44,{1;2;3})),
IF(Arrangörslista!$U$5&lt;40,SUM(LARGE(BV44:DH44,{1;2;3;4})),
IF(Arrangörslista!$U$5&lt;48,SUM(LARGE(BV44:DP44,{1;2;3;4;5})),
IF(Arrangörslista!$U$5&lt;56,SUM(LARGE(BV44:DX44,{1;2;3;4;5;6})),
IF(Arrangörslista!$U$5&lt;64,SUM(LARGE(BV44:EC44,{1;2;3;4;5;6;7})),0)))))))),
IF(Deltagarlista!$K$3=2,
IF(Arrangörslista!$U$5&lt;4,LARGE(BV44:BX44,1),
IF(Arrangörslista!$U$5&lt;7,SUM(LARGE(BV44:CA44,{1;2;3})),
IF(Arrangörslista!$U$5&lt;10,SUM(LARGE(BV44:CD44,{1;2;3;4})),
IF(Arrangörslista!$U$5&lt;13,SUM(LARGE(BV44:CG44,{1;2;3;4;5;6})),
IF(Arrangörslista!$U$5&lt;16,SUM(LARGE(BV44:CJ44,{1;2;3;4;5;6;7})),
IF(Arrangörslista!$U$5&lt;19,SUM(LARGE(BV44:CM44,{1;2;3;4;5;6;7;8;9})),
IF(Arrangörslista!$U$5&lt;22,SUM(LARGE(BV44:CP44,{1;2;3;4;5;6;7;8;9;10})),
IF(Arrangörslista!$U$5&lt;25,SUM(LARGE(BV44:CS44,{1;2;3;4;5;6;7;8;9;10;11;12})),
IF(Arrangörslista!$U$5&lt;28,SUM(LARGE(BV44:CV44,{1;2;3;4;5;6;7;8;9;10;11;12;13})),
IF(Arrangörslista!$U$5&lt;31,SUM(LARGE(BV44:CY44,{1;2;3;4;5;6;7;8;9;10;11;12;13;14;15})),
IF(Arrangörslista!$U$5&lt;34,SUM(LARGE(BV44:DB44,{1;2;3;4;5;6;7;8;9;10;11;12;13;14;15;16})),
IF(Arrangörslista!$U$5&lt;37,SUM(LARGE(BV44:DE44,{1;2;3;4;5;6;7;8;9;10;11;12;13;14;15;16;17;18})),
IF(Arrangörslista!$U$5&lt;40,SUM(LARGE(BV44:DH44,{1;2;3;4;5;6;7;8;9;10;11;12;13;14;15;16;17;18;19})),
IF(Arrangörslista!$U$5&lt;43,SUM(LARGE(BV44:DK44,{1;2;3;4;5;6;7;8;9;10;11;12;13;14;15;16;17;18;19;20;21})),
IF(Arrangörslista!$U$5&lt;46,SUM(LARGE(BV44:DN44,{1;2;3;4;5;6;7;8;9;10;11;12;13;14;15;16;17;18;19;20;21;22})),
IF(Arrangörslista!$U$5&lt;49,SUM(LARGE(BV44:DQ44,{1;2;3;4;5;6;7;8;9;10;11;12;13;14;15;16;17;18;19;20;21;22;23;24})),
IF(Arrangörslista!$U$5&lt;52,SUM(LARGE(BV44:DT44,{1;2;3;4;5;6;7;8;9;10;11;12;13;14;15;16;17;18;19;20;21;22;23;24;25})),
IF(Arrangörslista!$U$5&lt;55,SUM(LARGE(BV44:DW44,{1;2;3;4;5;6;7;8;9;10;11;12;13;14;15;16;17;18;19;20;21;22;23;24;25;26;27})),
IF(Arrangörslista!$U$5&lt;58,SUM(LARGE(BV44:DZ44,{1;2;3;4;5;6;7;8;9;10;11;12;13;14;15;16;17;18;19;20;21;22;23;24;25;26;27;28})),
IF(Arrangörslista!$U$5&lt;61,SUM(LARGE(BV44:EC44,{1;2;3;4;5;6;7;8;9;10;11;12;13;14;15;16;17;18;19;20;21;22;23;24;25;26;27;28;29;30})),0)))))))))))))))))))),
IF(Arrangörslista!$U$5&lt;4,0,
IF(Arrangörslista!$U$5&lt;8,SUM(LARGE(BV44:CB44,1)),
IF(Arrangörslista!$U$5&lt;12,SUM(LARGE(BV44:CF44,{1;2})),
IF(Arrangörslista!$U$5&lt;16,SUM(LARGE(BV44:CJ44,{1;2;3})),
IF(Arrangörslista!$U$5&lt;20,SUM(LARGE(BV44:CN44,{1;2;3;4})),
IF(Arrangörslista!$U$5&lt;24,SUM(LARGE(BV44:CR44,{1;2;3;4;5})),
IF(Arrangörslista!$U$5&lt;28,SUM(LARGE(BV44:CV44,{1;2;3;4;5;6})),
IF(Arrangörslista!$U$5&lt;32,SUM(LARGE(BV44:CZ44,{1;2;3;4;5;6;7})),
IF(Arrangörslista!$U$5&lt;36,SUM(LARGE(BV44:DD44,{1;2;3;4;5;6;7;8})),
IF(Arrangörslista!$U$5&lt;40,SUM(LARGE(BV44:DH44,{1;2;3;4;5;6;7;8;9})),
IF(Arrangörslista!$U$5&lt;44,SUM(LARGE(BV44:DL44,{1;2;3;4;5;6;7;8;9;10})),
IF(Arrangörslista!$U$5&lt;48,SUM(LARGE(BV44:DP44,{1;2;3;4;5;6;7;8;9;10;11})),
IF(Arrangörslista!$U$5&lt;52,SUM(LARGE(BV44:DT44,{1;2;3;4;5;6;7;8;9;10;11;12})),
IF(Arrangörslista!$U$5&lt;56,SUM(LARGE(BV44:DX44,{1;2;3;4;5;6;7;8;9;10;11;12;13})),
IF(Arrangörslista!$U$5&lt;60,SUM(LARGE(BV44:EB44,{1;2;3;4;5;6;7;8;9;10;11;12;13;14})),
IF(Arrangörslista!$U$5=60,SUM(LARGE(BV44:EC44,{1;2;3;4;5;6;7;8;9;10;11;12;13;14;15})),0))))))))))))))))))</f>
        <v>0</v>
      </c>
      <c r="EG44" s="67">
        <f t="shared" si="187"/>
        <v>0</v>
      </c>
      <c r="EH44" s="61"/>
      <c r="EI44" s="61"/>
      <c r="EK44" s="62">
        <f t="shared" si="188"/>
        <v>61</v>
      </c>
      <c r="EL44" s="62">
        <f t="shared" si="189"/>
        <v>61</v>
      </c>
      <c r="EM44" s="62">
        <f t="shared" si="190"/>
        <v>61</v>
      </c>
      <c r="EN44" s="62">
        <f t="shared" si="191"/>
        <v>61</v>
      </c>
      <c r="EO44" s="62">
        <f t="shared" si="192"/>
        <v>61</v>
      </c>
      <c r="EP44" s="62">
        <f t="shared" si="193"/>
        <v>61</v>
      </c>
      <c r="EQ44" s="62">
        <f t="shared" si="194"/>
        <v>61</v>
      </c>
      <c r="ER44" s="62">
        <f t="shared" si="195"/>
        <v>61</v>
      </c>
      <c r="ES44" s="62">
        <f t="shared" si="196"/>
        <v>61</v>
      </c>
      <c r="ET44" s="62">
        <f t="shared" si="197"/>
        <v>61</v>
      </c>
      <c r="EU44" s="62">
        <f t="shared" si="198"/>
        <v>61</v>
      </c>
      <c r="EV44" s="62">
        <f t="shared" si="199"/>
        <v>61</v>
      </c>
      <c r="EW44" s="62">
        <f t="shared" si="200"/>
        <v>61</v>
      </c>
      <c r="EX44" s="62">
        <f t="shared" si="201"/>
        <v>61</v>
      </c>
      <c r="EY44" s="62">
        <f t="shared" si="202"/>
        <v>61</v>
      </c>
      <c r="EZ44" s="62">
        <f t="shared" si="203"/>
        <v>61</v>
      </c>
      <c r="FA44" s="62">
        <f t="shared" si="204"/>
        <v>61</v>
      </c>
      <c r="FB44" s="62">
        <f t="shared" si="205"/>
        <v>61</v>
      </c>
      <c r="FC44" s="62">
        <f t="shared" si="206"/>
        <v>61</v>
      </c>
      <c r="FD44" s="62">
        <f t="shared" si="207"/>
        <v>61</v>
      </c>
      <c r="FE44" s="62">
        <f t="shared" si="208"/>
        <v>61</v>
      </c>
      <c r="FF44" s="62">
        <f t="shared" si="209"/>
        <v>61</v>
      </c>
      <c r="FG44" s="62">
        <f t="shared" si="210"/>
        <v>61</v>
      </c>
      <c r="FH44" s="62">
        <f t="shared" si="211"/>
        <v>61</v>
      </c>
      <c r="FI44" s="62">
        <f t="shared" si="212"/>
        <v>61</v>
      </c>
      <c r="FJ44" s="62">
        <f t="shared" si="213"/>
        <v>61</v>
      </c>
      <c r="FK44" s="62">
        <f t="shared" si="214"/>
        <v>61</v>
      </c>
      <c r="FL44" s="62">
        <f t="shared" si="215"/>
        <v>61</v>
      </c>
      <c r="FM44" s="62">
        <f t="shared" si="216"/>
        <v>61</v>
      </c>
      <c r="FN44" s="62">
        <f t="shared" si="217"/>
        <v>61</v>
      </c>
      <c r="FO44" s="62">
        <f t="shared" si="218"/>
        <v>61</v>
      </c>
      <c r="FP44" s="62">
        <f t="shared" si="219"/>
        <v>61</v>
      </c>
      <c r="FQ44" s="62">
        <f t="shared" si="220"/>
        <v>61</v>
      </c>
      <c r="FR44" s="62">
        <f t="shared" si="221"/>
        <v>61</v>
      </c>
      <c r="FS44" s="62">
        <f t="shared" si="222"/>
        <v>61</v>
      </c>
      <c r="FT44" s="62">
        <f t="shared" si="223"/>
        <v>61</v>
      </c>
      <c r="FU44" s="62">
        <f t="shared" si="224"/>
        <v>61</v>
      </c>
      <c r="FV44" s="62">
        <f t="shared" si="225"/>
        <v>61</v>
      </c>
      <c r="FW44" s="62">
        <f t="shared" si="226"/>
        <v>61</v>
      </c>
      <c r="FX44" s="62">
        <f t="shared" si="227"/>
        <v>61</v>
      </c>
      <c r="FY44" s="62">
        <f t="shared" si="228"/>
        <v>61</v>
      </c>
      <c r="FZ44" s="62">
        <f t="shared" si="229"/>
        <v>61</v>
      </c>
      <c r="GA44" s="62">
        <f t="shared" si="230"/>
        <v>61</v>
      </c>
      <c r="GB44" s="62">
        <f t="shared" si="231"/>
        <v>61</v>
      </c>
      <c r="GC44" s="62">
        <f t="shared" si="232"/>
        <v>61</v>
      </c>
      <c r="GD44" s="62">
        <f t="shared" si="233"/>
        <v>61</v>
      </c>
      <c r="GE44" s="62">
        <f t="shared" si="234"/>
        <v>61</v>
      </c>
      <c r="GF44" s="62">
        <f t="shared" si="235"/>
        <v>61</v>
      </c>
      <c r="GG44" s="62">
        <f t="shared" si="236"/>
        <v>61</v>
      </c>
      <c r="GH44" s="62">
        <f t="shared" si="237"/>
        <v>61</v>
      </c>
      <c r="GI44" s="62">
        <f t="shared" si="238"/>
        <v>61</v>
      </c>
      <c r="GJ44" s="62">
        <f t="shared" si="239"/>
        <v>61</v>
      </c>
      <c r="GK44" s="62">
        <f t="shared" si="240"/>
        <v>61</v>
      </c>
      <c r="GL44" s="62">
        <f t="shared" si="241"/>
        <v>61</v>
      </c>
      <c r="GM44" s="62">
        <f t="shared" si="242"/>
        <v>61</v>
      </c>
      <c r="GN44" s="62">
        <f t="shared" si="243"/>
        <v>61</v>
      </c>
      <c r="GO44" s="62">
        <f t="shared" si="244"/>
        <v>61</v>
      </c>
      <c r="GP44" s="62">
        <f t="shared" si="245"/>
        <v>61</v>
      </c>
      <c r="GQ44" s="62">
        <f t="shared" si="246"/>
        <v>61</v>
      </c>
      <c r="GR44" s="62">
        <f t="shared" si="247"/>
        <v>61</v>
      </c>
      <c r="GT44" s="62">
        <f>IF(Deltagarlista!$K$3=2,
IF(GW44="1",
      IF(Arrangörslista!$U$5=1,J107,
IF(Arrangörslista!$U$5=2,K107,
IF(Arrangörslista!$U$5=3,L107,
IF(Arrangörslista!$U$5=4,M107,
IF(Arrangörslista!$U$5=5,N107,
IF(Arrangörslista!$U$5=6,O107,
IF(Arrangörslista!$U$5=7,P107,
IF(Arrangörslista!$U$5=8,Q107,
IF(Arrangörslista!$U$5=9,R107,
IF(Arrangörslista!$U$5=10,S107,
IF(Arrangörslista!$U$5=11,T107,
IF(Arrangörslista!$U$5=12,U107,
IF(Arrangörslista!$U$5=13,V107,
IF(Arrangörslista!$U$5=14,W107,
IF(Arrangörslista!$U$5=15,X107,
IF(Arrangörslista!$U$5=16,Y107,IF(Arrangörslista!$U$5=17,Z107,IF(Arrangörslista!$U$5=18,AA107,IF(Arrangörslista!$U$5=19,AB107,IF(Arrangörslista!$U$5=20,AC107,IF(Arrangörslista!$U$5=21,AD107,IF(Arrangörslista!$U$5=22,AE107,IF(Arrangörslista!$U$5=23,AF107, IF(Arrangörslista!$U$5=24,AG107, IF(Arrangörslista!$U$5=25,AH107, IF(Arrangörslista!$U$5=26,AI107, IF(Arrangörslista!$U$5=27,AJ107, IF(Arrangörslista!$U$5=28,AK107, IF(Arrangörslista!$U$5=29,AL107, IF(Arrangörslista!$U$5=30,AM107, IF(Arrangörslista!$U$5=31,AN107, IF(Arrangörslista!$U$5=32,AO107, IF(Arrangörslista!$U$5=33,AP107, IF(Arrangörslista!$U$5=34,AQ107, IF(Arrangörslista!$U$5=35,AR107, IF(Arrangörslista!$U$5=36,AS107, IF(Arrangörslista!$U$5=37,AT107, IF(Arrangörslista!$U$5=38,AU107, IF(Arrangörslista!$U$5=39,AV107, IF(Arrangörslista!$U$5=40,AW107, IF(Arrangörslista!$U$5=41,AX107, IF(Arrangörslista!$U$5=42,AY107, IF(Arrangörslista!$U$5=43,AZ107, IF(Arrangörslista!$U$5=44,BA107, IF(Arrangörslista!$U$5=45,BB107, IF(Arrangörslista!$U$5=46,BC107, IF(Arrangörslista!$U$5=47,BD107, IF(Arrangörslista!$U$5=48,BE107, IF(Arrangörslista!$U$5=49,BF107, IF(Arrangörslista!$U$5=50,BG107, IF(Arrangörslista!$U$5=51,BH107, IF(Arrangörslista!$U$5=52,BI107, IF(Arrangörslista!$U$5=53,BJ107, IF(Arrangörslista!$U$5=54,BK107, IF(Arrangörslista!$U$5=55,BL107, IF(Arrangörslista!$U$5=56,BM107, IF(Arrangörslista!$U$5=57,BN107, IF(Arrangörslista!$U$5=58,BO107, IF(Arrangörslista!$U$5=59,BP107, IF(Arrangörslista!$U$5=60,BQ107,0))))))))))))))))))))))))))))))))))))))))))))))))))))))))))))),IF(Deltagarlista!$K$3=4, IF(Arrangörslista!$U$5=1,J107,
IF(Arrangörslista!$U$5=2,J107,
IF(Arrangörslista!$U$5=3,K107,
IF(Arrangörslista!$U$5=4,K107,
IF(Arrangörslista!$U$5=5,L107,
IF(Arrangörslista!$U$5=6,L107,
IF(Arrangörslista!$U$5=7,M107,
IF(Arrangörslista!$U$5=8,M107,
IF(Arrangörslista!$U$5=9,N107,
IF(Arrangörslista!$U$5=10,N107,
IF(Arrangörslista!$U$5=11,O107,
IF(Arrangörslista!$U$5=12,O107,
IF(Arrangörslista!$U$5=13,P107,
IF(Arrangörslista!$U$5=14,P107,
IF(Arrangörslista!$U$5=15,Q107,
IF(Arrangörslista!$U$5=16,Q107,
IF(Arrangörslista!$U$5=17,R107,
IF(Arrangörslista!$U$5=18,R107,
IF(Arrangörslista!$U$5=19,S107,
IF(Arrangörslista!$U$5=20,S107,
IF(Arrangörslista!$U$5=21,T107,
IF(Arrangörslista!$U$5=22,T107,IF(Arrangörslista!$U$5=23,U107, IF(Arrangörslista!$U$5=24,U107, IF(Arrangörslista!$U$5=25,V107, IF(Arrangörslista!$U$5=26,V107, IF(Arrangörslista!$U$5=27,W107, IF(Arrangörslista!$U$5=28,W107, IF(Arrangörslista!$U$5=29,X107, IF(Arrangörslista!$U$5=30,X107, IF(Arrangörslista!$U$5=31,X107, IF(Arrangörslista!$U$5=32,Y107, IF(Arrangörslista!$U$5=33,AO107, IF(Arrangörslista!$U$5=34,Y107, IF(Arrangörslista!$U$5=35,Z107, IF(Arrangörslista!$U$5=36,AR107, IF(Arrangörslista!$U$5=37,Z107, IF(Arrangörslista!$U$5=38,AA107, IF(Arrangörslista!$U$5=39,AU107, IF(Arrangörslista!$U$5=40,AA107, IF(Arrangörslista!$U$5=41,AB107, IF(Arrangörslista!$U$5=42,AX107, IF(Arrangörslista!$U$5=43,AB107, IF(Arrangörslista!$U$5=44,AC107, IF(Arrangörslista!$U$5=45,BA107, IF(Arrangörslista!$U$5=46,AC107, IF(Arrangörslista!$U$5=47,AD107, IF(Arrangörslista!$U$5=48,BD107, IF(Arrangörslista!$U$5=49,AD107, IF(Arrangörslista!$U$5=50,AE107, IF(Arrangörslista!$U$5=51,BG107, IF(Arrangörslista!$U$5=52,AE107, IF(Arrangörslista!$U$5=53,AF107, IF(Arrangörslista!$U$5=54,BJ107, IF(Arrangörslista!$U$5=55,AF107, IF(Arrangörslista!$U$5=56,AG107, IF(Arrangörslista!$U$5=57,BM107, IF(Arrangörslista!$U$5=58,AG107, IF(Arrangörslista!$U$5=59,AH107, IF(Arrangörslista!$U$5=60,AH107,0)))))))))))))))))))))))))))))))))))))))))))))))))))))))))))),IF(Arrangörslista!$U$5=1,J107,
IF(Arrangörslista!$U$5=2,K107,
IF(Arrangörslista!$U$5=3,L107,
IF(Arrangörslista!$U$5=4,M107,
IF(Arrangörslista!$U$5=5,N107,
IF(Arrangörslista!$U$5=6,O107,
IF(Arrangörslista!$U$5=7,P107,
IF(Arrangörslista!$U$5=8,Q107,
IF(Arrangörslista!$U$5=9,R107,
IF(Arrangörslista!$U$5=10,S107,
IF(Arrangörslista!$U$5=11,T107,
IF(Arrangörslista!$U$5=12,U107,
IF(Arrangörslista!$U$5=13,V107,
IF(Arrangörslista!$U$5=14,W107,
IF(Arrangörslista!$U$5=15,X107,
IF(Arrangörslista!$U$5=16,Y107,IF(Arrangörslista!$U$5=17,Z107,IF(Arrangörslista!$U$5=18,AA107,IF(Arrangörslista!$U$5=19,AB107,IF(Arrangörslista!$U$5=20,AC107,IF(Arrangörslista!$U$5=21,AD107,IF(Arrangörslista!$U$5=22,AE107,IF(Arrangörslista!$U$5=23,AF107, IF(Arrangörslista!$U$5=24,AG107, IF(Arrangörslista!$U$5=25,AH107, IF(Arrangörslista!$U$5=26,AI107, IF(Arrangörslista!$U$5=27,AJ107, IF(Arrangörslista!$U$5=28,AK107, IF(Arrangörslista!$U$5=29,AL107, IF(Arrangörslista!$U$5=30,AM107, IF(Arrangörslista!$U$5=31,AN107, IF(Arrangörslista!$U$5=32,AO107, IF(Arrangörslista!$U$5=33,AP107, IF(Arrangörslista!$U$5=34,AQ107, IF(Arrangörslista!$U$5=35,AR107, IF(Arrangörslista!$U$5=36,AS107, IF(Arrangörslista!$U$5=37,AT107, IF(Arrangörslista!$U$5=38,AU107, IF(Arrangörslista!$U$5=39,AV107, IF(Arrangörslista!$U$5=40,AW107, IF(Arrangörslista!$U$5=41,AX107, IF(Arrangörslista!$U$5=42,AY107, IF(Arrangörslista!$U$5=43,AZ107, IF(Arrangörslista!$U$5=44,BA107, IF(Arrangörslista!$U$5=45,BB107, IF(Arrangörslista!$U$5=46,BC107, IF(Arrangörslista!$U$5=47,BD107, IF(Arrangörslista!$U$5=48,BE107, IF(Arrangörslista!$U$5=49,BF107, IF(Arrangörslista!$U$5=50,BG107, IF(Arrangörslista!$U$5=51,BH107, IF(Arrangörslista!$U$5=52,BI107, IF(Arrangörslista!$U$5=53,BJ107, IF(Arrangörslista!$U$5=54,BK107, IF(Arrangörslista!$U$5=55,BL107, IF(Arrangörslista!$U$5=56,BM107, IF(Arrangörslista!$U$5=57,BN107, IF(Arrangörslista!$U$5=58,BO107, IF(Arrangörslista!$U$5=59,BP107, IF(Arrangörslista!$U$5=60,BQ107,0))))))))))))))))))))))))))))))))))))))))))))))))))))))))))))
))</f>
        <v>0</v>
      </c>
      <c r="GV44" s="65" t="str">
        <f>IFERROR(IF(VLOOKUP(F44,Deltagarlista!$E$5:$I$64,5,FALSE)="Grön","Gr",IF(VLOOKUP(F44,Deltagarlista!$E$5:$I$64,5,FALSE)="Röd","R",IF(VLOOKUP(F44,Deltagarlista!$E$5:$I$64,5,FALSE)="Blå","B","Gu"))),"")</f>
        <v/>
      </c>
      <c r="GW44" s="62" t="str">
        <f t="shared" si="124"/>
        <v/>
      </c>
    </row>
    <row r="45" spans="2:205" ht="15.75" customHeight="1" x14ac:dyDescent="0.3">
      <c r="B45" s="23" t="str">
        <f>IF((COUNTIF(Deltagarlista!$H$5:$H$64,"GM"))&gt;41,42,"")</f>
        <v/>
      </c>
      <c r="C45" s="92" t="str">
        <f>IF(ISBLANK(Deltagarlista!C20),"",Deltagarlista!C20)</f>
        <v/>
      </c>
      <c r="D45" s="109" t="str">
        <f>CONCATENATE(IF(Deltagarlista!H20="GM","GM   ",""), IF(OR(Deltagarlista!$K$3=4,Deltagarlista!$K$3=2),Deltagarlista!I20,""))</f>
        <v/>
      </c>
      <c r="E45" s="8" t="str">
        <f>IF(ISBLANK(Deltagarlista!D20),"",Deltagarlista!D20)</f>
        <v/>
      </c>
      <c r="F45" s="8" t="str">
        <f>IF(ISBLANK(Deltagarlista!E20),"",Deltagarlista!E20)</f>
        <v/>
      </c>
      <c r="G45" s="95" t="str">
        <f>IF(ISBLANK(Deltagarlista!F20),"",Deltagarlista!F20)</f>
        <v/>
      </c>
      <c r="H45" s="72" t="str">
        <f>IF(ISBLANK(Deltagarlista!C20),"",BU45-EE45)</f>
        <v/>
      </c>
      <c r="I45" s="13" t="str">
        <f>IF(ISBLANK(Deltagarlista!C20),"",IF(AND(Deltagarlista!$K$3=2,Deltagarlista!$L$3&lt;37),SUM(SUM(BV45:EC45)-(ROUNDDOWN(Arrangörslista!$U$5/3,1))*($BW$3+1)),SUM(BV45:EC45)))</f>
        <v/>
      </c>
      <c r="J45" s="79" t="str">
        <f>IF(Deltagarlista!$K$3=4,IF(ISBLANK(Deltagarlista!$C20),"",IF(ISBLANK(Arrangörslista!C$8),"",IFERROR(VLOOKUP($F45,Arrangörslista!C$8:$AG$45,16,FALSE),IF(ISBLANK(Deltagarlista!$C20),"",IF(ISBLANK(Arrangörslista!C$8),"",IFERROR(VLOOKUP($F45,Arrangörslista!D$8:$AG$45,16,FALSE),"DNS")))))),IF(Deltagarlista!$K$3=2,
IF(ISBLANK(Deltagarlista!$C20),"",IF(ISBLANK(Arrangörslista!C$8),"",IF($GV45=J$64," DNS ",IFERROR(VLOOKUP($F45,Arrangörslista!C$8:$AG$45,16,FALSE),"DNS")))),IF(ISBLANK(Deltagarlista!$C20),"",IF(ISBLANK(Arrangörslista!C$8),"",IFERROR(VLOOKUP($F45,Arrangörslista!C$8:$AG$45,16,FALSE),"DNS")))))</f>
        <v/>
      </c>
      <c r="K45" s="5" t="str">
        <f>IF(Deltagarlista!$K$3=4,IF(ISBLANK(Deltagarlista!$C20),"",IF(ISBLANK(Arrangörslista!E$8),"",IFERROR(VLOOKUP($F45,Arrangörslista!E$8:$AG$45,16,FALSE),IF(ISBLANK(Deltagarlista!$C20),"",IF(ISBLANK(Arrangörslista!E$8),"",IFERROR(VLOOKUP($F45,Arrangörslista!F$8:$AG$45,16,FALSE),"DNS")))))),IF(Deltagarlista!$K$3=2,
IF(ISBLANK(Deltagarlista!$C20),"",IF(ISBLANK(Arrangörslista!D$8),"",IF($GV45=K$64," DNS ",IFERROR(VLOOKUP($F45,Arrangörslista!D$8:$AG$45,16,FALSE),"DNS")))),IF(ISBLANK(Deltagarlista!$C20),"",IF(ISBLANK(Arrangörslista!D$8),"",IFERROR(VLOOKUP($F45,Arrangörslista!D$8:$AG$45,16,FALSE),"DNS")))))</f>
        <v/>
      </c>
      <c r="L45" s="5" t="str">
        <f>IF(Deltagarlista!$K$3=4,IF(ISBLANK(Deltagarlista!$C20),"",IF(ISBLANK(Arrangörslista!G$8),"",IFERROR(VLOOKUP($F45,Arrangörslista!G$8:$AG$45,16,FALSE),IF(ISBLANK(Deltagarlista!$C20),"",IF(ISBLANK(Arrangörslista!G$8),"",IFERROR(VLOOKUP($F45,Arrangörslista!H$8:$AG$45,16,FALSE),"DNS")))))),IF(Deltagarlista!$K$3=2,
IF(ISBLANK(Deltagarlista!$C20),"",IF(ISBLANK(Arrangörslista!E$8),"",IF($GV45=L$64," DNS ",IFERROR(VLOOKUP($F45,Arrangörslista!E$8:$AG$45,16,FALSE),"DNS")))),IF(ISBLANK(Deltagarlista!$C20),"",IF(ISBLANK(Arrangörslista!E$8),"",IFERROR(VLOOKUP($F45,Arrangörslista!E$8:$AG$45,16,FALSE),"DNS")))))</f>
        <v/>
      </c>
      <c r="M45" s="5" t="str">
        <f>IF(Deltagarlista!$K$3=4,IF(ISBLANK(Deltagarlista!$C20),"",IF(ISBLANK(Arrangörslista!I$8),"",IFERROR(VLOOKUP($F45,Arrangörslista!I$8:$AG$45,16,FALSE),IF(ISBLANK(Deltagarlista!$C20),"",IF(ISBLANK(Arrangörslista!I$8),"",IFERROR(VLOOKUP($F45,Arrangörslista!J$8:$AG$45,16,FALSE),"DNS")))))),IF(Deltagarlista!$K$3=2,
IF(ISBLANK(Deltagarlista!$C20),"",IF(ISBLANK(Arrangörslista!F$8),"",IF($GV45=M$64," DNS ",IFERROR(VLOOKUP($F45,Arrangörslista!F$8:$AG$45,16,FALSE),"DNS")))),IF(ISBLANK(Deltagarlista!$C20),"",IF(ISBLANK(Arrangörslista!F$8),"",IFERROR(VLOOKUP($F45,Arrangörslista!F$8:$AG$45,16,FALSE),"DNS")))))</f>
        <v/>
      </c>
      <c r="N45" s="5" t="str">
        <f>IF(Deltagarlista!$K$3=4,IF(ISBLANK(Deltagarlista!$C20),"",IF(ISBLANK(Arrangörslista!K$8),"",IFERROR(VLOOKUP($F45,Arrangörslista!K$8:$AG$45,16,FALSE),IF(ISBLANK(Deltagarlista!$C20),"",IF(ISBLANK(Arrangörslista!K$8),"",IFERROR(VLOOKUP($F45,Arrangörslista!L$8:$AG$45,16,FALSE),"DNS")))))),IF(Deltagarlista!$K$3=2,
IF(ISBLANK(Deltagarlista!$C20),"",IF(ISBLANK(Arrangörslista!G$8),"",IF($GV45=N$64," DNS ",IFERROR(VLOOKUP($F45,Arrangörslista!G$8:$AG$45,16,FALSE),"DNS")))),IF(ISBLANK(Deltagarlista!$C20),"",IF(ISBLANK(Arrangörslista!G$8),"",IFERROR(VLOOKUP($F45,Arrangörslista!G$8:$AG$45,16,FALSE),"DNS")))))</f>
        <v/>
      </c>
      <c r="O45" s="5" t="str">
        <f>IF(Deltagarlista!$K$3=4,IF(ISBLANK(Deltagarlista!$C20),"",IF(ISBLANK(Arrangörslista!M$8),"",IFERROR(VLOOKUP($F45,Arrangörslista!M$8:$AG$45,16,FALSE),IF(ISBLANK(Deltagarlista!$C20),"",IF(ISBLANK(Arrangörslista!M$8),"",IFERROR(VLOOKUP($F45,Arrangörslista!N$8:$AG$45,16,FALSE),"DNS")))))),IF(Deltagarlista!$K$3=2,
IF(ISBLANK(Deltagarlista!$C20),"",IF(ISBLANK(Arrangörslista!H$8),"",IF($GV45=O$64," DNS ",IFERROR(VLOOKUP($F45,Arrangörslista!H$8:$AG$45,16,FALSE),"DNS")))),IF(ISBLANK(Deltagarlista!$C20),"",IF(ISBLANK(Arrangörslista!H$8),"",IFERROR(VLOOKUP($F45,Arrangörslista!H$8:$AG$45,16,FALSE),"DNS")))))</f>
        <v/>
      </c>
      <c r="P45" s="5" t="str">
        <f>IF(Deltagarlista!$K$3=4,IF(ISBLANK(Deltagarlista!$C20),"",IF(ISBLANK(Arrangörslista!O$8),"",IFERROR(VLOOKUP($F45,Arrangörslista!O$8:$AG$45,16,FALSE),IF(ISBLANK(Deltagarlista!$C20),"",IF(ISBLANK(Arrangörslista!O$8),"",IFERROR(VLOOKUP($F45,Arrangörslista!P$8:$AG$45,16,FALSE),"DNS")))))),IF(Deltagarlista!$K$3=2,
IF(ISBLANK(Deltagarlista!$C20),"",IF(ISBLANK(Arrangörslista!I$8),"",IF($GV45=P$64," DNS ",IFERROR(VLOOKUP($F45,Arrangörslista!I$8:$AG$45,16,FALSE),"DNS")))),IF(ISBLANK(Deltagarlista!$C20),"",IF(ISBLANK(Arrangörslista!I$8),"",IFERROR(VLOOKUP($F45,Arrangörslista!I$8:$AG$45,16,FALSE),"DNS")))))</f>
        <v/>
      </c>
      <c r="Q45" s="5" t="str">
        <f>IF(Deltagarlista!$K$3=4,IF(ISBLANK(Deltagarlista!$C20),"",IF(ISBLANK(Arrangörslista!Q$8),"",IFERROR(VLOOKUP($F45,Arrangörslista!Q$8:$AG$45,16,FALSE),IF(ISBLANK(Deltagarlista!$C20),"",IF(ISBLANK(Arrangörslista!Q$8),"",IFERROR(VLOOKUP($F45,Arrangörslista!C$53:$AG$90,16,FALSE),"DNS")))))),IF(Deltagarlista!$K$3=2,
IF(ISBLANK(Deltagarlista!$C20),"",IF(ISBLANK(Arrangörslista!J$8),"",IF($GV45=Q$64," DNS ",IFERROR(VLOOKUP($F45,Arrangörslista!J$8:$AG$45,16,FALSE),"DNS")))),IF(ISBLANK(Deltagarlista!$C20),"",IF(ISBLANK(Arrangörslista!J$8),"",IFERROR(VLOOKUP($F45,Arrangörslista!J$8:$AG$45,16,FALSE),"DNS")))))</f>
        <v/>
      </c>
      <c r="R45" s="5" t="str">
        <f>IF(Deltagarlista!$K$3=4,IF(ISBLANK(Deltagarlista!$C20),"",IF(ISBLANK(Arrangörslista!D$53),"",IFERROR(VLOOKUP($F45,Arrangörslista!D$53:$AG$90,16,FALSE),IF(ISBLANK(Deltagarlista!$C20),"",IF(ISBLANK(Arrangörslista!D$53),"",IFERROR(VLOOKUP($F45,Arrangörslista!E$53:$AG$90,16,FALSE),"DNS")))))),IF(Deltagarlista!$K$3=2,
IF(ISBLANK(Deltagarlista!$C20),"",IF(ISBLANK(Arrangörslista!K$8),"",IF($GV45=R$64," DNS ",IFERROR(VLOOKUP($F45,Arrangörslista!K$8:$AG$45,16,FALSE),"DNS")))),IF(ISBLANK(Deltagarlista!$C20),"",IF(ISBLANK(Arrangörslista!K$8),"",IFERROR(VLOOKUP($F45,Arrangörslista!K$8:$AG$45,16,FALSE),"DNS")))))</f>
        <v/>
      </c>
      <c r="S45" s="5" t="str">
        <f>IF(Deltagarlista!$K$3=4,IF(ISBLANK(Deltagarlista!$C20),"",IF(ISBLANK(Arrangörslista!F$53),"",IFERROR(VLOOKUP($F45,Arrangörslista!F$53:$AG$90,16,FALSE),IF(ISBLANK(Deltagarlista!$C20),"",IF(ISBLANK(Arrangörslista!F$53),"",IFERROR(VLOOKUP($F45,Arrangörslista!G$53:$AG$90,16,FALSE),"DNS")))))),IF(Deltagarlista!$K$3=2,
IF(ISBLANK(Deltagarlista!$C20),"",IF(ISBLANK(Arrangörslista!L$8),"",IF($GV45=S$64," DNS ",IFERROR(VLOOKUP($F45,Arrangörslista!L$8:$AG$45,16,FALSE),"DNS")))),IF(ISBLANK(Deltagarlista!$C20),"",IF(ISBLANK(Arrangörslista!L$8),"",IFERROR(VLOOKUP($F45,Arrangörslista!L$8:$AG$45,16,FALSE),"DNS")))))</f>
        <v/>
      </c>
      <c r="T45" s="5" t="str">
        <f>IF(Deltagarlista!$K$3=4,IF(ISBLANK(Deltagarlista!$C20),"",IF(ISBLANK(Arrangörslista!H$53),"",IFERROR(VLOOKUP($F45,Arrangörslista!H$53:$AG$90,16,FALSE),IF(ISBLANK(Deltagarlista!$C20),"",IF(ISBLANK(Arrangörslista!H$53),"",IFERROR(VLOOKUP($F45,Arrangörslista!I$53:$AG$90,16,FALSE),"DNS")))))),IF(Deltagarlista!$K$3=2,
IF(ISBLANK(Deltagarlista!$C20),"",IF(ISBLANK(Arrangörslista!M$8),"",IF($GV45=T$64," DNS ",IFERROR(VLOOKUP($F45,Arrangörslista!M$8:$AG$45,16,FALSE),"DNS")))),IF(ISBLANK(Deltagarlista!$C20),"",IF(ISBLANK(Arrangörslista!M$8),"",IFERROR(VLOOKUP($F45,Arrangörslista!M$8:$AG$45,16,FALSE),"DNS")))))</f>
        <v/>
      </c>
      <c r="U45" s="5" t="str">
        <f>IF(Deltagarlista!$K$3=4,IF(ISBLANK(Deltagarlista!$C20),"",IF(ISBLANK(Arrangörslista!J$53),"",IFERROR(VLOOKUP($F45,Arrangörslista!J$53:$AG$90,16,FALSE),IF(ISBLANK(Deltagarlista!$C20),"",IF(ISBLANK(Arrangörslista!J$53),"",IFERROR(VLOOKUP($F45,Arrangörslista!K$53:$AG$90,16,FALSE),"DNS")))))),IF(Deltagarlista!$K$3=2,
IF(ISBLANK(Deltagarlista!$C20),"",IF(ISBLANK(Arrangörslista!N$8),"",IF($GV45=U$64," DNS ",IFERROR(VLOOKUP($F45,Arrangörslista!N$8:$AG$45,16,FALSE),"DNS")))),IF(ISBLANK(Deltagarlista!$C20),"",IF(ISBLANK(Arrangörslista!N$8),"",IFERROR(VLOOKUP($F45,Arrangörslista!N$8:$AG$45,16,FALSE),"DNS")))))</f>
        <v/>
      </c>
      <c r="V45" s="5" t="str">
        <f>IF(Deltagarlista!$K$3=4,IF(ISBLANK(Deltagarlista!$C20),"",IF(ISBLANK(Arrangörslista!L$53),"",IFERROR(VLOOKUP($F45,Arrangörslista!L$53:$AG$90,16,FALSE),IF(ISBLANK(Deltagarlista!$C20),"",IF(ISBLANK(Arrangörslista!L$53),"",IFERROR(VLOOKUP($F45,Arrangörslista!M$53:$AG$90,16,FALSE),"DNS")))))),IF(Deltagarlista!$K$3=2,
IF(ISBLANK(Deltagarlista!$C20),"",IF(ISBLANK(Arrangörslista!O$8),"",IF($GV45=V$64," DNS ",IFERROR(VLOOKUP($F45,Arrangörslista!O$8:$AG$45,16,FALSE),"DNS")))),IF(ISBLANK(Deltagarlista!$C20),"",IF(ISBLANK(Arrangörslista!O$8),"",IFERROR(VLOOKUP($F45,Arrangörslista!O$8:$AG$45,16,FALSE),"DNS")))))</f>
        <v/>
      </c>
      <c r="W45" s="5" t="str">
        <f>IF(Deltagarlista!$K$3=4,IF(ISBLANK(Deltagarlista!$C20),"",IF(ISBLANK(Arrangörslista!N$53),"",IFERROR(VLOOKUP($F45,Arrangörslista!N$53:$AG$90,16,FALSE),IF(ISBLANK(Deltagarlista!$C20),"",IF(ISBLANK(Arrangörslista!N$53),"",IFERROR(VLOOKUP($F45,Arrangörslista!O$53:$AG$90,16,FALSE),"DNS")))))),IF(Deltagarlista!$K$3=2,
IF(ISBLANK(Deltagarlista!$C20),"",IF(ISBLANK(Arrangörslista!P$8),"",IF($GV45=W$64," DNS ",IFERROR(VLOOKUP($F45,Arrangörslista!P$8:$AG$45,16,FALSE),"DNS")))),IF(ISBLANK(Deltagarlista!$C20),"",IF(ISBLANK(Arrangörslista!P$8),"",IFERROR(VLOOKUP($F45,Arrangörslista!P$8:$AG$45,16,FALSE),"DNS")))))</f>
        <v/>
      </c>
      <c r="X45" s="5" t="str">
        <f>IF(Deltagarlista!$K$3=4,IF(ISBLANK(Deltagarlista!$C20),"",IF(ISBLANK(Arrangörslista!P$53),"",IFERROR(VLOOKUP($F45,Arrangörslista!P$53:$AG$90,16,FALSE),IF(ISBLANK(Deltagarlista!$C20),"",IF(ISBLANK(Arrangörslista!P$53),"",IFERROR(VLOOKUP($F45,Arrangörslista!Q$53:$AG$90,16,FALSE),"DNS")))))),IF(Deltagarlista!$K$3=2,
IF(ISBLANK(Deltagarlista!$C20),"",IF(ISBLANK(Arrangörslista!Q$8),"",IF($GV45=X$64," DNS ",IFERROR(VLOOKUP($F45,Arrangörslista!Q$8:$AG$45,16,FALSE),"DNS")))),IF(ISBLANK(Deltagarlista!$C20),"",IF(ISBLANK(Arrangörslista!Q$8),"",IFERROR(VLOOKUP($F45,Arrangörslista!Q$8:$AG$45,16,FALSE),"DNS")))))</f>
        <v/>
      </c>
      <c r="Y45" s="5" t="str">
        <f>IF(Deltagarlista!$K$3=4,IF(ISBLANK(Deltagarlista!$C20),"",IF(ISBLANK(Arrangörslista!C$98),"",IFERROR(VLOOKUP($F45,Arrangörslista!C$98:$AG$135,16,FALSE),IF(ISBLANK(Deltagarlista!$C20),"",IF(ISBLANK(Arrangörslista!C$98),"",IFERROR(VLOOKUP($F45,Arrangörslista!D$98:$AG$135,16,FALSE),"DNS")))))),IF(Deltagarlista!$K$3=2,
IF(ISBLANK(Deltagarlista!$C20),"",IF(ISBLANK(Arrangörslista!C$53),"",IF($GV45=Y$64," DNS ",IFERROR(VLOOKUP($F45,Arrangörslista!C$53:$AG$90,16,FALSE),"DNS")))),IF(ISBLANK(Deltagarlista!$C20),"",IF(ISBLANK(Arrangörslista!C$53),"",IFERROR(VLOOKUP($F45,Arrangörslista!C$53:$AG$90,16,FALSE),"DNS")))))</f>
        <v/>
      </c>
      <c r="Z45" s="5" t="str">
        <f>IF(Deltagarlista!$K$3=4,IF(ISBLANK(Deltagarlista!$C20),"",IF(ISBLANK(Arrangörslista!E$98),"",IFERROR(VLOOKUP($F45,Arrangörslista!E$98:$AG$135,16,FALSE),IF(ISBLANK(Deltagarlista!$C20),"",IF(ISBLANK(Arrangörslista!E$98),"",IFERROR(VLOOKUP($F45,Arrangörslista!F$98:$AG$135,16,FALSE),"DNS")))))),IF(Deltagarlista!$K$3=2,
IF(ISBLANK(Deltagarlista!$C20),"",IF(ISBLANK(Arrangörslista!D$53),"",IF($GV45=Z$64," DNS ",IFERROR(VLOOKUP($F45,Arrangörslista!D$53:$AG$90,16,FALSE),"DNS")))),IF(ISBLANK(Deltagarlista!$C20),"",IF(ISBLANK(Arrangörslista!D$53),"",IFERROR(VLOOKUP($F45,Arrangörslista!D$53:$AG$90,16,FALSE),"DNS")))))</f>
        <v/>
      </c>
      <c r="AA45" s="5" t="str">
        <f>IF(Deltagarlista!$K$3=4,IF(ISBLANK(Deltagarlista!$C20),"",IF(ISBLANK(Arrangörslista!G$98),"",IFERROR(VLOOKUP($F45,Arrangörslista!G$98:$AG$135,16,FALSE),IF(ISBLANK(Deltagarlista!$C20),"",IF(ISBLANK(Arrangörslista!G$98),"",IFERROR(VLOOKUP($F45,Arrangörslista!H$98:$AG$135,16,FALSE),"DNS")))))),IF(Deltagarlista!$K$3=2,
IF(ISBLANK(Deltagarlista!$C20),"",IF(ISBLANK(Arrangörslista!E$53),"",IF($GV45=AA$64," DNS ",IFERROR(VLOOKUP($F45,Arrangörslista!E$53:$AG$90,16,FALSE),"DNS")))),IF(ISBLANK(Deltagarlista!$C20),"",IF(ISBLANK(Arrangörslista!E$53),"",IFERROR(VLOOKUP($F45,Arrangörslista!E$53:$AG$90,16,FALSE),"DNS")))))</f>
        <v/>
      </c>
      <c r="AB45" s="5" t="str">
        <f>IF(Deltagarlista!$K$3=4,IF(ISBLANK(Deltagarlista!$C20),"",IF(ISBLANK(Arrangörslista!I$98),"",IFERROR(VLOOKUP($F45,Arrangörslista!I$98:$AG$135,16,FALSE),IF(ISBLANK(Deltagarlista!$C20),"",IF(ISBLANK(Arrangörslista!I$98),"",IFERROR(VLOOKUP($F45,Arrangörslista!J$98:$AG$135,16,FALSE),"DNS")))))),IF(Deltagarlista!$K$3=2,
IF(ISBLANK(Deltagarlista!$C20),"",IF(ISBLANK(Arrangörslista!F$53),"",IF($GV45=AB$64," DNS ",IFERROR(VLOOKUP($F45,Arrangörslista!F$53:$AG$90,16,FALSE),"DNS")))),IF(ISBLANK(Deltagarlista!$C20),"",IF(ISBLANK(Arrangörslista!F$53),"",IFERROR(VLOOKUP($F45,Arrangörslista!F$53:$AG$90,16,FALSE),"DNS")))))</f>
        <v/>
      </c>
      <c r="AC45" s="5" t="str">
        <f>IF(Deltagarlista!$K$3=4,IF(ISBLANK(Deltagarlista!$C20),"",IF(ISBLANK(Arrangörslista!K$98),"",IFERROR(VLOOKUP($F45,Arrangörslista!K$98:$AG$135,16,FALSE),IF(ISBLANK(Deltagarlista!$C20),"",IF(ISBLANK(Arrangörslista!K$98),"",IFERROR(VLOOKUP($F45,Arrangörslista!L$98:$AG$135,16,FALSE),"DNS")))))),IF(Deltagarlista!$K$3=2,
IF(ISBLANK(Deltagarlista!$C20),"",IF(ISBLANK(Arrangörslista!G$53),"",IF($GV45=AC$64," DNS ",IFERROR(VLOOKUP($F45,Arrangörslista!G$53:$AG$90,16,FALSE),"DNS")))),IF(ISBLANK(Deltagarlista!$C20),"",IF(ISBLANK(Arrangörslista!G$53),"",IFERROR(VLOOKUP($F45,Arrangörslista!G$53:$AG$90,16,FALSE),"DNS")))))</f>
        <v/>
      </c>
      <c r="AD45" s="5" t="str">
        <f>IF(Deltagarlista!$K$3=4,IF(ISBLANK(Deltagarlista!$C20),"",IF(ISBLANK(Arrangörslista!M$98),"",IFERROR(VLOOKUP($F45,Arrangörslista!M$98:$AG$135,16,FALSE),IF(ISBLANK(Deltagarlista!$C20),"",IF(ISBLANK(Arrangörslista!M$98),"",IFERROR(VLOOKUP($F45,Arrangörslista!N$98:$AG$135,16,FALSE),"DNS")))))),IF(Deltagarlista!$K$3=2,
IF(ISBLANK(Deltagarlista!$C20),"",IF(ISBLANK(Arrangörslista!H$53),"",IF($GV45=AD$64," DNS ",IFERROR(VLOOKUP($F45,Arrangörslista!H$53:$AG$90,16,FALSE),"DNS")))),IF(ISBLANK(Deltagarlista!$C20),"",IF(ISBLANK(Arrangörslista!H$53),"",IFERROR(VLOOKUP($F45,Arrangörslista!H$53:$AG$90,16,FALSE),"DNS")))))</f>
        <v/>
      </c>
      <c r="AE45" s="5" t="str">
        <f>IF(Deltagarlista!$K$3=4,IF(ISBLANK(Deltagarlista!$C20),"",IF(ISBLANK(Arrangörslista!O$98),"",IFERROR(VLOOKUP($F45,Arrangörslista!O$98:$AG$135,16,FALSE),IF(ISBLANK(Deltagarlista!$C20),"",IF(ISBLANK(Arrangörslista!O$98),"",IFERROR(VLOOKUP($F45,Arrangörslista!P$98:$AG$135,16,FALSE),"DNS")))))),IF(Deltagarlista!$K$3=2,
IF(ISBLANK(Deltagarlista!$C20),"",IF(ISBLANK(Arrangörslista!I$53),"",IF($GV45=AE$64," DNS ",IFERROR(VLOOKUP($F45,Arrangörslista!I$53:$AG$90,16,FALSE),"DNS")))),IF(ISBLANK(Deltagarlista!$C20),"",IF(ISBLANK(Arrangörslista!I$53),"",IFERROR(VLOOKUP($F45,Arrangörslista!I$53:$AG$90,16,FALSE),"DNS")))))</f>
        <v/>
      </c>
      <c r="AF45" s="5" t="str">
        <f>IF(Deltagarlista!$K$3=4,IF(ISBLANK(Deltagarlista!$C20),"",IF(ISBLANK(Arrangörslista!Q$98),"",IFERROR(VLOOKUP($F45,Arrangörslista!Q$98:$AG$135,16,FALSE),IF(ISBLANK(Deltagarlista!$C20),"",IF(ISBLANK(Arrangörslista!Q$98),"",IFERROR(VLOOKUP($F45,Arrangörslista!C$143:$AG$180,16,FALSE),"DNS")))))),IF(Deltagarlista!$K$3=2,
IF(ISBLANK(Deltagarlista!$C20),"",IF(ISBLANK(Arrangörslista!J$53),"",IF($GV45=AF$64," DNS ",IFERROR(VLOOKUP($F45,Arrangörslista!J$53:$AG$90,16,FALSE),"DNS")))),IF(ISBLANK(Deltagarlista!$C20),"",IF(ISBLANK(Arrangörslista!J$53),"",IFERROR(VLOOKUP($F45,Arrangörslista!J$53:$AG$90,16,FALSE),"DNS")))))</f>
        <v/>
      </c>
      <c r="AG45" s="5" t="str">
        <f>IF(Deltagarlista!$K$3=4,IF(ISBLANK(Deltagarlista!$C20),"",IF(ISBLANK(Arrangörslista!D$143),"",IFERROR(VLOOKUP($F45,Arrangörslista!D$143:$AG$180,16,FALSE),IF(ISBLANK(Deltagarlista!$C20),"",IF(ISBLANK(Arrangörslista!D$143),"",IFERROR(VLOOKUP($F45,Arrangörslista!E$143:$AG$180,16,FALSE),"DNS")))))),IF(Deltagarlista!$K$3=2,
IF(ISBLANK(Deltagarlista!$C20),"",IF(ISBLANK(Arrangörslista!K$53),"",IF($GV45=AG$64," DNS ",IFERROR(VLOOKUP($F45,Arrangörslista!K$53:$AG$90,16,FALSE),"DNS")))),IF(ISBLANK(Deltagarlista!$C20),"",IF(ISBLANK(Arrangörslista!K$53),"",IFERROR(VLOOKUP($F45,Arrangörslista!K$53:$AG$90,16,FALSE),"DNS")))))</f>
        <v/>
      </c>
      <c r="AH45" s="5" t="str">
        <f>IF(Deltagarlista!$K$3=4,IF(ISBLANK(Deltagarlista!$C20),"",IF(ISBLANK(Arrangörslista!F$143),"",IFERROR(VLOOKUP($F45,Arrangörslista!F$143:$AG$180,16,FALSE),IF(ISBLANK(Deltagarlista!$C20),"",IF(ISBLANK(Arrangörslista!F$143),"",IFERROR(VLOOKUP($F45,Arrangörslista!G$143:$AG$180,16,FALSE),"DNS")))))),IF(Deltagarlista!$K$3=2,
IF(ISBLANK(Deltagarlista!$C20),"",IF(ISBLANK(Arrangörslista!L$53),"",IF($GV45=AH$64," DNS ",IFERROR(VLOOKUP($F45,Arrangörslista!L$53:$AG$90,16,FALSE),"DNS")))),IF(ISBLANK(Deltagarlista!$C20),"",IF(ISBLANK(Arrangörslista!L$53),"",IFERROR(VLOOKUP($F45,Arrangörslista!L$53:$AG$90,16,FALSE),"DNS")))))</f>
        <v/>
      </c>
      <c r="AI45" s="5" t="str">
        <f>IF(Deltagarlista!$K$3=4,IF(ISBLANK(Deltagarlista!$C20),"",IF(ISBLANK(Arrangörslista!H$143),"",IFERROR(VLOOKUP($F45,Arrangörslista!H$143:$AG$180,16,FALSE),IF(ISBLANK(Deltagarlista!$C20),"",IF(ISBLANK(Arrangörslista!H$143),"",IFERROR(VLOOKUP($F45,Arrangörslista!I$143:$AG$180,16,FALSE),"DNS")))))),IF(Deltagarlista!$K$3=2,
IF(ISBLANK(Deltagarlista!$C20),"",IF(ISBLANK(Arrangörslista!M$53),"",IF($GV45=AI$64," DNS ",IFERROR(VLOOKUP($F45,Arrangörslista!M$53:$AG$90,16,FALSE),"DNS")))),IF(ISBLANK(Deltagarlista!$C20),"",IF(ISBLANK(Arrangörslista!M$53),"",IFERROR(VLOOKUP($F45,Arrangörslista!M$53:$AG$90,16,FALSE),"DNS")))))</f>
        <v/>
      </c>
      <c r="AJ45" s="5" t="str">
        <f>IF(Deltagarlista!$K$3=4,IF(ISBLANK(Deltagarlista!$C20),"",IF(ISBLANK(Arrangörslista!J$143),"",IFERROR(VLOOKUP($F45,Arrangörslista!J$143:$AG$180,16,FALSE),IF(ISBLANK(Deltagarlista!$C20),"",IF(ISBLANK(Arrangörslista!J$143),"",IFERROR(VLOOKUP($F45,Arrangörslista!K$143:$AG$180,16,FALSE),"DNS")))))),IF(Deltagarlista!$K$3=2,
IF(ISBLANK(Deltagarlista!$C20),"",IF(ISBLANK(Arrangörslista!N$53),"",IF($GV45=AJ$64," DNS ",IFERROR(VLOOKUP($F45,Arrangörslista!N$53:$AG$90,16,FALSE),"DNS")))),IF(ISBLANK(Deltagarlista!$C20),"",IF(ISBLANK(Arrangörslista!N$53),"",IFERROR(VLOOKUP($F45,Arrangörslista!N$53:$AG$90,16,FALSE),"DNS")))))</f>
        <v/>
      </c>
      <c r="AK45" s="5" t="str">
        <f>IF(Deltagarlista!$K$3=4,IF(ISBLANK(Deltagarlista!$C20),"",IF(ISBLANK(Arrangörslista!L$143),"",IFERROR(VLOOKUP($F45,Arrangörslista!L$143:$AG$180,16,FALSE),IF(ISBLANK(Deltagarlista!$C20),"",IF(ISBLANK(Arrangörslista!L$143),"",IFERROR(VLOOKUP($F45,Arrangörslista!M$143:$AG$180,16,FALSE),"DNS")))))),IF(Deltagarlista!$K$3=2,
IF(ISBLANK(Deltagarlista!$C20),"",IF(ISBLANK(Arrangörslista!O$53),"",IF($GV45=AK$64," DNS ",IFERROR(VLOOKUP($F45,Arrangörslista!O$53:$AG$90,16,FALSE),"DNS")))),IF(ISBLANK(Deltagarlista!$C20),"",IF(ISBLANK(Arrangörslista!O$53),"",IFERROR(VLOOKUP($F45,Arrangörslista!O$53:$AG$90,16,FALSE),"DNS")))))</f>
        <v/>
      </c>
      <c r="AL45" s="5" t="str">
        <f>IF(Deltagarlista!$K$3=4,IF(ISBLANK(Deltagarlista!$C20),"",IF(ISBLANK(Arrangörslista!N$143),"",IFERROR(VLOOKUP($F45,Arrangörslista!N$143:$AG$180,16,FALSE),IF(ISBLANK(Deltagarlista!$C20),"",IF(ISBLANK(Arrangörslista!N$143),"",IFERROR(VLOOKUP($F45,Arrangörslista!O$143:$AG$180,16,FALSE),"DNS")))))),IF(Deltagarlista!$K$3=2,
IF(ISBLANK(Deltagarlista!$C20),"",IF(ISBLANK(Arrangörslista!P$53),"",IF($GV45=AL$64," DNS ",IFERROR(VLOOKUP($F45,Arrangörslista!P$53:$AG$90,16,FALSE),"DNS")))),IF(ISBLANK(Deltagarlista!$C20),"",IF(ISBLANK(Arrangörslista!P$53),"",IFERROR(VLOOKUP($F45,Arrangörslista!P$53:$AG$90,16,FALSE),"DNS")))))</f>
        <v/>
      </c>
      <c r="AM45" s="5" t="str">
        <f>IF(Deltagarlista!$K$3=4,IF(ISBLANK(Deltagarlista!$C20),"",IF(ISBLANK(Arrangörslista!P$143),"",IFERROR(VLOOKUP($F45,Arrangörslista!P$143:$AG$180,16,FALSE),IF(ISBLANK(Deltagarlista!$C20),"",IF(ISBLANK(Arrangörslista!P$143),"",IFERROR(VLOOKUP($F45,Arrangörslista!Q$143:$AG$180,16,FALSE),"DNS")))))),IF(Deltagarlista!$K$3=2,
IF(ISBLANK(Deltagarlista!$C20),"",IF(ISBLANK(Arrangörslista!Q$53),"",IF($GV45=AM$64," DNS ",IFERROR(VLOOKUP($F45,Arrangörslista!Q$53:$AG$90,16,FALSE),"DNS")))),IF(ISBLANK(Deltagarlista!$C20),"",IF(ISBLANK(Arrangörslista!Q$53),"",IFERROR(VLOOKUP($F45,Arrangörslista!Q$53:$AG$90,16,FALSE),"DNS")))))</f>
        <v/>
      </c>
      <c r="AN45" s="5" t="str">
        <f>IF(Deltagarlista!$K$3=2,
IF(ISBLANK(Deltagarlista!$C20),"",IF(ISBLANK(Arrangörslista!C$98),"",IF($GV45=AN$64," DNS ",IFERROR(VLOOKUP($F45,Arrangörslista!C$98:$AG$135,16,FALSE), "DNS")))), IF(Deltagarlista!$K$3=1,IF(ISBLANK(Deltagarlista!$C20),"",IF(ISBLANK(Arrangörslista!C$98),"",IFERROR(VLOOKUP($F45,Arrangörslista!C$98:$AG$135,16,FALSE), "DNS"))),""))</f>
        <v/>
      </c>
      <c r="AO45" s="5" t="str">
        <f>IF(Deltagarlista!$K$3=2,
IF(ISBLANK(Deltagarlista!$C20),"",IF(ISBLANK(Arrangörslista!D$98),"",IF($GV45=AO$64," DNS ",IFERROR(VLOOKUP($F45,Arrangörslista!D$98:$AG$135,16,FALSE), "DNS")))), IF(Deltagarlista!$K$3=1,IF(ISBLANK(Deltagarlista!$C20),"",IF(ISBLANK(Arrangörslista!D$98),"",IFERROR(VLOOKUP($F45,Arrangörslista!D$98:$AG$135,16,FALSE), "DNS"))),""))</f>
        <v/>
      </c>
      <c r="AP45" s="5" t="str">
        <f>IF(Deltagarlista!$K$3=2,
IF(ISBLANK(Deltagarlista!$C20),"",IF(ISBLANK(Arrangörslista!E$98),"",IF($GV45=AP$64," DNS ",IFERROR(VLOOKUP($F45,Arrangörslista!E$98:$AG$135,16,FALSE), "DNS")))), IF(Deltagarlista!$K$3=1,IF(ISBLANK(Deltagarlista!$C20),"",IF(ISBLANK(Arrangörslista!E$98),"",IFERROR(VLOOKUP($F45,Arrangörslista!E$98:$AG$135,16,FALSE), "DNS"))),""))</f>
        <v/>
      </c>
      <c r="AQ45" s="5" t="str">
        <f>IF(Deltagarlista!$K$3=2,
IF(ISBLANK(Deltagarlista!$C20),"",IF(ISBLANK(Arrangörslista!F$98),"",IF($GV45=AQ$64," DNS ",IFERROR(VLOOKUP($F45,Arrangörslista!F$98:$AG$135,16,FALSE), "DNS")))), IF(Deltagarlista!$K$3=1,IF(ISBLANK(Deltagarlista!$C20),"",IF(ISBLANK(Arrangörslista!F$98),"",IFERROR(VLOOKUP($F45,Arrangörslista!F$98:$AG$135,16,FALSE), "DNS"))),""))</f>
        <v/>
      </c>
      <c r="AR45" s="5" t="str">
        <f>IF(Deltagarlista!$K$3=2,
IF(ISBLANK(Deltagarlista!$C20),"",IF(ISBLANK(Arrangörslista!G$98),"",IF($GV45=AR$64," DNS ",IFERROR(VLOOKUP($F45,Arrangörslista!G$98:$AG$135,16,FALSE), "DNS")))), IF(Deltagarlista!$K$3=1,IF(ISBLANK(Deltagarlista!$C20),"",IF(ISBLANK(Arrangörslista!G$98),"",IFERROR(VLOOKUP($F45,Arrangörslista!G$98:$AG$135,16,FALSE), "DNS"))),""))</f>
        <v/>
      </c>
      <c r="AS45" s="5" t="str">
        <f>IF(Deltagarlista!$K$3=2,
IF(ISBLANK(Deltagarlista!$C20),"",IF(ISBLANK(Arrangörslista!H$98),"",IF($GV45=AS$64," DNS ",IFERROR(VLOOKUP($F45,Arrangörslista!H$98:$AG$135,16,FALSE), "DNS")))), IF(Deltagarlista!$K$3=1,IF(ISBLANK(Deltagarlista!$C20),"",IF(ISBLANK(Arrangörslista!H$98),"",IFERROR(VLOOKUP($F45,Arrangörslista!H$98:$AG$135,16,FALSE), "DNS"))),""))</f>
        <v/>
      </c>
      <c r="AT45" s="5" t="str">
        <f>IF(Deltagarlista!$K$3=2,
IF(ISBLANK(Deltagarlista!$C20),"",IF(ISBLANK(Arrangörslista!I$98),"",IF($GV45=AT$64," DNS ",IFERROR(VLOOKUP($F45,Arrangörslista!I$98:$AG$135,16,FALSE), "DNS")))), IF(Deltagarlista!$K$3=1,IF(ISBLANK(Deltagarlista!$C20),"",IF(ISBLANK(Arrangörslista!I$98),"",IFERROR(VLOOKUP($F45,Arrangörslista!I$98:$AG$135,16,FALSE), "DNS"))),""))</f>
        <v/>
      </c>
      <c r="AU45" s="5" t="str">
        <f>IF(Deltagarlista!$K$3=2,
IF(ISBLANK(Deltagarlista!$C20),"",IF(ISBLANK(Arrangörslista!J$98),"",IF($GV45=AU$64," DNS ",IFERROR(VLOOKUP($F45,Arrangörslista!J$98:$AG$135,16,FALSE), "DNS")))), IF(Deltagarlista!$K$3=1,IF(ISBLANK(Deltagarlista!$C20),"",IF(ISBLANK(Arrangörslista!J$98),"",IFERROR(VLOOKUP($F45,Arrangörslista!J$98:$AG$135,16,FALSE), "DNS"))),""))</f>
        <v/>
      </c>
      <c r="AV45" s="5" t="str">
        <f>IF(Deltagarlista!$K$3=2,
IF(ISBLANK(Deltagarlista!$C20),"",IF(ISBLANK(Arrangörslista!K$98),"",IF($GV45=AV$64," DNS ",IFERROR(VLOOKUP($F45,Arrangörslista!K$98:$AG$135,16,FALSE), "DNS")))), IF(Deltagarlista!$K$3=1,IF(ISBLANK(Deltagarlista!$C20),"",IF(ISBLANK(Arrangörslista!K$98),"",IFERROR(VLOOKUP($F45,Arrangörslista!K$98:$AG$135,16,FALSE), "DNS"))),""))</f>
        <v/>
      </c>
      <c r="AW45" s="5" t="str">
        <f>IF(Deltagarlista!$K$3=2,
IF(ISBLANK(Deltagarlista!$C20),"",IF(ISBLANK(Arrangörslista!L$98),"",IF($GV45=AW$64," DNS ",IFERROR(VLOOKUP($F45,Arrangörslista!L$98:$AG$135,16,FALSE), "DNS")))), IF(Deltagarlista!$K$3=1,IF(ISBLANK(Deltagarlista!$C20),"",IF(ISBLANK(Arrangörslista!L$98),"",IFERROR(VLOOKUP($F45,Arrangörslista!L$98:$AG$135,16,FALSE), "DNS"))),""))</f>
        <v/>
      </c>
      <c r="AX45" s="5" t="str">
        <f>IF(Deltagarlista!$K$3=2,
IF(ISBLANK(Deltagarlista!$C20),"",IF(ISBLANK(Arrangörslista!M$98),"",IF($GV45=AX$64," DNS ",IFERROR(VLOOKUP($F45,Arrangörslista!M$98:$AG$135,16,FALSE), "DNS")))), IF(Deltagarlista!$K$3=1,IF(ISBLANK(Deltagarlista!$C20),"",IF(ISBLANK(Arrangörslista!M$98),"",IFERROR(VLOOKUP($F45,Arrangörslista!M$98:$AG$135,16,FALSE), "DNS"))),""))</f>
        <v/>
      </c>
      <c r="AY45" s="5" t="str">
        <f>IF(Deltagarlista!$K$3=2,
IF(ISBLANK(Deltagarlista!$C20),"",IF(ISBLANK(Arrangörslista!N$98),"",IF($GV45=AY$64," DNS ",IFERROR(VLOOKUP($F45,Arrangörslista!N$98:$AG$135,16,FALSE), "DNS")))), IF(Deltagarlista!$K$3=1,IF(ISBLANK(Deltagarlista!$C20),"",IF(ISBLANK(Arrangörslista!N$98),"",IFERROR(VLOOKUP($F45,Arrangörslista!N$98:$AG$135,16,FALSE), "DNS"))),""))</f>
        <v/>
      </c>
      <c r="AZ45" s="5" t="str">
        <f>IF(Deltagarlista!$K$3=2,
IF(ISBLANK(Deltagarlista!$C20),"",IF(ISBLANK(Arrangörslista!O$98),"",IF($GV45=AZ$64," DNS ",IFERROR(VLOOKUP($F45,Arrangörslista!O$98:$AG$135,16,FALSE), "DNS")))), IF(Deltagarlista!$K$3=1,IF(ISBLANK(Deltagarlista!$C20),"",IF(ISBLANK(Arrangörslista!O$98),"",IFERROR(VLOOKUP($F45,Arrangörslista!O$98:$AG$135,16,FALSE), "DNS"))),""))</f>
        <v/>
      </c>
      <c r="BA45" s="5" t="str">
        <f>IF(Deltagarlista!$K$3=2,
IF(ISBLANK(Deltagarlista!$C20),"",IF(ISBLANK(Arrangörslista!P$98),"",IF($GV45=BA$64," DNS ",IFERROR(VLOOKUP($F45,Arrangörslista!P$98:$AG$135,16,FALSE), "DNS")))), IF(Deltagarlista!$K$3=1,IF(ISBLANK(Deltagarlista!$C20),"",IF(ISBLANK(Arrangörslista!P$98),"",IFERROR(VLOOKUP($F45,Arrangörslista!P$98:$AG$135,16,FALSE), "DNS"))),""))</f>
        <v/>
      </c>
      <c r="BB45" s="5" t="str">
        <f>IF(Deltagarlista!$K$3=2,
IF(ISBLANK(Deltagarlista!$C20),"",IF(ISBLANK(Arrangörslista!Q$98),"",IF($GV45=BB$64," DNS ",IFERROR(VLOOKUP($F45,Arrangörslista!Q$98:$AG$135,16,FALSE), "DNS")))), IF(Deltagarlista!$K$3=1,IF(ISBLANK(Deltagarlista!$C20),"",IF(ISBLANK(Arrangörslista!Q$98),"",IFERROR(VLOOKUP($F45,Arrangörslista!Q$98:$AG$135,16,FALSE), "DNS"))),""))</f>
        <v/>
      </c>
      <c r="BC45" s="5" t="str">
        <f>IF(Deltagarlista!$K$3=2,
IF(ISBLANK(Deltagarlista!$C20),"",IF(ISBLANK(Arrangörslista!C$143),"",IF($GV45=BC$64," DNS ",IFERROR(VLOOKUP($F45,Arrangörslista!C$143:$AG$180,16,FALSE), "DNS")))), IF(Deltagarlista!$K$3=1,IF(ISBLANK(Deltagarlista!$C20),"",IF(ISBLANK(Arrangörslista!C$143),"",IFERROR(VLOOKUP($F45,Arrangörslista!C$143:$AG$180,16,FALSE), "DNS"))),""))</f>
        <v/>
      </c>
      <c r="BD45" s="5" t="str">
        <f>IF(Deltagarlista!$K$3=2,
IF(ISBLANK(Deltagarlista!$C20),"",IF(ISBLANK(Arrangörslista!D$143),"",IF($GV45=BD$64," DNS ",IFERROR(VLOOKUP($F45,Arrangörslista!D$143:$AG$180,16,FALSE), "DNS")))), IF(Deltagarlista!$K$3=1,IF(ISBLANK(Deltagarlista!$C20),"",IF(ISBLANK(Arrangörslista!D$143),"",IFERROR(VLOOKUP($F45,Arrangörslista!D$143:$AG$180,16,FALSE), "DNS"))),""))</f>
        <v/>
      </c>
      <c r="BE45" s="5" t="str">
        <f>IF(Deltagarlista!$K$3=2,
IF(ISBLANK(Deltagarlista!$C20),"",IF(ISBLANK(Arrangörslista!E$143),"",IF($GV45=BE$64," DNS ",IFERROR(VLOOKUP($F45,Arrangörslista!E$143:$AG$180,16,FALSE), "DNS")))), IF(Deltagarlista!$K$3=1,IF(ISBLANK(Deltagarlista!$C20),"",IF(ISBLANK(Arrangörslista!E$143),"",IFERROR(VLOOKUP($F45,Arrangörslista!E$143:$AG$180,16,FALSE), "DNS"))),""))</f>
        <v/>
      </c>
      <c r="BF45" s="5" t="str">
        <f>IF(Deltagarlista!$K$3=2,
IF(ISBLANK(Deltagarlista!$C20),"",IF(ISBLANK(Arrangörslista!F$143),"",IF($GV45=BF$64," DNS ",IFERROR(VLOOKUP($F45,Arrangörslista!F$143:$AG$180,16,FALSE), "DNS")))), IF(Deltagarlista!$K$3=1,IF(ISBLANK(Deltagarlista!$C20),"",IF(ISBLANK(Arrangörslista!F$143),"",IFERROR(VLOOKUP($F45,Arrangörslista!F$143:$AG$180,16,FALSE), "DNS"))),""))</f>
        <v/>
      </c>
      <c r="BG45" s="5" t="str">
        <f>IF(Deltagarlista!$K$3=2,
IF(ISBLANK(Deltagarlista!$C20),"",IF(ISBLANK(Arrangörslista!G$143),"",IF($GV45=BG$64," DNS ",IFERROR(VLOOKUP($F45,Arrangörslista!G$143:$AG$180,16,FALSE), "DNS")))), IF(Deltagarlista!$K$3=1,IF(ISBLANK(Deltagarlista!$C20),"",IF(ISBLANK(Arrangörslista!G$143),"",IFERROR(VLOOKUP($F45,Arrangörslista!G$143:$AG$180,16,FALSE), "DNS"))),""))</f>
        <v/>
      </c>
      <c r="BH45" s="5" t="str">
        <f>IF(Deltagarlista!$K$3=2,
IF(ISBLANK(Deltagarlista!$C20),"",IF(ISBLANK(Arrangörslista!H$143),"",IF($GV45=BH$64," DNS ",IFERROR(VLOOKUP($F45,Arrangörslista!H$143:$AG$180,16,FALSE), "DNS")))), IF(Deltagarlista!$K$3=1,IF(ISBLANK(Deltagarlista!$C20),"",IF(ISBLANK(Arrangörslista!H$143),"",IFERROR(VLOOKUP($F45,Arrangörslista!H$143:$AG$180,16,FALSE), "DNS"))),""))</f>
        <v/>
      </c>
      <c r="BI45" s="5" t="str">
        <f>IF(Deltagarlista!$K$3=2,
IF(ISBLANK(Deltagarlista!$C20),"",IF(ISBLANK(Arrangörslista!I$143),"",IF($GV45=BI$64," DNS ",IFERROR(VLOOKUP($F45,Arrangörslista!I$143:$AG$180,16,FALSE), "DNS")))), IF(Deltagarlista!$K$3=1,IF(ISBLANK(Deltagarlista!$C20),"",IF(ISBLANK(Arrangörslista!I$143),"",IFERROR(VLOOKUP($F45,Arrangörslista!I$143:$AG$180,16,FALSE), "DNS"))),""))</f>
        <v/>
      </c>
      <c r="BJ45" s="5" t="str">
        <f>IF(Deltagarlista!$K$3=2,
IF(ISBLANK(Deltagarlista!$C20),"",IF(ISBLANK(Arrangörslista!J$143),"",IF($GV45=BJ$64," DNS ",IFERROR(VLOOKUP($F45,Arrangörslista!J$143:$AG$180,16,FALSE), "DNS")))), IF(Deltagarlista!$K$3=1,IF(ISBLANK(Deltagarlista!$C20),"",IF(ISBLANK(Arrangörslista!J$143),"",IFERROR(VLOOKUP($F45,Arrangörslista!J$143:$AG$180,16,FALSE), "DNS"))),""))</f>
        <v/>
      </c>
      <c r="BK45" s="5" t="str">
        <f>IF(Deltagarlista!$K$3=2,
IF(ISBLANK(Deltagarlista!$C20),"",IF(ISBLANK(Arrangörslista!K$143),"",IF($GV45=BK$64," DNS ",IFERROR(VLOOKUP($F45,Arrangörslista!K$143:$AG$180,16,FALSE), "DNS")))), IF(Deltagarlista!$K$3=1,IF(ISBLANK(Deltagarlista!$C20),"",IF(ISBLANK(Arrangörslista!K$143),"",IFERROR(VLOOKUP($F45,Arrangörslista!K$143:$AG$180,16,FALSE), "DNS"))),""))</f>
        <v/>
      </c>
      <c r="BL45" s="5" t="str">
        <f>IF(Deltagarlista!$K$3=2,
IF(ISBLANK(Deltagarlista!$C20),"",IF(ISBLANK(Arrangörslista!L$143),"",IF($GV45=BL$64," DNS ",IFERROR(VLOOKUP($F45,Arrangörslista!L$143:$AG$180,16,FALSE), "DNS")))), IF(Deltagarlista!$K$3=1,IF(ISBLANK(Deltagarlista!$C20),"",IF(ISBLANK(Arrangörslista!L$143),"",IFERROR(VLOOKUP($F45,Arrangörslista!L$143:$AG$180,16,FALSE), "DNS"))),""))</f>
        <v/>
      </c>
      <c r="BM45" s="5" t="str">
        <f>IF(Deltagarlista!$K$3=2,
IF(ISBLANK(Deltagarlista!$C20),"",IF(ISBLANK(Arrangörslista!M$143),"",IF($GV45=BM$64," DNS ",IFERROR(VLOOKUP($F45,Arrangörslista!M$143:$AG$180,16,FALSE), "DNS")))), IF(Deltagarlista!$K$3=1,IF(ISBLANK(Deltagarlista!$C20),"",IF(ISBLANK(Arrangörslista!M$143),"",IFERROR(VLOOKUP($F45,Arrangörslista!M$143:$AG$180,16,FALSE), "DNS"))),""))</f>
        <v/>
      </c>
      <c r="BN45" s="5" t="str">
        <f>IF(Deltagarlista!$K$3=2,
IF(ISBLANK(Deltagarlista!$C20),"",IF(ISBLANK(Arrangörslista!N$143),"",IF($GV45=BN$64," DNS ",IFERROR(VLOOKUP($F45,Arrangörslista!N$143:$AG$180,16,FALSE), "DNS")))), IF(Deltagarlista!$K$3=1,IF(ISBLANK(Deltagarlista!$C20),"",IF(ISBLANK(Arrangörslista!N$143),"",IFERROR(VLOOKUP($F45,Arrangörslista!N$143:$AG$180,16,FALSE), "DNS"))),""))</f>
        <v/>
      </c>
      <c r="BO45" s="5" t="str">
        <f>IF(Deltagarlista!$K$3=2,
IF(ISBLANK(Deltagarlista!$C20),"",IF(ISBLANK(Arrangörslista!O$143),"",IF($GV45=BO$64," DNS ",IFERROR(VLOOKUP($F45,Arrangörslista!O$143:$AG$180,16,FALSE), "DNS")))), IF(Deltagarlista!$K$3=1,IF(ISBLANK(Deltagarlista!$C20),"",IF(ISBLANK(Arrangörslista!O$143),"",IFERROR(VLOOKUP($F45,Arrangörslista!O$143:$AG$180,16,FALSE), "DNS"))),""))</f>
        <v/>
      </c>
      <c r="BP45" s="5" t="str">
        <f>IF(Deltagarlista!$K$3=2,
IF(ISBLANK(Deltagarlista!$C20),"",IF(ISBLANK(Arrangörslista!P$143),"",IF($GV45=BP$64," DNS ",IFERROR(VLOOKUP($F45,Arrangörslista!P$143:$AG$180,16,FALSE), "DNS")))), IF(Deltagarlista!$K$3=1,IF(ISBLANK(Deltagarlista!$C20),"",IF(ISBLANK(Arrangörslista!P$143),"",IFERROR(VLOOKUP($F45,Arrangörslista!P$143:$AG$180,16,FALSE), "DNS"))),""))</f>
        <v/>
      </c>
      <c r="BQ45" s="80" t="str">
        <f>IF(Deltagarlista!$K$3=2,
IF(ISBLANK(Deltagarlista!$C20),"",IF(ISBLANK(Arrangörslista!Q$143),"",IF($GV45=BQ$64," DNS ",IFERROR(VLOOKUP($F45,Arrangörslista!Q$143:$AG$180,16,FALSE), "DNS")))), IF(Deltagarlista!$K$3=1,IF(ISBLANK(Deltagarlista!$C20),"",IF(ISBLANK(Arrangörslista!Q$143),"",IFERROR(VLOOKUP($F45,Arrangörslista!Q$143:$AG$180,16,FALSE), "DNS"))),""))</f>
        <v/>
      </c>
      <c r="BR45" s="51"/>
      <c r="BS45" s="50" t="str">
        <f t="shared" si="125"/>
        <v>2</v>
      </c>
      <c r="BT45" s="51"/>
      <c r="BU45" s="71">
        <f t="shared" si="126"/>
        <v>0</v>
      </c>
      <c r="BV45" s="61">
        <f t="shared" si="127"/>
        <v>0</v>
      </c>
      <c r="BW45" s="61">
        <f t="shared" si="128"/>
        <v>0</v>
      </c>
      <c r="BX45" s="61">
        <f t="shared" si="129"/>
        <v>0</v>
      </c>
      <c r="BY45" s="61">
        <f t="shared" si="130"/>
        <v>0</v>
      </c>
      <c r="BZ45" s="61">
        <f t="shared" si="131"/>
        <v>0</v>
      </c>
      <c r="CA45" s="61">
        <f t="shared" si="132"/>
        <v>0</v>
      </c>
      <c r="CB45" s="61">
        <f t="shared" si="133"/>
        <v>0</v>
      </c>
      <c r="CC45" s="61">
        <f t="shared" si="134"/>
        <v>0</v>
      </c>
      <c r="CD45" s="61">
        <f t="shared" si="135"/>
        <v>0</v>
      </c>
      <c r="CE45" s="61">
        <f t="shared" si="136"/>
        <v>0</v>
      </c>
      <c r="CF45" s="61">
        <f t="shared" si="137"/>
        <v>0</v>
      </c>
      <c r="CG45" s="61">
        <f t="shared" si="138"/>
        <v>0</v>
      </c>
      <c r="CH45" s="61">
        <f t="shared" si="139"/>
        <v>0</v>
      </c>
      <c r="CI45" s="61">
        <f t="shared" si="140"/>
        <v>0</v>
      </c>
      <c r="CJ45" s="61">
        <f t="shared" si="141"/>
        <v>0</v>
      </c>
      <c r="CK45" s="61">
        <f t="shared" si="142"/>
        <v>0</v>
      </c>
      <c r="CL45" s="61">
        <f t="shared" si="143"/>
        <v>0</v>
      </c>
      <c r="CM45" s="61">
        <f t="shared" si="144"/>
        <v>0</v>
      </c>
      <c r="CN45" s="61">
        <f t="shared" si="145"/>
        <v>0</v>
      </c>
      <c r="CO45" s="61">
        <f t="shared" si="146"/>
        <v>0</v>
      </c>
      <c r="CP45" s="61">
        <f t="shared" si="147"/>
        <v>0</v>
      </c>
      <c r="CQ45" s="61">
        <f t="shared" si="148"/>
        <v>0</v>
      </c>
      <c r="CR45" s="61">
        <f t="shared" si="149"/>
        <v>0</v>
      </c>
      <c r="CS45" s="61">
        <f t="shared" si="150"/>
        <v>0</v>
      </c>
      <c r="CT45" s="61">
        <f t="shared" si="151"/>
        <v>0</v>
      </c>
      <c r="CU45" s="61">
        <f t="shared" si="152"/>
        <v>0</v>
      </c>
      <c r="CV45" s="61">
        <f t="shared" si="153"/>
        <v>0</v>
      </c>
      <c r="CW45" s="61">
        <f t="shared" si="154"/>
        <v>0</v>
      </c>
      <c r="CX45" s="61">
        <f t="shared" si="155"/>
        <v>0</v>
      </c>
      <c r="CY45" s="61">
        <f t="shared" si="156"/>
        <v>0</v>
      </c>
      <c r="CZ45" s="61">
        <f t="shared" si="157"/>
        <v>0</v>
      </c>
      <c r="DA45" s="61">
        <f t="shared" si="158"/>
        <v>0</v>
      </c>
      <c r="DB45" s="61">
        <f t="shared" si="159"/>
        <v>0</v>
      </c>
      <c r="DC45" s="61">
        <f t="shared" si="160"/>
        <v>0</v>
      </c>
      <c r="DD45" s="61">
        <f t="shared" si="161"/>
        <v>0</v>
      </c>
      <c r="DE45" s="61">
        <f t="shared" si="162"/>
        <v>0</v>
      </c>
      <c r="DF45" s="61">
        <f t="shared" si="163"/>
        <v>0</v>
      </c>
      <c r="DG45" s="61">
        <f t="shared" si="164"/>
        <v>0</v>
      </c>
      <c r="DH45" s="61">
        <f t="shared" si="165"/>
        <v>0</v>
      </c>
      <c r="DI45" s="61">
        <f t="shared" si="166"/>
        <v>0</v>
      </c>
      <c r="DJ45" s="61">
        <f t="shared" si="167"/>
        <v>0</v>
      </c>
      <c r="DK45" s="61">
        <f t="shared" si="168"/>
        <v>0</v>
      </c>
      <c r="DL45" s="61">
        <f t="shared" si="169"/>
        <v>0</v>
      </c>
      <c r="DM45" s="61">
        <f t="shared" si="170"/>
        <v>0</v>
      </c>
      <c r="DN45" s="61">
        <f t="shared" si="171"/>
        <v>0</v>
      </c>
      <c r="DO45" s="61">
        <f t="shared" si="172"/>
        <v>0</v>
      </c>
      <c r="DP45" s="61">
        <f t="shared" si="173"/>
        <v>0</v>
      </c>
      <c r="DQ45" s="61">
        <f t="shared" si="174"/>
        <v>0</v>
      </c>
      <c r="DR45" s="61">
        <f t="shared" si="175"/>
        <v>0</v>
      </c>
      <c r="DS45" s="61">
        <f t="shared" si="176"/>
        <v>0</v>
      </c>
      <c r="DT45" s="61">
        <f t="shared" si="177"/>
        <v>0</v>
      </c>
      <c r="DU45" s="61">
        <f t="shared" si="178"/>
        <v>0</v>
      </c>
      <c r="DV45" s="61">
        <f t="shared" si="179"/>
        <v>0</v>
      </c>
      <c r="DW45" s="61">
        <f t="shared" si="180"/>
        <v>0</v>
      </c>
      <c r="DX45" s="61">
        <f t="shared" si="181"/>
        <v>0</v>
      </c>
      <c r="DY45" s="61">
        <f t="shared" si="182"/>
        <v>0</v>
      </c>
      <c r="DZ45" s="61">
        <f t="shared" si="183"/>
        <v>0</v>
      </c>
      <c r="EA45" s="61">
        <f t="shared" si="184"/>
        <v>0</v>
      </c>
      <c r="EB45" s="61">
        <f t="shared" si="185"/>
        <v>0</v>
      </c>
      <c r="EC45" s="61">
        <f t="shared" si="186"/>
        <v>0</v>
      </c>
      <c r="EE45" s="61">
        <f xml:space="preserve">
IF(OR(Deltagarlista!$K$3=3,Deltagarlista!$K$3=4),
IF(Arrangörslista!$U$5&lt;8,0,
IF(Arrangörslista!$U$5&lt;16,SUM(LARGE(BV45:CJ45,1)),
IF(Arrangörslista!$U$5&lt;24,SUM(LARGE(BV45:CR45,{1;2})),
IF(Arrangörslista!$U$5&lt;32,SUM(LARGE(BV45:CZ45,{1;2;3})),
IF(Arrangörslista!$U$5&lt;40,SUM(LARGE(BV45:DH45,{1;2;3;4})),
IF(Arrangörslista!$U$5&lt;48,SUM(LARGE(BV45:DP45,{1;2;3;4;5})),
IF(Arrangörslista!$U$5&lt;56,SUM(LARGE(BV45:DX45,{1;2;3;4;5;6})),
IF(Arrangörslista!$U$5&lt;64,SUM(LARGE(BV45:EC45,{1;2;3;4;5;6;7})),0)))))))),
IF(Deltagarlista!$K$3=2,
IF(Arrangörslista!$U$5&lt;4,LARGE(BV45:BX45,1),
IF(Arrangörslista!$U$5&lt;7,SUM(LARGE(BV45:CA45,{1;2;3})),
IF(Arrangörslista!$U$5&lt;10,SUM(LARGE(BV45:CD45,{1;2;3;4})),
IF(Arrangörslista!$U$5&lt;13,SUM(LARGE(BV45:CG45,{1;2;3;4;5;6})),
IF(Arrangörslista!$U$5&lt;16,SUM(LARGE(BV45:CJ45,{1;2;3;4;5;6;7})),
IF(Arrangörslista!$U$5&lt;19,SUM(LARGE(BV45:CM45,{1;2;3;4;5;6;7;8;9})),
IF(Arrangörslista!$U$5&lt;22,SUM(LARGE(BV45:CP45,{1;2;3;4;5;6;7;8;9;10})),
IF(Arrangörslista!$U$5&lt;25,SUM(LARGE(BV45:CS45,{1;2;3;4;5;6;7;8;9;10;11;12})),
IF(Arrangörslista!$U$5&lt;28,SUM(LARGE(BV45:CV45,{1;2;3;4;5;6;7;8;9;10;11;12;13})),
IF(Arrangörslista!$U$5&lt;31,SUM(LARGE(BV45:CY45,{1;2;3;4;5;6;7;8;9;10;11;12;13;14;15})),
IF(Arrangörslista!$U$5&lt;34,SUM(LARGE(BV45:DB45,{1;2;3;4;5;6;7;8;9;10;11;12;13;14;15;16})),
IF(Arrangörslista!$U$5&lt;37,SUM(LARGE(BV45:DE45,{1;2;3;4;5;6;7;8;9;10;11;12;13;14;15;16;17;18})),
IF(Arrangörslista!$U$5&lt;40,SUM(LARGE(BV45:DH45,{1;2;3;4;5;6;7;8;9;10;11;12;13;14;15;16;17;18;19})),
IF(Arrangörslista!$U$5&lt;43,SUM(LARGE(BV45:DK45,{1;2;3;4;5;6;7;8;9;10;11;12;13;14;15;16;17;18;19;20;21})),
IF(Arrangörslista!$U$5&lt;46,SUM(LARGE(BV45:DN45,{1;2;3;4;5;6;7;8;9;10;11;12;13;14;15;16;17;18;19;20;21;22})),
IF(Arrangörslista!$U$5&lt;49,SUM(LARGE(BV45:DQ45,{1;2;3;4;5;6;7;8;9;10;11;12;13;14;15;16;17;18;19;20;21;22;23;24})),
IF(Arrangörslista!$U$5&lt;52,SUM(LARGE(BV45:DT45,{1;2;3;4;5;6;7;8;9;10;11;12;13;14;15;16;17;18;19;20;21;22;23;24;25})),
IF(Arrangörslista!$U$5&lt;55,SUM(LARGE(BV45:DW45,{1;2;3;4;5;6;7;8;9;10;11;12;13;14;15;16;17;18;19;20;21;22;23;24;25;26;27})),
IF(Arrangörslista!$U$5&lt;58,SUM(LARGE(BV45:DZ45,{1;2;3;4;5;6;7;8;9;10;11;12;13;14;15;16;17;18;19;20;21;22;23;24;25;26;27;28})),
IF(Arrangörslista!$U$5&lt;61,SUM(LARGE(BV45:EC45,{1;2;3;4;5;6;7;8;9;10;11;12;13;14;15;16;17;18;19;20;21;22;23;24;25;26;27;28;29;30})),0)))))))))))))))))))),
IF(Arrangörslista!$U$5&lt;4,0,
IF(Arrangörslista!$U$5&lt;8,SUM(LARGE(BV45:CB45,1)),
IF(Arrangörslista!$U$5&lt;12,SUM(LARGE(BV45:CF45,{1;2})),
IF(Arrangörslista!$U$5&lt;16,SUM(LARGE(BV45:CJ45,{1;2;3})),
IF(Arrangörslista!$U$5&lt;20,SUM(LARGE(BV45:CN45,{1;2;3;4})),
IF(Arrangörslista!$U$5&lt;24,SUM(LARGE(BV45:CR45,{1;2;3;4;5})),
IF(Arrangörslista!$U$5&lt;28,SUM(LARGE(BV45:CV45,{1;2;3;4;5;6})),
IF(Arrangörslista!$U$5&lt;32,SUM(LARGE(BV45:CZ45,{1;2;3;4;5;6;7})),
IF(Arrangörslista!$U$5&lt;36,SUM(LARGE(BV45:DD45,{1;2;3;4;5;6;7;8})),
IF(Arrangörslista!$U$5&lt;40,SUM(LARGE(BV45:DH45,{1;2;3;4;5;6;7;8;9})),
IF(Arrangörslista!$U$5&lt;44,SUM(LARGE(BV45:DL45,{1;2;3;4;5;6;7;8;9;10})),
IF(Arrangörslista!$U$5&lt;48,SUM(LARGE(BV45:DP45,{1;2;3;4;5;6;7;8;9;10;11})),
IF(Arrangörslista!$U$5&lt;52,SUM(LARGE(BV45:DT45,{1;2;3;4;5;6;7;8;9;10;11;12})),
IF(Arrangörslista!$U$5&lt;56,SUM(LARGE(BV45:DX45,{1;2;3;4;5;6;7;8;9;10;11;12;13})),
IF(Arrangörslista!$U$5&lt;60,SUM(LARGE(BV45:EB45,{1;2;3;4;5;6;7;8;9;10;11;12;13;14})),
IF(Arrangörslista!$U$5=60,SUM(LARGE(BV45:EC45,{1;2;3;4;5;6;7;8;9;10;11;12;13;14;15})),0))))))))))))))))))</f>
        <v>0</v>
      </c>
      <c r="EG45" s="67">
        <f t="shared" si="187"/>
        <v>0</v>
      </c>
      <c r="EH45" s="61"/>
      <c r="EI45" s="61"/>
      <c r="EK45" s="62">
        <f t="shared" si="188"/>
        <v>61</v>
      </c>
      <c r="EL45" s="62">
        <f t="shared" si="189"/>
        <v>61</v>
      </c>
      <c r="EM45" s="62">
        <f t="shared" si="190"/>
        <v>61</v>
      </c>
      <c r="EN45" s="62">
        <f t="shared" si="191"/>
        <v>61</v>
      </c>
      <c r="EO45" s="62">
        <f t="shared" si="192"/>
        <v>61</v>
      </c>
      <c r="EP45" s="62">
        <f t="shared" si="193"/>
        <v>61</v>
      </c>
      <c r="EQ45" s="62">
        <f t="shared" si="194"/>
        <v>61</v>
      </c>
      <c r="ER45" s="62">
        <f t="shared" si="195"/>
        <v>61</v>
      </c>
      <c r="ES45" s="62">
        <f t="shared" si="196"/>
        <v>61</v>
      </c>
      <c r="ET45" s="62">
        <f t="shared" si="197"/>
        <v>61</v>
      </c>
      <c r="EU45" s="62">
        <f t="shared" si="198"/>
        <v>61</v>
      </c>
      <c r="EV45" s="62">
        <f t="shared" si="199"/>
        <v>61</v>
      </c>
      <c r="EW45" s="62">
        <f t="shared" si="200"/>
        <v>61</v>
      </c>
      <c r="EX45" s="62">
        <f t="shared" si="201"/>
        <v>61</v>
      </c>
      <c r="EY45" s="62">
        <f t="shared" si="202"/>
        <v>61</v>
      </c>
      <c r="EZ45" s="62">
        <f t="shared" si="203"/>
        <v>61</v>
      </c>
      <c r="FA45" s="62">
        <f t="shared" si="204"/>
        <v>61</v>
      </c>
      <c r="FB45" s="62">
        <f t="shared" si="205"/>
        <v>61</v>
      </c>
      <c r="FC45" s="62">
        <f t="shared" si="206"/>
        <v>61</v>
      </c>
      <c r="FD45" s="62">
        <f t="shared" si="207"/>
        <v>61</v>
      </c>
      <c r="FE45" s="62">
        <f t="shared" si="208"/>
        <v>61</v>
      </c>
      <c r="FF45" s="62">
        <f t="shared" si="209"/>
        <v>61</v>
      </c>
      <c r="FG45" s="62">
        <f t="shared" si="210"/>
        <v>61</v>
      </c>
      <c r="FH45" s="62">
        <f t="shared" si="211"/>
        <v>61</v>
      </c>
      <c r="FI45" s="62">
        <f t="shared" si="212"/>
        <v>61</v>
      </c>
      <c r="FJ45" s="62">
        <f t="shared" si="213"/>
        <v>61</v>
      </c>
      <c r="FK45" s="62">
        <f t="shared" si="214"/>
        <v>61</v>
      </c>
      <c r="FL45" s="62">
        <f t="shared" si="215"/>
        <v>61</v>
      </c>
      <c r="FM45" s="62">
        <f t="shared" si="216"/>
        <v>61</v>
      </c>
      <c r="FN45" s="62">
        <f t="shared" si="217"/>
        <v>61</v>
      </c>
      <c r="FO45" s="62">
        <f t="shared" si="218"/>
        <v>61</v>
      </c>
      <c r="FP45" s="62">
        <f t="shared" si="219"/>
        <v>61</v>
      </c>
      <c r="FQ45" s="62">
        <f t="shared" si="220"/>
        <v>61</v>
      </c>
      <c r="FR45" s="62">
        <f t="shared" si="221"/>
        <v>61</v>
      </c>
      <c r="FS45" s="62">
        <f t="shared" si="222"/>
        <v>61</v>
      </c>
      <c r="FT45" s="62">
        <f t="shared" si="223"/>
        <v>61</v>
      </c>
      <c r="FU45" s="62">
        <f t="shared" si="224"/>
        <v>61</v>
      </c>
      <c r="FV45" s="62">
        <f t="shared" si="225"/>
        <v>61</v>
      </c>
      <c r="FW45" s="62">
        <f t="shared" si="226"/>
        <v>61</v>
      </c>
      <c r="FX45" s="62">
        <f t="shared" si="227"/>
        <v>61</v>
      </c>
      <c r="FY45" s="62">
        <f t="shared" si="228"/>
        <v>61</v>
      </c>
      <c r="FZ45" s="62">
        <f t="shared" si="229"/>
        <v>61</v>
      </c>
      <c r="GA45" s="62">
        <f t="shared" si="230"/>
        <v>61</v>
      </c>
      <c r="GB45" s="62">
        <f t="shared" si="231"/>
        <v>61</v>
      </c>
      <c r="GC45" s="62">
        <f t="shared" si="232"/>
        <v>61</v>
      </c>
      <c r="GD45" s="62">
        <f t="shared" si="233"/>
        <v>61</v>
      </c>
      <c r="GE45" s="62">
        <f t="shared" si="234"/>
        <v>61</v>
      </c>
      <c r="GF45" s="62">
        <f t="shared" si="235"/>
        <v>61</v>
      </c>
      <c r="GG45" s="62">
        <f t="shared" si="236"/>
        <v>61</v>
      </c>
      <c r="GH45" s="62">
        <f t="shared" si="237"/>
        <v>61</v>
      </c>
      <c r="GI45" s="62">
        <f t="shared" si="238"/>
        <v>61</v>
      </c>
      <c r="GJ45" s="62">
        <f t="shared" si="239"/>
        <v>61</v>
      </c>
      <c r="GK45" s="62">
        <f t="shared" si="240"/>
        <v>61</v>
      </c>
      <c r="GL45" s="62">
        <f t="shared" si="241"/>
        <v>61</v>
      </c>
      <c r="GM45" s="62">
        <f t="shared" si="242"/>
        <v>61</v>
      </c>
      <c r="GN45" s="62">
        <f t="shared" si="243"/>
        <v>61</v>
      </c>
      <c r="GO45" s="62">
        <f t="shared" si="244"/>
        <v>61</v>
      </c>
      <c r="GP45" s="62">
        <f t="shared" si="245"/>
        <v>61</v>
      </c>
      <c r="GQ45" s="62">
        <f t="shared" si="246"/>
        <v>61</v>
      </c>
      <c r="GR45" s="62">
        <f t="shared" si="247"/>
        <v>61</v>
      </c>
      <c r="GT45" s="62">
        <f>IF(Deltagarlista!$K$3=2,
IF(GW45="1",
      IF(Arrangörslista!$U$5=1,J108,
IF(Arrangörslista!$U$5=2,K108,
IF(Arrangörslista!$U$5=3,L108,
IF(Arrangörslista!$U$5=4,M108,
IF(Arrangörslista!$U$5=5,N108,
IF(Arrangörslista!$U$5=6,O108,
IF(Arrangörslista!$U$5=7,P108,
IF(Arrangörslista!$U$5=8,Q108,
IF(Arrangörslista!$U$5=9,R108,
IF(Arrangörslista!$U$5=10,S108,
IF(Arrangörslista!$U$5=11,T108,
IF(Arrangörslista!$U$5=12,U108,
IF(Arrangörslista!$U$5=13,V108,
IF(Arrangörslista!$U$5=14,W108,
IF(Arrangörslista!$U$5=15,X108,
IF(Arrangörslista!$U$5=16,Y108,IF(Arrangörslista!$U$5=17,Z108,IF(Arrangörslista!$U$5=18,AA108,IF(Arrangörslista!$U$5=19,AB108,IF(Arrangörslista!$U$5=20,AC108,IF(Arrangörslista!$U$5=21,AD108,IF(Arrangörslista!$U$5=22,AE108,IF(Arrangörslista!$U$5=23,AF108, IF(Arrangörslista!$U$5=24,AG108, IF(Arrangörslista!$U$5=25,AH108, IF(Arrangörslista!$U$5=26,AI108, IF(Arrangörslista!$U$5=27,AJ108, IF(Arrangörslista!$U$5=28,AK108, IF(Arrangörslista!$U$5=29,AL108, IF(Arrangörslista!$U$5=30,AM108, IF(Arrangörslista!$U$5=31,AN108, IF(Arrangörslista!$U$5=32,AO108, IF(Arrangörslista!$U$5=33,AP108, IF(Arrangörslista!$U$5=34,AQ108, IF(Arrangörslista!$U$5=35,AR108, IF(Arrangörslista!$U$5=36,AS108, IF(Arrangörslista!$U$5=37,AT108, IF(Arrangörslista!$U$5=38,AU108, IF(Arrangörslista!$U$5=39,AV108, IF(Arrangörslista!$U$5=40,AW108, IF(Arrangörslista!$U$5=41,AX108, IF(Arrangörslista!$U$5=42,AY108, IF(Arrangörslista!$U$5=43,AZ108, IF(Arrangörslista!$U$5=44,BA108, IF(Arrangörslista!$U$5=45,BB108, IF(Arrangörslista!$U$5=46,BC108, IF(Arrangörslista!$U$5=47,BD108, IF(Arrangörslista!$U$5=48,BE108, IF(Arrangörslista!$U$5=49,BF108, IF(Arrangörslista!$U$5=50,BG108, IF(Arrangörslista!$U$5=51,BH108, IF(Arrangörslista!$U$5=52,BI108, IF(Arrangörslista!$U$5=53,BJ108, IF(Arrangörslista!$U$5=54,BK108, IF(Arrangörslista!$U$5=55,BL108, IF(Arrangörslista!$U$5=56,BM108, IF(Arrangörslista!$U$5=57,BN108, IF(Arrangörslista!$U$5=58,BO108, IF(Arrangörslista!$U$5=59,BP108, IF(Arrangörslista!$U$5=60,BQ108,0))))))))))))))))))))))))))))))))))))))))))))))))))))))))))))),IF(Deltagarlista!$K$3=4, IF(Arrangörslista!$U$5=1,J108,
IF(Arrangörslista!$U$5=2,J108,
IF(Arrangörslista!$U$5=3,K108,
IF(Arrangörslista!$U$5=4,K108,
IF(Arrangörslista!$U$5=5,L108,
IF(Arrangörslista!$U$5=6,L108,
IF(Arrangörslista!$U$5=7,M108,
IF(Arrangörslista!$U$5=8,M108,
IF(Arrangörslista!$U$5=9,N108,
IF(Arrangörslista!$U$5=10,N108,
IF(Arrangörslista!$U$5=11,O108,
IF(Arrangörslista!$U$5=12,O108,
IF(Arrangörslista!$U$5=13,P108,
IF(Arrangörslista!$U$5=14,P108,
IF(Arrangörslista!$U$5=15,Q108,
IF(Arrangörslista!$U$5=16,Q108,
IF(Arrangörslista!$U$5=17,R108,
IF(Arrangörslista!$U$5=18,R108,
IF(Arrangörslista!$U$5=19,S108,
IF(Arrangörslista!$U$5=20,S108,
IF(Arrangörslista!$U$5=21,T108,
IF(Arrangörslista!$U$5=22,T108,IF(Arrangörslista!$U$5=23,U108, IF(Arrangörslista!$U$5=24,U108, IF(Arrangörslista!$U$5=25,V108, IF(Arrangörslista!$U$5=26,V108, IF(Arrangörslista!$U$5=27,W108, IF(Arrangörslista!$U$5=28,W108, IF(Arrangörslista!$U$5=29,X108, IF(Arrangörslista!$U$5=30,X108, IF(Arrangörslista!$U$5=31,X108, IF(Arrangörslista!$U$5=32,Y108, IF(Arrangörslista!$U$5=33,AO108, IF(Arrangörslista!$U$5=34,Y108, IF(Arrangörslista!$U$5=35,Z108, IF(Arrangörslista!$U$5=36,AR108, IF(Arrangörslista!$U$5=37,Z108, IF(Arrangörslista!$U$5=38,AA108, IF(Arrangörslista!$U$5=39,AU108, IF(Arrangörslista!$U$5=40,AA108, IF(Arrangörslista!$U$5=41,AB108, IF(Arrangörslista!$U$5=42,AX108, IF(Arrangörslista!$U$5=43,AB108, IF(Arrangörslista!$U$5=44,AC108, IF(Arrangörslista!$U$5=45,BA108, IF(Arrangörslista!$U$5=46,AC108, IF(Arrangörslista!$U$5=47,AD108, IF(Arrangörslista!$U$5=48,BD108, IF(Arrangörslista!$U$5=49,AD108, IF(Arrangörslista!$U$5=50,AE108, IF(Arrangörslista!$U$5=51,BG108, IF(Arrangörslista!$U$5=52,AE108, IF(Arrangörslista!$U$5=53,AF108, IF(Arrangörslista!$U$5=54,BJ108, IF(Arrangörslista!$U$5=55,AF108, IF(Arrangörslista!$U$5=56,AG108, IF(Arrangörslista!$U$5=57,BM108, IF(Arrangörslista!$U$5=58,AG108, IF(Arrangörslista!$U$5=59,AH108, IF(Arrangörslista!$U$5=60,AH108,0)))))))))))))))))))))))))))))))))))))))))))))))))))))))))))),IF(Arrangörslista!$U$5=1,J108,
IF(Arrangörslista!$U$5=2,K108,
IF(Arrangörslista!$U$5=3,L108,
IF(Arrangörslista!$U$5=4,M108,
IF(Arrangörslista!$U$5=5,N108,
IF(Arrangörslista!$U$5=6,O108,
IF(Arrangörslista!$U$5=7,P108,
IF(Arrangörslista!$U$5=8,Q108,
IF(Arrangörslista!$U$5=9,R108,
IF(Arrangörslista!$U$5=10,S108,
IF(Arrangörslista!$U$5=11,T108,
IF(Arrangörslista!$U$5=12,U108,
IF(Arrangörslista!$U$5=13,V108,
IF(Arrangörslista!$U$5=14,W108,
IF(Arrangörslista!$U$5=15,X108,
IF(Arrangörslista!$U$5=16,Y108,IF(Arrangörslista!$U$5=17,Z108,IF(Arrangörslista!$U$5=18,AA108,IF(Arrangörslista!$U$5=19,AB108,IF(Arrangörslista!$U$5=20,AC108,IF(Arrangörslista!$U$5=21,AD108,IF(Arrangörslista!$U$5=22,AE108,IF(Arrangörslista!$U$5=23,AF108, IF(Arrangörslista!$U$5=24,AG108, IF(Arrangörslista!$U$5=25,AH108, IF(Arrangörslista!$U$5=26,AI108, IF(Arrangörslista!$U$5=27,AJ108, IF(Arrangörslista!$U$5=28,AK108, IF(Arrangörslista!$U$5=29,AL108, IF(Arrangörslista!$U$5=30,AM108, IF(Arrangörslista!$U$5=31,AN108, IF(Arrangörslista!$U$5=32,AO108, IF(Arrangörslista!$U$5=33,AP108, IF(Arrangörslista!$U$5=34,AQ108, IF(Arrangörslista!$U$5=35,AR108, IF(Arrangörslista!$U$5=36,AS108, IF(Arrangörslista!$U$5=37,AT108, IF(Arrangörslista!$U$5=38,AU108, IF(Arrangörslista!$U$5=39,AV108, IF(Arrangörslista!$U$5=40,AW108, IF(Arrangörslista!$U$5=41,AX108, IF(Arrangörslista!$U$5=42,AY108, IF(Arrangörslista!$U$5=43,AZ108, IF(Arrangörslista!$U$5=44,BA108, IF(Arrangörslista!$U$5=45,BB108, IF(Arrangörslista!$U$5=46,BC108, IF(Arrangörslista!$U$5=47,BD108, IF(Arrangörslista!$U$5=48,BE108, IF(Arrangörslista!$U$5=49,BF108, IF(Arrangörslista!$U$5=50,BG108, IF(Arrangörslista!$U$5=51,BH108, IF(Arrangörslista!$U$5=52,BI108, IF(Arrangörslista!$U$5=53,BJ108, IF(Arrangörslista!$U$5=54,BK108, IF(Arrangörslista!$U$5=55,BL108, IF(Arrangörslista!$U$5=56,BM108, IF(Arrangörslista!$U$5=57,BN108, IF(Arrangörslista!$U$5=58,BO108, IF(Arrangörslista!$U$5=59,BP108, IF(Arrangörslista!$U$5=60,BQ108,0))))))))))))))))))))))))))))))))))))))))))))))))))))))))))))
))</f>
        <v>0</v>
      </c>
      <c r="GV45" s="65" t="str">
        <f>IFERROR(IF(VLOOKUP(F45,Deltagarlista!$E$5:$I$64,5,FALSE)="Grön","Gr",IF(VLOOKUP(F45,Deltagarlista!$E$5:$I$64,5,FALSE)="Röd","R",IF(VLOOKUP(F45,Deltagarlista!$E$5:$I$64,5,FALSE)="Blå","B","Gu"))),"")</f>
        <v/>
      </c>
      <c r="GW45" s="62" t="str">
        <f t="shared" si="124"/>
        <v/>
      </c>
    </row>
    <row r="46" spans="2:205" ht="15.75" customHeight="1" x14ac:dyDescent="0.3">
      <c r="B46" s="23" t="str">
        <f>IF((COUNTIF(Deltagarlista!$H$5:$H$64,"GM"))&gt;42,43,"")</f>
        <v/>
      </c>
      <c r="C46" s="92" t="str">
        <f>IF(ISBLANK(Deltagarlista!C22),"",Deltagarlista!C22)</f>
        <v/>
      </c>
      <c r="D46" s="109" t="str">
        <f>CONCATENATE(IF(Deltagarlista!H22="GM","GM   ",""), IF(OR(Deltagarlista!$K$3=4,Deltagarlista!$K$3=2),Deltagarlista!I22,""))</f>
        <v/>
      </c>
      <c r="E46" s="8" t="str">
        <f>IF(ISBLANK(Deltagarlista!D22),"",Deltagarlista!D22)</f>
        <v/>
      </c>
      <c r="F46" s="8" t="str">
        <f>IF(ISBLANK(Deltagarlista!E22),"",Deltagarlista!E22)</f>
        <v/>
      </c>
      <c r="G46" s="95" t="str">
        <f>IF(ISBLANK(Deltagarlista!F22),"",Deltagarlista!F22)</f>
        <v/>
      </c>
      <c r="H46" s="72" t="str">
        <f>IF(ISBLANK(Deltagarlista!C22),"",BU46-EE46)</f>
        <v/>
      </c>
      <c r="I46" s="13" t="str">
        <f>IF(ISBLANK(Deltagarlista!C22),"",IF(AND(Deltagarlista!$K$3=2,Deltagarlista!$L$3&lt;37),SUM(SUM(BV46:EC46)-(ROUNDDOWN(Arrangörslista!$U$5/3,1))*($BW$3+1)),SUM(BV46:EC46)))</f>
        <v/>
      </c>
      <c r="J46" s="79" t="str">
        <f>IF(Deltagarlista!$K$3=4,IF(ISBLANK(Deltagarlista!$C22),"",IF(ISBLANK(Arrangörslista!C$8),"",IFERROR(VLOOKUP($F46,Arrangörslista!C$8:$AG$45,16,FALSE),IF(ISBLANK(Deltagarlista!$C22),"",IF(ISBLANK(Arrangörslista!C$8),"",IFERROR(VLOOKUP($F46,Arrangörslista!D$8:$AG$45,16,FALSE),"DNS")))))),IF(Deltagarlista!$K$3=2,
IF(ISBLANK(Deltagarlista!$C22),"",IF(ISBLANK(Arrangörslista!C$8),"",IF($GV46=J$64," DNS ",IFERROR(VLOOKUP($F46,Arrangörslista!C$8:$AG$45,16,FALSE),"DNS")))),IF(ISBLANK(Deltagarlista!$C22),"",IF(ISBLANK(Arrangörslista!C$8),"",IFERROR(VLOOKUP($F46,Arrangörslista!C$8:$AG$45,16,FALSE),"DNS")))))</f>
        <v/>
      </c>
      <c r="K46" s="5" t="str">
        <f>IF(Deltagarlista!$K$3=4,IF(ISBLANK(Deltagarlista!$C22),"",IF(ISBLANK(Arrangörslista!E$8),"",IFERROR(VLOOKUP($F46,Arrangörslista!E$8:$AG$45,16,FALSE),IF(ISBLANK(Deltagarlista!$C22),"",IF(ISBLANK(Arrangörslista!E$8),"",IFERROR(VLOOKUP($F46,Arrangörslista!F$8:$AG$45,16,FALSE),"DNS")))))),IF(Deltagarlista!$K$3=2,
IF(ISBLANK(Deltagarlista!$C22),"",IF(ISBLANK(Arrangörslista!D$8),"",IF($GV46=K$64," DNS ",IFERROR(VLOOKUP($F46,Arrangörslista!D$8:$AG$45,16,FALSE),"DNS")))),IF(ISBLANK(Deltagarlista!$C22),"",IF(ISBLANK(Arrangörslista!D$8),"",IFERROR(VLOOKUP($F46,Arrangörslista!D$8:$AG$45,16,FALSE),"DNS")))))</f>
        <v/>
      </c>
      <c r="L46" s="5" t="str">
        <f>IF(Deltagarlista!$K$3=4,IF(ISBLANK(Deltagarlista!$C22),"",IF(ISBLANK(Arrangörslista!G$8),"",IFERROR(VLOOKUP($F46,Arrangörslista!G$8:$AG$45,16,FALSE),IF(ISBLANK(Deltagarlista!$C22),"",IF(ISBLANK(Arrangörslista!G$8),"",IFERROR(VLOOKUP($F46,Arrangörslista!H$8:$AG$45,16,FALSE),"DNS")))))),IF(Deltagarlista!$K$3=2,
IF(ISBLANK(Deltagarlista!$C22),"",IF(ISBLANK(Arrangörslista!E$8),"",IF($GV46=L$64," DNS ",IFERROR(VLOOKUP($F46,Arrangörslista!E$8:$AG$45,16,FALSE),"DNS")))),IF(ISBLANK(Deltagarlista!$C22),"",IF(ISBLANK(Arrangörslista!E$8),"",IFERROR(VLOOKUP($F46,Arrangörslista!E$8:$AG$45,16,FALSE),"DNS")))))</f>
        <v/>
      </c>
      <c r="M46" s="5" t="str">
        <f>IF(Deltagarlista!$K$3=4,IF(ISBLANK(Deltagarlista!$C22),"",IF(ISBLANK(Arrangörslista!I$8),"",IFERROR(VLOOKUP($F46,Arrangörslista!I$8:$AG$45,16,FALSE),IF(ISBLANK(Deltagarlista!$C22),"",IF(ISBLANK(Arrangörslista!I$8),"",IFERROR(VLOOKUP($F46,Arrangörslista!J$8:$AG$45,16,FALSE),"DNS")))))),IF(Deltagarlista!$K$3=2,
IF(ISBLANK(Deltagarlista!$C22),"",IF(ISBLANK(Arrangörslista!F$8),"",IF($GV46=M$64," DNS ",IFERROR(VLOOKUP($F46,Arrangörslista!F$8:$AG$45,16,FALSE),"DNS")))),IF(ISBLANK(Deltagarlista!$C22),"",IF(ISBLANK(Arrangörslista!F$8),"",IFERROR(VLOOKUP($F46,Arrangörslista!F$8:$AG$45,16,FALSE),"DNS")))))</f>
        <v/>
      </c>
      <c r="N46" s="5" t="str">
        <f>IF(Deltagarlista!$K$3=4,IF(ISBLANK(Deltagarlista!$C22),"",IF(ISBLANK(Arrangörslista!K$8),"",IFERROR(VLOOKUP($F46,Arrangörslista!K$8:$AG$45,16,FALSE),IF(ISBLANK(Deltagarlista!$C22),"",IF(ISBLANK(Arrangörslista!K$8),"",IFERROR(VLOOKUP($F46,Arrangörslista!L$8:$AG$45,16,FALSE),"DNS")))))),IF(Deltagarlista!$K$3=2,
IF(ISBLANK(Deltagarlista!$C22),"",IF(ISBLANK(Arrangörslista!G$8),"",IF($GV46=N$64," DNS ",IFERROR(VLOOKUP($F46,Arrangörslista!G$8:$AG$45,16,FALSE),"DNS")))),IF(ISBLANK(Deltagarlista!$C22),"",IF(ISBLANK(Arrangörslista!G$8),"",IFERROR(VLOOKUP($F46,Arrangörslista!G$8:$AG$45,16,FALSE),"DNS")))))</f>
        <v/>
      </c>
      <c r="O46" s="5" t="str">
        <f>IF(Deltagarlista!$K$3=4,IF(ISBLANK(Deltagarlista!$C22),"",IF(ISBLANK(Arrangörslista!M$8),"",IFERROR(VLOOKUP($F46,Arrangörslista!M$8:$AG$45,16,FALSE),IF(ISBLANK(Deltagarlista!$C22),"",IF(ISBLANK(Arrangörslista!M$8),"",IFERROR(VLOOKUP($F46,Arrangörslista!N$8:$AG$45,16,FALSE),"DNS")))))),IF(Deltagarlista!$K$3=2,
IF(ISBLANK(Deltagarlista!$C22),"",IF(ISBLANK(Arrangörslista!H$8),"",IF($GV46=O$64," DNS ",IFERROR(VLOOKUP($F46,Arrangörslista!H$8:$AG$45,16,FALSE),"DNS")))),IF(ISBLANK(Deltagarlista!$C22),"",IF(ISBLANK(Arrangörslista!H$8),"",IFERROR(VLOOKUP($F46,Arrangörslista!H$8:$AG$45,16,FALSE),"DNS")))))</f>
        <v/>
      </c>
      <c r="P46" s="5" t="str">
        <f>IF(Deltagarlista!$K$3=4,IF(ISBLANK(Deltagarlista!$C22),"",IF(ISBLANK(Arrangörslista!O$8),"",IFERROR(VLOOKUP($F46,Arrangörslista!O$8:$AG$45,16,FALSE),IF(ISBLANK(Deltagarlista!$C22),"",IF(ISBLANK(Arrangörslista!O$8),"",IFERROR(VLOOKUP($F46,Arrangörslista!P$8:$AG$45,16,FALSE),"DNS")))))),IF(Deltagarlista!$K$3=2,
IF(ISBLANK(Deltagarlista!$C22),"",IF(ISBLANK(Arrangörslista!I$8),"",IF($GV46=P$64," DNS ",IFERROR(VLOOKUP($F46,Arrangörslista!I$8:$AG$45,16,FALSE),"DNS")))),IF(ISBLANK(Deltagarlista!$C22),"",IF(ISBLANK(Arrangörslista!I$8),"",IFERROR(VLOOKUP($F46,Arrangörslista!I$8:$AG$45,16,FALSE),"DNS")))))</f>
        <v/>
      </c>
      <c r="Q46" s="5" t="str">
        <f>IF(Deltagarlista!$K$3=4,IF(ISBLANK(Deltagarlista!$C22),"",IF(ISBLANK(Arrangörslista!Q$8),"",IFERROR(VLOOKUP($F46,Arrangörslista!Q$8:$AG$45,16,FALSE),IF(ISBLANK(Deltagarlista!$C22),"",IF(ISBLANK(Arrangörslista!Q$8),"",IFERROR(VLOOKUP($F46,Arrangörslista!C$53:$AG$90,16,FALSE),"DNS")))))),IF(Deltagarlista!$K$3=2,
IF(ISBLANK(Deltagarlista!$C22),"",IF(ISBLANK(Arrangörslista!J$8),"",IF($GV46=Q$64," DNS ",IFERROR(VLOOKUP($F46,Arrangörslista!J$8:$AG$45,16,FALSE),"DNS")))),IF(ISBLANK(Deltagarlista!$C22),"",IF(ISBLANK(Arrangörslista!J$8),"",IFERROR(VLOOKUP($F46,Arrangörslista!J$8:$AG$45,16,FALSE),"DNS")))))</f>
        <v/>
      </c>
      <c r="R46" s="5" t="str">
        <f>IF(Deltagarlista!$K$3=4,IF(ISBLANK(Deltagarlista!$C22),"",IF(ISBLANK(Arrangörslista!D$53),"",IFERROR(VLOOKUP($F46,Arrangörslista!D$53:$AG$90,16,FALSE),IF(ISBLANK(Deltagarlista!$C22),"",IF(ISBLANK(Arrangörslista!D$53),"",IFERROR(VLOOKUP($F46,Arrangörslista!E$53:$AG$90,16,FALSE),"DNS")))))),IF(Deltagarlista!$K$3=2,
IF(ISBLANK(Deltagarlista!$C22),"",IF(ISBLANK(Arrangörslista!K$8),"",IF($GV46=R$64," DNS ",IFERROR(VLOOKUP($F46,Arrangörslista!K$8:$AG$45,16,FALSE),"DNS")))),IF(ISBLANK(Deltagarlista!$C22),"",IF(ISBLANK(Arrangörslista!K$8),"",IFERROR(VLOOKUP($F46,Arrangörslista!K$8:$AG$45,16,FALSE),"DNS")))))</f>
        <v/>
      </c>
      <c r="S46" s="5" t="str">
        <f>IF(Deltagarlista!$K$3=4,IF(ISBLANK(Deltagarlista!$C22),"",IF(ISBLANK(Arrangörslista!F$53),"",IFERROR(VLOOKUP($F46,Arrangörslista!F$53:$AG$90,16,FALSE),IF(ISBLANK(Deltagarlista!$C22),"",IF(ISBLANK(Arrangörslista!F$53),"",IFERROR(VLOOKUP($F46,Arrangörslista!G$53:$AG$90,16,FALSE),"DNS")))))),IF(Deltagarlista!$K$3=2,
IF(ISBLANK(Deltagarlista!$C22),"",IF(ISBLANK(Arrangörslista!L$8),"",IF($GV46=S$64," DNS ",IFERROR(VLOOKUP($F46,Arrangörslista!L$8:$AG$45,16,FALSE),"DNS")))),IF(ISBLANK(Deltagarlista!$C22),"",IF(ISBLANK(Arrangörslista!L$8),"",IFERROR(VLOOKUP($F46,Arrangörslista!L$8:$AG$45,16,FALSE),"DNS")))))</f>
        <v/>
      </c>
      <c r="T46" s="5" t="str">
        <f>IF(Deltagarlista!$K$3=4,IF(ISBLANK(Deltagarlista!$C22),"",IF(ISBLANK(Arrangörslista!H$53),"",IFERROR(VLOOKUP($F46,Arrangörslista!H$53:$AG$90,16,FALSE),IF(ISBLANK(Deltagarlista!$C22),"",IF(ISBLANK(Arrangörslista!H$53),"",IFERROR(VLOOKUP($F46,Arrangörslista!I$53:$AG$90,16,FALSE),"DNS")))))),IF(Deltagarlista!$K$3=2,
IF(ISBLANK(Deltagarlista!$C22),"",IF(ISBLANK(Arrangörslista!M$8),"",IF($GV46=T$64," DNS ",IFERROR(VLOOKUP($F46,Arrangörslista!M$8:$AG$45,16,FALSE),"DNS")))),IF(ISBLANK(Deltagarlista!$C22),"",IF(ISBLANK(Arrangörslista!M$8),"",IFERROR(VLOOKUP($F46,Arrangörslista!M$8:$AG$45,16,FALSE),"DNS")))))</f>
        <v/>
      </c>
      <c r="U46" s="5" t="str">
        <f>IF(Deltagarlista!$K$3=4,IF(ISBLANK(Deltagarlista!$C22),"",IF(ISBLANK(Arrangörslista!J$53),"",IFERROR(VLOOKUP($F46,Arrangörslista!J$53:$AG$90,16,FALSE),IF(ISBLANK(Deltagarlista!$C22),"",IF(ISBLANK(Arrangörslista!J$53),"",IFERROR(VLOOKUP($F46,Arrangörslista!K$53:$AG$90,16,FALSE),"DNS")))))),IF(Deltagarlista!$K$3=2,
IF(ISBLANK(Deltagarlista!$C22),"",IF(ISBLANK(Arrangörslista!N$8),"",IF($GV46=U$64," DNS ",IFERROR(VLOOKUP($F46,Arrangörslista!N$8:$AG$45,16,FALSE),"DNS")))),IF(ISBLANK(Deltagarlista!$C22),"",IF(ISBLANK(Arrangörslista!N$8),"",IFERROR(VLOOKUP($F46,Arrangörslista!N$8:$AG$45,16,FALSE),"DNS")))))</f>
        <v/>
      </c>
      <c r="V46" s="5" t="str">
        <f>IF(Deltagarlista!$K$3=4,IF(ISBLANK(Deltagarlista!$C22),"",IF(ISBLANK(Arrangörslista!L$53),"",IFERROR(VLOOKUP($F46,Arrangörslista!L$53:$AG$90,16,FALSE),IF(ISBLANK(Deltagarlista!$C22),"",IF(ISBLANK(Arrangörslista!L$53),"",IFERROR(VLOOKUP($F46,Arrangörslista!M$53:$AG$90,16,FALSE),"DNS")))))),IF(Deltagarlista!$K$3=2,
IF(ISBLANK(Deltagarlista!$C22),"",IF(ISBLANK(Arrangörslista!O$8),"",IF($GV46=V$64," DNS ",IFERROR(VLOOKUP($F46,Arrangörslista!O$8:$AG$45,16,FALSE),"DNS")))),IF(ISBLANK(Deltagarlista!$C22),"",IF(ISBLANK(Arrangörslista!O$8),"",IFERROR(VLOOKUP($F46,Arrangörslista!O$8:$AG$45,16,FALSE),"DNS")))))</f>
        <v/>
      </c>
      <c r="W46" s="5" t="str">
        <f>IF(Deltagarlista!$K$3=4,IF(ISBLANK(Deltagarlista!$C22),"",IF(ISBLANK(Arrangörslista!N$53),"",IFERROR(VLOOKUP($F46,Arrangörslista!N$53:$AG$90,16,FALSE),IF(ISBLANK(Deltagarlista!$C22),"",IF(ISBLANK(Arrangörslista!N$53),"",IFERROR(VLOOKUP($F46,Arrangörslista!O$53:$AG$90,16,FALSE),"DNS")))))),IF(Deltagarlista!$K$3=2,
IF(ISBLANK(Deltagarlista!$C22),"",IF(ISBLANK(Arrangörslista!P$8),"",IF($GV46=W$64," DNS ",IFERROR(VLOOKUP($F46,Arrangörslista!P$8:$AG$45,16,FALSE),"DNS")))),IF(ISBLANK(Deltagarlista!$C22),"",IF(ISBLANK(Arrangörslista!P$8),"",IFERROR(VLOOKUP($F46,Arrangörslista!P$8:$AG$45,16,FALSE),"DNS")))))</f>
        <v/>
      </c>
      <c r="X46" s="5" t="str">
        <f>IF(Deltagarlista!$K$3=4,IF(ISBLANK(Deltagarlista!$C22),"",IF(ISBLANK(Arrangörslista!P$53),"",IFERROR(VLOOKUP($F46,Arrangörslista!P$53:$AG$90,16,FALSE),IF(ISBLANK(Deltagarlista!$C22),"",IF(ISBLANK(Arrangörslista!P$53),"",IFERROR(VLOOKUP($F46,Arrangörslista!Q$53:$AG$90,16,FALSE),"DNS")))))),IF(Deltagarlista!$K$3=2,
IF(ISBLANK(Deltagarlista!$C22),"",IF(ISBLANK(Arrangörslista!Q$8),"",IF($GV46=X$64," DNS ",IFERROR(VLOOKUP($F46,Arrangörslista!Q$8:$AG$45,16,FALSE),"DNS")))),IF(ISBLANK(Deltagarlista!$C22),"",IF(ISBLANK(Arrangörslista!Q$8),"",IFERROR(VLOOKUP($F46,Arrangörslista!Q$8:$AG$45,16,FALSE),"DNS")))))</f>
        <v/>
      </c>
      <c r="Y46" s="5" t="str">
        <f>IF(Deltagarlista!$K$3=4,IF(ISBLANK(Deltagarlista!$C22),"",IF(ISBLANK(Arrangörslista!C$98),"",IFERROR(VLOOKUP($F46,Arrangörslista!C$98:$AG$135,16,FALSE),IF(ISBLANK(Deltagarlista!$C22),"",IF(ISBLANK(Arrangörslista!C$98),"",IFERROR(VLOOKUP($F46,Arrangörslista!D$98:$AG$135,16,FALSE),"DNS")))))),IF(Deltagarlista!$K$3=2,
IF(ISBLANK(Deltagarlista!$C22),"",IF(ISBLANK(Arrangörslista!C$53),"",IF($GV46=Y$64," DNS ",IFERROR(VLOOKUP($F46,Arrangörslista!C$53:$AG$90,16,FALSE),"DNS")))),IF(ISBLANK(Deltagarlista!$C22),"",IF(ISBLANK(Arrangörslista!C$53),"",IFERROR(VLOOKUP($F46,Arrangörslista!C$53:$AG$90,16,FALSE),"DNS")))))</f>
        <v/>
      </c>
      <c r="Z46" s="5" t="str">
        <f>IF(Deltagarlista!$K$3=4,IF(ISBLANK(Deltagarlista!$C22),"",IF(ISBLANK(Arrangörslista!E$98),"",IFERROR(VLOOKUP($F46,Arrangörslista!E$98:$AG$135,16,FALSE),IF(ISBLANK(Deltagarlista!$C22),"",IF(ISBLANK(Arrangörslista!E$98),"",IFERROR(VLOOKUP($F46,Arrangörslista!F$98:$AG$135,16,FALSE),"DNS")))))),IF(Deltagarlista!$K$3=2,
IF(ISBLANK(Deltagarlista!$C22),"",IF(ISBLANK(Arrangörslista!D$53),"",IF($GV46=Z$64," DNS ",IFERROR(VLOOKUP($F46,Arrangörslista!D$53:$AG$90,16,FALSE),"DNS")))),IF(ISBLANK(Deltagarlista!$C22),"",IF(ISBLANK(Arrangörslista!D$53),"",IFERROR(VLOOKUP($F46,Arrangörslista!D$53:$AG$90,16,FALSE),"DNS")))))</f>
        <v/>
      </c>
      <c r="AA46" s="5" t="str">
        <f>IF(Deltagarlista!$K$3=4,IF(ISBLANK(Deltagarlista!$C22),"",IF(ISBLANK(Arrangörslista!G$98),"",IFERROR(VLOOKUP($F46,Arrangörslista!G$98:$AG$135,16,FALSE),IF(ISBLANK(Deltagarlista!$C22),"",IF(ISBLANK(Arrangörslista!G$98),"",IFERROR(VLOOKUP($F46,Arrangörslista!H$98:$AG$135,16,FALSE),"DNS")))))),IF(Deltagarlista!$K$3=2,
IF(ISBLANK(Deltagarlista!$C22),"",IF(ISBLANK(Arrangörslista!E$53),"",IF($GV46=AA$64," DNS ",IFERROR(VLOOKUP($F46,Arrangörslista!E$53:$AG$90,16,FALSE),"DNS")))),IF(ISBLANK(Deltagarlista!$C22),"",IF(ISBLANK(Arrangörslista!E$53),"",IFERROR(VLOOKUP($F46,Arrangörslista!E$53:$AG$90,16,FALSE),"DNS")))))</f>
        <v/>
      </c>
      <c r="AB46" s="5" t="str">
        <f>IF(Deltagarlista!$K$3=4,IF(ISBLANK(Deltagarlista!$C22),"",IF(ISBLANK(Arrangörslista!I$98),"",IFERROR(VLOOKUP($F46,Arrangörslista!I$98:$AG$135,16,FALSE),IF(ISBLANK(Deltagarlista!$C22),"",IF(ISBLANK(Arrangörslista!I$98),"",IFERROR(VLOOKUP($F46,Arrangörslista!J$98:$AG$135,16,FALSE),"DNS")))))),IF(Deltagarlista!$K$3=2,
IF(ISBLANK(Deltagarlista!$C22),"",IF(ISBLANK(Arrangörslista!F$53),"",IF($GV46=AB$64," DNS ",IFERROR(VLOOKUP($F46,Arrangörslista!F$53:$AG$90,16,FALSE),"DNS")))),IF(ISBLANK(Deltagarlista!$C22),"",IF(ISBLANK(Arrangörslista!F$53),"",IFERROR(VLOOKUP($F46,Arrangörslista!F$53:$AG$90,16,FALSE),"DNS")))))</f>
        <v/>
      </c>
      <c r="AC46" s="5" t="str">
        <f>IF(Deltagarlista!$K$3=4,IF(ISBLANK(Deltagarlista!$C22),"",IF(ISBLANK(Arrangörslista!K$98),"",IFERROR(VLOOKUP($F46,Arrangörslista!K$98:$AG$135,16,FALSE),IF(ISBLANK(Deltagarlista!$C22),"",IF(ISBLANK(Arrangörslista!K$98),"",IFERROR(VLOOKUP($F46,Arrangörslista!L$98:$AG$135,16,FALSE),"DNS")))))),IF(Deltagarlista!$K$3=2,
IF(ISBLANK(Deltagarlista!$C22),"",IF(ISBLANK(Arrangörslista!G$53),"",IF($GV46=AC$64," DNS ",IFERROR(VLOOKUP($F46,Arrangörslista!G$53:$AG$90,16,FALSE),"DNS")))),IF(ISBLANK(Deltagarlista!$C22),"",IF(ISBLANK(Arrangörslista!G$53),"",IFERROR(VLOOKUP($F46,Arrangörslista!G$53:$AG$90,16,FALSE),"DNS")))))</f>
        <v/>
      </c>
      <c r="AD46" s="5" t="str">
        <f>IF(Deltagarlista!$K$3=4,IF(ISBLANK(Deltagarlista!$C22),"",IF(ISBLANK(Arrangörslista!M$98),"",IFERROR(VLOOKUP($F46,Arrangörslista!M$98:$AG$135,16,FALSE),IF(ISBLANK(Deltagarlista!$C22),"",IF(ISBLANK(Arrangörslista!M$98),"",IFERROR(VLOOKUP($F46,Arrangörslista!N$98:$AG$135,16,FALSE),"DNS")))))),IF(Deltagarlista!$K$3=2,
IF(ISBLANK(Deltagarlista!$C22),"",IF(ISBLANK(Arrangörslista!H$53),"",IF($GV46=AD$64," DNS ",IFERROR(VLOOKUP($F46,Arrangörslista!H$53:$AG$90,16,FALSE),"DNS")))),IF(ISBLANK(Deltagarlista!$C22),"",IF(ISBLANK(Arrangörslista!H$53),"",IFERROR(VLOOKUP($F46,Arrangörslista!H$53:$AG$90,16,FALSE),"DNS")))))</f>
        <v/>
      </c>
      <c r="AE46" s="5" t="str">
        <f>IF(Deltagarlista!$K$3=4,IF(ISBLANK(Deltagarlista!$C22),"",IF(ISBLANK(Arrangörslista!O$98),"",IFERROR(VLOOKUP($F46,Arrangörslista!O$98:$AG$135,16,FALSE),IF(ISBLANK(Deltagarlista!$C22),"",IF(ISBLANK(Arrangörslista!O$98),"",IFERROR(VLOOKUP($F46,Arrangörslista!P$98:$AG$135,16,FALSE),"DNS")))))),IF(Deltagarlista!$K$3=2,
IF(ISBLANK(Deltagarlista!$C22),"",IF(ISBLANK(Arrangörslista!I$53),"",IF($GV46=AE$64," DNS ",IFERROR(VLOOKUP($F46,Arrangörslista!I$53:$AG$90,16,FALSE),"DNS")))),IF(ISBLANK(Deltagarlista!$C22),"",IF(ISBLANK(Arrangörslista!I$53),"",IFERROR(VLOOKUP($F46,Arrangörslista!I$53:$AG$90,16,FALSE),"DNS")))))</f>
        <v/>
      </c>
      <c r="AF46" s="5" t="str">
        <f>IF(Deltagarlista!$K$3=4,IF(ISBLANK(Deltagarlista!$C22),"",IF(ISBLANK(Arrangörslista!Q$98),"",IFERROR(VLOOKUP($F46,Arrangörslista!Q$98:$AG$135,16,FALSE),IF(ISBLANK(Deltagarlista!$C22),"",IF(ISBLANK(Arrangörslista!Q$98),"",IFERROR(VLOOKUP($F46,Arrangörslista!C$143:$AG$180,16,FALSE),"DNS")))))),IF(Deltagarlista!$K$3=2,
IF(ISBLANK(Deltagarlista!$C22),"",IF(ISBLANK(Arrangörslista!J$53),"",IF($GV46=AF$64," DNS ",IFERROR(VLOOKUP($F46,Arrangörslista!J$53:$AG$90,16,FALSE),"DNS")))),IF(ISBLANK(Deltagarlista!$C22),"",IF(ISBLANK(Arrangörslista!J$53),"",IFERROR(VLOOKUP($F46,Arrangörslista!J$53:$AG$90,16,FALSE),"DNS")))))</f>
        <v/>
      </c>
      <c r="AG46" s="5" t="str">
        <f>IF(Deltagarlista!$K$3=4,IF(ISBLANK(Deltagarlista!$C22),"",IF(ISBLANK(Arrangörslista!D$143),"",IFERROR(VLOOKUP($F46,Arrangörslista!D$143:$AG$180,16,FALSE),IF(ISBLANK(Deltagarlista!$C22),"",IF(ISBLANK(Arrangörslista!D$143),"",IFERROR(VLOOKUP($F46,Arrangörslista!E$143:$AG$180,16,FALSE),"DNS")))))),IF(Deltagarlista!$K$3=2,
IF(ISBLANK(Deltagarlista!$C22),"",IF(ISBLANK(Arrangörslista!K$53),"",IF($GV46=AG$64," DNS ",IFERROR(VLOOKUP($F46,Arrangörslista!K$53:$AG$90,16,FALSE),"DNS")))),IF(ISBLANK(Deltagarlista!$C22),"",IF(ISBLANK(Arrangörslista!K$53),"",IFERROR(VLOOKUP($F46,Arrangörslista!K$53:$AG$90,16,FALSE),"DNS")))))</f>
        <v/>
      </c>
      <c r="AH46" s="5" t="str">
        <f>IF(Deltagarlista!$K$3=4,IF(ISBLANK(Deltagarlista!$C22),"",IF(ISBLANK(Arrangörslista!F$143),"",IFERROR(VLOOKUP($F46,Arrangörslista!F$143:$AG$180,16,FALSE),IF(ISBLANK(Deltagarlista!$C22),"",IF(ISBLANK(Arrangörslista!F$143),"",IFERROR(VLOOKUP($F46,Arrangörslista!G$143:$AG$180,16,FALSE),"DNS")))))),IF(Deltagarlista!$K$3=2,
IF(ISBLANK(Deltagarlista!$C22),"",IF(ISBLANK(Arrangörslista!L$53),"",IF($GV46=AH$64," DNS ",IFERROR(VLOOKUP($F46,Arrangörslista!L$53:$AG$90,16,FALSE),"DNS")))),IF(ISBLANK(Deltagarlista!$C22),"",IF(ISBLANK(Arrangörslista!L$53),"",IFERROR(VLOOKUP($F46,Arrangörslista!L$53:$AG$90,16,FALSE),"DNS")))))</f>
        <v/>
      </c>
      <c r="AI46" s="5" t="str">
        <f>IF(Deltagarlista!$K$3=4,IF(ISBLANK(Deltagarlista!$C22),"",IF(ISBLANK(Arrangörslista!H$143),"",IFERROR(VLOOKUP($F46,Arrangörslista!H$143:$AG$180,16,FALSE),IF(ISBLANK(Deltagarlista!$C22),"",IF(ISBLANK(Arrangörslista!H$143),"",IFERROR(VLOOKUP($F46,Arrangörslista!I$143:$AG$180,16,FALSE),"DNS")))))),IF(Deltagarlista!$K$3=2,
IF(ISBLANK(Deltagarlista!$C22),"",IF(ISBLANK(Arrangörslista!M$53),"",IF($GV46=AI$64," DNS ",IFERROR(VLOOKUP($F46,Arrangörslista!M$53:$AG$90,16,FALSE),"DNS")))),IF(ISBLANK(Deltagarlista!$C22),"",IF(ISBLANK(Arrangörslista!M$53),"",IFERROR(VLOOKUP($F46,Arrangörslista!M$53:$AG$90,16,FALSE),"DNS")))))</f>
        <v/>
      </c>
      <c r="AJ46" s="5" t="str">
        <f>IF(Deltagarlista!$K$3=4,IF(ISBLANK(Deltagarlista!$C22),"",IF(ISBLANK(Arrangörslista!J$143),"",IFERROR(VLOOKUP($F46,Arrangörslista!J$143:$AG$180,16,FALSE),IF(ISBLANK(Deltagarlista!$C22),"",IF(ISBLANK(Arrangörslista!J$143),"",IFERROR(VLOOKUP($F46,Arrangörslista!K$143:$AG$180,16,FALSE),"DNS")))))),IF(Deltagarlista!$K$3=2,
IF(ISBLANK(Deltagarlista!$C22),"",IF(ISBLANK(Arrangörslista!N$53),"",IF($GV46=AJ$64," DNS ",IFERROR(VLOOKUP($F46,Arrangörslista!N$53:$AG$90,16,FALSE),"DNS")))),IF(ISBLANK(Deltagarlista!$C22),"",IF(ISBLANK(Arrangörslista!N$53),"",IFERROR(VLOOKUP($F46,Arrangörslista!N$53:$AG$90,16,FALSE),"DNS")))))</f>
        <v/>
      </c>
      <c r="AK46" s="5" t="str">
        <f>IF(Deltagarlista!$K$3=4,IF(ISBLANK(Deltagarlista!$C22),"",IF(ISBLANK(Arrangörslista!L$143),"",IFERROR(VLOOKUP($F46,Arrangörslista!L$143:$AG$180,16,FALSE),IF(ISBLANK(Deltagarlista!$C22),"",IF(ISBLANK(Arrangörslista!L$143),"",IFERROR(VLOOKUP($F46,Arrangörslista!M$143:$AG$180,16,FALSE),"DNS")))))),IF(Deltagarlista!$K$3=2,
IF(ISBLANK(Deltagarlista!$C22),"",IF(ISBLANK(Arrangörslista!O$53),"",IF($GV46=AK$64," DNS ",IFERROR(VLOOKUP($F46,Arrangörslista!O$53:$AG$90,16,FALSE),"DNS")))),IF(ISBLANK(Deltagarlista!$C22),"",IF(ISBLANK(Arrangörslista!O$53),"",IFERROR(VLOOKUP($F46,Arrangörslista!O$53:$AG$90,16,FALSE),"DNS")))))</f>
        <v/>
      </c>
      <c r="AL46" s="5" t="str">
        <f>IF(Deltagarlista!$K$3=4,IF(ISBLANK(Deltagarlista!$C22),"",IF(ISBLANK(Arrangörslista!N$143),"",IFERROR(VLOOKUP($F46,Arrangörslista!N$143:$AG$180,16,FALSE),IF(ISBLANK(Deltagarlista!$C22),"",IF(ISBLANK(Arrangörslista!N$143),"",IFERROR(VLOOKUP($F46,Arrangörslista!O$143:$AG$180,16,FALSE),"DNS")))))),IF(Deltagarlista!$K$3=2,
IF(ISBLANK(Deltagarlista!$C22),"",IF(ISBLANK(Arrangörslista!P$53),"",IF($GV46=AL$64," DNS ",IFERROR(VLOOKUP($F46,Arrangörslista!P$53:$AG$90,16,FALSE),"DNS")))),IF(ISBLANK(Deltagarlista!$C22),"",IF(ISBLANK(Arrangörslista!P$53),"",IFERROR(VLOOKUP($F46,Arrangörslista!P$53:$AG$90,16,FALSE),"DNS")))))</f>
        <v/>
      </c>
      <c r="AM46" s="5" t="str">
        <f>IF(Deltagarlista!$K$3=4,IF(ISBLANK(Deltagarlista!$C22),"",IF(ISBLANK(Arrangörslista!P$143),"",IFERROR(VLOOKUP($F46,Arrangörslista!P$143:$AG$180,16,FALSE),IF(ISBLANK(Deltagarlista!$C22),"",IF(ISBLANK(Arrangörslista!P$143),"",IFERROR(VLOOKUP($F46,Arrangörslista!Q$143:$AG$180,16,FALSE),"DNS")))))),IF(Deltagarlista!$K$3=2,
IF(ISBLANK(Deltagarlista!$C22),"",IF(ISBLANK(Arrangörslista!Q$53),"",IF($GV46=AM$64," DNS ",IFERROR(VLOOKUP($F46,Arrangörslista!Q$53:$AG$90,16,FALSE),"DNS")))),IF(ISBLANK(Deltagarlista!$C22),"",IF(ISBLANK(Arrangörslista!Q$53),"",IFERROR(VLOOKUP($F46,Arrangörslista!Q$53:$AG$90,16,FALSE),"DNS")))))</f>
        <v/>
      </c>
      <c r="AN46" s="5" t="str">
        <f>IF(Deltagarlista!$K$3=2,
IF(ISBLANK(Deltagarlista!$C22),"",IF(ISBLANK(Arrangörslista!C$98),"",IF($GV46=AN$64," DNS ",IFERROR(VLOOKUP($F46,Arrangörslista!C$98:$AG$135,16,FALSE), "DNS")))), IF(Deltagarlista!$K$3=1,IF(ISBLANK(Deltagarlista!$C22),"",IF(ISBLANK(Arrangörslista!C$98),"",IFERROR(VLOOKUP($F46,Arrangörslista!C$98:$AG$135,16,FALSE), "DNS"))),""))</f>
        <v/>
      </c>
      <c r="AO46" s="5" t="str">
        <f>IF(Deltagarlista!$K$3=2,
IF(ISBLANK(Deltagarlista!$C22),"",IF(ISBLANK(Arrangörslista!D$98),"",IF($GV46=AO$64," DNS ",IFERROR(VLOOKUP($F46,Arrangörslista!D$98:$AG$135,16,FALSE), "DNS")))), IF(Deltagarlista!$K$3=1,IF(ISBLANK(Deltagarlista!$C22),"",IF(ISBLANK(Arrangörslista!D$98),"",IFERROR(VLOOKUP($F46,Arrangörslista!D$98:$AG$135,16,FALSE), "DNS"))),""))</f>
        <v/>
      </c>
      <c r="AP46" s="5" t="str">
        <f>IF(Deltagarlista!$K$3=2,
IF(ISBLANK(Deltagarlista!$C22),"",IF(ISBLANK(Arrangörslista!E$98),"",IF($GV46=AP$64," DNS ",IFERROR(VLOOKUP($F46,Arrangörslista!E$98:$AG$135,16,FALSE), "DNS")))), IF(Deltagarlista!$K$3=1,IF(ISBLANK(Deltagarlista!$C22),"",IF(ISBLANK(Arrangörslista!E$98),"",IFERROR(VLOOKUP($F46,Arrangörslista!E$98:$AG$135,16,FALSE), "DNS"))),""))</f>
        <v/>
      </c>
      <c r="AQ46" s="5" t="str">
        <f>IF(Deltagarlista!$K$3=2,
IF(ISBLANK(Deltagarlista!$C22),"",IF(ISBLANK(Arrangörslista!F$98),"",IF($GV46=AQ$64," DNS ",IFERROR(VLOOKUP($F46,Arrangörslista!F$98:$AG$135,16,FALSE), "DNS")))), IF(Deltagarlista!$K$3=1,IF(ISBLANK(Deltagarlista!$C22),"",IF(ISBLANK(Arrangörslista!F$98),"",IFERROR(VLOOKUP($F46,Arrangörslista!F$98:$AG$135,16,FALSE), "DNS"))),""))</f>
        <v/>
      </c>
      <c r="AR46" s="5" t="str">
        <f>IF(Deltagarlista!$K$3=2,
IF(ISBLANK(Deltagarlista!$C22),"",IF(ISBLANK(Arrangörslista!G$98),"",IF($GV46=AR$64," DNS ",IFERROR(VLOOKUP($F46,Arrangörslista!G$98:$AG$135,16,FALSE), "DNS")))), IF(Deltagarlista!$K$3=1,IF(ISBLANK(Deltagarlista!$C22),"",IF(ISBLANK(Arrangörslista!G$98),"",IFERROR(VLOOKUP($F46,Arrangörslista!G$98:$AG$135,16,FALSE), "DNS"))),""))</f>
        <v/>
      </c>
      <c r="AS46" s="5" t="str">
        <f>IF(Deltagarlista!$K$3=2,
IF(ISBLANK(Deltagarlista!$C22),"",IF(ISBLANK(Arrangörslista!H$98),"",IF($GV46=AS$64," DNS ",IFERROR(VLOOKUP($F46,Arrangörslista!H$98:$AG$135,16,FALSE), "DNS")))), IF(Deltagarlista!$K$3=1,IF(ISBLANK(Deltagarlista!$C22),"",IF(ISBLANK(Arrangörslista!H$98),"",IFERROR(VLOOKUP($F46,Arrangörslista!H$98:$AG$135,16,FALSE), "DNS"))),""))</f>
        <v/>
      </c>
      <c r="AT46" s="5" t="str">
        <f>IF(Deltagarlista!$K$3=2,
IF(ISBLANK(Deltagarlista!$C22),"",IF(ISBLANK(Arrangörslista!I$98),"",IF($GV46=AT$64," DNS ",IFERROR(VLOOKUP($F46,Arrangörslista!I$98:$AG$135,16,FALSE), "DNS")))), IF(Deltagarlista!$K$3=1,IF(ISBLANK(Deltagarlista!$C22),"",IF(ISBLANK(Arrangörslista!I$98),"",IFERROR(VLOOKUP($F46,Arrangörslista!I$98:$AG$135,16,FALSE), "DNS"))),""))</f>
        <v/>
      </c>
      <c r="AU46" s="5" t="str">
        <f>IF(Deltagarlista!$K$3=2,
IF(ISBLANK(Deltagarlista!$C22),"",IF(ISBLANK(Arrangörslista!J$98),"",IF($GV46=AU$64," DNS ",IFERROR(VLOOKUP($F46,Arrangörslista!J$98:$AG$135,16,FALSE), "DNS")))), IF(Deltagarlista!$K$3=1,IF(ISBLANK(Deltagarlista!$C22),"",IF(ISBLANK(Arrangörslista!J$98),"",IFERROR(VLOOKUP($F46,Arrangörslista!J$98:$AG$135,16,FALSE), "DNS"))),""))</f>
        <v/>
      </c>
      <c r="AV46" s="5" t="str">
        <f>IF(Deltagarlista!$K$3=2,
IF(ISBLANK(Deltagarlista!$C22),"",IF(ISBLANK(Arrangörslista!K$98),"",IF($GV46=AV$64," DNS ",IFERROR(VLOOKUP($F46,Arrangörslista!K$98:$AG$135,16,FALSE), "DNS")))), IF(Deltagarlista!$K$3=1,IF(ISBLANK(Deltagarlista!$C22),"",IF(ISBLANK(Arrangörslista!K$98),"",IFERROR(VLOOKUP($F46,Arrangörslista!K$98:$AG$135,16,FALSE), "DNS"))),""))</f>
        <v/>
      </c>
      <c r="AW46" s="5" t="str">
        <f>IF(Deltagarlista!$K$3=2,
IF(ISBLANK(Deltagarlista!$C22),"",IF(ISBLANK(Arrangörslista!L$98),"",IF($GV46=AW$64," DNS ",IFERROR(VLOOKUP($F46,Arrangörslista!L$98:$AG$135,16,FALSE), "DNS")))), IF(Deltagarlista!$K$3=1,IF(ISBLANK(Deltagarlista!$C22),"",IF(ISBLANK(Arrangörslista!L$98),"",IFERROR(VLOOKUP($F46,Arrangörslista!L$98:$AG$135,16,FALSE), "DNS"))),""))</f>
        <v/>
      </c>
      <c r="AX46" s="5" t="str">
        <f>IF(Deltagarlista!$K$3=2,
IF(ISBLANK(Deltagarlista!$C22),"",IF(ISBLANK(Arrangörslista!M$98),"",IF($GV46=AX$64," DNS ",IFERROR(VLOOKUP($F46,Arrangörslista!M$98:$AG$135,16,FALSE), "DNS")))), IF(Deltagarlista!$K$3=1,IF(ISBLANK(Deltagarlista!$C22),"",IF(ISBLANK(Arrangörslista!M$98),"",IFERROR(VLOOKUP($F46,Arrangörslista!M$98:$AG$135,16,FALSE), "DNS"))),""))</f>
        <v/>
      </c>
      <c r="AY46" s="5" t="str">
        <f>IF(Deltagarlista!$K$3=2,
IF(ISBLANK(Deltagarlista!$C22),"",IF(ISBLANK(Arrangörslista!N$98),"",IF($GV46=AY$64," DNS ",IFERROR(VLOOKUP($F46,Arrangörslista!N$98:$AG$135,16,FALSE), "DNS")))), IF(Deltagarlista!$K$3=1,IF(ISBLANK(Deltagarlista!$C22),"",IF(ISBLANK(Arrangörslista!N$98),"",IFERROR(VLOOKUP($F46,Arrangörslista!N$98:$AG$135,16,FALSE), "DNS"))),""))</f>
        <v/>
      </c>
      <c r="AZ46" s="5" t="str">
        <f>IF(Deltagarlista!$K$3=2,
IF(ISBLANK(Deltagarlista!$C22),"",IF(ISBLANK(Arrangörslista!O$98),"",IF($GV46=AZ$64," DNS ",IFERROR(VLOOKUP($F46,Arrangörslista!O$98:$AG$135,16,FALSE), "DNS")))), IF(Deltagarlista!$K$3=1,IF(ISBLANK(Deltagarlista!$C22),"",IF(ISBLANK(Arrangörslista!O$98),"",IFERROR(VLOOKUP($F46,Arrangörslista!O$98:$AG$135,16,FALSE), "DNS"))),""))</f>
        <v/>
      </c>
      <c r="BA46" s="5" t="str">
        <f>IF(Deltagarlista!$K$3=2,
IF(ISBLANK(Deltagarlista!$C22),"",IF(ISBLANK(Arrangörslista!P$98),"",IF($GV46=BA$64," DNS ",IFERROR(VLOOKUP($F46,Arrangörslista!P$98:$AG$135,16,FALSE), "DNS")))), IF(Deltagarlista!$K$3=1,IF(ISBLANK(Deltagarlista!$C22),"",IF(ISBLANK(Arrangörslista!P$98),"",IFERROR(VLOOKUP($F46,Arrangörslista!P$98:$AG$135,16,FALSE), "DNS"))),""))</f>
        <v/>
      </c>
      <c r="BB46" s="5" t="str">
        <f>IF(Deltagarlista!$K$3=2,
IF(ISBLANK(Deltagarlista!$C22),"",IF(ISBLANK(Arrangörslista!Q$98),"",IF($GV46=BB$64," DNS ",IFERROR(VLOOKUP($F46,Arrangörslista!Q$98:$AG$135,16,FALSE), "DNS")))), IF(Deltagarlista!$K$3=1,IF(ISBLANK(Deltagarlista!$C22),"",IF(ISBLANK(Arrangörslista!Q$98),"",IFERROR(VLOOKUP($F46,Arrangörslista!Q$98:$AG$135,16,FALSE), "DNS"))),""))</f>
        <v/>
      </c>
      <c r="BC46" s="5" t="str">
        <f>IF(Deltagarlista!$K$3=2,
IF(ISBLANK(Deltagarlista!$C22),"",IF(ISBLANK(Arrangörslista!C$143),"",IF($GV46=BC$64," DNS ",IFERROR(VLOOKUP($F46,Arrangörslista!C$143:$AG$180,16,FALSE), "DNS")))), IF(Deltagarlista!$K$3=1,IF(ISBLANK(Deltagarlista!$C22),"",IF(ISBLANK(Arrangörslista!C$143),"",IFERROR(VLOOKUP($F46,Arrangörslista!C$143:$AG$180,16,FALSE), "DNS"))),""))</f>
        <v/>
      </c>
      <c r="BD46" s="5" t="str">
        <f>IF(Deltagarlista!$K$3=2,
IF(ISBLANK(Deltagarlista!$C22),"",IF(ISBLANK(Arrangörslista!D$143),"",IF($GV46=BD$64," DNS ",IFERROR(VLOOKUP($F46,Arrangörslista!D$143:$AG$180,16,FALSE), "DNS")))), IF(Deltagarlista!$K$3=1,IF(ISBLANK(Deltagarlista!$C22),"",IF(ISBLANK(Arrangörslista!D$143),"",IFERROR(VLOOKUP($F46,Arrangörslista!D$143:$AG$180,16,FALSE), "DNS"))),""))</f>
        <v/>
      </c>
      <c r="BE46" s="5" t="str">
        <f>IF(Deltagarlista!$K$3=2,
IF(ISBLANK(Deltagarlista!$C22),"",IF(ISBLANK(Arrangörslista!E$143),"",IF($GV46=BE$64," DNS ",IFERROR(VLOOKUP($F46,Arrangörslista!E$143:$AG$180,16,FALSE), "DNS")))), IF(Deltagarlista!$K$3=1,IF(ISBLANK(Deltagarlista!$C22),"",IF(ISBLANK(Arrangörslista!E$143),"",IFERROR(VLOOKUP($F46,Arrangörslista!E$143:$AG$180,16,FALSE), "DNS"))),""))</f>
        <v/>
      </c>
      <c r="BF46" s="5" t="str">
        <f>IF(Deltagarlista!$K$3=2,
IF(ISBLANK(Deltagarlista!$C22),"",IF(ISBLANK(Arrangörslista!F$143),"",IF($GV46=BF$64," DNS ",IFERROR(VLOOKUP($F46,Arrangörslista!F$143:$AG$180,16,FALSE), "DNS")))), IF(Deltagarlista!$K$3=1,IF(ISBLANK(Deltagarlista!$C22),"",IF(ISBLANK(Arrangörslista!F$143),"",IFERROR(VLOOKUP($F46,Arrangörslista!F$143:$AG$180,16,FALSE), "DNS"))),""))</f>
        <v/>
      </c>
      <c r="BG46" s="5" t="str">
        <f>IF(Deltagarlista!$K$3=2,
IF(ISBLANK(Deltagarlista!$C22),"",IF(ISBLANK(Arrangörslista!G$143),"",IF($GV46=BG$64," DNS ",IFERROR(VLOOKUP($F46,Arrangörslista!G$143:$AG$180,16,FALSE), "DNS")))), IF(Deltagarlista!$K$3=1,IF(ISBLANK(Deltagarlista!$C22),"",IF(ISBLANK(Arrangörslista!G$143),"",IFERROR(VLOOKUP($F46,Arrangörslista!G$143:$AG$180,16,FALSE), "DNS"))),""))</f>
        <v/>
      </c>
      <c r="BH46" s="5" t="str">
        <f>IF(Deltagarlista!$K$3=2,
IF(ISBLANK(Deltagarlista!$C22),"",IF(ISBLANK(Arrangörslista!H$143),"",IF($GV46=BH$64," DNS ",IFERROR(VLOOKUP($F46,Arrangörslista!H$143:$AG$180,16,FALSE), "DNS")))), IF(Deltagarlista!$K$3=1,IF(ISBLANK(Deltagarlista!$C22),"",IF(ISBLANK(Arrangörslista!H$143),"",IFERROR(VLOOKUP($F46,Arrangörslista!H$143:$AG$180,16,FALSE), "DNS"))),""))</f>
        <v/>
      </c>
      <c r="BI46" s="5" t="str">
        <f>IF(Deltagarlista!$K$3=2,
IF(ISBLANK(Deltagarlista!$C22),"",IF(ISBLANK(Arrangörslista!I$143),"",IF($GV46=BI$64," DNS ",IFERROR(VLOOKUP($F46,Arrangörslista!I$143:$AG$180,16,FALSE), "DNS")))), IF(Deltagarlista!$K$3=1,IF(ISBLANK(Deltagarlista!$C22),"",IF(ISBLANK(Arrangörslista!I$143),"",IFERROR(VLOOKUP($F46,Arrangörslista!I$143:$AG$180,16,FALSE), "DNS"))),""))</f>
        <v/>
      </c>
      <c r="BJ46" s="5" t="str">
        <f>IF(Deltagarlista!$K$3=2,
IF(ISBLANK(Deltagarlista!$C22),"",IF(ISBLANK(Arrangörslista!J$143),"",IF($GV46=BJ$64," DNS ",IFERROR(VLOOKUP($F46,Arrangörslista!J$143:$AG$180,16,FALSE), "DNS")))), IF(Deltagarlista!$K$3=1,IF(ISBLANK(Deltagarlista!$C22),"",IF(ISBLANK(Arrangörslista!J$143),"",IFERROR(VLOOKUP($F46,Arrangörslista!J$143:$AG$180,16,FALSE), "DNS"))),""))</f>
        <v/>
      </c>
      <c r="BK46" s="5" t="str">
        <f>IF(Deltagarlista!$K$3=2,
IF(ISBLANK(Deltagarlista!$C22),"",IF(ISBLANK(Arrangörslista!K$143),"",IF($GV46=BK$64," DNS ",IFERROR(VLOOKUP($F46,Arrangörslista!K$143:$AG$180,16,FALSE), "DNS")))), IF(Deltagarlista!$K$3=1,IF(ISBLANK(Deltagarlista!$C22),"",IF(ISBLANK(Arrangörslista!K$143),"",IFERROR(VLOOKUP($F46,Arrangörslista!K$143:$AG$180,16,FALSE), "DNS"))),""))</f>
        <v/>
      </c>
      <c r="BL46" s="5" t="str">
        <f>IF(Deltagarlista!$K$3=2,
IF(ISBLANK(Deltagarlista!$C22),"",IF(ISBLANK(Arrangörslista!L$143),"",IF($GV46=BL$64," DNS ",IFERROR(VLOOKUP($F46,Arrangörslista!L$143:$AG$180,16,FALSE), "DNS")))), IF(Deltagarlista!$K$3=1,IF(ISBLANK(Deltagarlista!$C22),"",IF(ISBLANK(Arrangörslista!L$143),"",IFERROR(VLOOKUP($F46,Arrangörslista!L$143:$AG$180,16,FALSE), "DNS"))),""))</f>
        <v/>
      </c>
      <c r="BM46" s="5" t="str">
        <f>IF(Deltagarlista!$K$3=2,
IF(ISBLANK(Deltagarlista!$C22),"",IF(ISBLANK(Arrangörslista!M$143),"",IF($GV46=BM$64," DNS ",IFERROR(VLOOKUP($F46,Arrangörslista!M$143:$AG$180,16,FALSE), "DNS")))), IF(Deltagarlista!$K$3=1,IF(ISBLANK(Deltagarlista!$C22),"",IF(ISBLANK(Arrangörslista!M$143),"",IFERROR(VLOOKUP($F46,Arrangörslista!M$143:$AG$180,16,FALSE), "DNS"))),""))</f>
        <v/>
      </c>
      <c r="BN46" s="5" t="str">
        <f>IF(Deltagarlista!$K$3=2,
IF(ISBLANK(Deltagarlista!$C22),"",IF(ISBLANK(Arrangörslista!N$143),"",IF($GV46=BN$64," DNS ",IFERROR(VLOOKUP($F46,Arrangörslista!N$143:$AG$180,16,FALSE), "DNS")))), IF(Deltagarlista!$K$3=1,IF(ISBLANK(Deltagarlista!$C22),"",IF(ISBLANK(Arrangörslista!N$143),"",IFERROR(VLOOKUP($F46,Arrangörslista!N$143:$AG$180,16,FALSE), "DNS"))),""))</f>
        <v/>
      </c>
      <c r="BO46" s="5" t="str">
        <f>IF(Deltagarlista!$K$3=2,
IF(ISBLANK(Deltagarlista!$C22),"",IF(ISBLANK(Arrangörslista!O$143),"",IF($GV46=BO$64," DNS ",IFERROR(VLOOKUP($F46,Arrangörslista!O$143:$AG$180,16,FALSE), "DNS")))), IF(Deltagarlista!$K$3=1,IF(ISBLANK(Deltagarlista!$C22),"",IF(ISBLANK(Arrangörslista!O$143),"",IFERROR(VLOOKUP($F46,Arrangörslista!O$143:$AG$180,16,FALSE), "DNS"))),""))</f>
        <v/>
      </c>
      <c r="BP46" s="5" t="str">
        <f>IF(Deltagarlista!$K$3=2,
IF(ISBLANK(Deltagarlista!$C22),"",IF(ISBLANK(Arrangörslista!P$143),"",IF($GV46=BP$64," DNS ",IFERROR(VLOOKUP($F46,Arrangörslista!P$143:$AG$180,16,FALSE), "DNS")))), IF(Deltagarlista!$K$3=1,IF(ISBLANK(Deltagarlista!$C22),"",IF(ISBLANK(Arrangörslista!P$143),"",IFERROR(VLOOKUP($F46,Arrangörslista!P$143:$AG$180,16,FALSE), "DNS"))),""))</f>
        <v/>
      </c>
      <c r="BQ46" s="80" t="str">
        <f>IF(Deltagarlista!$K$3=2,
IF(ISBLANK(Deltagarlista!$C22),"",IF(ISBLANK(Arrangörslista!Q$143),"",IF($GV46=BQ$64," DNS ",IFERROR(VLOOKUP($F46,Arrangörslista!Q$143:$AG$180,16,FALSE), "DNS")))), IF(Deltagarlista!$K$3=1,IF(ISBLANK(Deltagarlista!$C22),"",IF(ISBLANK(Arrangörslista!Q$143),"",IFERROR(VLOOKUP($F46,Arrangörslista!Q$143:$AG$180,16,FALSE), "DNS"))),""))</f>
        <v/>
      </c>
      <c r="BR46" s="51"/>
      <c r="BS46" s="50" t="str">
        <f t="shared" si="125"/>
        <v>2</v>
      </c>
      <c r="BT46" s="51"/>
      <c r="BU46" s="71">
        <f t="shared" si="126"/>
        <v>0</v>
      </c>
      <c r="BV46" s="61">
        <f t="shared" si="127"/>
        <v>0</v>
      </c>
      <c r="BW46" s="61">
        <f t="shared" si="128"/>
        <v>0</v>
      </c>
      <c r="BX46" s="61">
        <f t="shared" si="129"/>
        <v>0</v>
      </c>
      <c r="BY46" s="61">
        <f t="shared" si="130"/>
        <v>0</v>
      </c>
      <c r="BZ46" s="61">
        <f t="shared" si="131"/>
        <v>0</v>
      </c>
      <c r="CA46" s="61">
        <f t="shared" si="132"/>
        <v>0</v>
      </c>
      <c r="CB46" s="61">
        <f t="shared" si="133"/>
        <v>0</v>
      </c>
      <c r="CC46" s="61">
        <f t="shared" si="134"/>
        <v>0</v>
      </c>
      <c r="CD46" s="61">
        <f t="shared" si="135"/>
        <v>0</v>
      </c>
      <c r="CE46" s="61">
        <f t="shared" si="136"/>
        <v>0</v>
      </c>
      <c r="CF46" s="61">
        <f t="shared" si="137"/>
        <v>0</v>
      </c>
      <c r="CG46" s="61">
        <f t="shared" si="138"/>
        <v>0</v>
      </c>
      <c r="CH46" s="61">
        <f t="shared" si="139"/>
        <v>0</v>
      </c>
      <c r="CI46" s="61">
        <f t="shared" si="140"/>
        <v>0</v>
      </c>
      <c r="CJ46" s="61">
        <f t="shared" si="141"/>
        <v>0</v>
      </c>
      <c r="CK46" s="61">
        <f t="shared" si="142"/>
        <v>0</v>
      </c>
      <c r="CL46" s="61">
        <f t="shared" si="143"/>
        <v>0</v>
      </c>
      <c r="CM46" s="61">
        <f t="shared" si="144"/>
        <v>0</v>
      </c>
      <c r="CN46" s="61">
        <f t="shared" si="145"/>
        <v>0</v>
      </c>
      <c r="CO46" s="61">
        <f t="shared" si="146"/>
        <v>0</v>
      </c>
      <c r="CP46" s="61">
        <f t="shared" si="147"/>
        <v>0</v>
      </c>
      <c r="CQ46" s="61">
        <f t="shared" si="148"/>
        <v>0</v>
      </c>
      <c r="CR46" s="61">
        <f t="shared" si="149"/>
        <v>0</v>
      </c>
      <c r="CS46" s="61">
        <f t="shared" si="150"/>
        <v>0</v>
      </c>
      <c r="CT46" s="61">
        <f t="shared" si="151"/>
        <v>0</v>
      </c>
      <c r="CU46" s="61">
        <f t="shared" si="152"/>
        <v>0</v>
      </c>
      <c r="CV46" s="61">
        <f t="shared" si="153"/>
        <v>0</v>
      </c>
      <c r="CW46" s="61">
        <f t="shared" si="154"/>
        <v>0</v>
      </c>
      <c r="CX46" s="61">
        <f t="shared" si="155"/>
        <v>0</v>
      </c>
      <c r="CY46" s="61">
        <f t="shared" si="156"/>
        <v>0</v>
      </c>
      <c r="CZ46" s="61">
        <f t="shared" si="157"/>
        <v>0</v>
      </c>
      <c r="DA46" s="61">
        <f t="shared" si="158"/>
        <v>0</v>
      </c>
      <c r="DB46" s="61">
        <f t="shared" si="159"/>
        <v>0</v>
      </c>
      <c r="DC46" s="61">
        <f t="shared" si="160"/>
        <v>0</v>
      </c>
      <c r="DD46" s="61">
        <f t="shared" si="161"/>
        <v>0</v>
      </c>
      <c r="DE46" s="61">
        <f t="shared" si="162"/>
        <v>0</v>
      </c>
      <c r="DF46" s="61">
        <f t="shared" si="163"/>
        <v>0</v>
      </c>
      <c r="DG46" s="61">
        <f t="shared" si="164"/>
        <v>0</v>
      </c>
      <c r="DH46" s="61">
        <f t="shared" si="165"/>
        <v>0</v>
      </c>
      <c r="DI46" s="61">
        <f t="shared" si="166"/>
        <v>0</v>
      </c>
      <c r="DJ46" s="61">
        <f t="shared" si="167"/>
        <v>0</v>
      </c>
      <c r="DK46" s="61">
        <f t="shared" si="168"/>
        <v>0</v>
      </c>
      <c r="DL46" s="61">
        <f t="shared" si="169"/>
        <v>0</v>
      </c>
      <c r="DM46" s="61">
        <f t="shared" si="170"/>
        <v>0</v>
      </c>
      <c r="DN46" s="61">
        <f t="shared" si="171"/>
        <v>0</v>
      </c>
      <c r="DO46" s="61">
        <f t="shared" si="172"/>
        <v>0</v>
      </c>
      <c r="DP46" s="61">
        <f t="shared" si="173"/>
        <v>0</v>
      </c>
      <c r="DQ46" s="61">
        <f t="shared" si="174"/>
        <v>0</v>
      </c>
      <c r="DR46" s="61">
        <f t="shared" si="175"/>
        <v>0</v>
      </c>
      <c r="DS46" s="61">
        <f t="shared" si="176"/>
        <v>0</v>
      </c>
      <c r="DT46" s="61">
        <f t="shared" si="177"/>
        <v>0</v>
      </c>
      <c r="DU46" s="61">
        <f t="shared" si="178"/>
        <v>0</v>
      </c>
      <c r="DV46" s="61">
        <f t="shared" si="179"/>
        <v>0</v>
      </c>
      <c r="DW46" s="61">
        <f t="shared" si="180"/>
        <v>0</v>
      </c>
      <c r="DX46" s="61">
        <f t="shared" si="181"/>
        <v>0</v>
      </c>
      <c r="DY46" s="61">
        <f t="shared" si="182"/>
        <v>0</v>
      </c>
      <c r="DZ46" s="61">
        <f t="shared" si="183"/>
        <v>0</v>
      </c>
      <c r="EA46" s="61">
        <f t="shared" si="184"/>
        <v>0</v>
      </c>
      <c r="EB46" s="61">
        <f t="shared" si="185"/>
        <v>0</v>
      </c>
      <c r="EC46" s="61">
        <f t="shared" si="186"/>
        <v>0</v>
      </c>
      <c r="EE46" s="61">
        <f xml:space="preserve">
IF(OR(Deltagarlista!$K$3=3,Deltagarlista!$K$3=4),
IF(Arrangörslista!$U$5&lt;8,0,
IF(Arrangörslista!$U$5&lt;16,SUM(LARGE(BV46:CJ46,1)),
IF(Arrangörslista!$U$5&lt;24,SUM(LARGE(BV46:CR46,{1;2})),
IF(Arrangörslista!$U$5&lt;32,SUM(LARGE(BV46:CZ46,{1;2;3})),
IF(Arrangörslista!$U$5&lt;40,SUM(LARGE(BV46:DH46,{1;2;3;4})),
IF(Arrangörslista!$U$5&lt;48,SUM(LARGE(BV46:DP46,{1;2;3;4;5})),
IF(Arrangörslista!$U$5&lt;56,SUM(LARGE(BV46:DX46,{1;2;3;4;5;6})),
IF(Arrangörslista!$U$5&lt;64,SUM(LARGE(BV46:EC46,{1;2;3;4;5;6;7})),0)))))))),
IF(Deltagarlista!$K$3=2,
IF(Arrangörslista!$U$5&lt;4,LARGE(BV46:BX46,1),
IF(Arrangörslista!$U$5&lt;7,SUM(LARGE(BV46:CA46,{1;2;3})),
IF(Arrangörslista!$U$5&lt;10,SUM(LARGE(BV46:CD46,{1;2;3;4})),
IF(Arrangörslista!$U$5&lt;13,SUM(LARGE(BV46:CG46,{1;2;3;4;5;6})),
IF(Arrangörslista!$U$5&lt;16,SUM(LARGE(BV46:CJ46,{1;2;3;4;5;6;7})),
IF(Arrangörslista!$U$5&lt;19,SUM(LARGE(BV46:CM46,{1;2;3;4;5;6;7;8;9})),
IF(Arrangörslista!$U$5&lt;22,SUM(LARGE(BV46:CP46,{1;2;3;4;5;6;7;8;9;10})),
IF(Arrangörslista!$U$5&lt;25,SUM(LARGE(BV46:CS46,{1;2;3;4;5;6;7;8;9;10;11;12})),
IF(Arrangörslista!$U$5&lt;28,SUM(LARGE(BV46:CV46,{1;2;3;4;5;6;7;8;9;10;11;12;13})),
IF(Arrangörslista!$U$5&lt;31,SUM(LARGE(BV46:CY46,{1;2;3;4;5;6;7;8;9;10;11;12;13;14;15})),
IF(Arrangörslista!$U$5&lt;34,SUM(LARGE(BV46:DB46,{1;2;3;4;5;6;7;8;9;10;11;12;13;14;15;16})),
IF(Arrangörslista!$U$5&lt;37,SUM(LARGE(BV46:DE46,{1;2;3;4;5;6;7;8;9;10;11;12;13;14;15;16;17;18})),
IF(Arrangörslista!$U$5&lt;40,SUM(LARGE(BV46:DH46,{1;2;3;4;5;6;7;8;9;10;11;12;13;14;15;16;17;18;19})),
IF(Arrangörslista!$U$5&lt;43,SUM(LARGE(BV46:DK46,{1;2;3;4;5;6;7;8;9;10;11;12;13;14;15;16;17;18;19;20;21})),
IF(Arrangörslista!$U$5&lt;46,SUM(LARGE(BV46:DN46,{1;2;3;4;5;6;7;8;9;10;11;12;13;14;15;16;17;18;19;20;21;22})),
IF(Arrangörslista!$U$5&lt;49,SUM(LARGE(BV46:DQ46,{1;2;3;4;5;6;7;8;9;10;11;12;13;14;15;16;17;18;19;20;21;22;23;24})),
IF(Arrangörslista!$U$5&lt;52,SUM(LARGE(BV46:DT46,{1;2;3;4;5;6;7;8;9;10;11;12;13;14;15;16;17;18;19;20;21;22;23;24;25})),
IF(Arrangörslista!$U$5&lt;55,SUM(LARGE(BV46:DW46,{1;2;3;4;5;6;7;8;9;10;11;12;13;14;15;16;17;18;19;20;21;22;23;24;25;26;27})),
IF(Arrangörslista!$U$5&lt;58,SUM(LARGE(BV46:DZ46,{1;2;3;4;5;6;7;8;9;10;11;12;13;14;15;16;17;18;19;20;21;22;23;24;25;26;27;28})),
IF(Arrangörslista!$U$5&lt;61,SUM(LARGE(BV46:EC46,{1;2;3;4;5;6;7;8;9;10;11;12;13;14;15;16;17;18;19;20;21;22;23;24;25;26;27;28;29;30})),0)))))))))))))))))))),
IF(Arrangörslista!$U$5&lt;4,0,
IF(Arrangörslista!$U$5&lt;8,SUM(LARGE(BV46:CB46,1)),
IF(Arrangörslista!$U$5&lt;12,SUM(LARGE(BV46:CF46,{1;2})),
IF(Arrangörslista!$U$5&lt;16,SUM(LARGE(BV46:CJ46,{1;2;3})),
IF(Arrangörslista!$U$5&lt;20,SUM(LARGE(BV46:CN46,{1;2;3;4})),
IF(Arrangörslista!$U$5&lt;24,SUM(LARGE(BV46:CR46,{1;2;3;4;5})),
IF(Arrangörslista!$U$5&lt;28,SUM(LARGE(BV46:CV46,{1;2;3;4;5;6})),
IF(Arrangörslista!$U$5&lt;32,SUM(LARGE(BV46:CZ46,{1;2;3;4;5;6;7})),
IF(Arrangörslista!$U$5&lt;36,SUM(LARGE(BV46:DD46,{1;2;3;4;5;6;7;8})),
IF(Arrangörslista!$U$5&lt;40,SUM(LARGE(BV46:DH46,{1;2;3;4;5;6;7;8;9})),
IF(Arrangörslista!$U$5&lt;44,SUM(LARGE(BV46:DL46,{1;2;3;4;5;6;7;8;9;10})),
IF(Arrangörslista!$U$5&lt;48,SUM(LARGE(BV46:DP46,{1;2;3;4;5;6;7;8;9;10;11})),
IF(Arrangörslista!$U$5&lt;52,SUM(LARGE(BV46:DT46,{1;2;3;4;5;6;7;8;9;10;11;12})),
IF(Arrangörslista!$U$5&lt;56,SUM(LARGE(BV46:DX46,{1;2;3;4;5;6;7;8;9;10;11;12;13})),
IF(Arrangörslista!$U$5&lt;60,SUM(LARGE(BV46:EB46,{1;2;3;4;5;6;7;8;9;10;11;12;13;14})),
IF(Arrangörslista!$U$5=60,SUM(LARGE(BV46:EC46,{1;2;3;4;5;6;7;8;9;10;11;12;13;14;15})),0))))))))))))))))))</f>
        <v>0</v>
      </c>
      <c r="EG46" s="67">
        <f t="shared" si="187"/>
        <v>0</v>
      </c>
      <c r="EH46" s="61"/>
      <c r="EI46" s="61"/>
      <c r="EK46" s="62">
        <f t="shared" si="188"/>
        <v>61</v>
      </c>
      <c r="EL46" s="62">
        <f t="shared" si="189"/>
        <v>61</v>
      </c>
      <c r="EM46" s="62">
        <f t="shared" si="190"/>
        <v>61</v>
      </c>
      <c r="EN46" s="62">
        <f t="shared" si="191"/>
        <v>61</v>
      </c>
      <c r="EO46" s="62">
        <f t="shared" si="192"/>
        <v>61</v>
      </c>
      <c r="EP46" s="62">
        <f t="shared" si="193"/>
        <v>61</v>
      </c>
      <c r="EQ46" s="62">
        <f t="shared" si="194"/>
        <v>61</v>
      </c>
      <c r="ER46" s="62">
        <f t="shared" si="195"/>
        <v>61</v>
      </c>
      <c r="ES46" s="62">
        <f t="shared" si="196"/>
        <v>61</v>
      </c>
      <c r="ET46" s="62">
        <f t="shared" si="197"/>
        <v>61</v>
      </c>
      <c r="EU46" s="62">
        <f t="shared" si="198"/>
        <v>61</v>
      </c>
      <c r="EV46" s="62">
        <f t="shared" si="199"/>
        <v>61</v>
      </c>
      <c r="EW46" s="62">
        <f t="shared" si="200"/>
        <v>61</v>
      </c>
      <c r="EX46" s="62">
        <f t="shared" si="201"/>
        <v>61</v>
      </c>
      <c r="EY46" s="62">
        <f t="shared" si="202"/>
        <v>61</v>
      </c>
      <c r="EZ46" s="62">
        <f t="shared" si="203"/>
        <v>61</v>
      </c>
      <c r="FA46" s="62">
        <f t="shared" si="204"/>
        <v>61</v>
      </c>
      <c r="FB46" s="62">
        <f t="shared" si="205"/>
        <v>61</v>
      </c>
      <c r="FC46" s="62">
        <f t="shared" si="206"/>
        <v>61</v>
      </c>
      <c r="FD46" s="62">
        <f t="shared" si="207"/>
        <v>61</v>
      </c>
      <c r="FE46" s="62">
        <f t="shared" si="208"/>
        <v>61</v>
      </c>
      <c r="FF46" s="62">
        <f t="shared" si="209"/>
        <v>61</v>
      </c>
      <c r="FG46" s="62">
        <f t="shared" si="210"/>
        <v>61</v>
      </c>
      <c r="FH46" s="62">
        <f t="shared" si="211"/>
        <v>61</v>
      </c>
      <c r="FI46" s="62">
        <f t="shared" si="212"/>
        <v>61</v>
      </c>
      <c r="FJ46" s="62">
        <f t="shared" si="213"/>
        <v>61</v>
      </c>
      <c r="FK46" s="62">
        <f t="shared" si="214"/>
        <v>61</v>
      </c>
      <c r="FL46" s="62">
        <f t="shared" si="215"/>
        <v>61</v>
      </c>
      <c r="FM46" s="62">
        <f t="shared" si="216"/>
        <v>61</v>
      </c>
      <c r="FN46" s="62">
        <f t="shared" si="217"/>
        <v>61</v>
      </c>
      <c r="FO46" s="62">
        <f t="shared" si="218"/>
        <v>61</v>
      </c>
      <c r="FP46" s="62">
        <f t="shared" si="219"/>
        <v>61</v>
      </c>
      <c r="FQ46" s="62">
        <f t="shared" si="220"/>
        <v>61</v>
      </c>
      <c r="FR46" s="62">
        <f t="shared" si="221"/>
        <v>61</v>
      </c>
      <c r="FS46" s="62">
        <f t="shared" si="222"/>
        <v>61</v>
      </c>
      <c r="FT46" s="62">
        <f t="shared" si="223"/>
        <v>61</v>
      </c>
      <c r="FU46" s="62">
        <f t="shared" si="224"/>
        <v>61</v>
      </c>
      <c r="FV46" s="62">
        <f t="shared" si="225"/>
        <v>61</v>
      </c>
      <c r="FW46" s="62">
        <f t="shared" si="226"/>
        <v>61</v>
      </c>
      <c r="FX46" s="62">
        <f t="shared" si="227"/>
        <v>61</v>
      </c>
      <c r="FY46" s="62">
        <f t="shared" si="228"/>
        <v>61</v>
      </c>
      <c r="FZ46" s="62">
        <f t="shared" si="229"/>
        <v>61</v>
      </c>
      <c r="GA46" s="62">
        <f t="shared" si="230"/>
        <v>61</v>
      </c>
      <c r="GB46" s="62">
        <f t="shared" si="231"/>
        <v>61</v>
      </c>
      <c r="GC46" s="62">
        <f t="shared" si="232"/>
        <v>61</v>
      </c>
      <c r="GD46" s="62">
        <f t="shared" si="233"/>
        <v>61</v>
      </c>
      <c r="GE46" s="62">
        <f t="shared" si="234"/>
        <v>61</v>
      </c>
      <c r="GF46" s="62">
        <f t="shared" si="235"/>
        <v>61</v>
      </c>
      <c r="GG46" s="62">
        <f t="shared" si="236"/>
        <v>61</v>
      </c>
      <c r="GH46" s="62">
        <f t="shared" si="237"/>
        <v>61</v>
      </c>
      <c r="GI46" s="62">
        <f t="shared" si="238"/>
        <v>61</v>
      </c>
      <c r="GJ46" s="62">
        <f t="shared" si="239"/>
        <v>61</v>
      </c>
      <c r="GK46" s="62">
        <f t="shared" si="240"/>
        <v>61</v>
      </c>
      <c r="GL46" s="62">
        <f t="shared" si="241"/>
        <v>61</v>
      </c>
      <c r="GM46" s="62">
        <f t="shared" si="242"/>
        <v>61</v>
      </c>
      <c r="GN46" s="62">
        <f t="shared" si="243"/>
        <v>61</v>
      </c>
      <c r="GO46" s="62">
        <f t="shared" si="244"/>
        <v>61</v>
      </c>
      <c r="GP46" s="62">
        <f t="shared" si="245"/>
        <v>61</v>
      </c>
      <c r="GQ46" s="62">
        <f t="shared" si="246"/>
        <v>61</v>
      </c>
      <c r="GR46" s="62">
        <f t="shared" si="247"/>
        <v>61</v>
      </c>
      <c r="GT46" s="62">
        <f>IF(Deltagarlista!$K$3=2,
IF(GW46="1",
      IF(Arrangörslista!$U$5=1,J109,
IF(Arrangörslista!$U$5=2,K109,
IF(Arrangörslista!$U$5=3,L109,
IF(Arrangörslista!$U$5=4,M109,
IF(Arrangörslista!$U$5=5,N109,
IF(Arrangörslista!$U$5=6,O109,
IF(Arrangörslista!$U$5=7,P109,
IF(Arrangörslista!$U$5=8,Q109,
IF(Arrangörslista!$U$5=9,R109,
IF(Arrangörslista!$U$5=10,S109,
IF(Arrangörslista!$U$5=11,T109,
IF(Arrangörslista!$U$5=12,U109,
IF(Arrangörslista!$U$5=13,V109,
IF(Arrangörslista!$U$5=14,W109,
IF(Arrangörslista!$U$5=15,X109,
IF(Arrangörslista!$U$5=16,Y109,IF(Arrangörslista!$U$5=17,Z109,IF(Arrangörslista!$U$5=18,AA109,IF(Arrangörslista!$U$5=19,AB109,IF(Arrangörslista!$U$5=20,AC109,IF(Arrangörslista!$U$5=21,AD109,IF(Arrangörslista!$U$5=22,AE109,IF(Arrangörslista!$U$5=23,AF109, IF(Arrangörslista!$U$5=24,AG109, IF(Arrangörslista!$U$5=25,AH109, IF(Arrangörslista!$U$5=26,AI109, IF(Arrangörslista!$U$5=27,AJ109, IF(Arrangörslista!$U$5=28,AK109, IF(Arrangörslista!$U$5=29,AL109, IF(Arrangörslista!$U$5=30,AM109, IF(Arrangörslista!$U$5=31,AN109, IF(Arrangörslista!$U$5=32,AO109, IF(Arrangörslista!$U$5=33,AP109, IF(Arrangörslista!$U$5=34,AQ109, IF(Arrangörslista!$U$5=35,AR109, IF(Arrangörslista!$U$5=36,AS109, IF(Arrangörslista!$U$5=37,AT109, IF(Arrangörslista!$U$5=38,AU109, IF(Arrangörslista!$U$5=39,AV109, IF(Arrangörslista!$U$5=40,AW109, IF(Arrangörslista!$U$5=41,AX109, IF(Arrangörslista!$U$5=42,AY109, IF(Arrangörslista!$U$5=43,AZ109, IF(Arrangörslista!$U$5=44,BA109, IF(Arrangörslista!$U$5=45,BB109, IF(Arrangörslista!$U$5=46,BC109, IF(Arrangörslista!$U$5=47,BD109, IF(Arrangörslista!$U$5=48,BE109, IF(Arrangörslista!$U$5=49,BF109, IF(Arrangörslista!$U$5=50,BG109, IF(Arrangörslista!$U$5=51,BH109, IF(Arrangörslista!$U$5=52,BI109, IF(Arrangörslista!$U$5=53,BJ109, IF(Arrangörslista!$U$5=54,BK109, IF(Arrangörslista!$U$5=55,BL109, IF(Arrangörslista!$U$5=56,BM109, IF(Arrangörslista!$U$5=57,BN109, IF(Arrangörslista!$U$5=58,BO109, IF(Arrangörslista!$U$5=59,BP109, IF(Arrangörslista!$U$5=60,BQ109,0))))))))))))))))))))))))))))))))))))))))))))))))))))))))))))),IF(Deltagarlista!$K$3=4, IF(Arrangörslista!$U$5=1,J109,
IF(Arrangörslista!$U$5=2,J109,
IF(Arrangörslista!$U$5=3,K109,
IF(Arrangörslista!$U$5=4,K109,
IF(Arrangörslista!$U$5=5,L109,
IF(Arrangörslista!$U$5=6,L109,
IF(Arrangörslista!$U$5=7,M109,
IF(Arrangörslista!$U$5=8,M109,
IF(Arrangörslista!$U$5=9,N109,
IF(Arrangörslista!$U$5=10,N109,
IF(Arrangörslista!$U$5=11,O109,
IF(Arrangörslista!$U$5=12,O109,
IF(Arrangörslista!$U$5=13,P109,
IF(Arrangörslista!$U$5=14,P109,
IF(Arrangörslista!$U$5=15,Q109,
IF(Arrangörslista!$U$5=16,Q109,
IF(Arrangörslista!$U$5=17,R109,
IF(Arrangörslista!$U$5=18,R109,
IF(Arrangörslista!$U$5=19,S109,
IF(Arrangörslista!$U$5=20,S109,
IF(Arrangörslista!$U$5=21,T109,
IF(Arrangörslista!$U$5=22,T109,IF(Arrangörslista!$U$5=23,U109, IF(Arrangörslista!$U$5=24,U109, IF(Arrangörslista!$U$5=25,V109, IF(Arrangörslista!$U$5=26,V109, IF(Arrangörslista!$U$5=27,W109, IF(Arrangörslista!$U$5=28,W109, IF(Arrangörslista!$U$5=29,X109, IF(Arrangörslista!$U$5=30,X109, IF(Arrangörslista!$U$5=31,X109, IF(Arrangörslista!$U$5=32,Y109, IF(Arrangörslista!$U$5=33,AO109, IF(Arrangörslista!$U$5=34,Y109, IF(Arrangörslista!$U$5=35,Z109, IF(Arrangörslista!$U$5=36,AR109, IF(Arrangörslista!$U$5=37,Z109, IF(Arrangörslista!$U$5=38,AA109, IF(Arrangörslista!$U$5=39,AU109, IF(Arrangörslista!$U$5=40,AA109, IF(Arrangörslista!$U$5=41,AB109, IF(Arrangörslista!$U$5=42,AX109, IF(Arrangörslista!$U$5=43,AB109, IF(Arrangörslista!$U$5=44,AC109, IF(Arrangörslista!$U$5=45,BA109, IF(Arrangörslista!$U$5=46,AC109, IF(Arrangörslista!$U$5=47,AD109, IF(Arrangörslista!$U$5=48,BD109, IF(Arrangörslista!$U$5=49,AD109, IF(Arrangörslista!$U$5=50,AE109, IF(Arrangörslista!$U$5=51,BG109, IF(Arrangörslista!$U$5=52,AE109, IF(Arrangörslista!$U$5=53,AF109, IF(Arrangörslista!$U$5=54,BJ109, IF(Arrangörslista!$U$5=55,AF109, IF(Arrangörslista!$U$5=56,AG109, IF(Arrangörslista!$U$5=57,BM109, IF(Arrangörslista!$U$5=58,AG109, IF(Arrangörslista!$U$5=59,AH109, IF(Arrangörslista!$U$5=60,AH109,0)))))))))))))))))))))))))))))))))))))))))))))))))))))))))))),IF(Arrangörslista!$U$5=1,J109,
IF(Arrangörslista!$U$5=2,K109,
IF(Arrangörslista!$U$5=3,L109,
IF(Arrangörslista!$U$5=4,M109,
IF(Arrangörslista!$U$5=5,N109,
IF(Arrangörslista!$U$5=6,O109,
IF(Arrangörslista!$U$5=7,P109,
IF(Arrangörslista!$U$5=8,Q109,
IF(Arrangörslista!$U$5=9,R109,
IF(Arrangörslista!$U$5=10,S109,
IF(Arrangörslista!$U$5=11,T109,
IF(Arrangörslista!$U$5=12,U109,
IF(Arrangörslista!$U$5=13,V109,
IF(Arrangörslista!$U$5=14,W109,
IF(Arrangörslista!$U$5=15,X109,
IF(Arrangörslista!$U$5=16,Y109,IF(Arrangörslista!$U$5=17,Z109,IF(Arrangörslista!$U$5=18,AA109,IF(Arrangörslista!$U$5=19,AB109,IF(Arrangörslista!$U$5=20,AC109,IF(Arrangörslista!$U$5=21,AD109,IF(Arrangörslista!$U$5=22,AE109,IF(Arrangörslista!$U$5=23,AF109, IF(Arrangörslista!$U$5=24,AG109, IF(Arrangörslista!$U$5=25,AH109, IF(Arrangörslista!$U$5=26,AI109, IF(Arrangörslista!$U$5=27,AJ109, IF(Arrangörslista!$U$5=28,AK109, IF(Arrangörslista!$U$5=29,AL109, IF(Arrangörslista!$U$5=30,AM109, IF(Arrangörslista!$U$5=31,AN109, IF(Arrangörslista!$U$5=32,AO109, IF(Arrangörslista!$U$5=33,AP109, IF(Arrangörslista!$U$5=34,AQ109, IF(Arrangörslista!$U$5=35,AR109, IF(Arrangörslista!$U$5=36,AS109, IF(Arrangörslista!$U$5=37,AT109, IF(Arrangörslista!$U$5=38,AU109, IF(Arrangörslista!$U$5=39,AV109, IF(Arrangörslista!$U$5=40,AW109, IF(Arrangörslista!$U$5=41,AX109, IF(Arrangörslista!$U$5=42,AY109, IF(Arrangörslista!$U$5=43,AZ109, IF(Arrangörslista!$U$5=44,BA109, IF(Arrangörslista!$U$5=45,BB109, IF(Arrangörslista!$U$5=46,BC109, IF(Arrangörslista!$U$5=47,BD109, IF(Arrangörslista!$U$5=48,BE109, IF(Arrangörslista!$U$5=49,BF109, IF(Arrangörslista!$U$5=50,BG109, IF(Arrangörslista!$U$5=51,BH109, IF(Arrangörslista!$U$5=52,BI109, IF(Arrangörslista!$U$5=53,BJ109, IF(Arrangörslista!$U$5=54,BK109, IF(Arrangörslista!$U$5=55,BL109, IF(Arrangörslista!$U$5=56,BM109, IF(Arrangörslista!$U$5=57,BN109, IF(Arrangörslista!$U$5=58,BO109, IF(Arrangörslista!$U$5=59,BP109, IF(Arrangörslista!$U$5=60,BQ109,0))))))))))))))))))))))))))))))))))))))))))))))))))))))))))))
))</f>
        <v>0</v>
      </c>
      <c r="GV46" s="65" t="str">
        <f>IFERROR(IF(VLOOKUP(F46,Deltagarlista!$E$5:$I$64,5,FALSE)="Grön","Gr",IF(VLOOKUP(F46,Deltagarlista!$E$5:$I$64,5,FALSE)="Röd","R",IF(VLOOKUP(F46,Deltagarlista!$E$5:$I$64,5,FALSE)="Blå","B","Gu"))),"")</f>
        <v/>
      </c>
      <c r="GW46" s="62" t="str">
        <f t="shared" si="124"/>
        <v/>
      </c>
    </row>
    <row r="47" spans="2:205" ht="15.75" customHeight="1" x14ac:dyDescent="0.3">
      <c r="B47" s="23" t="str">
        <f>IF((COUNTIF(Deltagarlista!$H$5:$H$64,"GM"))&gt;43,44,"")</f>
        <v/>
      </c>
      <c r="C47" s="92" t="str">
        <f>IF(ISBLANK(Deltagarlista!C21),"",Deltagarlista!C21)</f>
        <v/>
      </c>
      <c r="D47" s="109" t="str">
        <f>CONCATENATE(IF(Deltagarlista!H21="GM","GM   ",""), IF(OR(Deltagarlista!$K$3=4,Deltagarlista!$K$3=2),Deltagarlista!I21,""))</f>
        <v/>
      </c>
      <c r="E47" s="8" t="str">
        <f>IF(ISBLANK(Deltagarlista!D21),"",Deltagarlista!D21)</f>
        <v/>
      </c>
      <c r="F47" s="8" t="str">
        <f>IF(ISBLANK(Deltagarlista!E21),"",Deltagarlista!E21)</f>
        <v/>
      </c>
      <c r="G47" s="95" t="str">
        <f>IF(ISBLANK(Deltagarlista!F21),"",Deltagarlista!F21)</f>
        <v/>
      </c>
      <c r="H47" s="72" t="str">
        <f>IF(ISBLANK(Deltagarlista!C21),"",BU47-EE47)</f>
        <v/>
      </c>
      <c r="I47" s="13" t="str">
        <f>IF(ISBLANK(Deltagarlista!C21),"",IF(AND(Deltagarlista!$K$3=2,Deltagarlista!$L$3&lt;37),SUM(SUM(BV47:EC47)-(ROUNDDOWN(Arrangörslista!$U$5/3,1))*($BW$3+1)),SUM(BV47:EC47)))</f>
        <v/>
      </c>
      <c r="J47" s="79" t="str">
        <f>IF(Deltagarlista!$K$3=4,IF(ISBLANK(Deltagarlista!$C21),"",IF(ISBLANK(Arrangörslista!C$8),"",IFERROR(VLOOKUP($F47,Arrangörslista!C$8:$AG$45,16,FALSE),IF(ISBLANK(Deltagarlista!$C21),"",IF(ISBLANK(Arrangörslista!C$8),"",IFERROR(VLOOKUP($F47,Arrangörslista!D$8:$AG$45,16,FALSE),"DNS")))))),IF(Deltagarlista!$K$3=2,
IF(ISBLANK(Deltagarlista!$C21),"",IF(ISBLANK(Arrangörslista!C$8),"",IF($GV47=J$64," DNS ",IFERROR(VLOOKUP($F47,Arrangörslista!C$8:$AG$45,16,FALSE),"DNS")))),IF(ISBLANK(Deltagarlista!$C21),"",IF(ISBLANK(Arrangörslista!C$8),"",IFERROR(VLOOKUP($F47,Arrangörslista!C$8:$AG$45,16,FALSE),"DNS")))))</f>
        <v/>
      </c>
      <c r="K47" s="5" t="str">
        <f>IF(Deltagarlista!$K$3=4,IF(ISBLANK(Deltagarlista!$C21),"",IF(ISBLANK(Arrangörslista!E$8),"",IFERROR(VLOOKUP($F47,Arrangörslista!E$8:$AG$45,16,FALSE),IF(ISBLANK(Deltagarlista!$C21),"",IF(ISBLANK(Arrangörslista!E$8),"",IFERROR(VLOOKUP($F47,Arrangörslista!F$8:$AG$45,16,FALSE),"DNS")))))),IF(Deltagarlista!$K$3=2,
IF(ISBLANK(Deltagarlista!$C21),"",IF(ISBLANK(Arrangörslista!D$8),"",IF($GV47=K$64," DNS ",IFERROR(VLOOKUP($F47,Arrangörslista!D$8:$AG$45,16,FALSE),"DNS")))),IF(ISBLANK(Deltagarlista!$C21),"",IF(ISBLANK(Arrangörslista!D$8),"",IFERROR(VLOOKUP($F47,Arrangörslista!D$8:$AG$45,16,FALSE),"DNS")))))</f>
        <v/>
      </c>
      <c r="L47" s="5" t="str">
        <f>IF(Deltagarlista!$K$3=4,IF(ISBLANK(Deltagarlista!$C21),"",IF(ISBLANK(Arrangörslista!G$8),"",IFERROR(VLOOKUP($F47,Arrangörslista!G$8:$AG$45,16,FALSE),IF(ISBLANK(Deltagarlista!$C21),"",IF(ISBLANK(Arrangörslista!G$8),"",IFERROR(VLOOKUP($F47,Arrangörslista!H$8:$AG$45,16,FALSE),"DNS")))))),IF(Deltagarlista!$K$3=2,
IF(ISBLANK(Deltagarlista!$C21),"",IF(ISBLANK(Arrangörslista!E$8),"",IF($GV47=L$64," DNS ",IFERROR(VLOOKUP($F47,Arrangörslista!E$8:$AG$45,16,FALSE),"DNS")))),IF(ISBLANK(Deltagarlista!$C21),"",IF(ISBLANK(Arrangörslista!E$8),"",IFERROR(VLOOKUP($F47,Arrangörslista!E$8:$AG$45,16,FALSE),"DNS")))))</f>
        <v/>
      </c>
      <c r="M47" s="5" t="str">
        <f>IF(Deltagarlista!$K$3=4,IF(ISBLANK(Deltagarlista!$C21),"",IF(ISBLANK(Arrangörslista!I$8),"",IFERROR(VLOOKUP($F47,Arrangörslista!I$8:$AG$45,16,FALSE),IF(ISBLANK(Deltagarlista!$C21),"",IF(ISBLANK(Arrangörslista!I$8),"",IFERROR(VLOOKUP($F47,Arrangörslista!J$8:$AG$45,16,FALSE),"DNS")))))),IF(Deltagarlista!$K$3=2,
IF(ISBLANK(Deltagarlista!$C21),"",IF(ISBLANK(Arrangörslista!F$8),"",IF($GV47=M$64," DNS ",IFERROR(VLOOKUP($F47,Arrangörslista!F$8:$AG$45,16,FALSE),"DNS")))),IF(ISBLANK(Deltagarlista!$C21),"",IF(ISBLANK(Arrangörslista!F$8),"",IFERROR(VLOOKUP($F47,Arrangörslista!F$8:$AG$45,16,FALSE),"DNS")))))</f>
        <v/>
      </c>
      <c r="N47" s="5" t="str">
        <f>IF(Deltagarlista!$K$3=4,IF(ISBLANK(Deltagarlista!$C21),"",IF(ISBLANK(Arrangörslista!K$8),"",IFERROR(VLOOKUP($F47,Arrangörslista!K$8:$AG$45,16,FALSE),IF(ISBLANK(Deltagarlista!$C21),"",IF(ISBLANK(Arrangörslista!K$8),"",IFERROR(VLOOKUP($F47,Arrangörslista!L$8:$AG$45,16,FALSE),"DNS")))))),IF(Deltagarlista!$K$3=2,
IF(ISBLANK(Deltagarlista!$C21),"",IF(ISBLANK(Arrangörslista!G$8),"",IF($GV47=N$64," DNS ",IFERROR(VLOOKUP($F47,Arrangörslista!G$8:$AG$45,16,FALSE),"DNS")))),IF(ISBLANK(Deltagarlista!$C21),"",IF(ISBLANK(Arrangörslista!G$8),"",IFERROR(VLOOKUP($F47,Arrangörslista!G$8:$AG$45,16,FALSE),"DNS")))))</f>
        <v/>
      </c>
      <c r="O47" s="5" t="str">
        <f>IF(Deltagarlista!$K$3=4,IF(ISBLANK(Deltagarlista!$C21),"",IF(ISBLANK(Arrangörslista!M$8),"",IFERROR(VLOOKUP($F47,Arrangörslista!M$8:$AG$45,16,FALSE),IF(ISBLANK(Deltagarlista!$C21),"",IF(ISBLANK(Arrangörslista!M$8),"",IFERROR(VLOOKUP($F47,Arrangörslista!N$8:$AG$45,16,FALSE),"DNS")))))),IF(Deltagarlista!$K$3=2,
IF(ISBLANK(Deltagarlista!$C21),"",IF(ISBLANK(Arrangörslista!H$8),"",IF($GV47=O$64," DNS ",IFERROR(VLOOKUP($F47,Arrangörslista!H$8:$AG$45,16,FALSE),"DNS")))),IF(ISBLANK(Deltagarlista!$C21),"",IF(ISBLANK(Arrangörslista!H$8),"",IFERROR(VLOOKUP($F47,Arrangörslista!H$8:$AG$45,16,FALSE),"DNS")))))</f>
        <v/>
      </c>
      <c r="P47" s="5" t="str">
        <f>IF(Deltagarlista!$K$3=4,IF(ISBLANK(Deltagarlista!$C21),"",IF(ISBLANK(Arrangörslista!O$8),"",IFERROR(VLOOKUP($F47,Arrangörslista!O$8:$AG$45,16,FALSE),IF(ISBLANK(Deltagarlista!$C21),"",IF(ISBLANK(Arrangörslista!O$8),"",IFERROR(VLOOKUP($F47,Arrangörslista!P$8:$AG$45,16,FALSE),"DNS")))))),IF(Deltagarlista!$K$3=2,
IF(ISBLANK(Deltagarlista!$C21),"",IF(ISBLANK(Arrangörslista!I$8),"",IF($GV47=P$64," DNS ",IFERROR(VLOOKUP($F47,Arrangörslista!I$8:$AG$45,16,FALSE),"DNS")))),IF(ISBLANK(Deltagarlista!$C21),"",IF(ISBLANK(Arrangörslista!I$8),"",IFERROR(VLOOKUP($F47,Arrangörslista!I$8:$AG$45,16,FALSE),"DNS")))))</f>
        <v/>
      </c>
      <c r="Q47" s="5" t="str">
        <f>IF(Deltagarlista!$K$3=4,IF(ISBLANK(Deltagarlista!$C21),"",IF(ISBLANK(Arrangörslista!Q$8),"",IFERROR(VLOOKUP($F47,Arrangörslista!Q$8:$AG$45,16,FALSE),IF(ISBLANK(Deltagarlista!$C21),"",IF(ISBLANK(Arrangörslista!Q$8),"",IFERROR(VLOOKUP($F47,Arrangörslista!C$53:$AG$90,16,FALSE),"DNS")))))),IF(Deltagarlista!$K$3=2,
IF(ISBLANK(Deltagarlista!$C21),"",IF(ISBLANK(Arrangörslista!J$8),"",IF($GV47=Q$64," DNS ",IFERROR(VLOOKUP($F47,Arrangörslista!J$8:$AG$45,16,FALSE),"DNS")))),IF(ISBLANK(Deltagarlista!$C21),"",IF(ISBLANK(Arrangörslista!J$8),"",IFERROR(VLOOKUP($F47,Arrangörslista!J$8:$AG$45,16,FALSE),"DNS")))))</f>
        <v/>
      </c>
      <c r="R47" s="5" t="str">
        <f>IF(Deltagarlista!$K$3=4,IF(ISBLANK(Deltagarlista!$C21),"",IF(ISBLANK(Arrangörslista!D$53),"",IFERROR(VLOOKUP($F47,Arrangörslista!D$53:$AG$90,16,FALSE),IF(ISBLANK(Deltagarlista!$C21),"",IF(ISBLANK(Arrangörslista!D$53),"",IFERROR(VLOOKUP($F47,Arrangörslista!E$53:$AG$90,16,FALSE),"DNS")))))),IF(Deltagarlista!$K$3=2,
IF(ISBLANK(Deltagarlista!$C21),"",IF(ISBLANK(Arrangörslista!K$8),"",IF($GV47=R$64," DNS ",IFERROR(VLOOKUP($F47,Arrangörslista!K$8:$AG$45,16,FALSE),"DNS")))),IF(ISBLANK(Deltagarlista!$C21),"",IF(ISBLANK(Arrangörslista!K$8),"",IFERROR(VLOOKUP($F47,Arrangörslista!K$8:$AG$45,16,FALSE),"DNS")))))</f>
        <v/>
      </c>
      <c r="S47" s="5" t="str">
        <f>IF(Deltagarlista!$K$3=4,IF(ISBLANK(Deltagarlista!$C21),"",IF(ISBLANK(Arrangörslista!F$53),"",IFERROR(VLOOKUP($F47,Arrangörslista!F$53:$AG$90,16,FALSE),IF(ISBLANK(Deltagarlista!$C21),"",IF(ISBLANK(Arrangörslista!F$53),"",IFERROR(VLOOKUP($F47,Arrangörslista!G$53:$AG$90,16,FALSE),"DNS")))))),IF(Deltagarlista!$K$3=2,
IF(ISBLANK(Deltagarlista!$C21),"",IF(ISBLANK(Arrangörslista!L$8),"",IF($GV47=S$64," DNS ",IFERROR(VLOOKUP($F47,Arrangörslista!L$8:$AG$45,16,FALSE),"DNS")))),IF(ISBLANK(Deltagarlista!$C21),"",IF(ISBLANK(Arrangörslista!L$8),"",IFERROR(VLOOKUP($F47,Arrangörslista!L$8:$AG$45,16,FALSE),"DNS")))))</f>
        <v/>
      </c>
      <c r="T47" s="5" t="str">
        <f>IF(Deltagarlista!$K$3=4,IF(ISBLANK(Deltagarlista!$C21),"",IF(ISBLANK(Arrangörslista!H$53),"",IFERROR(VLOOKUP($F47,Arrangörslista!H$53:$AG$90,16,FALSE),IF(ISBLANK(Deltagarlista!$C21),"",IF(ISBLANK(Arrangörslista!H$53),"",IFERROR(VLOOKUP($F47,Arrangörslista!I$53:$AG$90,16,FALSE),"DNS")))))),IF(Deltagarlista!$K$3=2,
IF(ISBLANK(Deltagarlista!$C21),"",IF(ISBLANK(Arrangörslista!M$8),"",IF($GV47=T$64," DNS ",IFERROR(VLOOKUP($F47,Arrangörslista!M$8:$AG$45,16,FALSE),"DNS")))),IF(ISBLANK(Deltagarlista!$C21),"",IF(ISBLANK(Arrangörslista!M$8),"",IFERROR(VLOOKUP($F47,Arrangörslista!M$8:$AG$45,16,FALSE),"DNS")))))</f>
        <v/>
      </c>
      <c r="U47" s="5" t="str">
        <f>IF(Deltagarlista!$K$3=4,IF(ISBLANK(Deltagarlista!$C21),"",IF(ISBLANK(Arrangörslista!J$53),"",IFERROR(VLOOKUP($F47,Arrangörslista!J$53:$AG$90,16,FALSE),IF(ISBLANK(Deltagarlista!$C21),"",IF(ISBLANK(Arrangörslista!J$53),"",IFERROR(VLOOKUP($F47,Arrangörslista!K$53:$AG$90,16,FALSE),"DNS")))))),IF(Deltagarlista!$K$3=2,
IF(ISBLANK(Deltagarlista!$C21),"",IF(ISBLANK(Arrangörslista!N$8),"",IF($GV47=U$64," DNS ",IFERROR(VLOOKUP($F47,Arrangörslista!N$8:$AG$45,16,FALSE),"DNS")))),IF(ISBLANK(Deltagarlista!$C21),"",IF(ISBLANK(Arrangörslista!N$8),"",IFERROR(VLOOKUP($F47,Arrangörslista!N$8:$AG$45,16,FALSE),"DNS")))))</f>
        <v/>
      </c>
      <c r="V47" s="5" t="str">
        <f>IF(Deltagarlista!$K$3=4,IF(ISBLANK(Deltagarlista!$C21),"",IF(ISBLANK(Arrangörslista!L$53),"",IFERROR(VLOOKUP($F47,Arrangörslista!L$53:$AG$90,16,FALSE),IF(ISBLANK(Deltagarlista!$C21),"",IF(ISBLANK(Arrangörslista!L$53),"",IFERROR(VLOOKUP($F47,Arrangörslista!M$53:$AG$90,16,FALSE),"DNS")))))),IF(Deltagarlista!$K$3=2,
IF(ISBLANK(Deltagarlista!$C21),"",IF(ISBLANK(Arrangörslista!O$8),"",IF($GV47=V$64," DNS ",IFERROR(VLOOKUP($F47,Arrangörslista!O$8:$AG$45,16,FALSE),"DNS")))),IF(ISBLANK(Deltagarlista!$C21),"",IF(ISBLANK(Arrangörslista!O$8),"",IFERROR(VLOOKUP($F47,Arrangörslista!O$8:$AG$45,16,FALSE),"DNS")))))</f>
        <v/>
      </c>
      <c r="W47" s="5" t="str">
        <f>IF(Deltagarlista!$K$3=4,IF(ISBLANK(Deltagarlista!$C21),"",IF(ISBLANK(Arrangörslista!N$53),"",IFERROR(VLOOKUP($F47,Arrangörslista!N$53:$AG$90,16,FALSE),IF(ISBLANK(Deltagarlista!$C21),"",IF(ISBLANK(Arrangörslista!N$53),"",IFERROR(VLOOKUP($F47,Arrangörslista!O$53:$AG$90,16,FALSE),"DNS")))))),IF(Deltagarlista!$K$3=2,
IF(ISBLANK(Deltagarlista!$C21),"",IF(ISBLANK(Arrangörslista!P$8),"",IF($GV47=W$64," DNS ",IFERROR(VLOOKUP($F47,Arrangörslista!P$8:$AG$45,16,FALSE),"DNS")))),IF(ISBLANK(Deltagarlista!$C21),"",IF(ISBLANK(Arrangörslista!P$8),"",IFERROR(VLOOKUP($F47,Arrangörslista!P$8:$AG$45,16,FALSE),"DNS")))))</f>
        <v/>
      </c>
      <c r="X47" s="5" t="str">
        <f>IF(Deltagarlista!$K$3=4,IF(ISBLANK(Deltagarlista!$C21),"",IF(ISBLANK(Arrangörslista!P$53),"",IFERROR(VLOOKUP($F47,Arrangörslista!P$53:$AG$90,16,FALSE),IF(ISBLANK(Deltagarlista!$C21),"",IF(ISBLANK(Arrangörslista!P$53),"",IFERROR(VLOOKUP($F47,Arrangörslista!Q$53:$AG$90,16,FALSE),"DNS")))))),IF(Deltagarlista!$K$3=2,
IF(ISBLANK(Deltagarlista!$C21),"",IF(ISBLANK(Arrangörslista!Q$8),"",IF($GV47=X$64," DNS ",IFERROR(VLOOKUP($F47,Arrangörslista!Q$8:$AG$45,16,FALSE),"DNS")))),IF(ISBLANK(Deltagarlista!$C21),"",IF(ISBLANK(Arrangörslista!Q$8),"",IFERROR(VLOOKUP($F47,Arrangörslista!Q$8:$AG$45,16,FALSE),"DNS")))))</f>
        <v/>
      </c>
      <c r="Y47" s="5" t="str">
        <f>IF(Deltagarlista!$K$3=4,IF(ISBLANK(Deltagarlista!$C21),"",IF(ISBLANK(Arrangörslista!C$98),"",IFERROR(VLOOKUP($F47,Arrangörslista!C$98:$AG$135,16,FALSE),IF(ISBLANK(Deltagarlista!$C21),"",IF(ISBLANK(Arrangörslista!C$98),"",IFERROR(VLOOKUP($F47,Arrangörslista!D$98:$AG$135,16,FALSE),"DNS")))))),IF(Deltagarlista!$K$3=2,
IF(ISBLANK(Deltagarlista!$C21),"",IF(ISBLANK(Arrangörslista!C$53),"",IF($GV47=Y$64," DNS ",IFERROR(VLOOKUP($F47,Arrangörslista!C$53:$AG$90,16,FALSE),"DNS")))),IF(ISBLANK(Deltagarlista!$C21),"",IF(ISBLANK(Arrangörslista!C$53),"",IFERROR(VLOOKUP($F47,Arrangörslista!C$53:$AG$90,16,FALSE),"DNS")))))</f>
        <v/>
      </c>
      <c r="Z47" s="5" t="str">
        <f>IF(Deltagarlista!$K$3=4,IF(ISBLANK(Deltagarlista!$C21),"",IF(ISBLANK(Arrangörslista!E$98),"",IFERROR(VLOOKUP($F47,Arrangörslista!E$98:$AG$135,16,FALSE),IF(ISBLANK(Deltagarlista!$C21),"",IF(ISBLANK(Arrangörslista!E$98),"",IFERROR(VLOOKUP($F47,Arrangörslista!F$98:$AG$135,16,FALSE),"DNS")))))),IF(Deltagarlista!$K$3=2,
IF(ISBLANK(Deltagarlista!$C21),"",IF(ISBLANK(Arrangörslista!D$53),"",IF($GV47=Z$64," DNS ",IFERROR(VLOOKUP($F47,Arrangörslista!D$53:$AG$90,16,FALSE),"DNS")))),IF(ISBLANK(Deltagarlista!$C21),"",IF(ISBLANK(Arrangörslista!D$53),"",IFERROR(VLOOKUP($F47,Arrangörslista!D$53:$AG$90,16,FALSE),"DNS")))))</f>
        <v/>
      </c>
      <c r="AA47" s="5" t="str">
        <f>IF(Deltagarlista!$K$3=4,IF(ISBLANK(Deltagarlista!$C21),"",IF(ISBLANK(Arrangörslista!G$98),"",IFERROR(VLOOKUP($F47,Arrangörslista!G$98:$AG$135,16,FALSE),IF(ISBLANK(Deltagarlista!$C21),"",IF(ISBLANK(Arrangörslista!G$98),"",IFERROR(VLOOKUP($F47,Arrangörslista!H$98:$AG$135,16,FALSE),"DNS")))))),IF(Deltagarlista!$K$3=2,
IF(ISBLANK(Deltagarlista!$C21),"",IF(ISBLANK(Arrangörslista!E$53),"",IF($GV47=AA$64," DNS ",IFERROR(VLOOKUP($F47,Arrangörslista!E$53:$AG$90,16,FALSE),"DNS")))),IF(ISBLANK(Deltagarlista!$C21),"",IF(ISBLANK(Arrangörslista!E$53),"",IFERROR(VLOOKUP($F47,Arrangörslista!E$53:$AG$90,16,FALSE),"DNS")))))</f>
        <v/>
      </c>
      <c r="AB47" s="5" t="str">
        <f>IF(Deltagarlista!$K$3=4,IF(ISBLANK(Deltagarlista!$C21),"",IF(ISBLANK(Arrangörslista!I$98),"",IFERROR(VLOOKUP($F47,Arrangörslista!I$98:$AG$135,16,FALSE),IF(ISBLANK(Deltagarlista!$C21),"",IF(ISBLANK(Arrangörslista!I$98),"",IFERROR(VLOOKUP($F47,Arrangörslista!J$98:$AG$135,16,FALSE),"DNS")))))),IF(Deltagarlista!$K$3=2,
IF(ISBLANK(Deltagarlista!$C21),"",IF(ISBLANK(Arrangörslista!F$53),"",IF($GV47=AB$64," DNS ",IFERROR(VLOOKUP($F47,Arrangörslista!F$53:$AG$90,16,FALSE),"DNS")))),IF(ISBLANK(Deltagarlista!$C21),"",IF(ISBLANK(Arrangörslista!F$53),"",IFERROR(VLOOKUP($F47,Arrangörslista!F$53:$AG$90,16,FALSE),"DNS")))))</f>
        <v/>
      </c>
      <c r="AC47" s="5" t="str">
        <f>IF(Deltagarlista!$K$3=4,IF(ISBLANK(Deltagarlista!$C21),"",IF(ISBLANK(Arrangörslista!K$98),"",IFERROR(VLOOKUP($F47,Arrangörslista!K$98:$AG$135,16,FALSE),IF(ISBLANK(Deltagarlista!$C21),"",IF(ISBLANK(Arrangörslista!K$98),"",IFERROR(VLOOKUP($F47,Arrangörslista!L$98:$AG$135,16,FALSE),"DNS")))))),IF(Deltagarlista!$K$3=2,
IF(ISBLANK(Deltagarlista!$C21),"",IF(ISBLANK(Arrangörslista!G$53),"",IF($GV47=AC$64," DNS ",IFERROR(VLOOKUP($F47,Arrangörslista!G$53:$AG$90,16,FALSE),"DNS")))),IF(ISBLANK(Deltagarlista!$C21),"",IF(ISBLANK(Arrangörslista!G$53),"",IFERROR(VLOOKUP($F47,Arrangörslista!G$53:$AG$90,16,FALSE),"DNS")))))</f>
        <v/>
      </c>
      <c r="AD47" s="5" t="str">
        <f>IF(Deltagarlista!$K$3=4,IF(ISBLANK(Deltagarlista!$C21),"",IF(ISBLANK(Arrangörslista!M$98),"",IFERROR(VLOOKUP($F47,Arrangörslista!M$98:$AG$135,16,FALSE),IF(ISBLANK(Deltagarlista!$C21),"",IF(ISBLANK(Arrangörslista!M$98),"",IFERROR(VLOOKUP($F47,Arrangörslista!N$98:$AG$135,16,FALSE),"DNS")))))),IF(Deltagarlista!$K$3=2,
IF(ISBLANK(Deltagarlista!$C21),"",IF(ISBLANK(Arrangörslista!H$53),"",IF($GV47=AD$64," DNS ",IFERROR(VLOOKUP($F47,Arrangörslista!H$53:$AG$90,16,FALSE),"DNS")))),IF(ISBLANK(Deltagarlista!$C21),"",IF(ISBLANK(Arrangörslista!H$53),"",IFERROR(VLOOKUP($F47,Arrangörslista!H$53:$AG$90,16,FALSE),"DNS")))))</f>
        <v/>
      </c>
      <c r="AE47" s="5" t="str">
        <f>IF(Deltagarlista!$K$3=4,IF(ISBLANK(Deltagarlista!$C21),"",IF(ISBLANK(Arrangörslista!O$98),"",IFERROR(VLOOKUP($F47,Arrangörslista!O$98:$AG$135,16,FALSE),IF(ISBLANK(Deltagarlista!$C21),"",IF(ISBLANK(Arrangörslista!O$98),"",IFERROR(VLOOKUP($F47,Arrangörslista!P$98:$AG$135,16,FALSE),"DNS")))))),IF(Deltagarlista!$K$3=2,
IF(ISBLANK(Deltagarlista!$C21),"",IF(ISBLANK(Arrangörslista!I$53),"",IF($GV47=AE$64," DNS ",IFERROR(VLOOKUP($F47,Arrangörslista!I$53:$AG$90,16,FALSE),"DNS")))),IF(ISBLANK(Deltagarlista!$C21),"",IF(ISBLANK(Arrangörslista!I$53),"",IFERROR(VLOOKUP($F47,Arrangörslista!I$53:$AG$90,16,FALSE),"DNS")))))</f>
        <v/>
      </c>
      <c r="AF47" s="5" t="str">
        <f>IF(Deltagarlista!$K$3=4,IF(ISBLANK(Deltagarlista!$C21),"",IF(ISBLANK(Arrangörslista!Q$98),"",IFERROR(VLOOKUP($F47,Arrangörslista!Q$98:$AG$135,16,FALSE),IF(ISBLANK(Deltagarlista!$C21),"",IF(ISBLANK(Arrangörslista!Q$98),"",IFERROR(VLOOKUP($F47,Arrangörslista!C$143:$AG$180,16,FALSE),"DNS")))))),IF(Deltagarlista!$K$3=2,
IF(ISBLANK(Deltagarlista!$C21),"",IF(ISBLANK(Arrangörslista!J$53),"",IF($GV47=AF$64," DNS ",IFERROR(VLOOKUP($F47,Arrangörslista!J$53:$AG$90,16,FALSE),"DNS")))),IF(ISBLANK(Deltagarlista!$C21),"",IF(ISBLANK(Arrangörslista!J$53),"",IFERROR(VLOOKUP($F47,Arrangörslista!J$53:$AG$90,16,FALSE),"DNS")))))</f>
        <v/>
      </c>
      <c r="AG47" s="5" t="str">
        <f>IF(Deltagarlista!$K$3=4,IF(ISBLANK(Deltagarlista!$C21),"",IF(ISBLANK(Arrangörslista!D$143),"",IFERROR(VLOOKUP($F47,Arrangörslista!D$143:$AG$180,16,FALSE),IF(ISBLANK(Deltagarlista!$C21),"",IF(ISBLANK(Arrangörslista!D$143),"",IFERROR(VLOOKUP($F47,Arrangörslista!E$143:$AG$180,16,FALSE),"DNS")))))),IF(Deltagarlista!$K$3=2,
IF(ISBLANK(Deltagarlista!$C21),"",IF(ISBLANK(Arrangörslista!K$53),"",IF($GV47=AG$64," DNS ",IFERROR(VLOOKUP($F47,Arrangörslista!K$53:$AG$90,16,FALSE),"DNS")))),IF(ISBLANK(Deltagarlista!$C21),"",IF(ISBLANK(Arrangörslista!K$53),"",IFERROR(VLOOKUP($F47,Arrangörslista!K$53:$AG$90,16,FALSE),"DNS")))))</f>
        <v/>
      </c>
      <c r="AH47" s="5" t="str">
        <f>IF(Deltagarlista!$K$3=4,IF(ISBLANK(Deltagarlista!$C21),"",IF(ISBLANK(Arrangörslista!F$143),"",IFERROR(VLOOKUP($F47,Arrangörslista!F$143:$AG$180,16,FALSE),IF(ISBLANK(Deltagarlista!$C21),"",IF(ISBLANK(Arrangörslista!F$143),"",IFERROR(VLOOKUP($F47,Arrangörslista!G$143:$AG$180,16,FALSE),"DNS")))))),IF(Deltagarlista!$K$3=2,
IF(ISBLANK(Deltagarlista!$C21),"",IF(ISBLANK(Arrangörslista!L$53),"",IF($GV47=AH$64," DNS ",IFERROR(VLOOKUP($F47,Arrangörslista!L$53:$AG$90,16,FALSE),"DNS")))),IF(ISBLANK(Deltagarlista!$C21),"",IF(ISBLANK(Arrangörslista!L$53),"",IFERROR(VLOOKUP($F47,Arrangörslista!L$53:$AG$90,16,FALSE),"DNS")))))</f>
        <v/>
      </c>
      <c r="AI47" s="5" t="str">
        <f>IF(Deltagarlista!$K$3=4,IF(ISBLANK(Deltagarlista!$C21),"",IF(ISBLANK(Arrangörslista!H$143),"",IFERROR(VLOOKUP($F47,Arrangörslista!H$143:$AG$180,16,FALSE),IF(ISBLANK(Deltagarlista!$C21),"",IF(ISBLANK(Arrangörslista!H$143),"",IFERROR(VLOOKUP($F47,Arrangörslista!I$143:$AG$180,16,FALSE),"DNS")))))),IF(Deltagarlista!$K$3=2,
IF(ISBLANK(Deltagarlista!$C21),"",IF(ISBLANK(Arrangörslista!M$53),"",IF($GV47=AI$64," DNS ",IFERROR(VLOOKUP($F47,Arrangörslista!M$53:$AG$90,16,FALSE),"DNS")))),IF(ISBLANK(Deltagarlista!$C21),"",IF(ISBLANK(Arrangörslista!M$53),"",IFERROR(VLOOKUP($F47,Arrangörslista!M$53:$AG$90,16,FALSE),"DNS")))))</f>
        <v/>
      </c>
      <c r="AJ47" s="5" t="str">
        <f>IF(Deltagarlista!$K$3=4,IF(ISBLANK(Deltagarlista!$C21),"",IF(ISBLANK(Arrangörslista!J$143),"",IFERROR(VLOOKUP($F47,Arrangörslista!J$143:$AG$180,16,FALSE),IF(ISBLANK(Deltagarlista!$C21),"",IF(ISBLANK(Arrangörslista!J$143),"",IFERROR(VLOOKUP($F47,Arrangörslista!K$143:$AG$180,16,FALSE),"DNS")))))),IF(Deltagarlista!$K$3=2,
IF(ISBLANK(Deltagarlista!$C21),"",IF(ISBLANK(Arrangörslista!N$53),"",IF($GV47=AJ$64," DNS ",IFERROR(VLOOKUP($F47,Arrangörslista!N$53:$AG$90,16,FALSE),"DNS")))),IF(ISBLANK(Deltagarlista!$C21),"",IF(ISBLANK(Arrangörslista!N$53),"",IFERROR(VLOOKUP($F47,Arrangörslista!N$53:$AG$90,16,FALSE),"DNS")))))</f>
        <v/>
      </c>
      <c r="AK47" s="5" t="str">
        <f>IF(Deltagarlista!$K$3=4,IF(ISBLANK(Deltagarlista!$C21),"",IF(ISBLANK(Arrangörslista!L$143),"",IFERROR(VLOOKUP($F47,Arrangörslista!L$143:$AG$180,16,FALSE),IF(ISBLANK(Deltagarlista!$C21),"",IF(ISBLANK(Arrangörslista!L$143),"",IFERROR(VLOOKUP($F47,Arrangörslista!M$143:$AG$180,16,FALSE),"DNS")))))),IF(Deltagarlista!$K$3=2,
IF(ISBLANK(Deltagarlista!$C21),"",IF(ISBLANK(Arrangörslista!O$53),"",IF($GV47=AK$64," DNS ",IFERROR(VLOOKUP($F47,Arrangörslista!O$53:$AG$90,16,FALSE),"DNS")))),IF(ISBLANK(Deltagarlista!$C21),"",IF(ISBLANK(Arrangörslista!O$53),"",IFERROR(VLOOKUP($F47,Arrangörslista!O$53:$AG$90,16,FALSE),"DNS")))))</f>
        <v/>
      </c>
      <c r="AL47" s="5" t="str">
        <f>IF(Deltagarlista!$K$3=4,IF(ISBLANK(Deltagarlista!$C21),"",IF(ISBLANK(Arrangörslista!N$143),"",IFERROR(VLOOKUP($F47,Arrangörslista!N$143:$AG$180,16,FALSE),IF(ISBLANK(Deltagarlista!$C21),"",IF(ISBLANK(Arrangörslista!N$143),"",IFERROR(VLOOKUP($F47,Arrangörslista!O$143:$AG$180,16,FALSE),"DNS")))))),IF(Deltagarlista!$K$3=2,
IF(ISBLANK(Deltagarlista!$C21),"",IF(ISBLANK(Arrangörslista!P$53),"",IF($GV47=AL$64," DNS ",IFERROR(VLOOKUP($F47,Arrangörslista!P$53:$AG$90,16,FALSE),"DNS")))),IF(ISBLANK(Deltagarlista!$C21),"",IF(ISBLANK(Arrangörslista!P$53),"",IFERROR(VLOOKUP($F47,Arrangörslista!P$53:$AG$90,16,FALSE),"DNS")))))</f>
        <v/>
      </c>
      <c r="AM47" s="5" t="str">
        <f>IF(Deltagarlista!$K$3=4,IF(ISBLANK(Deltagarlista!$C21),"",IF(ISBLANK(Arrangörslista!P$143),"",IFERROR(VLOOKUP($F47,Arrangörslista!P$143:$AG$180,16,FALSE),IF(ISBLANK(Deltagarlista!$C21),"",IF(ISBLANK(Arrangörslista!P$143),"",IFERROR(VLOOKUP($F47,Arrangörslista!Q$143:$AG$180,16,FALSE),"DNS")))))),IF(Deltagarlista!$K$3=2,
IF(ISBLANK(Deltagarlista!$C21),"",IF(ISBLANK(Arrangörslista!Q$53),"",IF($GV47=AM$64," DNS ",IFERROR(VLOOKUP($F47,Arrangörslista!Q$53:$AG$90,16,FALSE),"DNS")))),IF(ISBLANK(Deltagarlista!$C21),"",IF(ISBLANK(Arrangörslista!Q$53),"",IFERROR(VLOOKUP($F47,Arrangörslista!Q$53:$AG$90,16,FALSE),"DNS")))))</f>
        <v/>
      </c>
      <c r="AN47" s="5" t="str">
        <f>IF(Deltagarlista!$K$3=2,
IF(ISBLANK(Deltagarlista!$C21),"",IF(ISBLANK(Arrangörslista!C$98),"",IF($GV47=AN$64," DNS ",IFERROR(VLOOKUP($F47,Arrangörslista!C$98:$AG$135,16,FALSE), "DNS")))), IF(Deltagarlista!$K$3=1,IF(ISBLANK(Deltagarlista!$C21),"",IF(ISBLANK(Arrangörslista!C$98),"",IFERROR(VLOOKUP($F47,Arrangörslista!C$98:$AG$135,16,FALSE), "DNS"))),""))</f>
        <v/>
      </c>
      <c r="AO47" s="5" t="str">
        <f>IF(Deltagarlista!$K$3=2,
IF(ISBLANK(Deltagarlista!$C21),"",IF(ISBLANK(Arrangörslista!D$98),"",IF($GV47=AO$64," DNS ",IFERROR(VLOOKUP($F47,Arrangörslista!D$98:$AG$135,16,FALSE), "DNS")))), IF(Deltagarlista!$K$3=1,IF(ISBLANK(Deltagarlista!$C21),"",IF(ISBLANK(Arrangörslista!D$98),"",IFERROR(VLOOKUP($F47,Arrangörslista!D$98:$AG$135,16,FALSE), "DNS"))),""))</f>
        <v/>
      </c>
      <c r="AP47" s="5" t="str">
        <f>IF(Deltagarlista!$K$3=2,
IF(ISBLANK(Deltagarlista!$C21),"",IF(ISBLANK(Arrangörslista!E$98),"",IF($GV47=AP$64," DNS ",IFERROR(VLOOKUP($F47,Arrangörslista!E$98:$AG$135,16,FALSE), "DNS")))), IF(Deltagarlista!$K$3=1,IF(ISBLANK(Deltagarlista!$C21),"",IF(ISBLANK(Arrangörslista!E$98),"",IFERROR(VLOOKUP($F47,Arrangörslista!E$98:$AG$135,16,FALSE), "DNS"))),""))</f>
        <v/>
      </c>
      <c r="AQ47" s="5" t="str">
        <f>IF(Deltagarlista!$K$3=2,
IF(ISBLANK(Deltagarlista!$C21),"",IF(ISBLANK(Arrangörslista!F$98),"",IF($GV47=AQ$64," DNS ",IFERROR(VLOOKUP($F47,Arrangörslista!F$98:$AG$135,16,FALSE), "DNS")))), IF(Deltagarlista!$K$3=1,IF(ISBLANK(Deltagarlista!$C21),"",IF(ISBLANK(Arrangörslista!F$98),"",IFERROR(VLOOKUP($F47,Arrangörslista!F$98:$AG$135,16,FALSE), "DNS"))),""))</f>
        <v/>
      </c>
      <c r="AR47" s="5" t="str">
        <f>IF(Deltagarlista!$K$3=2,
IF(ISBLANK(Deltagarlista!$C21),"",IF(ISBLANK(Arrangörslista!G$98),"",IF($GV47=AR$64," DNS ",IFERROR(VLOOKUP($F47,Arrangörslista!G$98:$AG$135,16,FALSE), "DNS")))), IF(Deltagarlista!$K$3=1,IF(ISBLANK(Deltagarlista!$C21),"",IF(ISBLANK(Arrangörslista!G$98),"",IFERROR(VLOOKUP($F47,Arrangörslista!G$98:$AG$135,16,FALSE), "DNS"))),""))</f>
        <v/>
      </c>
      <c r="AS47" s="5" t="str">
        <f>IF(Deltagarlista!$K$3=2,
IF(ISBLANK(Deltagarlista!$C21),"",IF(ISBLANK(Arrangörslista!H$98),"",IF($GV47=AS$64," DNS ",IFERROR(VLOOKUP($F47,Arrangörslista!H$98:$AG$135,16,FALSE), "DNS")))), IF(Deltagarlista!$K$3=1,IF(ISBLANK(Deltagarlista!$C21),"",IF(ISBLANK(Arrangörslista!H$98),"",IFERROR(VLOOKUP($F47,Arrangörslista!H$98:$AG$135,16,FALSE), "DNS"))),""))</f>
        <v/>
      </c>
      <c r="AT47" s="5" t="str">
        <f>IF(Deltagarlista!$K$3=2,
IF(ISBLANK(Deltagarlista!$C21),"",IF(ISBLANK(Arrangörslista!I$98),"",IF($GV47=AT$64," DNS ",IFERROR(VLOOKUP($F47,Arrangörslista!I$98:$AG$135,16,FALSE), "DNS")))), IF(Deltagarlista!$K$3=1,IF(ISBLANK(Deltagarlista!$C21),"",IF(ISBLANK(Arrangörslista!I$98),"",IFERROR(VLOOKUP($F47,Arrangörslista!I$98:$AG$135,16,FALSE), "DNS"))),""))</f>
        <v/>
      </c>
      <c r="AU47" s="5" t="str">
        <f>IF(Deltagarlista!$K$3=2,
IF(ISBLANK(Deltagarlista!$C21),"",IF(ISBLANK(Arrangörslista!J$98),"",IF($GV47=AU$64," DNS ",IFERROR(VLOOKUP($F47,Arrangörslista!J$98:$AG$135,16,FALSE), "DNS")))), IF(Deltagarlista!$K$3=1,IF(ISBLANK(Deltagarlista!$C21),"",IF(ISBLANK(Arrangörslista!J$98),"",IFERROR(VLOOKUP($F47,Arrangörslista!J$98:$AG$135,16,FALSE), "DNS"))),""))</f>
        <v/>
      </c>
      <c r="AV47" s="5" t="str">
        <f>IF(Deltagarlista!$K$3=2,
IF(ISBLANK(Deltagarlista!$C21),"",IF(ISBLANK(Arrangörslista!K$98),"",IF($GV47=AV$64," DNS ",IFERROR(VLOOKUP($F47,Arrangörslista!K$98:$AG$135,16,FALSE), "DNS")))), IF(Deltagarlista!$K$3=1,IF(ISBLANK(Deltagarlista!$C21),"",IF(ISBLANK(Arrangörslista!K$98),"",IFERROR(VLOOKUP($F47,Arrangörslista!K$98:$AG$135,16,FALSE), "DNS"))),""))</f>
        <v/>
      </c>
      <c r="AW47" s="5" t="str">
        <f>IF(Deltagarlista!$K$3=2,
IF(ISBLANK(Deltagarlista!$C21),"",IF(ISBLANK(Arrangörslista!L$98),"",IF($GV47=AW$64," DNS ",IFERROR(VLOOKUP($F47,Arrangörslista!L$98:$AG$135,16,FALSE), "DNS")))), IF(Deltagarlista!$K$3=1,IF(ISBLANK(Deltagarlista!$C21),"",IF(ISBLANK(Arrangörslista!L$98),"",IFERROR(VLOOKUP($F47,Arrangörslista!L$98:$AG$135,16,FALSE), "DNS"))),""))</f>
        <v/>
      </c>
      <c r="AX47" s="5" t="str">
        <f>IF(Deltagarlista!$K$3=2,
IF(ISBLANK(Deltagarlista!$C21),"",IF(ISBLANK(Arrangörslista!M$98),"",IF($GV47=AX$64," DNS ",IFERROR(VLOOKUP($F47,Arrangörslista!M$98:$AG$135,16,FALSE), "DNS")))), IF(Deltagarlista!$K$3=1,IF(ISBLANK(Deltagarlista!$C21),"",IF(ISBLANK(Arrangörslista!M$98),"",IFERROR(VLOOKUP($F47,Arrangörslista!M$98:$AG$135,16,FALSE), "DNS"))),""))</f>
        <v/>
      </c>
      <c r="AY47" s="5" t="str">
        <f>IF(Deltagarlista!$K$3=2,
IF(ISBLANK(Deltagarlista!$C21),"",IF(ISBLANK(Arrangörslista!N$98),"",IF($GV47=AY$64," DNS ",IFERROR(VLOOKUP($F47,Arrangörslista!N$98:$AG$135,16,FALSE), "DNS")))), IF(Deltagarlista!$K$3=1,IF(ISBLANK(Deltagarlista!$C21),"",IF(ISBLANK(Arrangörslista!N$98),"",IFERROR(VLOOKUP($F47,Arrangörslista!N$98:$AG$135,16,FALSE), "DNS"))),""))</f>
        <v/>
      </c>
      <c r="AZ47" s="5" t="str">
        <f>IF(Deltagarlista!$K$3=2,
IF(ISBLANK(Deltagarlista!$C21),"",IF(ISBLANK(Arrangörslista!O$98),"",IF($GV47=AZ$64," DNS ",IFERROR(VLOOKUP($F47,Arrangörslista!O$98:$AG$135,16,FALSE), "DNS")))), IF(Deltagarlista!$K$3=1,IF(ISBLANK(Deltagarlista!$C21),"",IF(ISBLANK(Arrangörslista!O$98),"",IFERROR(VLOOKUP($F47,Arrangörslista!O$98:$AG$135,16,FALSE), "DNS"))),""))</f>
        <v/>
      </c>
      <c r="BA47" s="5" t="str">
        <f>IF(Deltagarlista!$K$3=2,
IF(ISBLANK(Deltagarlista!$C21),"",IF(ISBLANK(Arrangörslista!P$98),"",IF($GV47=BA$64," DNS ",IFERROR(VLOOKUP($F47,Arrangörslista!P$98:$AG$135,16,FALSE), "DNS")))), IF(Deltagarlista!$K$3=1,IF(ISBLANK(Deltagarlista!$C21),"",IF(ISBLANK(Arrangörslista!P$98),"",IFERROR(VLOOKUP($F47,Arrangörslista!P$98:$AG$135,16,FALSE), "DNS"))),""))</f>
        <v/>
      </c>
      <c r="BB47" s="5" t="str">
        <f>IF(Deltagarlista!$K$3=2,
IF(ISBLANK(Deltagarlista!$C21),"",IF(ISBLANK(Arrangörslista!Q$98),"",IF($GV47=BB$64," DNS ",IFERROR(VLOOKUP($F47,Arrangörslista!Q$98:$AG$135,16,FALSE), "DNS")))), IF(Deltagarlista!$K$3=1,IF(ISBLANK(Deltagarlista!$C21),"",IF(ISBLANK(Arrangörslista!Q$98),"",IFERROR(VLOOKUP($F47,Arrangörslista!Q$98:$AG$135,16,FALSE), "DNS"))),""))</f>
        <v/>
      </c>
      <c r="BC47" s="5" t="str">
        <f>IF(Deltagarlista!$K$3=2,
IF(ISBLANK(Deltagarlista!$C21),"",IF(ISBLANK(Arrangörslista!C$143),"",IF($GV47=BC$64," DNS ",IFERROR(VLOOKUP($F47,Arrangörslista!C$143:$AG$180,16,FALSE), "DNS")))), IF(Deltagarlista!$K$3=1,IF(ISBLANK(Deltagarlista!$C21),"",IF(ISBLANK(Arrangörslista!C$143),"",IFERROR(VLOOKUP($F47,Arrangörslista!C$143:$AG$180,16,FALSE), "DNS"))),""))</f>
        <v/>
      </c>
      <c r="BD47" s="5" t="str">
        <f>IF(Deltagarlista!$K$3=2,
IF(ISBLANK(Deltagarlista!$C21),"",IF(ISBLANK(Arrangörslista!D$143),"",IF($GV47=BD$64," DNS ",IFERROR(VLOOKUP($F47,Arrangörslista!D$143:$AG$180,16,FALSE), "DNS")))), IF(Deltagarlista!$K$3=1,IF(ISBLANK(Deltagarlista!$C21),"",IF(ISBLANK(Arrangörslista!D$143),"",IFERROR(VLOOKUP($F47,Arrangörslista!D$143:$AG$180,16,FALSE), "DNS"))),""))</f>
        <v/>
      </c>
      <c r="BE47" s="5" t="str">
        <f>IF(Deltagarlista!$K$3=2,
IF(ISBLANK(Deltagarlista!$C21),"",IF(ISBLANK(Arrangörslista!E$143),"",IF($GV47=BE$64," DNS ",IFERROR(VLOOKUP($F47,Arrangörslista!E$143:$AG$180,16,FALSE), "DNS")))), IF(Deltagarlista!$K$3=1,IF(ISBLANK(Deltagarlista!$C21),"",IF(ISBLANK(Arrangörslista!E$143),"",IFERROR(VLOOKUP($F47,Arrangörslista!E$143:$AG$180,16,FALSE), "DNS"))),""))</f>
        <v/>
      </c>
      <c r="BF47" s="5" t="str">
        <f>IF(Deltagarlista!$K$3=2,
IF(ISBLANK(Deltagarlista!$C21),"",IF(ISBLANK(Arrangörslista!F$143),"",IF($GV47=BF$64," DNS ",IFERROR(VLOOKUP($F47,Arrangörslista!F$143:$AG$180,16,FALSE), "DNS")))), IF(Deltagarlista!$K$3=1,IF(ISBLANK(Deltagarlista!$C21),"",IF(ISBLANK(Arrangörslista!F$143),"",IFERROR(VLOOKUP($F47,Arrangörslista!F$143:$AG$180,16,FALSE), "DNS"))),""))</f>
        <v/>
      </c>
      <c r="BG47" s="5" t="str">
        <f>IF(Deltagarlista!$K$3=2,
IF(ISBLANK(Deltagarlista!$C21),"",IF(ISBLANK(Arrangörslista!G$143),"",IF($GV47=BG$64," DNS ",IFERROR(VLOOKUP($F47,Arrangörslista!G$143:$AG$180,16,FALSE), "DNS")))), IF(Deltagarlista!$K$3=1,IF(ISBLANK(Deltagarlista!$C21),"",IF(ISBLANK(Arrangörslista!G$143),"",IFERROR(VLOOKUP($F47,Arrangörslista!G$143:$AG$180,16,FALSE), "DNS"))),""))</f>
        <v/>
      </c>
      <c r="BH47" s="5" t="str">
        <f>IF(Deltagarlista!$K$3=2,
IF(ISBLANK(Deltagarlista!$C21),"",IF(ISBLANK(Arrangörslista!H$143),"",IF($GV47=BH$64," DNS ",IFERROR(VLOOKUP($F47,Arrangörslista!H$143:$AG$180,16,FALSE), "DNS")))), IF(Deltagarlista!$K$3=1,IF(ISBLANK(Deltagarlista!$C21),"",IF(ISBLANK(Arrangörslista!H$143),"",IFERROR(VLOOKUP($F47,Arrangörslista!H$143:$AG$180,16,FALSE), "DNS"))),""))</f>
        <v/>
      </c>
      <c r="BI47" s="5" t="str">
        <f>IF(Deltagarlista!$K$3=2,
IF(ISBLANK(Deltagarlista!$C21),"",IF(ISBLANK(Arrangörslista!I$143),"",IF($GV47=BI$64," DNS ",IFERROR(VLOOKUP($F47,Arrangörslista!I$143:$AG$180,16,FALSE), "DNS")))), IF(Deltagarlista!$K$3=1,IF(ISBLANK(Deltagarlista!$C21),"",IF(ISBLANK(Arrangörslista!I$143),"",IFERROR(VLOOKUP($F47,Arrangörslista!I$143:$AG$180,16,FALSE), "DNS"))),""))</f>
        <v/>
      </c>
      <c r="BJ47" s="5" t="str">
        <f>IF(Deltagarlista!$K$3=2,
IF(ISBLANK(Deltagarlista!$C21),"",IF(ISBLANK(Arrangörslista!J$143),"",IF($GV47=BJ$64," DNS ",IFERROR(VLOOKUP($F47,Arrangörslista!J$143:$AG$180,16,FALSE), "DNS")))), IF(Deltagarlista!$K$3=1,IF(ISBLANK(Deltagarlista!$C21),"",IF(ISBLANK(Arrangörslista!J$143),"",IFERROR(VLOOKUP($F47,Arrangörslista!J$143:$AG$180,16,FALSE), "DNS"))),""))</f>
        <v/>
      </c>
      <c r="BK47" s="5" t="str">
        <f>IF(Deltagarlista!$K$3=2,
IF(ISBLANK(Deltagarlista!$C21),"",IF(ISBLANK(Arrangörslista!K$143),"",IF($GV47=BK$64," DNS ",IFERROR(VLOOKUP($F47,Arrangörslista!K$143:$AG$180,16,FALSE), "DNS")))), IF(Deltagarlista!$K$3=1,IF(ISBLANK(Deltagarlista!$C21),"",IF(ISBLANK(Arrangörslista!K$143),"",IFERROR(VLOOKUP($F47,Arrangörslista!K$143:$AG$180,16,FALSE), "DNS"))),""))</f>
        <v/>
      </c>
      <c r="BL47" s="5" t="str">
        <f>IF(Deltagarlista!$K$3=2,
IF(ISBLANK(Deltagarlista!$C21),"",IF(ISBLANK(Arrangörslista!L$143),"",IF($GV47=BL$64," DNS ",IFERROR(VLOOKUP($F47,Arrangörslista!L$143:$AG$180,16,FALSE), "DNS")))), IF(Deltagarlista!$K$3=1,IF(ISBLANK(Deltagarlista!$C21),"",IF(ISBLANK(Arrangörslista!L$143),"",IFERROR(VLOOKUP($F47,Arrangörslista!L$143:$AG$180,16,FALSE), "DNS"))),""))</f>
        <v/>
      </c>
      <c r="BM47" s="5" t="str">
        <f>IF(Deltagarlista!$K$3=2,
IF(ISBLANK(Deltagarlista!$C21),"",IF(ISBLANK(Arrangörslista!M$143),"",IF($GV47=BM$64," DNS ",IFERROR(VLOOKUP($F47,Arrangörslista!M$143:$AG$180,16,FALSE), "DNS")))), IF(Deltagarlista!$K$3=1,IF(ISBLANK(Deltagarlista!$C21),"",IF(ISBLANK(Arrangörslista!M$143),"",IFERROR(VLOOKUP($F47,Arrangörslista!M$143:$AG$180,16,FALSE), "DNS"))),""))</f>
        <v/>
      </c>
      <c r="BN47" s="5" t="str">
        <f>IF(Deltagarlista!$K$3=2,
IF(ISBLANK(Deltagarlista!$C21),"",IF(ISBLANK(Arrangörslista!N$143),"",IF($GV47=BN$64," DNS ",IFERROR(VLOOKUP($F47,Arrangörslista!N$143:$AG$180,16,FALSE), "DNS")))), IF(Deltagarlista!$K$3=1,IF(ISBLANK(Deltagarlista!$C21),"",IF(ISBLANK(Arrangörslista!N$143),"",IFERROR(VLOOKUP($F47,Arrangörslista!N$143:$AG$180,16,FALSE), "DNS"))),""))</f>
        <v/>
      </c>
      <c r="BO47" s="5" t="str">
        <f>IF(Deltagarlista!$K$3=2,
IF(ISBLANK(Deltagarlista!$C21),"",IF(ISBLANK(Arrangörslista!O$143),"",IF($GV47=BO$64," DNS ",IFERROR(VLOOKUP($F47,Arrangörslista!O$143:$AG$180,16,FALSE), "DNS")))), IF(Deltagarlista!$K$3=1,IF(ISBLANK(Deltagarlista!$C21),"",IF(ISBLANK(Arrangörslista!O$143),"",IFERROR(VLOOKUP($F47,Arrangörslista!O$143:$AG$180,16,FALSE), "DNS"))),""))</f>
        <v/>
      </c>
      <c r="BP47" s="5" t="str">
        <f>IF(Deltagarlista!$K$3=2,
IF(ISBLANK(Deltagarlista!$C21),"",IF(ISBLANK(Arrangörslista!P$143),"",IF($GV47=BP$64," DNS ",IFERROR(VLOOKUP($F47,Arrangörslista!P$143:$AG$180,16,FALSE), "DNS")))), IF(Deltagarlista!$K$3=1,IF(ISBLANK(Deltagarlista!$C21),"",IF(ISBLANK(Arrangörslista!P$143),"",IFERROR(VLOOKUP($F47,Arrangörslista!P$143:$AG$180,16,FALSE), "DNS"))),""))</f>
        <v/>
      </c>
      <c r="BQ47" s="80" t="str">
        <f>IF(Deltagarlista!$K$3=2,
IF(ISBLANK(Deltagarlista!$C21),"",IF(ISBLANK(Arrangörslista!Q$143),"",IF($GV47=BQ$64," DNS ",IFERROR(VLOOKUP($F47,Arrangörslista!Q$143:$AG$180,16,FALSE), "DNS")))), IF(Deltagarlista!$K$3=1,IF(ISBLANK(Deltagarlista!$C21),"",IF(ISBLANK(Arrangörslista!Q$143),"",IFERROR(VLOOKUP($F47,Arrangörslista!Q$143:$AG$180,16,FALSE), "DNS"))),""))</f>
        <v/>
      </c>
      <c r="BR47" s="51"/>
      <c r="BS47" s="50" t="str">
        <f t="shared" si="125"/>
        <v>2</v>
      </c>
      <c r="BT47" s="51"/>
      <c r="BU47" s="71">
        <f t="shared" si="126"/>
        <v>0</v>
      </c>
      <c r="BV47" s="61">
        <f t="shared" si="127"/>
        <v>0</v>
      </c>
      <c r="BW47" s="61">
        <f t="shared" si="128"/>
        <v>0</v>
      </c>
      <c r="BX47" s="61">
        <f t="shared" si="129"/>
        <v>0</v>
      </c>
      <c r="BY47" s="61">
        <f t="shared" si="130"/>
        <v>0</v>
      </c>
      <c r="BZ47" s="61">
        <f t="shared" si="131"/>
        <v>0</v>
      </c>
      <c r="CA47" s="61">
        <f t="shared" si="132"/>
        <v>0</v>
      </c>
      <c r="CB47" s="61">
        <f t="shared" si="133"/>
        <v>0</v>
      </c>
      <c r="CC47" s="61">
        <f t="shared" si="134"/>
        <v>0</v>
      </c>
      <c r="CD47" s="61">
        <f t="shared" si="135"/>
        <v>0</v>
      </c>
      <c r="CE47" s="61">
        <f t="shared" si="136"/>
        <v>0</v>
      </c>
      <c r="CF47" s="61">
        <f t="shared" si="137"/>
        <v>0</v>
      </c>
      <c r="CG47" s="61">
        <f t="shared" si="138"/>
        <v>0</v>
      </c>
      <c r="CH47" s="61">
        <f t="shared" si="139"/>
        <v>0</v>
      </c>
      <c r="CI47" s="61">
        <f t="shared" si="140"/>
        <v>0</v>
      </c>
      <c r="CJ47" s="61">
        <f t="shared" si="141"/>
        <v>0</v>
      </c>
      <c r="CK47" s="61">
        <f t="shared" si="142"/>
        <v>0</v>
      </c>
      <c r="CL47" s="61">
        <f t="shared" si="143"/>
        <v>0</v>
      </c>
      <c r="CM47" s="61">
        <f t="shared" si="144"/>
        <v>0</v>
      </c>
      <c r="CN47" s="61">
        <f t="shared" si="145"/>
        <v>0</v>
      </c>
      <c r="CO47" s="61">
        <f t="shared" si="146"/>
        <v>0</v>
      </c>
      <c r="CP47" s="61">
        <f t="shared" si="147"/>
        <v>0</v>
      </c>
      <c r="CQ47" s="61">
        <f t="shared" si="148"/>
        <v>0</v>
      </c>
      <c r="CR47" s="61">
        <f t="shared" si="149"/>
        <v>0</v>
      </c>
      <c r="CS47" s="61">
        <f t="shared" si="150"/>
        <v>0</v>
      </c>
      <c r="CT47" s="61">
        <f t="shared" si="151"/>
        <v>0</v>
      </c>
      <c r="CU47" s="61">
        <f t="shared" si="152"/>
        <v>0</v>
      </c>
      <c r="CV47" s="61">
        <f t="shared" si="153"/>
        <v>0</v>
      </c>
      <c r="CW47" s="61">
        <f t="shared" si="154"/>
        <v>0</v>
      </c>
      <c r="CX47" s="61">
        <f t="shared" si="155"/>
        <v>0</v>
      </c>
      <c r="CY47" s="61">
        <f t="shared" si="156"/>
        <v>0</v>
      </c>
      <c r="CZ47" s="61">
        <f t="shared" si="157"/>
        <v>0</v>
      </c>
      <c r="DA47" s="61">
        <f t="shared" si="158"/>
        <v>0</v>
      </c>
      <c r="DB47" s="61">
        <f t="shared" si="159"/>
        <v>0</v>
      </c>
      <c r="DC47" s="61">
        <f t="shared" si="160"/>
        <v>0</v>
      </c>
      <c r="DD47" s="61">
        <f t="shared" si="161"/>
        <v>0</v>
      </c>
      <c r="DE47" s="61">
        <f t="shared" si="162"/>
        <v>0</v>
      </c>
      <c r="DF47" s="61">
        <f t="shared" si="163"/>
        <v>0</v>
      </c>
      <c r="DG47" s="61">
        <f t="shared" si="164"/>
        <v>0</v>
      </c>
      <c r="DH47" s="61">
        <f t="shared" si="165"/>
        <v>0</v>
      </c>
      <c r="DI47" s="61">
        <f t="shared" si="166"/>
        <v>0</v>
      </c>
      <c r="DJ47" s="61">
        <f t="shared" si="167"/>
        <v>0</v>
      </c>
      <c r="DK47" s="61">
        <f t="shared" si="168"/>
        <v>0</v>
      </c>
      <c r="DL47" s="61">
        <f t="shared" si="169"/>
        <v>0</v>
      </c>
      <c r="DM47" s="61">
        <f t="shared" si="170"/>
        <v>0</v>
      </c>
      <c r="DN47" s="61">
        <f t="shared" si="171"/>
        <v>0</v>
      </c>
      <c r="DO47" s="61">
        <f t="shared" si="172"/>
        <v>0</v>
      </c>
      <c r="DP47" s="61">
        <f t="shared" si="173"/>
        <v>0</v>
      </c>
      <c r="DQ47" s="61">
        <f t="shared" si="174"/>
        <v>0</v>
      </c>
      <c r="DR47" s="61">
        <f t="shared" si="175"/>
        <v>0</v>
      </c>
      <c r="DS47" s="61">
        <f t="shared" si="176"/>
        <v>0</v>
      </c>
      <c r="DT47" s="61">
        <f t="shared" si="177"/>
        <v>0</v>
      </c>
      <c r="DU47" s="61">
        <f t="shared" si="178"/>
        <v>0</v>
      </c>
      <c r="DV47" s="61">
        <f t="shared" si="179"/>
        <v>0</v>
      </c>
      <c r="DW47" s="61">
        <f t="shared" si="180"/>
        <v>0</v>
      </c>
      <c r="DX47" s="61">
        <f t="shared" si="181"/>
        <v>0</v>
      </c>
      <c r="DY47" s="61">
        <f t="shared" si="182"/>
        <v>0</v>
      </c>
      <c r="DZ47" s="61">
        <f t="shared" si="183"/>
        <v>0</v>
      </c>
      <c r="EA47" s="61">
        <f t="shared" si="184"/>
        <v>0</v>
      </c>
      <c r="EB47" s="61">
        <f t="shared" si="185"/>
        <v>0</v>
      </c>
      <c r="EC47" s="61">
        <f t="shared" si="186"/>
        <v>0</v>
      </c>
      <c r="EE47" s="61">
        <f xml:space="preserve">
IF(OR(Deltagarlista!$K$3=3,Deltagarlista!$K$3=4),
IF(Arrangörslista!$U$5&lt;8,0,
IF(Arrangörslista!$U$5&lt;16,SUM(LARGE(BV47:CJ47,1)),
IF(Arrangörslista!$U$5&lt;24,SUM(LARGE(BV47:CR47,{1;2})),
IF(Arrangörslista!$U$5&lt;32,SUM(LARGE(BV47:CZ47,{1;2;3})),
IF(Arrangörslista!$U$5&lt;40,SUM(LARGE(BV47:DH47,{1;2;3;4})),
IF(Arrangörslista!$U$5&lt;48,SUM(LARGE(BV47:DP47,{1;2;3;4;5})),
IF(Arrangörslista!$U$5&lt;56,SUM(LARGE(BV47:DX47,{1;2;3;4;5;6})),
IF(Arrangörslista!$U$5&lt;64,SUM(LARGE(BV47:EC47,{1;2;3;4;5;6;7})),0)))))))),
IF(Deltagarlista!$K$3=2,
IF(Arrangörslista!$U$5&lt;4,LARGE(BV47:BX47,1),
IF(Arrangörslista!$U$5&lt;7,SUM(LARGE(BV47:CA47,{1;2;3})),
IF(Arrangörslista!$U$5&lt;10,SUM(LARGE(BV47:CD47,{1;2;3;4})),
IF(Arrangörslista!$U$5&lt;13,SUM(LARGE(BV47:CG47,{1;2;3;4;5;6})),
IF(Arrangörslista!$U$5&lt;16,SUM(LARGE(BV47:CJ47,{1;2;3;4;5;6;7})),
IF(Arrangörslista!$U$5&lt;19,SUM(LARGE(BV47:CM47,{1;2;3;4;5;6;7;8;9})),
IF(Arrangörslista!$U$5&lt;22,SUM(LARGE(BV47:CP47,{1;2;3;4;5;6;7;8;9;10})),
IF(Arrangörslista!$U$5&lt;25,SUM(LARGE(BV47:CS47,{1;2;3;4;5;6;7;8;9;10;11;12})),
IF(Arrangörslista!$U$5&lt;28,SUM(LARGE(BV47:CV47,{1;2;3;4;5;6;7;8;9;10;11;12;13})),
IF(Arrangörslista!$U$5&lt;31,SUM(LARGE(BV47:CY47,{1;2;3;4;5;6;7;8;9;10;11;12;13;14;15})),
IF(Arrangörslista!$U$5&lt;34,SUM(LARGE(BV47:DB47,{1;2;3;4;5;6;7;8;9;10;11;12;13;14;15;16})),
IF(Arrangörslista!$U$5&lt;37,SUM(LARGE(BV47:DE47,{1;2;3;4;5;6;7;8;9;10;11;12;13;14;15;16;17;18})),
IF(Arrangörslista!$U$5&lt;40,SUM(LARGE(BV47:DH47,{1;2;3;4;5;6;7;8;9;10;11;12;13;14;15;16;17;18;19})),
IF(Arrangörslista!$U$5&lt;43,SUM(LARGE(BV47:DK47,{1;2;3;4;5;6;7;8;9;10;11;12;13;14;15;16;17;18;19;20;21})),
IF(Arrangörslista!$U$5&lt;46,SUM(LARGE(BV47:DN47,{1;2;3;4;5;6;7;8;9;10;11;12;13;14;15;16;17;18;19;20;21;22})),
IF(Arrangörslista!$U$5&lt;49,SUM(LARGE(BV47:DQ47,{1;2;3;4;5;6;7;8;9;10;11;12;13;14;15;16;17;18;19;20;21;22;23;24})),
IF(Arrangörslista!$U$5&lt;52,SUM(LARGE(BV47:DT47,{1;2;3;4;5;6;7;8;9;10;11;12;13;14;15;16;17;18;19;20;21;22;23;24;25})),
IF(Arrangörslista!$U$5&lt;55,SUM(LARGE(BV47:DW47,{1;2;3;4;5;6;7;8;9;10;11;12;13;14;15;16;17;18;19;20;21;22;23;24;25;26;27})),
IF(Arrangörslista!$U$5&lt;58,SUM(LARGE(BV47:DZ47,{1;2;3;4;5;6;7;8;9;10;11;12;13;14;15;16;17;18;19;20;21;22;23;24;25;26;27;28})),
IF(Arrangörslista!$U$5&lt;61,SUM(LARGE(BV47:EC47,{1;2;3;4;5;6;7;8;9;10;11;12;13;14;15;16;17;18;19;20;21;22;23;24;25;26;27;28;29;30})),0)))))))))))))))))))),
IF(Arrangörslista!$U$5&lt;4,0,
IF(Arrangörslista!$U$5&lt;8,SUM(LARGE(BV47:CB47,1)),
IF(Arrangörslista!$U$5&lt;12,SUM(LARGE(BV47:CF47,{1;2})),
IF(Arrangörslista!$U$5&lt;16,SUM(LARGE(BV47:CJ47,{1;2;3})),
IF(Arrangörslista!$U$5&lt;20,SUM(LARGE(BV47:CN47,{1;2;3;4})),
IF(Arrangörslista!$U$5&lt;24,SUM(LARGE(BV47:CR47,{1;2;3;4;5})),
IF(Arrangörslista!$U$5&lt;28,SUM(LARGE(BV47:CV47,{1;2;3;4;5;6})),
IF(Arrangörslista!$U$5&lt;32,SUM(LARGE(BV47:CZ47,{1;2;3;4;5;6;7})),
IF(Arrangörslista!$U$5&lt;36,SUM(LARGE(BV47:DD47,{1;2;3;4;5;6;7;8})),
IF(Arrangörslista!$U$5&lt;40,SUM(LARGE(BV47:DH47,{1;2;3;4;5;6;7;8;9})),
IF(Arrangörslista!$U$5&lt;44,SUM(LARGE(BV47:DL47,{1;2;3;4;5;6;7;8;9;10})),
IF(Arrangörslista!$U$5&lt;48,SUM(LARGE(BV47:DP47,{1;2;3;4;5;6;7;8;9;10;11})),
IF(Arrangörslista!$U$5&lt;52,SUM(LARGE(BV47:DT47,{1;2;3;4;5;6;7;8;9;10;11;12})),
IF(Arrangörslista!$U$5&lt;56,SUM(LARGE(BV47:DX47,{1;2;3;4;5;6;7;8;9;10;11;12;13})),
IF(Arrangörslista!$U$5&lt;60,SUM(LARGE(BV47:EB47,{1;2;3;4;5;6;7;8;9;10;11;12;13;14})),
IF(Arrangörslista!$U$5=60,SUM(LARGE(BV47:EC47,{1;2;3;4;5;6;7;8;9;10;11;12;13;14;15})),0))))))))))))))))))</f>
        <v>0</v>
      </c>
      <c r="EG47" s="67">
        <f t="shared" si="187"/>
        <v>0</v>
      </c>
      <c r="EH47" s="61"/>
      <c r="EI47" s="61"/>
      <c r="EK47" s="62">
        <f t="shared" si="188"/>
        <v>61</v>
      </c>
      <c r="EL47" s="62">
        <f t="shared" si="189"/>
        <v>61</v>
      </c>
      <c r="EM47" s="62">
        <f t="shared" si="190"/>
        <v>61</v>
      </c>
      <c r="EN47" s="62">
        <f t="shared" si="191"/>
        <v>61</v>
      </c>
      <c r="EO47" s="62">
        <f t="shared" si="192"/>
        <v>61</v>
      </c>
      <c r="EP47" s="62">
        <f t="shared" si="193"/>
        <v>61</v>
      </c>
      <c r="EQ47" s="62">
        <f t="shared" si="194"/>
        <v>61</v>
      </c>
      <c r="ER47" s="62">
        <f t="shared" si="195"/>
        <v>61</v>
      </c>
      <c r="ES47" s="62">
        <f t="shared" si="196"/>
        <v>61</v>
      </c>
      <c r="ET47" s="62">
        <f t="shared" si="197"/>
        <v>61</v>
      </c>
      <c r="EU47" s="62">
        <f t="shared" si="198"/>
        <v>61</v>
      </c>
      <c r="EV47" s="62">
        <f t="shared" si="199"/>
        <v>61</v>
      </c>
      <c r="EW47" s="62">
        <f t="shared" si="200"/>
        <v>61</v>
      </c>
      <c r="EX47" s="62">
        <f t="shared" si="201"/>
        <v>61</v>
      </c>
      <c r="EY47" s="62">
        <f t="shared" si="202"/>
        <v>61</v>
      </c>
      <c r="EZ47" s="62">
        <f t="shared" si="203"/>
        <v>61</v>
      </c>
      <c r="FA47" s="62">
        <f t="shared" si="204"/>
        <v>61</v>
      </c>
      <c r="FB47" s="62">
        <f t="shared" si="205"/>
        <v>61</v>
      </c>
      <c r="FC47" s="62">
        <f t="shared" si="206"/>
        <v>61</v>
      </c>
      <c r="FD47" s="62">
        <f t="shared" si="207"/>
        <v>61</v>
      </c>
      <c r="FE47" s="62">
        <f t="shared" si="208"/>
        <v>61</v>
      </c>
      <c r="FF47" s="62">
        <f t="shared" si="209"/>
        <v>61</v>
      </c>
      <c r="FG47" s="62">
        <f t="shared" si="210"/>
        <v>61</v>
      </c>
      <c r="FH47" s="62">
        <f t="shared" si="211"/>
        <v>61</v>
      </c>
      <c r="FI47" s="62">
        <f t="shared" si="212"/>
        <v>61</v>
      </c>
      <c r="FJ47" s="62">
        <f t="shared" si="213"/>
        <v>61</v>
      </c>
      <c r="FK47" s="62">
        <f t="shared" si="214"/>
        <v>61</v>
      </c>
      <c r="FL47" s="62">
        <f t="shared" si="215"/>
        <v>61</v>
      </c>
      <c r="FM47" s="62">
        <f t="shared" si="216"/>
        <v>61</v>
      </c>
      <c r="FN47" s="62">
        <f t="shared" si="217"/>
        <v>61</v>
      </c>
      <c r="FO47" s="62">
        <f t="shared" si="218"/>
        <v>61</v>
      </c>
      <c r="FP47" s="62">
        <f t="shared" si="219"/>
        <v>61</v>
      </c>
      <c r="FQ47" s="62">
        <f t="shared" si="220"/>
        <v>61</v>
      </c>
      <c r="FR47" s="62">
        <f t="shared" si="221"/>
        <v>61</v>
      </c>
      <c r="FS47" s="62">
        <f t="shared" si="222"/>
        <v>61</v>
      </c>
      <c r="FT47" s="62">
        <f t="shared" si="223"/>
        <v>61</v>
      </c>
      <c r="FU47" s="62">
        <f t="shared" si="224"/>
        <v>61</v>
      </c>
      <c r="FV47" s="62">
        <f t="shared" si="225"/>
        <v>61</v>
      </c>
      <c r="FW47" s="62">
        <f t="shared" si="226"/>
        <v>61</v>
      </c>
      <c r="FX47" s="62">
        <f t="shared" si="227"/>
        <v>61</v>
      </c>
      <c r="FY47" s="62">
        <f t="shared" si="228"/>
        <v>61</v>
      </c>
      <c r="FZ47" s="62">
        <f t="shared" si="229"/>
        <v>61</v>
      </c>
      <c r="GA47" s="62">
        <f t="shared" si="230"/>
        <v>61</v>
      </c>
      <c r="GB47" s="62">
        <f t="shared" si="231"/>
        <v>61</v>
      </c>
      <c r="GC47" s="62">
        <f t="shared" si="232"/>
        <v>61</v>
      </c>
      <c r="GD47" s="62">
        <f t="shared" si="233"/>
        <v>61</v>
      </c>
      <c r="GE47" s="62">
        <f t="shared" si="234"/>
        <v>61</v>
      </c>
      <c r="GF47" s="62">
        <f t="shared" si="235"/>
        <v>61</v>
      </c>
      <c r="GG47" s="62">
        <f t="shared" si="236"/>
        <v>61</v>
      </c>
      <c r="GH47" s="62">
        <f t="shared" si="237"/>
        <v>61</v>
      </c>
      <c r="GI47" s="62">
        <f t="shared" si="238"/>
        <v>61</v>
      </c>
      <c r="GJ47" s="62">
        <f t="shared" si="239"/>
        <v>61</v>
      </c>
      <c r="GK47" s="62">
        <f t="shared" si="240"/>
        <v>61</v>
      </c>
      <c r="GL47" s="62">
        <f t="shared" si="241"/>
        <v>61</v>
      </c>
      <c r="GM47" s="62">
        <f t="shared" si="242"/>
        <v>61</v>
      </c>
      <c r="GN47" s="62">
        <f t="shared" si="243"/>
        <v>61</v>
      </c>
      <c r="GO47" s="62">
        <f t="shared" si="244"/>
        <v>61</v>
      </c>
      <c r="GP47" s="62">
        <f t="shared" si="245"/>
        <v>61</v>
      </c>
      <c r="GQ47" s="62">
        <f t="shared" si="246"/>
        <v>61</v>
      </c>
      <c r="GR47" s="62">
        <f t="shared" si="247"/>
        <v>61</v>
      </c>
      <c r="GT47" s="62">
        <f>IF(Deltagarlista!$K$3=2,
IF(GW47="1",
      IF(Arrangörslista!$U$5=1,J110,
IF(Arrangörslista!$U$5=2,K110,
IF(Arrangörslista!$U$5=3,L110,
IF(Arrangörslista!$U$5=4,M110,
IF(Arrangörslista!$U$5=5,N110,
IF(Arrangörslista!$U$5=6,O110,
IF(Arrangörslista!$U$5=7,P110,
IF(Arrangörslista!$U$5=8,Q110,
IF(Arrangörslista!$U$5=9,R110,
IF(Arrangörslista!$U$5=10,S110,
IF(Arrangörslista!$U$5=11,T110,
IF(Arrangörslista!$U$5=12,U110,
IF(Arrangörslista!$U$5=13,V110,
IF(Arrangörslista!$U$5=14,W110,
IF(Arrangörslista!$U$5=15,X110,
IF(Arrangörslista!$U$5=16,Y110,IF(Arrangörslista!$U$5=17,Z110,IF(Arrangörslista!$U$5=18,AA110,IF(Arrangörslista!$U$5=19,AB110,IF(Arrangörslista!$U$5=20,AC110,IF(Arrangörslista!$U$5=21,AD110,IF(Arrangörslista!$U$5=22,AE110,IF(Arrangörslista!$U$5=23,AF110, IF(Arrangörslista!$U$5=24,AG110, IF(Arrangörslista!$U$5=25,AH110, IF(Arrangörslista!$U$5=26,AI110, IF(Arrangörslista!$U$5=27,AJ110, IF(Arrangörslista!$U$5=28,AK110, IF(Arrangörslista!$U$5=29,AL110, IF(Arrangörslista!$U$5=30,AM110, IF(Arrangörslista!$U$5=31,AN110, IF(Arrangörslista!$U$5=32,AO110, IF(Arrangörslista!$U$5=33,AP110, IF(Arrangörslista!$U$5=34,AQ110, IF(Arrangörslista!$U$5=35,AR110, IF(Arrangörslista!$U$5=36,AS110, IF(Arrangörslista!$U$5=37,AT110, IF(Arrangörslista!$U$5=38,AU110, IF(Arrangörslista!$U$5=39,AV110, IF(Arrangörslista!$U$5=40,AW110, IF(Arrangörslista!$U$5=41,AX110, IF(Arrangörslista!$U$5=42,AY110, IF(Arrangörslista!$U$5=43,AZ110, IF(Arrangörslista!$U$5=44,BA110, IF(Arrangörslista!$U$5=45,BB110, IF(Arrangörslista!$U$5=46,BC110, IF(Arrangörslista!$U$5=47,BD110, IF(Arrangörslista!$U$5=48,BE110, IF(Arrangörslista!$U$5=49,BF110, IF(Arrangörslista!$U$5=50,BG110, IF(Arrangörslista!$U$5=51,BH110, IF(Arrangörslista!$U$5=52,BI110, IF(Arrangörslista!$U$5=53,BJ110, IF(Arrangörslista!$U$5=54,BK110, IF(Arrangörslista!$U$5=55,BL110, IF(Arrangörslista!$U$5=56,BM110, IF(Arrangörslista!$U$5=57,BN110, IF(Arrangörslista!$U$5=58,BO110, IF(Arrangörslista!$U$5=59,BP110, IF(Arrangörslista!$U$5=60,BQ110,0))))))))))))))))))))))))))))))))))))))))))))))))))))))))))))),IF(Deltagarlista!$K$3=4, IF(Arrangörslista!$U$5=1,J110,
IF(Arrangörslista!$U$5=2,J110,
IF(Arrangörslista!$U$5=3,K110,
IF(Arrangörslista!$U$5=4,K110,
IF(Arrangörslista!$U$5=5,L110,
IF(Arrangörslista!$U$5=6,L110,
IF(Arrangörslista!$U$5=7,M110,
IF(Arrangörslista!$U$5=8,M110,
IF(Arrangörslista!$U$5=9,N110,
IF(Arrangörslista!$U$5=10,N110,
IF(Arrangörslista!$U$5=11,O110,
IF(Arrangörslista!$U$5=12,O110,
IF(Arrangörslista!$U$5=13,P110,
IF(Arrangörslista!$U$5=14,P110,
IF(Arrangörslista!$U$5=15,Q110,
IF(Arrangörslista!$U$5=16,Q110,
IF(Arrangörslista!$U$5=17,R110,
IF(Arrangörslista!$U$5=18,R110,
IF(Arrangörslista!$U$5=19,S110,
IF(Arrangörslista!$U$5=20,S110,
IF(Arrangörslista!$U$5=21,T110,
IF(Arrangörslista!$U$5=22,T110,IF(Arrangörslista!$U$5=23,U110, IF(Arrangörslista!$U$5=24,U110, IF(Arrangörslista!$U$5=25,V110, IF(Arrangörslista!$U$5=26,V110, IF(Arrangörslista!$U$5=27,W110, IF(Arrangörslista!$U$5=28,W110, IF(Arrangörslista!$U$5=29,X110, IF(Arrangörslista!$U$5=30,X110, IF(Arrangörslista!$U$5=31,X110, IF(Arrangörslista!$U$5=32,Y110, IF(Arrangörslista!$U$5=33,AO110, IF(Arrangörslista!$U$5=34,Y110, IF(Arrangörslista!$U$5=35,Z110, IF(Arrangörslista!$U$5=36,AR110, IF(Arrangörslista!$U$5=37,Z110, IF(Arrangörslista!$U$5=38,AA110, IF(Arrangörslista!$U$5=39,AU110, IF(Arrangörslista!$U$5=40,AA110, IF(Arrangörslista!$U$5=41,AB110, IF(Arrangörslista!$U$5=42,AX110, IF(Arrangörslista!$U$5=43,AB110, IF(Arrangörslista!$U$5=44,AC110, IF(Arrangörslista!$U$5=45,BA110, IF(Arrangörslista!$U$5=46,AC110, IF(Arrangörslista!$U$5=47,AD110, IF(Arrangörslista!$U$5=48,BD110, IF(Arrangörslista!$U$5=49,AD110, IF(Arrangörslista!$U$5=50,AE110, IF(Arrangörslista!$U$5=51,BG110, IF(Arrangörslista!$U$5=52,AE110, IF(Arrangörslista!$U$5=53,AF110, IF(Arrangörslista!$U$5=54,BJ110, IF(Arrangörslista!$U$5=55,AF110, IF(Arrangörslista!$U$5=56,AG110, IF(Arrangörslista!$U$5=57,BM110, IF(Arrangörslista!$U$5=58,AG110, IF(Arrangörslista!$U$5=59,AH110, IF(Arrangörslista!$U$5=60,AH110,0)))))))))))))))))))))))))))))))))))))))))))))))))))))))))))),IF(Arrangörslista!$U$5=1,J110,
IF(Arrangörslista!$U$5=2,K110,
IF(Arrangörslista!$U$5=3,L110,
IF(Arrangörslista!$U$5=4,M110,
IF(Arrangörslista!$U$5=5,N110,
IF(Arrangörslista!$U$5=6,O110,
IF(Arrangörslista!$U$5=7,P110,
IF(Arrangörslista!$U$5=8,Q110,
IF(Arrangörslista!$U$5=9,R110,
IF(Arrangörslista!$U$5=10,S110,
IF(Arrangörslista!$U$5=11,T110,
IF(Arrangörslista!$U$5=12,U110,
IF(Arrangörslista!$U$5=13,V110,
IF(Arrangörslista!$U$5=14,W110,
IF(Arrangörslista!$U$5=15,X110,
IF(Arrangörslista!$U$5=16,Y110,IF(Arrangörslista!$U$5=17,Z110,IF(Arrangörslista!$U$5=18,AA110,IF(Arrangörslista!$U$5=19,AB110,IF(Arrangörslista!$U$5=20,AC110,IF(Arrangörslista!$U$5=21,AD110,IF(Arrangörslista!$U$5=22,AE110,IF(Arrangörslista!$U$5=23,AF110, IF(Arrangörslista!$U$5=24,AG110, IF(Arrangörslista!$U$5=25,AH110, IF(Arrangörslista!$U$5=26,AI110, IF(Arrangörslista!$U$5=27,AJ110, IF(Arrangörslista!$U$5=28,AK110, IF(Arrangörslista!$U$5=29,AL110, IF(Arrangörslista!$U$5=30,AM110, IF(Arrangörslista!$U$5=31,AN110, IF(Arrangörslista!$U$5=32,AO110, IF(Arrangörslista!$U$5=33,AP110, IF(Arrangörslista!$U$5=34,AQ110, IF(Arrangörslista!$U$5=35,AR110, IF(Arrangörslista!$U$5=36,AS110, IF(Arrangörslista!$U$5=37,AT110, IF(Arrangörslista!$U$5=38,AU110, IF(Arrangörslista!$U$5=39,AV110, IF(Arrangörslista!$U$5=40,AW110, IF(Arrangörslista!$U$5=41,AX110, IF(Arrangörslista!$U$5=42,AY110, IF(Arrangörslista!$U$5=43,AZ110, IF(Arrangörslista!$U$5=44,BA110, IF(Arrangörslista!$U$5=45,BB110, IF(Arrangörslista!$U$5=46,BC110, IF(Arrangörslista!$U$5=47,BD110, IF(Arrangörslista!$U$5=48,BE110, IF(Arrangörslista!$U$5=49,BF110, IF(Arrangörslista!$U$5=50,BG110, IF(Arrangörslista!$U$5=51,BH110, IF(Arrangörslista!$U$5=52,BI110, IF(Arrangörslista!$U$5=53,BJ110, IF(Arrangörslista!$U$5=54,BK110, IF(Arrangörslista!$U$5=55,BL110, IF(Arrangörslista!$U$5=56,BM110, IF(Arrangörslista!$U$5=57,BN110, IF(Arrangörslista!$U$5=58,BO110, IF(Arrangörslista!$U$5=59,BP110, IF(Arrangörslista!$U$5=60,BQ110,0))))))))))))))))))))))))))))))))))))))))))))))))))))))))))))
))</f>
        <v>0</v>
      </c>
      <c r="GV47" s="65" t="str">
        <f>IFERROR(IF(VLOOKUP(F47,Deltagarlista!$E$5:$I$64,5,FALSE)="Grön","Gr",IF(VLOOKUP(F47,Deltagarlista!$E$5:$I$64,5,FALSE)="Röd","R",IF(VLOOKUP(F47,Deltagarlista!$E$5:$I$64,5,FALSE)="Blå","B","Gu"))),"")</f>
        <v/>
      </c>
      <c r="GW47" s="62" t="str">
        <f t="shared" si="124"/>
        <v/>
      </c>
    </row>
    <row r="48" spans="2:205" ht="15.75" customHeight="1" x14ac:dyDescent="0.3">
      <c r="B48" s="23" t="str">
        <f>IF((COUNTIF(Deltagarlista!$H$5:$H$64,"GM"))&gt;44,45,"")</f>
        <v/>
      </c>
      <c r="C48" s="92" t="str">
        <f>IF(ISBLANK(Deltagarlista!C26),"",Deltagarlista!C26)</f>
        <v/>
      </c>
      <c r="D48" s="109" t="str">
        <f>CONCATENATE(IF(Deltagarlista!H26="GM","GM   ",""), IF(OR(Deltagarlista!$K$3=4,Deltagarlista!$K$3=2),Deltagarlista!I26,""))</f>
        <v/>
      </c>
      <c r="E48" s="8" t="str">
        <f>IF(ISBLANK(Deltagarlista!D26),"",Deltagarlista!D26)</f>
        <v/>
      </c>
      <c r="F48" s="8" t="str">
        <f>IF(ISBLANK(Deltagarlista!E26),"",Deltagarlista!E26)</f>
        <v/>
      </c>
      <c r="G48" s="95" t="str">
        <f>IF(ISBLANK(Deltagarlista!F26),"",Deltagarlista!F26)</f>
        <v/>
      </c>
      <c r="H48" s="72" t="str">
        <f>IF(ISBLANK(Deltagarlista!C26),"",BU48-EE48)</f>
        <v/>
      </c>
      <c r="I48" s="13" t="str">
        <f>IF(ISBLANK(Deltagarlista!C26),"",IF(AND(Deltagarlista!$K$3=2,Deltagarlista!$L$3&lt;37),SUM(SUM(BV48:EC48)-(ROUNDDOWN(Arrangörslista!$U$5/3,1))*($BW$3+1)),SUM(BV48:EC48)))</f>
        <v/>
      </c>
      <c r="J48" s="79" t="str">
        <f>IF(Deltagarlista!$K$3=4,IF(ISBLANK(Deltagarlista!$C26),"",IF(ISBLANK(Arrangörslista!C$8),"",IFERROR(VLOOKUP($F48,Arrangörslista!C$8:$AG$45,16,FALSE),IF(ISBLANK(Deltagarlista!$C26),"",IF(ISBLANK(Arrangörslista!C$8),"",IFERROR(VLOOKUP($F48,Arrangörslista!D$8:$AG$45,16,FALSE),"DNS")))))),IF(Deltagarlista!$K$3=2,
IF(ISBLANK(Deltagarlista!$C26),"",IF(ISBLANK(Arrangörslista!C$8),"",IF($GV48=J$64," DNS ",IFERROR(VLOOKUP($F48,Arrangörslista!C$8:$AG$45,16,FALSE),"DNS")))),IF(ISBLANK(Deltagarlista!$C26),"",IF(ISBLANK(Arrangörslista!C$8),"",IFERROR(VLOOKUP($F48,Arrangörslista!C$8:$AG$45,16,FALSE),"DNS")))))</f>
        <v/>
      </c>
      <c r="K48" s="5" t="str">
        <f>IF(Deltagarlista!$K$3=4,IF(ISBLANK(Deltagarlista!$C26),"",IF(ISBLANK(Arrangörslista!E$8),"",IFERROR(VLOOKUP($F48,Arrangörslista!E$8:$AG$45,16,FALSE),IF(ISBLANK(Deltagarlista!$C26),"",IF(ISBLANK(Arrangörslista!E$8),"",IFERROR(VLOOKUP($F48,Arrangörslista!F$8:$AG$45,16,FALSE),"DNS")))))),IF(Deltagarlista!$K$3=2,
IF(ISBLANK(Deltagarlista!$C26),"",IF(ISBLANK(Arrangörslista!D$8),"",IF($GV48=K$64," DNS ",IFERROR(VLOOKUP($F48,Arrangörslista!D$8:$AG$45,16,FALSE),"DNS")))),IF(ISBLANK(Deltagarlista!$C26),"",IF(ISBLANK(Arrangörslista!D$8),"",IFERROR(VLOOKUP($F48,Arrangörslista!D$8:$AG$45,16,FALSE),"DNS")))))</f>
        <v/>
      </c>
      <c r="L48" s="5" t="str">
        <f>IF(Deltagarlista!$K$3=4,IF(ISBLANK(Deltagarlista!$C26),"",IF(ISBLANK(Arrangörslista!G$8),"",IFERROR(VLOOKUP($F48,Arrangörslista!G$8:$AG$45,16,FALSE),IF(ISBLANK(Deltagarlista!$C26),"",IF(ISBLANK(Arrangörslista!G$8),"",IFERROR(VLOOKUP($F48,Arrangörslista!H$8:$AG$45,16,FALSE),"DNS")))))),IF(Deltagarlista!$K$3=2,
IF(ISBLANK(Deltagarlista!$C26),"",IF(ISBLANK(Arrangörslista!E$8),"",IF($GV48=L$64," DNS ",IFERROR(VLOOKUP($F48,Arrangörslista!E$8:$AG$45,16,FALSE),"DNS")))),IF(ISBLANK(Deltagarlista!$C26),"",IF(ISBLANK(Arrangörslista!E$8),"",IFERROR(VLOOKUP($F48,Arrangörslista!E$8:$AG$45,16,FALSE),"DNS")))))</f>
        <v/>
      </c>
      <c r="M48" s="5" t="str">
        <f>IF(Deltagarlista!$K$3=4,IF(ISBLANK(Deltagarlista!$C26),"",IF(ISBLANK(Arrangörslista!I$8),"",IFERROR(VLOOKUP($F48,Arrangörslista!I$8:$AG$45,16,FALSE),IF(ISBLANK(Deltagarlista!$C26),"",IF(ISBLANK(Arrangörslista!I$8),"",IFERROR(VLOOKUP($F48,Arrangörslista!J$8:$AG$45,16,FALSE),"DNS")))))),IF(Deltagarlista!$K$3=2,
IF(ISBLANK(Deltagarlista!$C26),"",IF(ISBLANK(Arrangörslista!F$8),"",IF($GV48=M$64," DNS ",IFERROR(VLOOKUP($F48,Arrangörslista!F$8:$AG$45,16,FALSE),"DNS")))),IF(ISBLANK(Deltagarlista!$C26),"",IF(ISBLANK(Arrangörslista!F$8),"",IFERROR(VLOOKUP($F48,Arrangörslista!F$8:$AG$45,16,FALSE),"DNS")))))</f>
        <v/>
      </c>
      <c r="N48" s="5" t="str">
        <f>IF(Deltagarlista!$K$3=4,IF(ISBLANK(Deltagarlista!$C26),"",IF(ISBLANK(Arrangörslista!K$8),"",IFERROR(VLOOKUP($F48,Arrangörslista!K$8:$AG$45,16,FALSE),IF(ISBLANK(Deltagarlista!$C26),"",IF(ISBLANK(Arrangörslista!K$8),"",IFERROR(VLOOKUP($F48,Arrangörslista!L$8:$AG$45,16,FALSE),"DNS")))))),IF(Deltagarlista!$K$3=2,
IF(ISBLANK(Deltagarlista!$C26),"",IF(ISBLANK(Arrangörslista!G$8),"",IF($GV48=N$64," DNS ",IFERROR(VLOOKUP($F48,Arrangörslista!G$8:$AG$45,16,FALSE),"DNS")))),IF(ISBLANK(Deltagarlista!$C26),"",IF(ISBLANK(Arrangörslista!G$8),"",IFERROR(VLOOKUP($F48,Arrangörslista!G$8:$AG$45,16,FALSE),"DNS")))))</f>
        <v/>
      </c>
      <c r="O48" s="5" t="str">
        <f>IF(Deltagarlista!$K$3=4,IF(ISBLANK(Deltagarlista!$C26),"",IF(ISBLANK(Arrangörslista!M$8),"",IFERROR(VLOOKUP($F48,Arrangörslista!M$8:$AG$45,16,FALSE),IF(ISBLANK(Deltagarlista!$C26),"",IF(ISBLANK(Arrangörslista!M$8),"",IFERROR(VLOOKUP($F48,Arrangörslista!N$8:$AG$45,16,FALSE),"DNS")))))),IF(Deltagarlista!$K$3=2,
IF(ISBLANK(Deltagarlista!$C26),"",IF(ISBLANK(Arrangörslista!H$8),"",IF($GV48=O$64," DNS ",IFERROR(VLOOKUP($F48,Arrangörslista!H$8:$AG$45,16,FALSE),"DNS")))),IF(ISBLANK(Deltagarlista!$C26),"",IF(ISBLANK(Arrangörslista!H$8),"",IFERROR(VLOOKUP($F48,Arrangörslista!H$8:$AG$45,16,FALSE),"DNS")))))</f>
        <v/>
      </c>
      <c r="P48" s="5" t="str">
        <f>IF(Deltagarlista!$K$3=4,IF(ISBLANK(Deltagarlista!$C26),"",IF(ISBLANK(Arrangörslista!O$8),"",IFERROR(VLOOKUP($F48,Arrangörslista!O$8:$AG$45,16,FALSE),IF(ISBLANK(Deltagarlista!$C26),"",IF(ISBLANK(Arrangörslista!O$8),"",IFERROR(VLOOKUP($F48,Arrangörslista!P$8:$AG$45,16,FALSE),"DNS")))))),IF(Deltagarlista!$K$3=2,
IF(ISBLANK(Deltagarlista!$C26),"",IF(ISBLANK(Arrangörslista!I$8),"",IF($GV48=P$64," DNS ",IFERROR(VLOOKUP($F48,Arrangörslista!I$8:$AG$45,16,FALSE),"DNS")))),IF(ISBLANK(Deltagarlista!$C26),"",IF(ISBLANK(Arrangörslista!I$8),"",IFERROR(VLOOKUP($F48,Arrangörslista!I$8:$AG$45,16,FALSE),"DNS")))))</f>
        <v/>
      </c>
      <c r="Q48" s="5" t="str">
        <f>IF(Deltagarlista!$K$3=4,IF(ISBLANK(Deltagarlista!$C26),"",IF(ISBLANK(Arrangörslista!Q$8),"",IFERROR(VLOOKUP($F48,Arrangörslista!Q$8:$AG$45,16,FALSE),IF(ISBLANK(Deltagarlista!$C26),"",IF(ISBLANK(Arrangörslista!Q$8),"",IFERROR(VLOOKUP($F48,Arrangörslista!C$53:$AG$90,16,FALSE),"DNS")))))),IF(Deltagarlista!$K$3=2,
IF(ISBLANK(Deltagarlista!$C26),"",IF(ISBLANK(Arrangörslista!J$8),"",IF($GV48=Q$64," DNS ",IFERROR(VLOOKUP($F48,Arrangörslista!J$8:$AG$45,16,FALSE),"DNS")))),IF(ISBLANK(Deltagarlista!$C26),"",IF(ISBLANK(Arrangörslista!J$8),"",IFERROR(VLOOKUP($F48,Arrangörslista!J$8:$AG$45,16,FALSE),"DNS")))))</f>
        <v/>
      </c>
      <c r="R48" s="5" t="str">
        <f>IF(Deltagarlista!$K$3=4,IF(ISBLANK(Deltagarlista!$C26),"",IF(ISBLANK(Arrangörslista!D$53),"",IFERROR(VLOOKUP($F48,Arrangörslista!D$53:$AG$90,16,FALSE),IF(ISBLANK(Deltagarlista!$C26),"",IF(ISBLANK(Arrangörslista!D$53),"",IFERROR(VLOOKUP($F48,Arrangörslista!E$53:$AG$90,16,FALSE),"DNS")))))),IF(Deltagarlista!$K$3=2,
IF(ISBLANK(Deltagarlista!$C26),"",IF(ISBLANK(Arrangörslista!K$8),"",IF($GV48=R$64," DNS ",IFERROR(VLOOKUP($F48,Arrangörslista!K$8:$AG$45,16,FALSE),"DNS")))),IF(ISBLANK(Deltagarlista!$C26),"",IF(ISBLANK(Arrangörslista!K$8),"",IFERROR(VLOOKUP($F48,Arrangörslista!K$8:$AG$45,16,FALSE),"DNS")))))</f>
        <v/>
      </c>
      <c r="S48" s="5" t="str">
        <f>IF(Deltagarlista!$K$3=4,IF(ISBLANK(Deltagarlista!$C26),"",IF(ISBLANK(Arrangörslista!F$53),"",IFERROR(VLOOKUP($F48,Arrangörslista!F$53:$AG$90,16,FALSE),IF(ISBLANK(Deltagarlista!$C26),"",IF(ISBLANK(Arrangörslista!F$53),"",IFERROR(VLOOKUP($F48,Arrangörslista!G$53:$AG$90,16,FALSE),"DNS")))))),IF(Deltagarlista!$K$3=2,
IF(ISBLANK(Deltagarlista!$C26),"",IF(ISBLANK(Arrangörslista!L$8),"",IF($GV48=S$64," DNS ",IFERROR(VLOOKUP($F48,Arrangörslista!L$8:$AG$45,16,FALSE),"DNS")))),IF(ISBLANK(Deltagarlista!$C26),"",IF(ISBLANK(Arrangörslista!L$8),"",IFERROR(VLOOKUP($F48,Arrangörslista!L$8:$AG$45,16,FALSE),"DNS")))))</f>
        <v/>
      </c>
      <c r="T48" s="5" t="str">
        <f>IF(Deltagarlista!$K$3=4,IF(ISBLANK(Deltagarlista!$C26),"",IF(ISBLANK(Arrangörslista!H$53),"",IFERROR(VLOOKUP($F48,Arrangörslista!H$53:$AG$90,16,FALSE),IF(ISBLANK(Deltagarlista!$C26),"",IF(ISBLANK(Arrangörslista!H$53),"",IFERROR(VLOOKUP($F48,Arrangörslista!I$53:$AG$90,16,FALSE),"DNS")))))),IF(Deltagarlista!$K$3=2,
IF(ISBLANK(Deltagarlista!$C26),"",IF(ISBLANK(Arrangörslista!M$8),"",IF($GV48=T$64," DNS ",IFERROR(VLOOKUP($F48,Arrangörslista!M$8:$AG$45,16,FALSE),"DNS")))),IF(ISBLANK(Deltagarlista!$C26),"",IF(ISBLANK(Arrangörslista!M$8),"",IFERROR(VLOOKUP($F48,Arrangörslista!M$8:$AG$45,16,FALSE),"DNS")))))</f>
        <v/>
      </c>
      <c r="U48" s="5" t="str">
        <f>IF(Deltagarlista!$K$3=4,IF(ISBLANK(Deltagarlista!$C26),"",IF(ISBLANK(Arrangörslista!J$53),"",IFERROR(VLOOKUP($F48,Arrangörslista!J$53:$AG$90,16,FALSE),IF(ISBLANK(Deltagarlista!$C26),"",IF(ISBLANK(Arrangörslista!J$53),"",IFERROR(VLOOKUP($F48,Arrangörslista!K$53:$AG$90,16,FALSE),"DNS")))))),IF(Deltagarlista!$K$3=2,
IF(ISBLANK(Deltagarlista!$C26),"",IF(ISBLANK(Arrangörslista!N$8),"",IF($GV48=U$64," DNS ",IFERROR(VLOOKUP($F48,Arrangörslista!N$8:$AG$45,16,FALSE),"DNS")))),IF(ISBLANK(Deltagarlista!$C26),"",IF(ISBLANK(Arrangörslista!N$8),"",IFERROR(VLOOKUP($F48,Arrangörslista!N$8:$AG$45,16,FALSE),"DNS")))))</f>
        <v/>
      </c>
      <c r="V48" s="5" t="str">
        <f>IF(Deltagarlista!$K$3=4,IF(ISBLANK(Deltagarlista!$C26),"",IF(ISBLANK(Arrangörslista!L$53),"",IFERROR(VLOOKUP($F48,Arrangörslista!L$53:$AG$90,16,FALSE),IF(ISBLANK(Deltagarlista!$C26),"",IF(ISBLANK(Arrangörslista!L$53),"",IFERROR(VLOOKUP($F48,Arrangörslista!M$53:$AG$90,16,FALSE),"DNS")))))),IF(Deltagarlista!$K$3=2,
IF(ISBLANK(Deltagarlista!$C26),"",IF(ISBLANK(Arrangörslista!O$8),"",IF($GV48=V$64," DNS ",IFERROR(VLOOKUP($F48,Arrangörslista!O$8:$AG$45,16,FALSE),"DNS")))),IF(ISBLANK(Deltagarlista!$C26),"",IF(ISBLANK(Arrangörslista!O$8),"",IFERROR(VLOOKUP($F48,Arrangörslista!O$8:$AG$45,16,FALSE),"DNS")))))</f>
        <v/>
      </c>
      <c r="W48" s="5" t="str">
        <f>IF(Deltagarlista!$K$3=4,IF(ISBLANK(Deltagarlista!$C26),"",IF(ISBLANK(Arrangörslista!N$53),"",IFERROR(VLOOKUP($F48,Arrangörslista!N$53:$AG$90,16,FALSE),IF(ISBLANK(Deltagarlista!$C26),"",IF(ISBLANK(Arrangörslista!N$53),"",IFERROR(VLOOKUP($F48,Arrangörslista!O$53:$AG$90,16,FALSE),"DNS")))))),IF(Deltagarlista!$K$3=2,
IF(ISBLANK(Deltagarlista!$C26),"",IF(ISBLANK(Arrangörslista!P$8),"",IF($GV48=W$64," DNS ",IFERROR(VLOOKUP($F48,Arrangörslista!P$8:$AG$45,16,FALSE),"DNS")))),IF(ISBLANK(Deltagarlista!$C26),"",IF(ISBLANK(Arrangörslista!P$8),"",IFERROR(VLOOKUP($F48,Arrangörslista!P$8:$AG$45,16,FALSE),"DNS")))))</f>
        <v/>
      </c>
      <c r="X48" s="5" t="str">
        <f>IF(Deltagarlista!$K$3=4,IF(ISBLANK(Deltagarlista!$C26),"",IF(ISBLANK(Arrangörslista!P$53),"",IFERROR(VLOOKUP($F48,Arrangörslista!P$53:$AG$90,16,FALSE),IF(ISBLANK(Deltagarlista!$C26),"",IF(ISBLANK(Arrangörslista!P$53),"",IFERROR(VLOOKUP($F48,Arrangörslista!Q$53:$AG$90,16,FALSE),"DNS")))))),IF(Deltagarlista!$K$3=2,
IF(ISBLANK(Deltagarlista!$C26),"",IF(ISBLANK(Arrangörslista!Q$8),"",IF($GV48=X$64," DNS ",IFERROR(VLOOKUP($F48,Arrangörslista!Q$8:$AG$45,16,FALSE),"DNS")))),IF(ISBLANK(Deltagarlista!$C26),"",IF(ISBLANK(Arrangörslista!Q$8),"",IFERROR(VLOOKUP($F48,Arrangörslista!Q$8:$AG$45,16,FALSE),"DNS")))))</f>
        <v/>
      </c>
      <c r="Y48" s="5" t="str">
        <f>IF(Deltagarlista!$K$3=4,IF(ISBLANK(Deltagarlista!$C26),"",IF(ISBLANK(Arrangörslista!C$98),"",IFERROR(VLOOKUP($F48,Arrangörslista!C$98:$AG$135,16,FALSE),IF(ISBLANK(Deltagarlista!$C26),"",IF(ISBLANK(Arrangörslista!C$98),"",IFERROR(VLOOKUP($F48,Arrangörslista!D$98:$AG$135,16,FALSE),"DNS")))))),IF(Deltagarlista!$K$3=2,
IF(ISBLANK(Deltagarlista!$C26),"",IF(ISBLANK(Arrangörslista!C$53),"",IF($GV48=Y$64," DNS ",IFERROR(VLOOKUP($F48,Arrangörslista!C$53:$AG$90,16,FALSE),"DNS")))),IF(ISBLANK(Deltagarlista!$C26),"",IF(ISBLANK(Arrangörslista!C$53),"",IFERROR(VLOOKUP($F48,Arrangörslista!C$53:$AG$90,16,FALSE),"DNS")))))</f>
        <v/>
      </c>
      <c r="Z48" s="5" t="str">
        <f>IF(Deltagarlista!$K$3=4,IF(ISBLANK(Deltagarlista!$C26),"",IF(ISBLANK(Arrangörslista!E$98),"",IFERROR(VLOOKUP($F48,Arrangörslista!E$98:$AG$135,16,FALSE),IF(ISBLANK(Deltagarlista!$C26),"",IF(ISBLANK(Arrangörslista!E$98),"",IFERROR(VLOOKUP($F48,Arrangörslista!F$98:$AG$135,16,FALSE),"DNS")))))),IF(Deltagarlista!$K$3=2,
IF(ISBLANK(Deltagarlista!$C26),"",IF(ISBLANK(Arrangörslista!D$53),"",IF($GV48=Z$64," DNS ",IFERROR(VLOOKUP($F48,Arrangörslista!D$53:$AG$90,16,FALSE),"DNS")))),IF(ISBLANK(Deltagarlista!$C26),"",IF(ISBLANK(Arrangörslista!D$53),"",IFERROR(VLOOKUP($F48,Arrangörslista!D$53:$AG$90,16,FALSE),"DNS")))))</f>
        <v/>
      </c>
      <c r="AA48" s="5" t="str">
        <f>IF(Deltagarlista!$K$3=4,IF(ISBLANK(Deltagarlista!$C26),"",IF(ISBLANK(Arrangörslista!G$98),"",IFERROR(VLOOKUP($F48,Arrangörslista!G$98:$AG$135,16,FALSE),IF(ISBLANK(Deltagarlista!$C26),"",IF(ISBLANK(Arrangörslista!G$98),"",IFERROR(VLOOKUP($F48,Arrangörslista!H$98:$AG$135,16,FALSE),"DNS")))))),IF(Deltagarlista!$K$3=2,
IF(ISBLANK(Deltagarlista!$C26),"",IF(ISBLANK(Arrangörslista!E$53),"",IF($GV48=AA$64," DNS ",IFERROR(VLOOKUP($F48,Arrangörslista!E$53:$AG$90,16,FALSE),"DNS")))),IF(ISBLANK(Deltagarlista!$C26),"",IF(ISBLANK(Arrangörslista!E$53),"",IFERROR(VLOOKUP($F48,Arrangörslista!E$53:$AG$90,16,FALSE),"DNS")))))</f>
        <v/>
      </c>
      <c r="AB48" s="5" t="str">
        <f>IF(Deltagarlista!$K$3=4,IF(ISBLANK(Deltagarlista!$C26),"",IF(ISBLANK(Arrangörslista!I$98),"",IFERROR(VLOOKUP($F48,Arrangörslista!I$98:$AG$135,16,FALSE),IF(ISBLANK(Deltagarlista!$C26),"",IF(ISBLANK(Arrangörslista!I$98),"",IFERROR(VLOOKUP($F48,Arrangörslista!J$98:$AG$135,16,FALSE),"DNS")))))),IF(Deltagarlista!$K$3=2,
IF(ISBLANK(Deltagarlista!$C26),"",IF(ISBLANK(Arrangörslista!F$53),"",IF($GV48=AB$64," DNS ",IFERROR(VLOOKUP($F48,Arrangörslista!F$53:$AG$90,16,FALSE),"DNS")))),IF(ISBLANK(Deltagarlista!$C26),"",IF(ISBLANK(Arrangörslista!F$53),"",IFERROR(VLOOKUP($F48,Arrangörslista!F$53:$AG$90,16,FALSE),"DNS")))))</f>
        <v/>
      </c>
      <c r="AC48" s="5" t="str">
        <f>IF(Deltagarlista!$K$3=4,IF(ISBLANK(Deltagarlista!$C26),"",IF(ISBLANK(Arrangörslista!K$98),"",IFERROR(VLOOKUP($F48,Arrangörslista!K$98:$AG$135,16,FALSE),IF(ISBLANK(Deltagarlista!$C26),"",IF(ISBLANK(Arrangörslista!K$98),"",IFERROR(VLOOKUP($F48,Arrangörslista!L$98:$AG$135,16,FALSE),"DNS")))))),IF(Deltagarlista!$K$3=2,
IF(ISBLANK(Deltagarlista!$C26),"",IF(ISBLANK(Arrangörslista!G$53),"",IF($GV48=AC$64," DNS ",IFERROR(VLOOKUP($F48,Arrangörslista!G$53:$AG$90,16,FALSE),"DNS")))),IF(ISBLANK(Deltagarlista!$C26),"",IF(ISBLANK(Arrangörslista!G$53),"",IFERROR(VLOOKUP($F48,Arrangörslista!G$53:$AG$90,16,FALSE),"DNS")))))</f>
        <v/>
      </c>
      <c r="AD48" s="5" t="str">
        <f>IF(Deltagarlista!$K$3=4,IF(ISBLANK(Deltagarlista!$C26),"",IF(ISBLANK(Arrangörslista!M$98),"",IFERROR(VLOOKUP($F48,Arrangörslista!M$98:$AG$135,16,FALSE),IF(ISBLANK(Deltagarlista!$C26),"",IF(ISBLANK(Arrangörslista!M$98),"",IFERROR(VLOOKUP($F48,Arrangörslista!N$98:$AG$135,16,FALSE),"DNS")))))),IF(Deltagarlista!$K$3=2,
IF(ISBLANK(Deltagarlista!$C26),"",IF(ISBLANK(Arrangörslista!H$53),"",IF($GV48=AD$64," DNS ",IFERROR(VLOOKUP($F48,Arrangörslista!H$53:$AG$90,16,FALSE),"DNS")))),IF(ISBLANK(Deltagarlista!$C26),"",IF(ISBLANK(Arrangörslista!H$53),"",IFERROR(VLOOKUP($F48,Arrangörslista!H$53:$AG$90,16,FALSE),"DNS")))))</f>
        <v/>
      </c>
      <c r="AE48" s="5" t="str">
        <f>IF(Deltagarlista!$K$3=4,IF(ISBLANK(Deltagarlista!$C26),"",IF(ISBLANK(Arrangörslista!O$98),"",IFERROR(VLOOKUP($F48,Arrangörslista!O$98:$AG$135,16,FALSE),IF(ISBLANK(Deltagarlista!$C26),"",IF(ISBLANK(Arrangörslista!O$98),"",IFERROR(VLOOKUP($F48,Arrangörslista!P$98:$AG$135,16,FALSE),"DNS")))))),IF(Deltagarlista!$K$3=2,
IF(ISBLANK(Deltagarlista!$C26),"",IF(ISBLANK(Arrangörslista!I$53),"",IF($GV48=AE$64," DNS ",IFERROR(VLOOKUP($F48,Arrangörslista!I$53:$AG$90,16,FALSE),"DNS")))),IF(ISBLANK(Deltagarlista!$C26),"",IF(ISBLANK(Arrangörslista!I$53),"",IFERROR(VLOOKUP($F48,Arrangörslista!I$53:$AG$90,16,FALSE),"DNS")))))</f>
        <v/>
      </c>
      <c r="AF48" s="5" t="str">
        <f>IF(Deltagarlista!$K$3=4,IF(ISBLANK(Deltagarlista!$C26),"",IF(ISBLANK(Arrangörslista!Q$98),"",IFERROR(VLOOKUP($F48,Arrangörslista!Q$98:$AG$135,16,FALSE),IF(ISBLANK(Deltagarlista!$C26),"",IF(ISBLANK(Arrangörslista!Q$98),"",IFERROR(VLOOKUP($F48,Arrangörslista!C$143:$AG$180,16,FALSE),"DNS")))))),IF(Deltagarlista!$K$3=2,
IF(ISBLANK(Deltagarlista!$C26),"",IF(ISBLANK(Arrangörslista!J$53),"",IF($GV48=AF$64," DNS ",IFERROR(VLOOKUP($F48,Arrangörslista!J$53:$AG$90,16,FALSE),"DNS")))),IF(ISBLANK(Deltagarlista!$C26),"",IF(ISBLANK(Arrangörslista!J$53),"",IFERROR(VLOOKUP($F48,Arrangörslista!J$53:$AG$90,16,FALSE),"DNS")))))</f>
        <v/>
      </c>
      <c r="AG48" s="5" t="str">
        <f>IF(Deltagarlista!$K$3=4,IF(ISBLANK(Deltagarlista!$C26),"",IF(ISBLANK(Arrangörslista!D$143),"",IFERROR(VLOOKUP($F48,Arrangörslista!D$143:$AG$180,16,FALSE),IF(ISBLANK(Deltagarlista!$C26),"",IF(ISBLANK(Arrangörslista!D$143),"",IFERROR(VLOOKUP($F48,Arrangörslista!E$143:$AG$180,16,FALSE),"DNS")))))),IF(Deltagarlista!$K$3=2,
IF(ISBLANK(Deltagarlista!$C26),"",IF(ISBLANK(Arrangörslista!K$53),"",IF($GV48=AG$64," DNS ",IFERROR(VLOOKUP($F48,Arrangörslista!K$53:$AG$90,16,FALSE),"DNS")))),IF(ISBLANK(Deltagarlista!$C26),"",IF(ISBLANK(Arrangörslista!K$53),"",IFERROR(VLOOKUP($F48,Arrangörslista!K$53:$AG$90,16,FALSE),"DNS")))))</f>
        <v/>
      </c>
      <c r="AH48" s="5" t="str">
        <f>IF(Deltagarlista!$K$3=4,IF(ISBLANK(Deltagarlista!$C26),"",IF(ISBLANK(Arrangörslista!F$143),"",IFERROR(VLOOKUP($F48,Arrangörslista!F$143:$AG$180,16,FALSE),IF(ISBLANK(Deltagarlista!$C26),"",IF(ISBLANK(Arrangörslista!F$143),"",IFERROR(VLOOKUP($F48,Arrangörslista!G$143:$AG$180,16,FALSE),"DNS")))))),IF(Deltagarlista!$K$3=2,
IF(ISBLANK(Deltagarlista!$C26),"",IF(ISBLANK(Arrangörslista!L$53),"",IF($GV48=AH$64," DNS ",IFERROR(VLOOKUP($F48,Arrangörslista!L$53:$AG$90,16,FALSE),"DNS")))),IF(ISBLANK(Deltagarlista!$C26),"",IF(ISBLANK(Arrangörslista!L$53),"",IFERROR(VLOOKUP($F48,Arrangörslista!L$53:$AG$90,16,FALSE),"DNS")))))</f>
        <v/>
      </c>
      <c r="AI48" s="5" t="str">
        <f>IF(Deltagarlista!$K$3=4,IF(ISBLANK(Deltagarlista!$C26),"",IF(ISBLANK(Arrangörslista!H$143),"",IFERROR(VLOOKUP($F48,Arrangörslista!H$143:$AG$180,16,FALSE),IF(ISBLANK(Deltagarlista!$C26),"",IF(ISBLANK(Arrangörslista!H$143),"",IFERROR(VLOOKUP($F48,Arrangörslista!I$143:$AG$180,16,FALSE),"DNS")))))),IF(Deltagarlista!$K$3=2,
IF(ISBLANK(Deltagarlista!$C26),"",IF(ISBLANK(Arrangörslista!M$53),"",IF($GV48=AI$64," DNS ",IFERROR(VLOOKUP($F48,Arrangörslista!M$53:$AG$90,16,FALSE),"DNS")))),IF(ISBLANK(Deltagarlista!$C26),"",IF(ISBLANK(Arrangörslista!M$53),"",IFERROR(VLOOKUP($F48,Arrangörslista!M$53:$AG$90,16,FALSE),"DNS")))))</f>
        <v/>
      </c>
      <c r="AJ48" s="5" t="str">
        <f>IF(Deltagarlista!$K$3=4,IF(ISBLANK(Deltagarlista!$C26),"",IF(ISBLANK(Arrangörslista!J$143),"",IFERROR(VLOOKUP($F48,Arrangörslista!J$143:$AG$180,16,FALSE),IF(ISBLANK(Deltagarlista!$C26),"",IF(ISBLANK(Arrangörslista!J$143),"",IFERROR(VLOOKUP($F48,Arrangörslista!K$143:$AG$180,16,FALSE),"DNS")))))),IF(Deltagarlista!$K$3=2,
IF(ISBLANK(Deltagarlista!$C26),"",IF(ISBLANK(Arrangörslista!N$53),"",IF($GV48=AJ$64," DNS ",IFERROR(VLOOKUP($F48,Arrangörslista!N$53:$AG$90,16,FALSE),"DNS")))),IF(ISBLANK(Deltagarlista!$C26),"",IF(ISBLANK(Arrangörslista!N$53),"",IFERROR(VLOOKUP($F48,Arrangörslista!N$53:$AG$90,16,FALSE),"DNS")))))</f>
        <v/>
      </c>
      <c r="AK48" s="5" t="str">
        <f>IF(Deltagarlista!$K$3=4,IF(ISBLANK(Deltagarlista!$C26),"",IF(ISBLANK(Arrangörslista!L$143),"",IFERROR(VLOOKUP($F48,Arrangörslista!L$143:$AG$180,16,FALSE),IF(ISBLANK(Deltagarlista!$C26),"",IF(ISBLANK(Arrangörslista!L$143),"",IFERROR(VLOOKUP($F48,Arrangörslista!M$143:$AG$180,16,FALSE),"DNS")))))),IF(Deltagarlista!$K$3=2,
IF(ISBLANK(Deltagarlista!$C26),"",IF(ISBLANK(Arrangörslista!O$53),"",IF($GV48=AK$64," DNS ",IFERROR(VLOOKUP($F48,Arrangörslista!O$53:$AG$90,16,FALSE),"DNS")))),IF(ISBLANK(Deltagarlista!$C26),"",IF(ISBLANK(Arrangörslista!O$53),"",IFERROR(VLOOKUP($F48,Arrangörslista!O$53:$AG$90,16,FALSE),"DNS")))))</f>
        <v/>
      </c>
      <c r="AL48" s="5" t="str">
        <f>IF(Deltagarlista!$K$3=4,IF(ISBLANK(Deltagarlista!$C26),"",IF(ISBLANK(Arrangörslista!N$143),"",IFERROR(VLOOKUP($F48,Arrangörslista!N$143:$AG$180,16,FALSE),IF(ISBLANK(Deltagarlista!$C26),"",IF(ISBLANK(Arrangörslista!N$143),"",IFERROR(VLOOKUP($F48,Arrangörslista!O$143:$AG$180,16,FALSE),"DNS")))))),IF(Deltagarlista!$K$3=2,
IF(ISBLANK(Deltagarlista!$C26),"",IF(ISBLANK(Arrangörslista!P$53),"",IF($GV48=AL$64," DNS ",IFERROR(VLOOKUP($F48,Arrangörslista!P$53:$AG$90,16,FALSE),"DNS")))),IF(ISBLANK(Deltagarlista!$C26),"",IF(ISBLANK(Arrangörslista!P$53),"",IFERROR(VLOOKUP($F48,Arrangörslista!P$53:$AG$90,16,FALSE),"DNS")))))</f>
        <v/>
      </c>
      <c r="AM48" s="5" t="str">
        <f>IF(Deltagarlista!$K$3=4,IF(ISBLANK(Deltagarlista!$C26),"",IF(ISBLANK(Arrangörslista!P$143),"",IFERROR(VLOOKUP($F48,Arrangörslista!P$143:$AG$180,16,FALSE),IF(ISBLANK(Deltagarlista!$C26),"",IF(ISBLANK(Arrangörslista!P$143),"",IFERROR(VLOOKUP($F48,Arrangörslista!Q$143:$AG$180,16,FALSE),"DNS")))))),IF(Deltagarlista!$K$3=2,
IF(ISBLANK(Deltagarlista!$C26),"",IF(ISBLANK(Arrangörslista!Q$53),"",IF($GV48=AM$64," DNS ",IFERROR(VLOOKUP($F48,Arrangörslista!Q$53:$AG$90,16,FALSE),"DNS")))),IF(ISBLANK(Deltagarlista!$C26),"",IF(ISBLANK(Arrangörslista!Q$53),"",IFERROR(VLOOKUP($F48,Arrangörslista!Q$53:$AG$90,16,FALSE),"DNS")))))</f>
        <v/>
      </c>
      <c r="AN48" s="5" t="str">
        <f>IF(Deltagarlista!$K$3=2,
IF(ISBLANK(Deltagarlista!$C26),"",IF(ISBLANK(Arrangörslista!C$98),"",IF($GV48=AN$64," DNS ",IFERROR(VLOOKUP($F48,Arrangörslista!C$98:$AG$135,16,FALSE), "DNS")))), IF(Deltagarlista!$K$3=1,IF(ISBLANK(Deltagarlista!$C26),"",IF(ISBLANK(Arrangörslista!C$98),"",IFERROR(VLOOKUP($F48,Arrangörslista!C$98:$AG$135,16,FALSE), "DNS"))),""))</f>
        <v/>
      </c>
      <c r="AO48" s="5" t="str">
        <f>IF(Deltagarlista!$K$3=2,
IF(ISBLANK(Deltagarlista!$C26),"",IF(ISBLANK(Arrangörslista!D$98),"",IF($GV48=AO$64," DNS ",IFERROR(VLOOKUP($F48,Arrangörslista!D$98:$AG$135,16,FALSE), "DNS")))), IF(Deltagarlista!$K$3=1,IF(ISBLANK(Deltagarlista!$C26),"",IF(ISBLANK(Arrangörslista!D$98),"",IFERROR(VLOOKUP($F48,Arrangörslista!D$98:$AG$135,16,FALSE), "DNS"))),""))</f>
        <v/>
      </c>
      <c r="AP48" s="5" t="str">
        <f>IF(Deltagarlista!$K$3=2,
IF(ISBLANK(Deltagarlista!$C26),"",IF(ISBLANK(Arrangörslista!E$98),"",IF($GV48=AP$64," DNS ",IFERROR(VLOOKUP($F48,Arrangörslista!E$98:$AG$135,16,FALSE), "DNS")))), IF(Deltagarlista!$K$3=1,IF(ISBLANK(Deltagarlista!$C26),"",IF(ISBLANK(Arrangörslista!E$98),"",IFERROR(VLOOKUP($F48,Arrangörslista!E$98:$AG$135,16,FALSE), "DNS"))),""))</f>
        <v/>
      </c>
      <c r="AQ48" s="5" t="str">
        <f>IF(Deltagarlista!$K$3=2,
IF(ISBLANK(Deltagarlista!$C26),"",IF(ISBLANK(Arrangörslista!F$98),"",IF($GV48=AQ$64," DNS ",IFERROR(VLOOKUP($F48,Arrangörslista!F$98:$AG$135,16,FALSE), "DNS")))), IF(Deltagarlista!$K$3=1,IF(ISBLANK(Deltagarlista!$C26),"",IF(ISBLANK(Arrangörslista!F$98),"",IFERROR(VLOOKUP($F48,Arrangörslista!F$98:$AG$135,16,FALSE), "DNS"))),""))</f>
        <v/>
      </c>
      <c r="AR48" s="5" t="str">
        <f>IF(Deltagarlista!$K$3=2,
IF(ISBLANK(Deltagarlista!$C26),"",IF(ISBLANK(Arrangörslista!G$98),"",IF($GV48=AR$64," DNS ",IFERROR(VLOOKUP($F48,Arrangörslista!G$98:$AG$135,16,FALSE), "DNS")))), IF(Deltagarlista!$K$3=1,IF(ISBLANK(Deltagarlista!$C26),"",IF(ISBLANK(Arrangörslista!G$98),"",IFERROR(VLOOKUP($F48,Arrangörslista!G$98:$AG$135,16,FALSE), "DNS"))),""))</f>
        <v/>
      </c>
      <c r="AS48" s="5" t="str">
        <f>IF(Deltagarlista!$K$3=2,
IF(ISBLANK(Deltagarlista!$C26),"",IF(ISBLANK(Arrangörslista!H$98),"",IF($GV48=AS$64," DNS ",IFERROR(VLOOKUP($F48,Arrangörslista!H$98:$AG$135,16,FALSE), "DNS")))), IF(Deltagarlista!$K$3=1,IF(ISBLANK(Deltagarlista!$C26),"",IF(ISBLANK(Arrangörslista!H$98),"",IFERROR(VLOOKUP($F48,Arrangörslista!H$98:$AG$135,16,FALSE), "DNS"))),""))</f>
        <v/>
      </c>
      <c r="AT48" s="5" t="str">
        <f>IF(Deltagarlista!$K$3=2,
IF(ISBLANK(Deltagarlista!$C26),"",IF(ISBLANK(Arrangörslista!I$98),"",IF($GV48=AT$64," DNS ",IFERROR(VLOOKUP($F48,Arrangörslista!I$98:$AG$135,16,FALSE), "DNS")))), IF(Deltagarlista!$K$3=1,IF(ISBLANK(Deltagarlista!$C26),"",IF(ISBLANK(Arrangörslista!I$98),"",IFERROR(VLOOKUP($F48,Arrangörslista!I$98:$AG$135,16,FALSE), "DNS"))),""))</f>
        <v/>
      </c>
      <c r="AU48" s="5" t="str">
        <f>IF(Deltagarlista!$K$3=2,
IF(ISBLANK(Deltagarlista!$C26),"",IF(ISBLANK(Arrangörslista!J$98),"",IF($GV48=AU$64," DNS ",IFERROR(VLOOKUP($F48,Arrangörslista!J$98:$AG$135,16,FALSE), "DNS")))), IF(Deltagarlista!$K$3=1,IF(ISBLANK(Deltagarlista!$C26),"",IF(ISBLANK(Arrangörslista!J$98),"",IFERROR(VLOOKUP($F48,Arrangörslista!J$98:$AG$135,16,FALSE), "DNS"))),""))</f>
        <v/>
      </c>
      <c r="AV48" s="5" t="str">
        <f>IF(Deltagarlista!$K$3=2,
IF(ISBLANK(Deltagarlista!$C26),"",IF(ISBLANK(Arrangörslista!K$98),"",IF($GV48=AV$64," DNS ",IFERROR(VLOOKUP($F48,Arrangörslista!K$98:$AG$135,16,FALSE), "DNS")))), IF(Deltagarlista!$K$3=1,IF(ISBLANK(Deltagarlista!$C26),"",IF(ISBLANK(Arrangörslista!K$98),"",IFERROR(VLOOKUP($F48,Arrangörslista!K$98:$AG$135,16,FALSE), "DNS"))),""))</f>
        <v/>
      </c>
      <c r="AW48" s="5" t="str">
        <f>IF(Deltagarlista!$K$3=2,
IF(ISBLANK(Deltagarlista!$C26),"",IF(ISBLANK(Arrangörslista!L$98),"",IF($GV48=AW$64," DNS ",IFERROR(VLOOKUP($F48,Arrangörslista!L$98:$AG$135,16,FALSE), "DNS")))), IF(Deltagarlista!$K$3=1,IF(ISBLANK(Deltagarlista!$C26),"",IF(ISBLANK(Arrangörslista!L$98),"",IFERROR(VLOOKUP($F48,Arrangörslista!L$98:$AG$135,16,FALSE), "DNS"))),""))</f>
        <v/>
      </c>
      <c r="AX48" s="5" t="str">
        <f>IF(Deltagarlista!$K$3=2,
IF(ISBLANK(Deltagarlista!$C26),"",IF(ISBLANK(Arrangörslista!M$98),"",IF($GV48=AX$64," DNS ",IFERROR(VLOOKUP($F48,Arrangörslista!M$98:$AG$135,16,FALSE), "DNS")))), IF(Deltagarlista!$K$3=1,IF(ISBLANK(Deltagarlista!$C26),"",IF(ISBLANK(Arrangörslista!M$98),"",IFERROR(VLOOKUP($F48,Arrangörslista!M$98:$AG$135,16,FALSE), "DNS"))),""))</f>
        <v/>
      </c>
      <c r="AY48" s="5" t="str">
        <f>IF(Deltagarlista!$K$3=2,
IF(ISBLANK(Deltagarlista!$C26),"",IF(ISBLANK(Arrangörslista!N$98),"",IF($GV48=AY$64," DNS ",IFERROR(VLOOKUP($F48,Arrangörslista!N$98:$AG$135,16,FALSE), "DNS")))), IF(Deltagarlista!$K$3=1,IF(ISBLANK(Deltagarlista!$C26),"",IF(ISBLANK(Arrangörslista!N$98),"",IFERROR(VLOOKUP($F48,Arrangörslista!N$98:$AG$135,16,FALSE), "DNS"))),""))</f>
        <v/>
      </c>
      <c r="AZ48" s="5" t="str">
        <f>IF(Deltagarlista!$K$3=2,
IF(ISBLANK(Deltagarlista!$C26),"",IF(ISBLANK(Arrangörslista!O$98),"",IF($GV48=AZ$64," DNS ",IFERROR(VLOOKUP($F48,Arrangörslista!O$98:$AG$135,16,FALSE), "DNS")))), IF(Deltagarlista!$K$3=1,IF(ISBLANK(Deltagarlista!$C26),"",IF(ISBLANK(Arrangörslista!O$98),"",IFERROR(VLOOKUP($F48,Arrangörslista!O$98:$AG$135,16,FALSE), "DNS"))),""))</f>
        <v/>
      </c>
      <c r="BA48" s="5" t="str">
        <f>IF(Deltagarlista!$K$3=2,
IF(ISBLANK(Deltagarlista!$C26),"",IF(ISBLANK(Arrangörslista!P$98),"",IF($GV48=BA$64," DNS ",IFERROR(VLOOKUP($F48,Arrangörslista!P$98:$AG$135,16,FALSE), "DNS")))), IF(Deltagarlista!$K$3=1,IF(ISBLANK(Deltagarlista!$C26),"",IF(ISBLANK(Arrangörslista!P$98),"",IFERROR(VLOOKUP($F48,Arrangörslista!P$98:$AG$135,16,FALSE), "DNS"))),""))</f>
        <v/>
      </c>
      <c r="BB48" s="5" t="str">
        <f>IF(Deltagarlista!$K$3=2,
IF(ISBLANK(Deltagarlista!$C26),"",IF(ISBLANK(Arrangörslista!Q$98),"",IF($GV48=BB$64," DNS ",IFERROR(VLOOKUP($F48,Arrangörslista!Q$98:$AG$135,16,FALSE), "DNS")))), IF(Deltagarlista!$K$3=1,IF(ISBLANK(Deltagarlista!$C26),"",IF(ISBLANK(Arrangörslista!Q$98),"",IFERROR(VLOOKUP($F48,Arrangörslista!Q$98:$AG$135,16,FALSE), "DNS"))),""))</f>
        <v/>
      </c>
      <c r="BC48" s="5" t="str">
        <f>IF(Deltagarlista!$K$3=2,
IF(ISBLANK(Deltagarlista!$C26),"",IF(ISBLANK(Arrangörslista!C$143),"",IF($GV48=BC$64," DNS ",IFERROR(VLOOKUP($F48,Arrangörslista!C$143:$AG$180,16,FALSE), "DNS")))), IF(Deltagarlista!$K$3=1,IF(ISBLANK(Deltagarlista!$C26),"",IF(ISBLANK(Arrangörslista!C$143),"",IFERROR(VLOOKUP($F48,Arrangörslista!C$143:$AG$180,16,FALSE), "DNS"))),""))</f>
        <v/>
      </c>
      <c r="BD48" s="5" t="str">
        <f>IF(Deltagarlista!$K$3=2,
IF(ISBLANK(Deltagarlista!$C26),"",IF(ISBLANK(Arrangörslista!D$143),"",IF($GV48=BD$64," DNS ",IFERROR(VLOOKUP($F48,Arrangörslista!D$143:$AG$180,16,FALSE), "DNS")))), IF(Deltagarlista!$K$3=1,IF(ISBLANK(Deltagarlista!$C26),"",IF(ISBLANK(Arrangörslista!D$143),"",IFERROR(VLOOKUP($F48,Arrangörslista!D$143:$AG$180,16,FALSE), "DNS"))),""))</f>
        <v/>
      </c>
      <c r="BE48" s="5" t="str">
        <f>IF(Deltagarlista!$K$3=2,
IF(ISBLANK(Deltagarlista!$C26),"",IF(ISBLANK(Arrangörslista!E$143),"",IF($GV48=BE$64," DNS ",IFERROR(VLOOKUP($F48,Arrangörslista!E$143:$AG$180,16,FALSE), "DNS")))), IF(Deltagarlista!$K$3=1,IF(ISBLANK(Deltagarlista!$C26),"",IF(ISBLANK(Arrangörslista!E$143),"",IFERROR(VLOOKUP($F48,Arrangörslista!E$143:$AG$180,16,FALSE), "DNS"))),""))</f>
        <v/>
      </c>
      <c r="BF48" s="5" t="str">
        <f>IF(Deltagarlista!$K$3=2,
IF(ISBLANK(Deltagarlista!$C26),"",IF(ISBLANK(Arrangörslista!F$143),"",IF($GV48=BF$64," DNS ",IFERROR(VLOOKUP($F48,Arrangörslista!F$143:$AG$180,16,FALSE), "DNS")))), IF(Deltagarlista!$K$3=1,IF(ISBLANK(Deltagarlista!$C26),"",IF(ISBLANK(Arrangörslista!F$143),"",IFERROR(VLOOKUP($F48,Arrangörslista!F$143:$AG$180,16,FALSE), "DNS"))),""))</f>
        <v/>
      </c>
      <c r="BG48" s="5" t="str">
        <f>IF(Deltagarlista!$K$3=2,
IF(ISBLANK(Deltagarlista!$C26),"",IF(ISBLANK(Arrangörslista!G$143),"",IF($GV48=BG$64," DNS ",IFERROR(VLOOKUP($F48,Arrangörslista!G$143:$AG$180,16,FALSE), "DNS")))), IF(Deltagarlista!$K$3=1,IF(ISBLANK(Deltagarlista!$C26),"",IF(ISBLANK(Arrangörslista!G$143),"",IFERROR(VLOOKUP($F48,Arrangörslista!G$143:$AG$180,16,FALSE), "DNS"))),""))</f>
        <v/>
      </c>
      <c r="BH48" s="5" t="str">
        <f>IF(Deltagarlista!$K$3=2,
IF(ISBLANK(Deltagarlista!$C26),"",IF(ISBLANK(Arrangörslista!H$143),"",IF($GV48=BH$64," DNS ",IFERROR(VLOOKUP($F48,Arrangörslista!H$143:$AG$180,16,FALSE), "DNS")))), IF(Deltagarlista!$K$3=1,IF(ISBLANK(Deltagarlista!$C26),"",IF(ISBLANK(Arrangörslista!H$143),"",IFERROR(VLOOKUP($F48,Arrangörslista!H$143:$AG$180,16,FALSE), "DNS"))),""))</f>
        <v/>
      </c>
      <c r="BI48" s="5" t="str">
        <f>IF(Deltagarlista!$K$3=2,
IF(ISBLANK(Deltagarlista!$C26),"",IF(ISBLANK(Arrangörslista!I$143),"",IF($GV48=BI$64," DNS ",IFERROR(VLOOKUP($F48,Arrangörslista!I$143:$AG$180,16,FALSE), "DNS")))), IF(Deltagarlista!$K$3=1,IF(ISBLANK(Deltagarlista!$C26),"",IF(ISBLANK(Arrangörslista!I$143),"",IFERROR(VLOOKUP($F48,Arrangörslista!I$143:$AG$180,16,FALSE), "DNS"))),""))</f>
        <v/>
      </c>
      <c r="BJ48" s="5" t="str">
        <f>IF(Deltagarlista!$K$3=2,
IF(ISBLANK(Deltagarlista!$C26),"",IF(ISBLANK(Arrangörslista!J$143),"",IF($GV48=BJ$64," DNS ",IFERROR(VLOOKUP($F48,Arrangörslista!J$143:$AG$180,16,FALSE), "DNS")))), IF(Deltagarlista!$K$3=1,IF(ISBLANK(Deltagarlista!$C26),"",IF(ISBLANK(Arrangörslista!J$143),"",IFERROR(VLOOKUP($F48,Arrangörslista!J$143:$AG$180,16,FALSE), "DNS"))),""))</f>
        <v/>
      </c>
      <c r="BK48" s="5" t="str">
        <f>IF(Deltagarlista!$K$3=2,
IF(ISBLANK(Deltagarlista!$C26),"",IF(ISBLANK(Arrangörslista!K$143),"",IF($GV48=BK$64," DNS ",IFERROR(VLOOKUP($F48,Arrangörslista!K$143:$AG$180,16,FALSE), "DNS")))), IF(Deltagarlista!$K$3=1,IF(ISBLANK(Deltagarlista!$C26),"",IF(ISBLANK(Arrangörslista!K$143),"",IFERROR(VLOOKUP($F48,Arrangörslista!K$143:$AG$180,16,FALSE), "DNS"))),""))</f>
        <v/>
      </c>
      <c r="BL48" s="5" t="str">
        <f>IF(Deltagarlista!$K$3=2,
IF(ISBLANK(Deltagarlista!$C26),"",IF(ISBLANK(Arrangörslista!L$143),"",IF($GV48=BL$64," DNS ",IFERROR(VLOOKUP($F48,Arrangörslista!L$143:$AG$180,16,FALSE), "DNS")))), IF(Deltagarlista!$K$3=1,IF(ISBLANK(Deltagarlista!$C26),"",IF(ISBLANK(Arrangörslista!L$143),"",IFERROR(VLOOKUP($F48,Arrangörslista!L$143:$AG$180,16,FALSE), "DNS"))),""))</f>
        <v/>
      </c>
      <c r="BM48" s="5" t="str">
        <f>IF(Deltagarlista!$K$3=2,
IF(ISBLANK(Deltagarlista!$C26),"",IF(ISBLANK(Arrangörslista!M$143),"",IF($GV48=BM$64," DNS ",IFERROR(VLOOKUP($F48,Arrangörslista!M$143:$AG$180,16,FALSE), "DNS")))), IF(Deltagarlista!$K$3=1,IF(ISBLANK(Deltagarlista!$C26),"",IF(ISBLANK(Arrangörslista!M$143),"",IFERROR(VLOOKUP($F48,Arrangörslista!M$143:$AG$180,16,FALSE), "DNS"))),""))</f>
        <v/>
      </c>
      <c r="BN48" s="5" t="str">
        <f>IF(Deltagarlista!$K$3=2,
IF(ISBLANK(Deltagarlista!$C26),"",IF(ISBLANK(Arrangörslista!N$143),"",IF($GV48=BN$64," DNS ",IFERROR(VLOOKUP($F48,Arrangörslista!N$143:$AG$180,16,FALSE), "DNS")))), IF(Deltagarlista!$K$3=1,IF(ISBLANK(Deltagarlista!$C26),"",IF(ISBLANK(Arrangörslista!N$143),"",IFERROR(VLOOKUP($F48,Arrangörslista!N$143:$AG$180,16,FALSE), "DNS"))),""))</f>
        <v/>
      </c>
      <c r="BO48" s="5" t="str">
        <f>IF(Deltagarlista!$K$3=2,
IF(ISBLANK(Deltagarlista!$C26),"",IF(ISBLANK(Arrangörslista!O$143),"",IF($GV48=BO$64," DNS ",IFERROR(VLOOKUP($F48,Arrangörslista!O$143:$AG$180,16,FALSE), "DNS")))), IF(Deltagarlista!$K$3=1,IF(ISBLANK(Deltagarlista!$C26),"",IF(ISBLANK(Arrangörslista!O$143),"",IFERROR(VLOOKUP($F48,Arrangörslista!O$143:$AG$180,16,FALSE), "DNS"))),""))</f>
        <v/>
      </c>
      <c r="BP48" s="5" t="str">
        <f>IF(Deltagarlista!$K$3=2,
IF(ISBLANK(Deltagarlista!$C26),"",IF(ISBLANK(Arrangörslista!P$143),"",IF($GV48=BP$64," DNS ",IFERROR(VLOOKUP($F48,Arrangörslista!P$143:$AG$180,16,FALSE), "DNS")))), IF(Deltagarlista!$K$3=1,IF(ISBLANK(Deltagarlista!$C26),"",IF(ISBLANK(Arrangörslista!P$143),"",IFERROR(VLOOKUP($F48,Arrangörslista!P$143:$AG$180,16,FALSE), "DNS"))),""))</f>
        <v/>
      </c>
      <c r="BQ48" s="80" t="str">
        <f>IF(Deltagarlista!$K$3=2,
IF(ISBLANK(Deltagarlista!$C26),"",IF(ISBLANK(Arrangörslista!Q$143),"",IF($GV48=BQ$64," DNS ",IFERROR(VLOOKUP($F48,Arrangörslista!Q$143:$AG$180,16,FALSE), "DNS")))), IF(Deltagarlista!$K$3=1,IF(ISBLANK(Deltagarlista!$C26),"",IF(ISBLANK(Arrangörslista!Q$143),"",IFERROR(VLOOKUP($F48,Arrangörslista!Q$143:$AG$180,16,FALSE), "DNS"))),""))</f>
        <v/>
      </c>
      <c r="BR48" s="51"/>
      <c r="BS48" s="50" t="str">
        <f t="shared" si="125"/>
        <v>2</v>
      </c>
      <c r="BT48" s="51"/>
      <c r="BU48" s="71">
        <f t="shared" si="126"/>
        <v>0</v>
      </c>
      <c r="BV48" s="61">
        <f t="shared" si="127"/>
        <v>0</v>
      </c>
      <c r="BW48" s="61">
        <f t="shared" si="128"/>
        <v>0</v>
      </c>
      <c r="BX48" s="61">
        <f t="shared" si="129"/>
        <v>0</v>
      </c>
      <c r="BY48" s="61">
        <f t="shared" si="130"/>
        <v>0</v>
      </c>
      <c r="BZ48" s="61">
        <f t="shared" si="131"/>
        <v>0</v>
      </c>
      <c r="CA48" s="61">
        <f t="shared" si="132"/>
        <v>0</v>
      </c>
      <c r="CB48" s="61">
        <f t="shared" si="133"/>
        <v>0</v>
      </c>
      <c r="CC48" s="61">
        <f t="shared" si="134"/>
        <v>0</v>
      </c>
      <c r="CD48" s="61">
        <f t="shared" si="135"/>
        <v>0</v>
      </c>
      <c r="CE48" s="61">
        <f t="shared" si="136"/>
        <v>0</v>
      </c>
      <c r="CF48" s="61">
        <f t="shared" si="137"/>
        <v>0</v>
      </c>
      <c r="CG48" s="61">
        <f t="shared" si="138"/>
        <v>0</v>
      </c>
      <c r="CH48" s="61">
        <f t="shared" si="139"/>
        <v>0</v>
      </c>
      <c r="CI48" s="61">
        <f t="shared" si="140"/>
        <v>0</v>
      </c>
      <c r="CJ48" s="61">
        <f t="shared" si="141"/>
        <v>0</v>
      </c>
      <c r="CK48" s="61">
        <f t="shared" si="142"/>
        <v>0</v>
      </c>
      <c r="CL48" s="61">
        <f t="shared" si="143"/>
        <v>0</v>
      </c>
      <c r="CM48" s="61">
        <f t="shared" si="144"/>
        <v>0</v>
      </c>
      <c r="CN48" s="61">
        <f t="shared" si="145"/>
        <v>0</v>
      </c>
      <c r="CO48" s="61">
        <f t="shared" si="146"/>
        <v>0</v>
      </c>
      <c r="CP48" s="61">
        <f t="shared" si="147"/>
        <v>0</v>
      </c>
      <c r="CQ48" s="61">
        <f t="shared" si="148"/>
        <v>0</v>
      </c>
      <c r="CR48" s="61">
        <f t="shared" si="149"/>
        <v>0</v>
      </c>
      <c r="CS48" s="61">
        <f t="shared" si="150"/>
        <v>0</v>
      </c>
      <c r="CT48" s="61">
        <f t="shared" si="151"/>
        <v>0</v>
      </c>
      <c r="CU48" s="61">
        <f t="shared" si="152"/>
        <v>0</v>
      </c>
      <c r="CV48" s="61">
        <f t="shared" si="153"/>
        <v>0</v>
      </c>
      <c r="CW48" s="61">
        <f t="shared" si="154"/>
        <v>0</v>
      </c>
      <c r="CX48" s="61">
        <f t="shared" si="155"/>
        <v>0</v>
      </c>
      <c r="CY48" s="61">
        <f t="shared" si="156"/>
        <v>0</v>
      </c>
      <c r="CZ48" s="61">
        <f t="shared" si="157"/>
        <v>0</v>
      </c>
      <c r="DA48" s="61">
        <f t="shared" si="158"/>
        <v>0</v>
      </c>
      <c r="DB48" s="61">
        <f t="shared" si="159"/>
        <v>0</v>
      </c>
      <c r="DC48" s="61">
        <f t="shared" si="160"/>
        <v>0</v>
      </c>
      <c r="DD48" s="61">
        <f t="shared" si="161"/>
        <v>0</v>
      </c>
      <c r="DE48" s="61">
        <f t="shared" si="162"/>
        <v>0</v>
      </c>
      <c r="DF48" s="61">
        <f t="shared" si="163"/>
        <v>0</v>
      </c>
      <c r="DG48" s="61">
        <f t="shared" si="164"/>
        <v>0</v>
      </c>
      <c r="DH48" s="61">
        <f t="shared" si="165"/>
        <v>0</v>
      </c>
      <c r="DI48" s="61">
        <f t="shared" si="166"/>
        <v>0</v>
      </c>
      <c r="DJ48" s="61">
        <f t="shared" si="167"/>
        <v>0</v>
      </c>
      <c r="DK48" s="61">
        <f t="shared" si="168"/>
        <v>0</v>
      </c>
      <c r="DL48" s="61">
        <f t="shared" si="169"/>
        <v>0</v>
      </c>
      <c r="DM48" s="61">
        <f t="shared" si="170"/>
        <v>0</v>
      </c>
      <c r="DN48" s="61">
        <f t="shared" si="171"/>
        <v>0</v>
      </c>
      <c r="DO48" s="61">
        <f t="shared" si="172"/>
        <v>0</v>
      </c>
      <c r="DP48" s="61">
        <f t="shared" si="173"/>
        <v>0</v>
      </c>
      <c r="DQ48" s="61">
        <f t="shared" si="174"/>
        <v>0</v>
      </c>
      <c r="DR48" s="61">
        <f t="shared" si="175"/>
        <v>0</v>
      </c>
      <c r="DS48" s="61">
        <f t="shared" si="176"/>
        <v>0</v>
      </c>
      <c r="DT48" s="61">
        <f t="shared" si="177"/>
        <v>0</v>
      </c>
      <c r="DU48" s="61">
        <f t="shared" si="178"/>
        <v>0</v>
      </c>
      <c r="DV48" s="61">
        <f t="shared" si="179"/>
        <v>0</v>
      </c>
      <c r="DW48" s="61">
        <f t="shared" si="180"/>
        <v>0</v>
      </c>
      <c r="DX48" s="61">
        <f t="shared" si="181"/>
        <v>0</v>
      </c>
      <c r="DY48" s="61">
        <f t="shared" si="182"/>
        <v>0</v>
      </c>
      <c r="DZ48" s="61">
        <f t="shared" si="183"/>
        <v>0</v>
      </c>
      <c r="EA48" s="61">
        <f t="shared" si="184"/>
        <v>0</v>
      </c>
      <c r="EB48" s="61">
        <f t="shared" si="185"/>
        <v>0</v>
      </c>
      <c r="EC48" s="61">
        <f t="shared" si="186"/>
        <v>0</v>
      </c>
      <c r="EE48" s="61">
        <f xml:space="preserve">
IF(OR(Deltagarlista!$K$3=3,Deltagarlista!$K$3=4),
IF(Arrangörslista!$U$5&lt;8,0,
IF(Arrangörslista!$U$5&lt;16,SUM(LARGE(BV48:CJ48,1)),
IF(Arrangörslista!$U$5&lt;24,SUM(LARGE(BV48:CR48,{1;2})),
IF(Arrangörslista!$U$5&lt;32,SUM(LARGE(BV48:CZ48,{1;2;3})),
IF(Arrangörslista!$U$5&lt;40,SUM(LARGE(BV48:DH48,{1;2;3;4})),
IF(Arrangörslista!$U$5&lt;48,SUM(LARGE(BV48:DP48,{1;2;3;4;5})),
IF(Arrangörslista!$U$5&lt;56,SUM(LARGE(BV48:DX48,{1;2;3;4;5;6})),
IF(Arrangörslista!$U$5&lt;64,SUM(LARGE(BV48:EC48,{1;2;3;4;5;6;7})),0)))))))),
IF(Deltagarlista!$K$3=2,
IF(Arrangörslista!$U$5&lt;4,LARGE(BV48:BX48,1),
IF(Arrangörslista!$U$5&lt;7,SUM(LARGE(BV48:CA48,{1;2;3})),
IF(Arrangörslista!$U$5&lt;10,SUM(LARGE(BV48:CD48,{1;2;3;4})),
IF(Arrangörslista!$U$5&lt;13,SUM(LARGE(BV48:CG48,{1;2;3;4;5;6})),
IF(Arrangörslista!$U$5&lt;16,SUM(LARGE(BV48:CJ48,{1;2;3;4;5;6;7})),
IF(Arrangörslista!$U$5&lt;19,SUM(LARGE(BV48:CM48,{1;2;3;4;5;6;7;8;9})),
IF(Arrangörslista!$U$5&lt;22,SUM(LARGE(BV48:CP48,{1;2;3;4;5;6;7;8;9;10})),
IF(Arrangörslista!$U$5&lt;25,SUM(LARGE(BV48:CS48,{1;2;3;4;5;6;7;8;9;10;11;12})),
IF(Arrangörslista!$U$5&lt;28,SUM(LARGE(BV48:CV48,{1;2;3;4;5;6;7;8;9;10;11;12;13})),
IF(Arrangörslista!$U$5&lt;31,SUM(LARGE(BV48:CY48,{1;2;3;4;5;6;7;8;9;10;11;12;13;14;15})),
IF(Arrangörslista!$U$5&lt;34,SUM(LARGE(BV48:DB48,{1;2;3;4;5;6;7;8;9;10;11;12;13;14;15;16})),
IF(Arrangörslista!$U$5&lt;37,SUM(LARGE(BV48:DE48,{1;2;3;4;5;6;7;8;9;10;11;12;13;14;15;16;17;18})),
IF(Arrangörslista!$U$5&lt;40,SUM(LARGE(BV48:DH48,{1;2;3;4;5;6;7;8;9;10;11;12;13;14;15;16;17;18;19})),
IF(Arrangörslista!$U$5&lt;43,SUM(LARGE(BV48:DK48,{1;2;3;4;5;6;7;8;9;10;11;12;13;14;15;16;17;18;19;20;21})),
IF(Arrangörslista!$U$5&lt;46,SUM(LARGE(BV48:DN48,{1;2;3;4;5;6;7;8;9;10;11;12;13;14;15;16;17;18;19;20;21;22})),
IF(Arrangörslista!$U$5&lt;49,SUM(LARGE(BV48:DQ48,{1;2;3;4;5;6;7;8;9;10;11;12;13;14;15;16;17;18;19;20;21;22;23;24})),
IF(Arrangörslista!$U$5&lt;52,SUM(LARGE(BV48:DT48,{1;2;3;4;5;6;7;8;9;10;11;12;13;14;15;16;17;18;19;20;21;22;23;24;25})),
IF(Arrangörslista!$U$5&lt;55,SUM(LARGE(BV48:DW48,{1;2;3;4;5;6;7;8;9;10;11;12;13;14;15;16;17;18;19;20;21;22;23;24;25;26;27})),
IF(Arrangörslista!$U$5&lt;58,SUM(LARGE(BV48:DZ48,{1;2;3;4;5;6;7;8;9;10;11;12;13;14;15;16;17;18;19;20;21;22;23;24;25;26;27;28})),
IF(Arrangörslista!$U$5&lt;61,SUM(LARGE(BV48:EC48,{1;2;3;4;5;6;7;8;9;10;11;12;13;14;15;16;17;18;19;20;21;22;23;24;25;26;27;28;29;30})),0)))))))))))))))))))),
IF(Arrangörslista!$U$5&lt;4,0,
IF(Arrangörslista!$U$5&lt;8,SUM(LARGE(BV48:CB48,1)),
IF(Arrangörslista!$U$5&lt;12,SUM(LARGE(BV48:CF48,{1;2})),
IF(Arrangörslista!$U$5&lt;16,SUM(LARGE(BV48:CJ48,{1;2;3})),
IF(Arrangörslista!$U$5&lt;20,SUM(LARGE(BV48:CN48,{1;2;3;4})),
IF(Arrangörslista!$U$5&lt;24,SUM(LARGE(BV48:CR48,{1;2;3;4;5})),
IF(Arrangörslista!$U$5&lt;28,SUM(LARGE(BV48:CV48,{1;2;3;4;5;6})),
IF(Arrangörslista!$U$5&lt;32,SUM(LARGE(BV48:CZ48,{1;2;3;4;5;6;7})),
IF(Arrangörslista!$U$5&lt;36,SUM(LARGE(BV48:DD48,{1;2;3;4;5;6;7;8})),
IF(Arrangörslista!$U$5&lt;40,SUM(LARGE(BV48:DH48,{1;2;3;4;5;6;7;8;9})),
IF(Arrangörslista!$U$5&lt;44,SUM(LARGE(BV48:DL48,{1;2;3;4;5;6;7;8;9;10})),
IF(Arrangörslista!$U$5&lt;48,SUM(LARGE(BV48:DP48,{1;2;3;4;5;6;7;8;9;10;11})),
IF(Arrangörslista!$U$5&lt;52,SUM(LARGE(BV48:DT48,{1;2;3;4;5;6;7;8;9;10;11;12})),
IF(Arrangörslista!$U$5&lt;56,SUM(LARGE(BV48:DX48,{1;2;3;4;5;6;7;8;9;10;11;12;13})),
IF(Arrangörslista!$U$5&lt;60,SUM(LARGE(BV48:EB48,{1;2;3;4;5;6;7;8;9;10;11;12;13;14})),
IF(Arrangörslista!$U$5=60,SUM(LARGE(BV48:EC48,{1;2;3;4;5;6;7;8;9;10;11;12;13;14;15})),0))))))))))))))))))</f>
        <v>0</v>
      </c>
      <c r="EG48" s="67">
        <f t="shared" si="187"/>
        <v>0</v>
      </c>
      <c r="EH48" s="61"/>
      <c r="EI48" s="61"/>
      <c r="EK48" s="62">
        <f t="shared" si="188"/>
        <v>61</v>
      </c>
      <c r="EL48" s="62">
        <f t="shared" si="189"/>
        <v>61</v>
      </c>
      <c r="EM48" s="62">
        <f t="shared" si="190"/>
        <v>61</v>
      </c>
      <c r="EN48" s="62">
        <f t="shared" si="191"/>
        <v>61</v>
      </c>
      <c r="EO48" s="62">
        <f t="shared" si="192"/>
        <v>61</v>
      </c>
      <c r="EP48" s="62">
        <f t="shared" si="193"/>
        <v>61</v>
      </c>
      <c r="EQ48" s="62">
        <f t="shared" si="194"/>
        <v>61</v>
      </c>
      <c r="ER48" s="62">
        <f t="shared" si="195"/>
        <v>61</v>
      </c>
      <c r="ES48" s="62">
        <f t="shared" si="196"/>
        <v>61</v>
      </c>
      <c r="ET48" s="62">
        <f t="shared" si="197"/>
        <v>61</v>
      </c>
      <c r="EU48" s="62">
        <f t="shared" si="198"/>
        <v>61</v>
      </c>
      <c r="EV48" s="62">
        <f t="shared" si="199"/>
        <v>61</v>
      </c>
      <c r="EW48" s="62">
        <f t="shared" si="200"/>
        <v>61</v>
      </c>
      <c r="EX48" s="62">
        <f t="shared" si="201"/>
        <v>61</v>
      </c>
      <c r="EY48" s="62">
        <f t="shared" si="202"/>
        <v>61</v>
      </c>
      <c r="EZ48" s="62">
        <f t="shared" si="203"/>
        <v>61</v>
      </c>
      <c r="FA48" s="62">
        <f t="shared" si="204"/>
        <v>61</v>
      </c>
      <c r="FB48" s="62">
        <f t="shared" si="205"/>
        <v>61</v>
      </c>
      <c r="FC48" s="62">
        <f t="shared" si="206"/>
        <v>61</v>
      </c>
      <c r="FD48" s="62">
        <f t="shared" si="207"/>
        <v>61</v>
      </c>
      <c r="FE48" s="62">
        <f t="shared" si="208"/>
        <v>61</v>
      </c>
      <c r="FF48" s="62">
        <f t="shared" si="209"/>
        <v>61</v>
      </c>
      <c r="FG48" s="62">
        <f t="shared" si="210"/>
        <v>61</v>
      </c>
      <c r="FH48" s="62">
        <f t="shared" si="211"/>
        <v>61</v>
      </c>
      <c r="FI48" s="62">
        <f t="shared" si="212"/>
        <v>61</v>
      </c>
      <c r="FJ48" s="62">
        <f t="shared" si="213"/>
        <v>61</v>
      </c>
      <c r="FK48" s="62">
        <f t="shared" si="214"/>
        <v>61</v>
      </c>
      <c r="FL48" s="62">
        <f t="shared" si="215"/>
        <v>61</v>
      </c>
      <c r="FM48" s="62">
        <f t="shared" si="216"/>
        <v>61</v>
      </c>
      <c r="FN48" s="62">
        <f t="shared" si="217"/>
        <v>61</v>
      </c>
      <c r="FO48" s="62">
        <f t="shared" si="218"/>
        <v>61</v>
      </c>
      <c r="FP48" s="62">
        <f t="shared" si="219"/>
        <v>61</v>
      </c>
      <c r="FQ48" s="62">
        <f t="shared" si="220"/>
        <v>61</v>
      </c>
      <c r="FR48" s="62">
        <f t="shared" si="221"/>
        <v>61</v>
      </c>
      <c r="FS48" s="62">
        <f t="shared" si="222"/>
        <v>61</v>
      </c>
      <c r="FT48" s="62">
        <f t="shared" si="223"/>
        <v>61</v>
      </c>
      <c r="FU48" s="62">
        <f t="shared" si="224"/>
        <v>61</v>
      </c>
      <c r="FV48" s="62">
        <f t="shared" si="225"/>
        <v>61</v>
      </c>
      <c r="FW48" s="62">
        <f t="shared" si="226"/>
        <v>61</v>
      </c>
      <c r="FX48" s="62">
        <f t="shared" si="227"/>
        <v>61</v>
      </c>
      <c r="FY48" s="62">
        <f t="shared" si="228"/>
        <v>61</v>
      </c>
      <c r="FZ48" s="62">
        <f t="shared" si="229"/>
        <v>61</v>
      </c>
      <c r="GA48" s="62">
        <f t="shared" si="230"/>
        <v>61</v>
      </c>
      <c r="GB48" s="62">
        <f t="shared" si="231"/>
        <v>61</v>
      </c>
      <c r="GC48" s="62">
        <f t="shared" si="232"/>
        <v>61</v>
      </c>
      <c r="GD48" s="62">
        <f t="shared" si="233"/>
        <v>61</v>
      </c>
      <c r="GE48" s="62">
        <f t="shared" si="234"/>
        <v>61</v>
      </c>
      <c r="GF48" s="62">
        <f t="shared" si="235"/>
        <v>61</v>
      </c>
      <c r="GG48" s="62">
        <f t="shared" si="236"/>
        <v>61</v>
      </c>
      <c r="GH48" s="62">
        <f t="shared" si="237"/>
        <v>61</v>
      </c>
      <c r="GI48" s="62">
        <f t="shared" si="238"/>
        <v>61</v>
      </c>
      <c r="GJ48" s="62">
        <f t="shared" si="239"/>
        <v>61</v>
      </c>
      <c r="GK48" s="62">
        <f t="shared" si="240"/>
        <v>61</v>
      </c>
      <c r="GL48" s="62">
        <f t="shared" si="241"/>
        <v>61</v>
      </c>
      <c r="GM48" s="62">
        <f t="shared" si="242"/>
        <v>61</v>
      </c>
      <c r="GN48" s="62">
        <f t="shared" si="243"/>
        <v>61</v>
      </c>
      <c r="GO48" s="62">
        <f t="shared" si="244"/>
        <v>61</v>
      </c>
      <c r="GP48" s="62">
        <f t="shared" si="245"/>
        <v>61</v>
      </c>
      <c r="GQ48" s="62">
        <f t="shared" si="246"/>
        <v>61</v>
      </c>
      <c r="GR48" s="62">
        <f t="shared" si="247"/>
        <v>61</v>
      </c>
      <c r="GT48" s="62">
        <f>IF(Deltagarlista!$K$3=2,
IF(GW48="1",
      IF(Arrangörslista!$U$5=1,J111,
IF(Arrangörslista!$U$5=2,K111,
IF(Arrangörslista!$U$5=3,L111,
IF(Arrangörslista!$U$5=4,M111,
IF(Arrangörslista!$U$5=5,N111,
IF(Arrangörslista!$U$5=6,O111,
IF(Arrangörslista!$U$5=7,P111,
IF(Arrangörslista!$U$5=8,Q111,
IF(Arrangörslista!$U$5=9,R111,
IF(Arrangörslista!$U$5=10,S111,
IF(Arrangörslista!$U$5=11,T111,
IF(Arrangörslista!$U$5=12,U111,
IF(Arrangörslista!$U$5=13,V111,
IF(Arrangörslista!$U$5=14,W111,
IF(Arrangörslista!$U$5=15,X111,
IF(Arrangörslista!$U$5=16,Y111,IF(Arrangörslista!$U$5=17,Z111,IF(Arrangörslista!$U$5=18,AA111,IF(Arrangörslista!$U$5=19,AB111,IF(Arrangörslista!$U$5=20,AC111,IF(Arrangörslista!$U$5=21,AD111,IF(Arrangörslista!$U$5=22,AE111,IF(Arrangörslista!$U$5=23,AF111, IF(Arrangörslista!$U$5=24,AG111, IF(Arrangörslista!$U$5=25,AH111, IF(Arrangörslista!$U$5=26,AI111, IF(Arrangörslista!$U$5=27,AJ111, IF(Arrangörslista!$U$5=28,AK111, IF(Arrangörslista!$U$5=29,AL111, IF(Arrangörslista!$U$5=30,AM111, IF(Arrangörslista!$U$5=31,AN111, IF(Arrangörslista!$U$5=32,AO111, IF(Arrangörslista!$U$5=33,AP111, IF(Arrangörslista!$U$5=34,AQ111, IF(Arrangörslista!$U$5=35,AR111, IF(Arrangörslista!$U$5=36,AS111, IF(Arrangörslista!$U$5=37,AT111, IF(Arrangörslista!$U$5=38,AU111, IF(Arrangörslista!$U$5=39,AV111, IF(Arrangörslista!$U$5=40,AW111, IF(Arrangörslista!$U$5=41,AX111, IF(Arrangörslista!$U$5=42,AY111, IF(Arrangörslista!$U$5=43,AZ111, IF(Arrangörslista!$U$5=44,BA111, IF(Arrangörslista!$U$5=45,BB111, IF(Arrangörslista!$U$5=46,BC111, IF(Arrangörslista!$U$5=47,BD111, IF(Arrangörslista!$U$5=48,BE111, IF(Arrangörslista!$U$5=49,BF111, IF(Arrangörslista!$U$5=50,BG111, IF(Arrangörslista!$U$5=51,BH111, IF(Arrangörslista!$U$5=52,BI111, IF(Arrangörslista!$U$5=53,BJ111, IF(Arrangörslista!$U$5=54,BK111, IF(Arrangörslista!$U$5=55,BL111, IF(Arrangörslista!$U$5=56,BM111, IF(Arrangörslista!$U$5=57,BN111, IF(Arrangörslista!$U$5=58,BO111, IF(Arrangörslista!$U$5=59,BP111, IF(Arrangörslista!$U$5=60,BQ111,0))))))))))))))))))))))))))))))))))))))))))))))))))))))))))))),IF(Deltagarlista!$K$3=4, IF(Arrangörslista!$U$5=1,J111,
IF(Arrangörslista!$U$5=2,J111,
IF(Arrangörslista!$U$5=3,K111,
IF(Arrangörslista!$U$5=4,K111,
IF(Arrangörslista!$U$5=5,L111,
IF(Arrangörslista!$U$5=6,L111,
IF(Arrangörslista!$U$5=7,M111,
IF(Arrangörslista!$U$5=8,M111,
IF(Arrangörslista!$U$5=9,N111,
IF(Arrangörslista!$U$5=10,N111,
IF(Arrangörslista!$U$5=11,O111,
IF(Arrangörslista!$U$5=12,O111,
IF(Arrangörslista!$U$5=13,P111,
IF(Arrangörslista!$U$5=14,P111,
IF(Arrangörslista!$U$5=15,Q111,
IF(Arrangörslista!$U$5=16,Q111,
IF(Arrangörslista!$U$5=17,R111,
IF(Arrangörslista!$U$5=18,R111,
IF(Arrangörslista!$U$5=19,S111,
IF(Arrangörslista!$U$5=20,S111,
IF(Arrangörslista!$U$5=21,T111,
IF(Arrangörslista!$U$5=22,T111,IF(Arrangörslista!$U$5=23,U111, IF(Arrangörslista!$U$5=24,U111, IF(Arrangörslista!$U$5=25,V111, IF(Arrangörslista!$U$5=26,V111, IF(Arrangörslista!$U$5=27,W111, IF(Arrangörslista!$U$5=28,W111, IF(Arrangörslista!$U$5=29,X111, IF(Arrangörslista!$U$5=30,X111, IF(Arrangörslista!$U$5=31,X111, IF(Arrangörslista!$U$5=32,Y111, IF(Arrangörslista!$U$5=33,AO111, IF(Arrangörslista!$U$5=34,Y111, IF(Arrangörslista!$U$5=35,Z111, IF(Arrangörslista!$U$5=36,AR111, IF(Arrangörslista!$U$5=37,Z111, IF(Arrangörslista!$U$5=38,AA111, IF(Arrangörslista!$U$5=39,AU111, IF(Arrangörslista!$U$5=40,AA111, IF(Arrangörslista!$U$5=41,AB111, IF(Arrangörslista!$U$5=42,AX111, IF(Arrangörslista!$U$5=43,AB111, IF(Arrangörslista!$U$5=44,AC111, IF(Arrangörslista!$U$5=45,BA111, IF(Arrangörslista!$U$5=46,AC111, IF(Arrangörslista!$U$5=47,AD111, IF(Arrangörslista!$U$5=48,BD111, IF(Arrangörslista!$U$5=49,AD111, IF(Arrangörslista!$U$5=50,AE111, IF(Arrangörslista!$U$5=51,BG111, IF(Arrangörslista!$U$5=52,AE111, IF(Arrangörslista!$U$5=53,AF111, IF(Arrangörslista!$U$5=54,BJ111, IF(Arrangörslista!$U$5=55,AF111, IF(Arrangörslista!$U$5=56,AG111, IF(Arrangörslista!$U$5=57,BM111, IF(Arrangörslista!$U$5=58,AG111, IF(Arrangörslista!$U$5=59,AH111, IF(Arrangörslista!$U$5=60,AH111,0)))))))))))))))))))))))))))))))))))))))))))))))))))))))))))),IF(Arrangörslista!$U$5=1,J111,
IF(Arrangörslista!$U$5=2,K111,
IF(Arrangörslista!$U$5=3,L111,
IF(Arrangörslista!$U$5=4,M111,
IF(Arrangörslista!$U$5=5,N111,
IF(Arrangörslista!$U$5=6,O111,
IF(Arrangörslista!$U$5=7,P111,
IF(Arrangörslista!$U$5=8,Q111,
IF(Arrangörslista!$U$5=9,R111,
IF(Arrangörslista!$U$5=10,S111,
IF(Arrangörslista!$U$5=11,T111,
IF(Arrangörslista!$U$5=12,U111,
IF(Arrangörslista!$U$5=13,V111,
IF(Arrangörslista!$U$5=14,W111,
IF(Arrangörslista!$U$5=15,X111,
IF(Arrangörslista!$U$5=16,Y111,IF(Arrangörslista!$U$5=17,Z111,IF(Arrangörslista!$U$5=18,AA111,IF(Arrangörslista!$U$5=19,AB111,IF(Arrangörslista!$U$5=20,AC111,IF(Arrangörslista!$U$5=21,AD111,IF(Arrangörslista!$U$5=22,AE111,IF(Arrangörslista!$U$5=23,AF111, IF(Arrangörslista!$U$5=24,AG111, IF(Arrangörslista!$U$5=25,AH111, IF(Arrangörslista!$U$5=26,AI111, IF(Arrangörslista!$U$5=27,AJ111, IF(Arrangörslista!$U$5=28,AK111, IF(Arrangörslista!$U$5=29,AL111, IF(Arrangörslista!$U$5=30,AM111, IF(Arrangörslista!$U$5=31,AN111, IF(Arrangörslista!$U$5=32,AO111, IF(Arrangörslista!$U$5=33,AP111, IF(Arrangörslista!$U$5=34,AQ111, IF(Arrangörslista!$U$5=35,AR111, IF(Arrangörslista!$U$5=36,AS111, IF(Arrangörslista!$U$5=37,AT111, IF(Arrangörslista!$U$5=38,AU111, IF(Arrangörslista!$U$5=39,AV111, IF(Arrangörslista!$U$5=40,AW111, IF(Arrangörslista!$U$5=41,AX111, IF(Arrangörslista!$U$5=42,AY111, IF(Arrangörslista!$U$5=43,AZ111, IF(Arrangörslista!$U$5=44,BA111, IF(Arrangörslista!$U$5=45,BB111, IF(Arrangörslista!$U$5=46,BC111, IF(Arrangörslista!$U$5=47,BD111, IF(Arrangörslista!$U$5=48,BE111, IF(Arrangörslista!$U$5=49,BF111, IF(Arrangörslista!$U$5=50,BG111, IF(Arrangörslista!$U$5=51,BH111, IF(Arrangörslista!$U$5=52,BI111, IF(Arrangörslista!$U$5=53,BJ111, IF(Arrangörslista!$U$5=54,BK111, IF(Arrangörslista!$U$5=55,BL111, IF(Arrangörslista!$U$5=56,BM111, IF(Arrangörslista!$U$5=57,BN111, IF(Arrangörslista!$U$5=58,BO111, IF(Arrangörslista!$U$5=59,BP111, IF(Arrangörslista!$U$5=60,BQ111,0))))))))))))))))))))))))))))))))))))))))))))))))))))))))))))
))</f>
        <v>0</v>
      </c>
      <c r="GV48" s="65" t="str">
        <f>IFERROR(IF(VLOOKUP(F48,Deltagarlista!$E$5:$I$64,5,FALSE)="Grön","Gr",IF(VLOOKUP(F48,Deltagarlista!$E$5:$I$64,5,FALSE)="Röd","R",IF(VLOOKUP(F48,Deltagarlista!$E$5:$I$64,5,FALSE)="Blå","B","Gu"))),"")</f>
        <v/>
      </c>
      <c r="GW48" s="62" t="str">
        <f t="shared" si="124"/>
        <v/>
      </c>
    </row>
    <row r="49" spans="2:205" ht="15.75" customHeight="1" x14ac:dyDescent="0.3">
      <c r="B49" s="23" t="str">
        <f>IF((COUNTIF(Deltagarlista!$H$5:$H$64,"GM"))&gt;45,46,"")</f>
        <v/>
      </c>
      <c r="C49" s="92" t="str">
        <f>IF(ISBLANK(Deltagarlista!C18),"",Deltagarlista!C18)</f>
        <v/>
      </c>
      <c r="D49" s="109" t="str">
        <f>CONCATENATE(IF(Deltagarlista!H18="GM","GM   ",""), IF(OR(Deltagarlista!$K$3=4,Deltagarlista!$K$3=2),Deltagarlista!I18,""))</f>
        <v/>
      </c>
      <c r="E49" s="8" t="str">
        <f>IF(ISBLANK(Deltagarlista!D18),"",Deltagarlista!D18)</f>
        <v/>
      </c>
      <c r="F49" s="8" t="str">
        <f>IF(ISBLANK(Deltagarlista!E18),"",Deltagarlista!E18)</f>
        <v/>
      </c>
      <c r="G49" s="95" t="str">
        <f>IF(ISBLANK(Deltagarlista!F18),"",Deltagarlista!F18)</f>
        <v/>
      </c>
      <c r="H49" s="72" t="str">
        <f>IF(ISBLANK(Deltagarlista!C18),"",BU49-EE49)</f>
        <v/>
      </c>
      <c r="I49" s="13" t="str">
        <f>IF(ISBLANK(Deltagarlista!C18),"",IF(AND(Deltagarlista!$K$3=2,Deltagarlista!$L$3&lt;37),SUM(SUM(BV49:EC49)-(ROUNDDOWN(Arrangörslista!$U$5/3,1))*($BW$3+1)),SUM(BV49:EC49)))</f>
        <v/>
      </c>
      <c r="J49" s="79" t="str">
        <f>IF(Deltagarlista!$K$3=4,IF(ISBLANK(Deltagarlista!$C18),"",IF(ISBLANK(Arrangörslista!C$8),"",IFERROR(VLOOKUP($F49,Arrangörslista!C$8:$AG$45,16,FALSE),IF(ISBLANK(Deltagarlista!$C18),"",IF(ISBLANK(Arrangörslista!C$8),"",IFERROR(VLOOKUP($F49,Arrangörslista!D$8:$AG$45,16,FALSE),"DNS")))))),IF(Deltagarlista!$K$3=2,
IF(ISBLANK(Deltagarlista!$C18),"",IF(ISBLANK(Arrangörslista!C$8),"",IF($GV49=J$64," DNS ",IFERROR(VLOOKUP($F49,Arrangörslista!C$8:$AG$45,16,FALSE),"DNS")))),IF(ISBLANK(Deltagarlista!$C18),"",IF(ISBLANK(Arrangörslista!C$8),"",IFERROR(VLOOKUP($F49,Arrangörslista!C$8:$AG$45,16,FALSE),"DNS")))))</f>
        <v/>
      </c>
      <c r="K49" s="5" t="str">
        <f>IF(Deltagarlista!$K$3=4,IF(ISBLANK(Deltagarlista!$C18),"",IF(ISBLANK(Arrangörslista!E$8),"",IFERROR(VLOOKUP($F49,Arrangörslista!E$8:$AG$45,16,FALSE),IF(ISBLANK(Deltagarlista!$C18),"",IF(ISBLANK(Arrangörslista!E$8),"",IFERROR(VLOOKUP($F49,Arrangörslista!F$8:$AG$45,16,FALSE),"DNS")))))),IF(Deltagarlista!$K$3=2,
IF(ISBLANK(Deltagarlista!$C18),"",IF(ISBLANK(Arrangörslista!D$8),"",IF($GV49=K$64," DNS ",IFERROR(VLOOKUP($F49,Arrangörslista!D$8:$AG$45,16,FALSE),"DNS")))),IF(ISBLANK(Deltagarlista!$C18),"",IF(ISBLANK(Arrangörslista!D$8),"",IFERROR(VLOOKUP($F49,Arrangörslista!D$8:$AG$45,16,FALSE),"DNS")))))</f>
        <v/>
      </c>
      <c r="L49" s="5" t="str">
        <f>IF(Deltagarlista!$K$3=4,IF(ISBLANK(Deltagarlista!$C18),"",IF(ISBLANK(Arrangörslista!G$8),"",IFERROR(VLOOKUP($F49,Arrangörslista!G$8:$AG$45,16,FALSE),IF(ISBLANK(Deltagarlista!$C18),"",IF(ISBLANK(Arrangörslista!G$8),"",IFERROR(VLOOKUP($F49,Arrangörslista!H$8:$AG$45,16,FALSE),"DNS")))))),IF(Deltagarlista!$K$3=2,
IF(ISBLANK(Deltagarlista!$C18),"",IF(ISBLANK(Arrangörslista!E$8),"",IF($GV49=L$64," DNS ",IFERROR(VLOOKUP($F49,Arrangörslista!E$8:$AG$45,16,FALSE),"DNS")))),IF(ISBLANK(Deltagarlista!$C18),"",IF(ISBLANK(Arrangörslista!E$8),"",IFERROR(VLOOKUP($F49,Arrangörslista!E$8:$AG$45,16,FALSE),"DNS")))))</f>
        <v/>
      </c>
      <c r="M49" s="5" t="str">
        <f>IF(Deltagarlista!$K$3=4,IF(ISBLANK(Deltagarlista!$C18),"",IF(ISBLANK(Arrangörslista!I$8),"",IFERROR(VLOOKUP($F49,Arrangörslista!I$8:$AG$45,16,FALSE),IF(ISBLANK(Deltagarlista!$C18),"",IF(ISBLANK(Arrangörslista!I$8),"",IFERROR(VLOOKUP($F49,Arrangörslista!J$8:$AG$45,16,FALSE),"DNS")))))),IF(Deltagarlista!$K$3=2,
IF(ISBLANK(Deltagarlista!$C18),"",IF(ISBLANK(Arrangörslista!F$8),"",IF($GV49=M$64," DNS ",IFERROR(VLOOKUP($F49,Arrangörslista!F$8:$AG$45,16,FALSE),"DNS")))),IF(ISBLANK(Deltagarlista!$C18),"",IF(ISBLANK(Arrangörslista!F$8),"",IFERROR(VLOOKUP($F49,Arrangörslista!F$8:$AG$45,16,FALSE),"DNS")))))</f>
        <v/>
      </c>
      <c r="N49" s="5" t="str">
        <f>IF(Deltagarlista!$K$3=4,IF(ISBLANK(Deltagarlista!$C18),"",IF(ISBLANK(Arrangörslista!K$8),"",IFERROR(VLOOKUP($F49,Arrangörslista!K$8:$AG$45,16,FALSE),IF(ISBLANK(Deltagarlista!$C18),"",IF(ISBLANK(Arrangörslista!K$8),"",IFERROR(VLOOKUP($F49,Arrangörslista!L$8:$AG$45,16,FALSE),"DNS")))))),IF(Deltagarlista!$K$3=2,
IF(ISBLANK(Deltagarlista!$C18),"",IF(ISBLANK(Arrangörslista!G$8),"",IF($GV49=N$64," DNS ",IFERROR(VLOOKUP($F49,Arrangörslista!G$8:$AG$45,16,FALSE),"DNS")))),IF(ISBLANK(Deltagarlista!$C18),"",IF(ISBLANK(Arrangörslista!G$8),"",IFERROR(VLOOKUP($F49,Arrangörslista!G$8:$AG$45,16,FALSE),"DNS")))))</f>
        <v/>
      </c>
      <c r="O49" s="5" t="str">
        <f>IF(Deltagarlista!$K$3=4,IF(ISBLANK(Deltagarlista!$C18),"",IF(ISBLANK(Arrangörslista!M$8),"",IFERROR(VLOOKUP($F49,Arrangörslista!M$8:$AG$45,16,FALSE),IF(ISBLANK(Deltagarlista!$C18),"",IF(ISBLANK(Arrangörslista!M$8),"",IFERROR(VLOOKUP($F49,Arrangörslista!N$8:$AG$45,16,FALSE),"DNS")))))),IF(Deltagarlista!$K$3=2,
IF(ISBLANK(Deltagarlista!$C18),"",IF(ISBLANK(Arrangörslista!H$8),"",IF($GV49=O$64," DNS ",IFERROR(VLOOKUP($F49,Arrangörslista!H$8:$AG$45,16,FALSE),"DNS")))),IF(ISBLANK(Deltagarlista!$C18),"",IF(ISBLANK(Arrangörslista!H$8),"",IFERROR(VLOOKUP($F49,Arrangörslista!H$8:$AG$45,16,FALSE),"DNS")))))</f>
        <v/>
      </c>
      <c r="P49" s="5" t="str">
        <f>IF(Deltagarlista!$K$3=4,IF(ISBLANK(Deltagarlista!$C18),"",IF(ISBLANK(Arrangörslista!O$8),"",IFERROR(VLOOKUP($F49,Arrangörslista!O$8:$AG$45,16,FALSE),IF(ISBLANK(Deltagarlista!$C18),"",IF(ISBLANK(Arrangörslista!O$8),"",IFERROR(VLOOKUP($F49,Arrangörslista!P$8:$AG$45,16,FALSE),"DNS")))))),IF(Deltagarlista!$K$3=2,
IF(ISBLANK(Deltagarlista!$C18),"",IF(ISBLANK(Arrangörslista!I$8),"",IF($GV49=P$64," DNS ",IFERROR(VLOOKUP($F49,Arrangörslista!I$8:$AG$45,16,FALSE),"DNS")))),IF(ISBLANK(Deltagarlista!$C18),"",IF(ISBLANK(Arrangörslista!I$8),"",IFERROR(VLOOKUP($F49,Arrangörslista!I$8:$AG$45,16,FALSE),"DNS")))))</f>
        <v/>
      </c>
      <c r="Q49" s="5" t="str">
        <f>IF(Deltagarlista!$K$3=4,IF(ISBLANK(Deltagarlista!$C18),"",IF(ISBLANK(Arrangörslista!Q$8),"",IFERROR(VLOOKUP($F49,Arrangörslista!Q$8:$AG$45,16,FALSE),IF(ISBLANK(Deltagarlista!$C18),"",IF(ISBLANK(Arrangörslista!Q$8),"",IFERROR(VLOOKUP($F49,Arrangörslista!C$53:$AG$90,16,FALSE),"DNS")))))),IF(Deltagarlista!$K$3=2,
IF(ISBLANK(Deltagarlista!$C18),"",IF(ISBLANK(Arrangörslista!J$8),"",IF($GV49=Q$64," DNS ",IFERROR(VLOOKUP($F49,Arrangörslista!J$8:$AG$45,16,FALSE),"DNS")))),IF(ISBLANK(Deltagarlista!$C18),"",IF(ISBLANK(Arrangörslista!J$8),"",IFERROR(VLOOKUP($F49,Arrangörslista!J$8:$AG$45,16,FALSE),"DNS")))))</f>
        <v/>
      </c>
      <c r="R49" s="5" t="str">
        <f>IF(Deltagarlista!$K$3=4,IF(ISBLANK(Deltagarlista!$C18),"",IF(ISBLANK(Arrangörslista!D$53),"",IFERROR(VLOOKUP($F49,Arrangörslista!D$53:$AG$90,16,FALSE),IF(ISBLANK(Deltagarlista!$C18),"",IF(ISBLANK(Arrangörslista!D$53),"",IFERROR(VLOOKUP($F49,Arrangörslista!E$53:$AG$90,16,FALSE),"DNS")))))),IF(Deltagarlista!$K$3=2,
IF(ISBLANK(Deltagarlista!$C18),"",IF(ISBLANK(Arrangörslista!K$8),"",IF($GV49=R$64," DNS ",IFERROR(VLOOKUP($F49,Arrangörslista!K$8:$AG$45,16,FALSE),"DNS")))),IF(ISBLANK(Deltagarlista!$C18),"",IF(ISBLANK(Arrangörslista!K$8),"",IFERROR(VLOOKUP($F49,Arrangörslista!K$8:$AG$45,16,FALSE),"DNS")))))</f>
        <v/>
      </c>
      <c r="S49" s="5" t="str">
        <f>IF(Deltagarlista!$K$3=4,IF(ISBLANK(Deltagarlista!$C18),"",IF(ISBLANK(Arrangörslista!F$53),"",IFERROR(VLOOKUP($F49,Arrangörslista!F$53:$AG$90,16,FALSE),IF(ISBLANK(Deltagarlista!$C18),"",IF(ISBLANK(Arrangörslista!F$53),"",IFERROR(VLOOKUP($F49,Arrangörslista!G$53:$AG$90,16,FALSE),"DNS")))))),IF(Deltagarlista!$K$3=2,
IF(ISBLANK(Deltagarlista!$C18),"",IF(ISBLANK(Arrangörslista!L$8),"",IF($GV49=S$64," DNS ",IFERROR(VLOOKUP($F49,Arrangörslista!L$8:$AG$45,16,FALSE),"DNS")))),IF(ISBLANK(Deltagarlista!$C18),"",IF(ISBLANK(Arrangörslista!L$8),"",IFERROR(VLOOKUP($F49,Arrangörslista!L$8:$AG$45,16,FALSE),"DNS")))))</f>
        <v/>
      </c>
      <c r="T49" s="5" t="str">
        <f>IF(Deltagarlista!$K$3=4,IF(ISBLANK(Deltagarlista!$C18),"",IF(ISBLANK(Arrangörslista!H$53),"",IFERROR(VLOOKUP($F49,Arrangörslista!H$53:$AG$90,16,FALSE),IF(ISBLANK(Deltagarlista!$C18),"",IF(ISBLANK(Arrangörslista!H$53),"",IFERROR(VLOOKUP($F49,Arrangörslista!I$53:$AG$90,16,FALSE),"DNS")))))),IF(Deltagarlista!$K$3=2,
IF(ISBLANK(Deltagarlista!$C18),"",IF(ISBLANK(Arrangörslista!M$8),"",IF($GV49=T$64," DNS ",IFERROR(VLOOKUP($F49,Arrangörslista!M$8:$AG$45,16,FALSE),"DNS")))),IF(ISBLANK(Deltagarlista!$C18),"",IF(ISBLANK(Arrangörslista!M$8),"",IFERROR(VLOOKUP($F49,Arrangörslista!M$8:$AG$45,16,FALSE),"DNS")))))</f>
        <v/>
      </c>
      <c r="U49" s="5" t="str">
        <f>IF(Deltagarlista!$K$3=4,IF(ISBLANK(Deltagarlista!$C18),"",IF(ISBLANK(Arrangörslista!J$53),"",IFERROR(VLOOKUP($F49,Arrangörslista!J$53:$AG$90,16,FALSE),IF(ISBLANK(Deltagarlista!$C18),"",IF(ISBLANK(Arrangörslista!J$53),"",IFERROR(VLOOKUP($F49,Arrangörslista!K$53:$AG$90,16,FALSE),"DNS")))))),IF(Deltagarlista!$K$3=2,
IF(ISBLANK(Deltagarlista!$C18),"",IF(ISBLANK(Arrangörslista!N$8),"",IF($GV49=U$64," DNS ",IFERROR(VLOOKUP($F49,Arrangörslista!N$8:$AG$45,16,FALSE),"DNS")))),IF(ISBLANK(Deltagarlista!$C18),"",IF(ISBLANK(Arrangörslista!N$8),"",IFERROR(VLOOKUP($F49,Arrangörslista!N$8:$AG$45,16,FALSE),"DNS")))))</f>
        <v/>
      </c>
      <c r="V49" s="5" t="str">
        <f>IF(Deltagarlista!$K$3=4,IF(ISBLANK(Deltagarlista!$C18),"",IF(ISBLANK(Arrangörslista!L$53),"",IFERROR(VLOOKUP($F49,Arrangörslista!L$53:$AG$90,16,FALSE),IF(ISBLANK(Deltagarlista!$C18),"",IF(ISBLANK(Arrangörslista!L$53),"",IFERROR(VLOOKUP($F49,Arrangörslista!M$53:$AG$90,16,FALSE),"DNS")))))),IF(Deltagarlista!$K$3=2,
IF(ISBLANK(Deltagarlista!$C18),"",IF(ISBLANK(Arrangörslista!O$8),"",IF($GV49=V$64," DNS ",IFERROR(VLOOKUP($F49,Arrangörslista!O$8:$AG$45,16,FALSE),"DNS")))),IF(ISBLANK(Deltagarlista!$C18),"",IF(ISBLANK(Arrangörslista!O$8),"",IFERROR(VLOOKUP($F49,Arrangörslista!O$8:$AG$45,16,FALSE),"DNS")))))</f>
        <v/>
      </c>
      <c r="W49" s="5" t="str">
        <f>IF(Deltagarlista!$K$3=4,IF(ISBLANK(Deltagarlista!$C18),"",IF(ISBLANK(Arrangörslista!N$53),"",IFERROR(VLOOKUP($F49,Arrangörslista!N$53:$AG$90,16,FALSE),IF(ISBLANK(Deltagarlista!$C18),"",IF(ISBLANK(Arrangörslista!N$53),"",IFERROR(VLOOKUP($F49,Arrangörslista!O$53:$AG$90,16,FALSE),"DNS")))))),IF(Deltagarlista!$K$3=2,
IF(ISBLANK(Deltagarlista!$C18),"",IF(ISBLANK(Arrangörslista!P$8),"",IF($GV49=W$64," DNS ",IFERROR(VLOOKUP($F49,Arrangörslista!P$8:$AG$45,16,FALSE),"DNS")))),IF(ISBLANK(Deltagarlista!$C18),"",IF(ISBLANK(Arrangörslista!P$8),"",IFERROR(VLOOKUP($F49,Arrangörslista!P$8:$AG$45,16,FALSE),"DNS")))))</f>
        <v/>
      </c>
      <c r="X49" s="5" t="str">
        <f>IF(Deltagarlista!$K$3=4,IF(ISBLANK(Deltagarlista!$C18),"",IF(ISBLANK(Arrangörslista!P$53),"",IFERROR(VLOOKUP($F49,Arrangörslista!P$53:$AG$90,16,FALSE),IF(ISBLANK(Deltagarlista!$C18),"",IF(ISBLANK(Arrangörslista!P$53),"",IFERROR(VLOOKUP($F49,Arrangörslista!Q$53:$AG$90,16,FALSE),"DNS")))))),IF(Deltagarlista!$K$3=2,
IF(ISBLANK(Deltagarlista!$C18),"",IF(ISBLANK(Arrangörslista!Q$8),"",IF($GV49=X$64," DNS ",IFERROR(VLOOKUP($F49,Arrangörslista!Q$8:$AG$45,16,FALSE),"DNS")))),IF(ISBLANK(Deltagarlista!$C18),"",IF(ISBLANK(Arrangörslista!Q$8),"",IFERROR(VLOOKUP($F49,Arrangörslista!Q$8:$AG$45,16,FALSE),"DNS")))))</f>
        <v/>
      </c>
      <c r="Y49" s="5" t="str">
        <f>IF(Deltagarlista!$K$3=4,IF(ISBLANK(Deltagarlista!$C18),"",IF(ISBLANK(Arrangörslista!C$98),"",IFERROR(VLOOKUP($F49,Arrangörslista!C$98:$AG$135,16,FALSE),IF(ISBLANK(Deltagarlista!$C18),"",IF(ISBLANK(Arrangörslista!C$98),"",IFERROR(VLOOKUP($F49,Arrangörslista!D$98:$AG$135,16,FALSE),"DNS")))))),IF(Deltagarlista!$K$3=2,
IF(ISBLANK(Deltagarlista!$C18),"",IF(ISBLANK(Arrangörslista!C$53),"",IF($GV49=Y$64," DNS ",IFERROR(VLOOKUP($F49,Arrangörslista!C$53:$AG$90,16,FALSE),"DNS")))),IF(ISBLANK(Deltagarlista!$C18),"",IF(ISBLANK(Arrangörslista!C$53),"",IFERROR(VLOOKUP($F49,Arrangörslista!C$53:$AG$90,16,FALSE),"DNS")))))</f>
        <v/>
      </c>
      <c r="Z49" s="5" t="str">
        <f>IF(Deltagarlista!$K$3=4,IF(ISBLANK(Deltagarlista!$C18),"",IF(ISBLANK(Arrangörslista!E$98),"",IFERROR(VLOOKUP($F49,Arrangörslista!E$98:$AG$135,16,FALSE),IF(ISBLANK(Deltagarlista!$C18),"",IF(ISBLANK(Arrangörslista!E$98),"",IFERROR(VLOOKUP($F49,Arrangörslista!F$98:$AG$135,16,FALSE),"DNS")))))),IF(Deltagarlista!$K$3=2,
IF(ISBLANK(Deltagarlista!$C18),"",IF(ISBLANK(Arrangörslista!D$53),"",IF($GV49=Z$64," DNS ",IFERROR(VLOOKUP($F49,Arrangörslista!D$53:$AG$90,16,FALSE),"DNS")))),IF(ISBLANK(Deltagarlista!$C18),"",IF(ISBLANK(Arrangörslista!D$53),"",IFERROR(VLOOKUP($F49,Arrangörslista!D$53:$AG$90,16,FALSE),"DNS")))))</f>
        <v/>
      </c>
      <c r="AA49" s="5" t="str">
        <f>IF(Deltagarlista!$K$3=4,IF(ISBLANK(Deltagarlista!$C18),"",IF(ISBLANK(Arrangörslista!G$98),"",IFERROR(VLOOKUP($F49,Arrangörslista!G$98:$AG$135,16,FALSE),IF(ISBLANK(Deltagarlista!$C18),"",IF(ISBLANK(Arrangörslista!G$98),"",IFERROR(VLOOKUP($F49,Arrangörslista!H$98:$AG$135,16,FALSE),"DNS")))))),IF(Deltagarlista!$K$3=2,
IF(ISBLANK(Deltagarlista!$C18),"",IF(ISBLANK(Arrangörslista!E$53),"",IF($GV49=AA$64," DNS ",IFERROR(VLOOKUP($F49,Arrangörslista!E$53:$AG$90,16,FALSE),"DNS")))),IF(ISBLANK(Deltagarlista!$C18),"",IF(ISBLANK(Arrangörslista!E$53),"",IFERROR(VLOOKUP($F49,Arrangörslista!E$53:$AG$90,16,FALSE),"DNS")))))</f>
        <v/>
      </c>
      <c r="AB49" s="5" t="str">
        <f>IF(Deltagarlista!$K$3=4,IF(ISBLANK(Deltagarlista!$C18),"",IF(ISBLANK(Arrangörslista!I$98),"",IFERROR(VLOOKUP($F49,Arrangörslista!I$98:$AG$135,16,FALSE),IF(ISBLANK(Deltagarlista!$C18),"",IF(ISBLANK(Arrangörslista!I$98),"",IFERROR(VLOOKUP($F49,Arrangörslista!J$98:$AG$135,16,FALSE),"DNS")))))),IF(Deltagarlista!$K$3=2,
IF(ISBLANK(Deltagarlista!$C18),"",IF(ISBLANK(Arrangörslista!F$53),"",IF($GV49=AB$64," DNS ",IFERROR(VLOOKUP($F49,Arrangörslista!F$53:$AG$90,16,FALSE),"DNS")))),IF(ISBLANK(Deltagarlista!$C18),"",IF(ISBLANK(Arrangörslista!F$53),"",IFERROR(VLOOKUP($F49,Arrangörslista!F$53:$AG$90,16,FALSE),"DNS")))))</f>
        <v/>
      </c>
      <c r="AC49" s="5" t="str">
        <f>IF(Deltagarlista!$K$3=4,IF(ISBLANK(Deltagarlista!$C18),"",IF(ISBLANK(Arrangörslista!K$98),"",IFERROR(VLOOKUP($F49,Arrangörslista!K$98:$AG$135,16,FALSE),IF(ISBLANK(Deltagarlista!$C18),"",IF(ISBLANK(Arrangörslista!K$98),"",IFERROR(VLOOKUP($F49,Arrangörslista!L$98:$AG$135,16,FALSE),"DNS")))))),IF(Deltagarlista!$K$3=2,
IF(ISBLANK(Deltagarlista!$C18),"",IF(ISBLANK(Arrangörslista!G$53),"",IF($GV49=AC$64," DNS ",IFERROR(VLOOKUP($F49,Arrangörslista!G$53:$AG$90,16,FALSE),"DNS")))),IF(ISBLANK(Deltagarlista!$C18),"",IF(ISBLANK(Arrangörslista!G$53),"",IFERROR(VLOOKUP($F49,Arrangörslista!G$53:$AG$90,16,FALSE),"DNS")))))</f>
        <v/>
      </c>
      <c r="AD49" s="5" t="str">
        <f>IF(Deltagarlista!$K$3=4,IF(ISBLANK(Deltagarlista!$C18),"",IF(ISBLANK(Arrangörslista!M$98),"",IFERROR(VLOOKUP($F49,Arrangörslista!M$98:$AG$135,16,FALSE),IF(ISBLANK(Deltagarlista!$C18),"",IF(ISBLANK(Arrangörslista!M$98),"",IFERROR(VLOOKUP($F49,Arrangörslista!N$98:$AG$135,16,FALSE),"DNS")))))),IF(Deltagarlista!$K$3=2,
IF(ISBLANK(Deltagarlista!$C18),"",IF(ISBLANK(Arrangörslista!H$53),"",IF($GV49=AD$64," DNS ",IFERROR(VLOOKUP($F49,Arrangörslista!H$53:$AG$90,16,FALSE),"DNS")))),IF(ISBLANK(Deltagarlista!$C18),"",IF(ISBLANK(Arrangörslista!H$53),"",IFERROR(VLOOKUP($F49,Arrangörslista!H$53:$AG$90,16,FALSE),"DNS")))))</f>
        <v/>
      </c>
      <c r="AE49" s="5" t="str">
        <f>IF(Deltagarlista!$K$3=4,IF(ISBLANK(Deltagarlista!$C18),"",IF(ISBLANK(Arrangörslista!O$98),"",IFERROR(VLOOKUP($F49,Arrangörslista!O$98:$AG$135,16,FALSE),IF(ISBLANK(Deltagarlista!$C18),"",IF(ISBLANK(Arrangörslista!O$98),"",IFERROR(VLOOKUP($F49,Arrangörslista!P$98:$AG$135,16,FALSE),"DNS")))))),IF(Deltagarlista!$K$3=2,
IF(ISBLANK(Deltagarlista!$C18),"",IF(ISBLANK(Arrangörslista!I$53),"",IF($GV49=AE$64," DNS ",IFERROR(VLOOKUP($F49,Arrangörslista!I$53:$AG$90,16,FALSE),"DNS")))),IF(ISBLANK(Deltagarlista!$C18),"",IF(ISBLANK(Arrangörslista!I$53),"",IFERROR(VLOOKUP($F49,Arrangörslista!I$53:$AG$90,16,FALSE),"DNS")))))</f>
        <v/>
      </c>
      <c r="AF49" s="5" t="str">
        <f>IF(Deltagarlista!$K$3=4,IF(ISBLANK(Deltagarlista!$C18),"",IF(ISBLANK(Arrangörslista!Q$98),"",IFERROR(VLOOKUP($F49,Arrangörslista!Q$98:$AG$135,16,FALSE),IF(ISBLANK(Deltagarlista!$C18),"",IF(ISBLANK(Arrangörslista!Q$98),"",IFERROR(VLOOKUP($F49,Arrangörslista!C$143:$AG$180,16,FALSE),"DNS")))))),IF(Deltagarlista!$K$3=2,
IF(ISBLANK(Deltagarlista!$C18),"",IF(ISBLANK(Arrangörslista!J$53),"",IF($GV49=AF$64," DNS ",IFERROR(VLOOKUP($F49,Arrangörslista!J$53:$AG$90,16,FALSE),"DNS")))),IF(ISBLANK(Deltagarlista!$C18),"",IF(ISBLANK(Arrangörslista!J$53),"",IFERROR(VLOOKUP($F49,Arrangörslista!J$53:$AG$90,16,FALSE),"DNS")))))</f>
        <v/>
      </c>
      <c r="AG49" s="5" t="str">
        <f>IF(Deltagarlista!$K$3=4,IF(ISBLANK(Deltagarlista!$C18),"",IF(ISBLANK(Arrangörslista!D$143),"",IFERROR(VLOOKUP($F49,Arrangörslista!D$143:$AG$180,16,FALSE),IF(ISBLANK(Deltagarlista!$C18),"",IF(ISBLANK(Arrangörslista!D$143),"",IFERROR(VLOOKUP($F49,Arrangörslista!E$143:$AG$180,16,FALSE),"DNS")))))),IF(Deltagarlista!$K$3=2,
IF(ISBLANK(Deltagarlista!$C18),"",IF(ISBLANK(Arrangörslista!K$53),"",IF($GV49=AG$64," DNS ",IFERROR(VLOOKUP($F49,Arrangörslista!K$53:$AG$90,16,FALSE),"DNS")))),IF(ISBLANK(Deltagarlista!$C18),"",IF(ISBLANK(Arrangörslista!K$53),"",IFERROR(VLOOKUP($F49,Arrangörslista!K$53:$AG$90,16,FALSE),"DNS")))))</f>
        <v/>
      </c>
      <c r="AH49" s="5" t="str">
        <f>IF(Deltagarlista!$K$3=4,IF(ISBLANK(Deltagarlista!$C18),"",IF(ISBLANK(Arrangörslista!F$143),"",IFERROR(VLOOKUP($F49,Arrangörslista!F$143:$AG$180,16,FALSE),IF(ISBLANK(Deltagarlista!$C18),"",IF(ISBLANK(Arrangörslista!F$143),"",IFERROR(VLOOKUP($F49,Arrangörslista!G$143:$AG$180,16,FALSE),"DNS")))))),IF(Deltagarlista!$K$3=2,
IF(ISBLANK(Deltagarlista!$C18),"",IF(ISBLANK(Arrangörslista!L$53),"",IF($GV49=AH$64," DNS ",IFERROR(VLOOKUP($F49,Arrangörslista!L$53:$AG$90,16,FALSE),"DNS")))),IF(ISBLANK(Deltagarlista!$C18),"",IF(ISBLANK(Arrangörslista!L$53),"",IFERROR(VLOOKUP($F49,Arrangörslista!L$53:$AG$90,16,FALSE),"DNS")))))</f>
        <v/>
      </c>
      <c r="AI49" s="5" t="str">
        <f>IF(Deltagarlista!$K$3=4,IF(ISBLANK(Deltagarlista!$C18),"",IF(ISBLANK(Arrangörslista!H$143),"",IFERROR(VLOOKUP($F49,Arrangörslista!H$143:$AG$180,16,FALSE),IF(ISBLANK(Deltagarlista!$C18),"",IF(ISBLANK(Arrangörslista!H$143),"",IFERROR(VLOOKUP($F49,Arrangörslista!I$143:$AG$180,16,FALSE),"DNS")))))),IF(Deltagarlista!$K$3=2,
IF(ISBLANK(Deltagarlista!$C18),"",IF(ISBLANK(Arrangörslista!M$53),"",IF($GV49=AI$64," DNS ",IFERROR(VLOOKUP($F49,Arrangörslista!M$53:$AG$90,16,FALSE),"DNS")))),IF(ISBLANK(Deltagarlista!$C18),"",IF(ISBLANK(Arrangörslista!M$53),"",IFERROR(VLOOKUP($F49,Arrangörslista!M$53:$AG$90,16,FALSE),"DNS")))))</f>
        <v/>
      </c>
      <c r="AJ49" s="5" t="str">
        <f>IF(Deltagarlista!$K$3=4,IF(ISBLANK(Deltagarlista!$C18),"",IF(ISBLANK(Arrangörslista!J$143),"",IFERROR(VLOOKUP($F49,Arrangörslista!J$143:$AG$180,16,FALSE),IF(ISBLANK(Deltagarlista!$C18),"",IF(ISBLANK(Arrangörslista!J$143),"",IFERROR(VLOOKUP($F49,Arrangörslista!K$143:$AG$180,16,FALSE),"DNS")))))),IF(Deltagarlista!$K$3=2,
IF(ISBLANK(Deltagarlista!$C18),"",IF(ISBLANK(Arrangörslista!N$53),"",IF($GV49=AJ$64," DNS ",IFERROR(VLOOKUP($F49,Arrangörslista!N$53:$AG$90,16,FALSE),"DNS")))),IF(ISBLANK(Deltagarlista!$C18),"",IF(ISBLANK(Arrangörslista!N$53),"",IFERROR(VLOOKUP($F49,Arrangörslista!N$53:$AG$90,16,FALSE),"DNS")))))</f>
        <v/>
      </c>
      <c r="AK49" s="5" t="str">
        <f>IF(Deltagarlista!$K$3=4,IF(ISBLANK(Deltagarlista!$C18),"",IF(ISBLANK(Arrangörslista!L$143),"",IFERROR(VLOOKUP($F49,Arrangörslista!L$143:$AG$180,16,FALSE),IF(ISBLANK(Deltagarlista!$C18),"",IF(ISBLANK(Arrangörslista!L$143),"",IFERROR(VLOOKUP($F49,Arrangörslista!M$143:$AG$180,16,FALSE),"DNS")))))),IF(Deltagarlista!$K$3=2,
IF(ISBLANK(Deltagarlista!$C18),"",IF(ISBLANK(Arrangörslista!O$53),"",IF($GV49=AK$64," DNS ",IFERROR(VLOOKUP($F49,Arrangörslista!O$53:$AG$90,16,FALSE),"DNS")))),IF(ISBLANK(Deltagarlista!$C18),"",IF(ISBLANK(Arrangörslista!O$53),"",IFERROR(VLOOKUP($F49,Arrangörslista!O$53:$AG$90,16,FALSE),"DNS")))))</f>
        <v/>
      </c>
      <c r="AL49" s="5" t="str">
        <f>IF(Deltagarlista!$K$3=4,IF(ISBLANK(Deltagarlista!$C18),"",IF(ISBLANK(Arrangörslista!N$143),"",IFERROR(VLOOKUP($F49,Arrangörslista!N$143:$AG$180,16,FALSE),IF(ISBLANK(Deltagarlista!$C18),"",IF(ISBLANK(Arrangörslista!N$143),"",IFERROR(VLOOKUP($F49,Arrangörslista!O$143:$AG$180,16,FALSE),"DNS")))))),IF(Deltagarlista!$K$3=2,
IF(ISBLANK(Deltagarlista!$C18),"",IF(ISBLANK(Arrangörslista!P$53),"",IF($GV49=AL$64," DNS ",IFERROR(VLOOKUP($F49,Arrangörslista!P$53:$AG$90,16,FALSE),"DNS")))),IF(ISBLANK(Deltagarlista!$C18),"",IF(ISBLANK(Arrangörslista!P$53),"",IFERROR(VLOOKUP($F49,Arrangörslista!P$53:$AG$90,16,FALSE),"DNS")))))</f>
        <v/>
      </c>
      <c r="AM49" s="5" t="str">
        <f>IF(Deltagarlista!$K$3=4,IF(ISBLANK(Deltagarlista!$C18),"",IF(ISBLANK(Arrangörslista!P$143),"",IFERROR(VLOOKUP($F49,Arrangörslista!P$143:$AG$180,16,FALSE),IF(ISBLANK(Deltagarlista!$C18),"",IF(ISBLANK(Arrangörslista!P$143),"",IFERROR(VLOOKUP($F49,Arrangörslista!Q$143:$AG$180,16,FALSE),"DNS")))))),IF(Deltagarlista!$K$3=2,
IF(ISBLANK(Deltagarlista!$C18),"",IF(ISBLANK(Arrangörslista!Q$53),"",IF($GV49=AM$64," DNS ",IFERROR(VLOOKUP($F49,Arrangörslista!Q$53:$AG$90,16,FALSE),"DNS")))),IF(ISBLANK(Deltagarlista!$C18),"",IF(ISBLANK(Arrangörslista!Q$53),"",IFERROR(VLOOKUP($F49,Arrangörslista!Q$53:$AG$90,16,FALSE),"DNS")))))</f>
        <v/>
      </c>
      <c r="AN49" s="5" t="str">
        <f>IF(Deltagarlista!$K$3=2,
IF(ISBLANK(Deltagarlista!$C18),"",IF(ISBLANK(Arrangörslista!C$98),"",IF($GV49=AN$64," DNS ",IFERROR(VLOOKUP($F49,Arrangörslista!C$98:$AG$135,16,FALSE), "DNS")))), IF(Deltagarlista!$K$3=1,IF(ISBLANK(Deltagarlista!$C18),"",IF(ISBLANK(Arrangörslista!C$98),"",IFERROR(VLOOKUP($F49,Arrangörslista!C$98:$AG$135,16,FALSE), "DNS"))),""))</f>
        <v/>
      </c>
      <c r="AO49" s="5" t="str">
        <f>IF(Deltagarlista!$K$3=2,
IF(ISBLANK(Deltagarlista!$C18),"",IF(ISBLANK(Arrangörslista!D$98),"",IF($GV49=AO$64," DNS ",IFERROR(VLOOKUP($F49,Arrangörslista!D$98:$AG$135,16,FALSE), "DNS")))), IF(Deltagarlista!$K$3=1,IF(ISBLANK(Deltagarlista!$C18),"",IF(ISBLANK(Arrangörslista!D$98),"",IFERROR(VLOOKUP($F49,Arrangörslista!D$98:$AG$135,16,FALSE), "DNS"))),""))</f>
        <v/>
      </c>
      <c r="AP49" s="5" t="str">
        <f>IF(Deltagarlista!$K$3=2,
IF(ISBLANK(Deltagarlista!$C18),"",IF(ISBLANK(Arrangörslista!E$98),"",IF($GV49=AP$64," DNS ",IFERROR(VLOOKUP($F49,Arrangörslista!E$98:$AG$135,16,FALSE), "DNS")))), IF(Deltagarlista!$K$3=1,IF(ISBLANK(Deltagarlista!$C18),"",IF(ISBLANK(Arrangörslista!E$98),"",IFERROR(VLOOKUP($F49,Arrangörslista!E$98:$AG$135,16,FALSE), "DNS"))),""))</f>
        <v/>
      </c>
      <c r="AQ49" s="5" t="str">
        <f>IF(Deltagarlista!$K$3=2,
IF(ISBLANK(Deltagarlista!$C18),"",IF(ISBLANK(Arrangörslista!F$98),"",IF($GV49=AQ$64," DNS ",IFERROR(VLOOKUP($F49,Arrangörslista!F$98:$AG$135,16,FALSE), "DNS")))), IF(Deltagarlista!$K$3=1,IF(ISBLANK(Deltagarlista!$C18),"",IF(ISBLANK(Arrangörslista!F$98),"",IFERROR(VLOOKUP($F49,Arrangörslista!F$98:$AG$135,16,FALSE), "DNS"))),""))</f>
        <v/>
      </c>
      <c r="AR49" s="5" t="str">
        <f>IF(Deltagarlista!$K$3=2,
IF(ISBLANK(Deltagarlista!$C18),"",IF(ISBLANK(Arrangörslista!G$98),"",IF($GV49=AR$64," DNS ",IFERROR(VLOOKUP($F49,Arrangörslista!G$98:$AG$135,16,FALSE), "DNS")))), IF(Deltagarlista!$K$3=1,IF(ISBLANK(Deltagarlista!$C18),"",IF(ISBLANK(Arrangörslista!G$98),"",IFERROR(VLOOKUP($F49,Arrangörslista!G$98:$AG$135,16,FALSE), "DNS"))),""))</f>
        <v/>
      </c>
      <c r="AS49" s="5" t="str">
        <f>IF(Deltagarlista!$K$3=2,
IF(ISBLANK(Deltagarlista!$C18),"",IF(ISBLANK(Arrangörslista!H$98),"",IF($GV49=AS$64," DNS ",IFERROR(VLOOKUP($F49,Arrangörslista!H$98:$AG$135,16,FALSE), "DNS")))), IF(Deltagarlista!$K$3=1,IF(ISBLANK(Deltagarlista!$C18),"",IF(ISBLANK(Arrangörslista!H$98),"",IFERROR(VLOOKUP($F49,Arrangörslista!H$98:$AG$135,16,FALSE), "DNS"))),""))</f>
        <v/>
      </c>
      <c r="AT49" s="5" t="str">
        <f>IF(Deltagarlista!$K$3=2,
IF(ISBLANK(Deltagarlista!$C18),"",IF(ISBLANK(Arrangörslista!I$98),"",IF($GV49=AT$64," DNS ",IFERROR(VLOOKUP($F49,Arrangörslista!I$98:$AG$135,16,FALSE), "DNS")))), IF(Deltagarlista!$K$3=1,IF(ISBLANK(Deltagarlista!$C18),"",IF(ISBLANK(Arrangörslista!I$98),"",IFERROR(VLOOKUP($F49,Arrangörslista!I$98:$AG$135,16,FALSE), "DNS"))),""))</f>
        <v/>
      </c>
      <c r="AU49" s="5" t="str">
        <f>IF(Deltagarlista!$K$3=2,
IF(ISBLANK(Deltagarlista!$C18),"",IF(ISBLANK(Arrangörslista!J$98),"",IF($GV49=AU$64," DNS ",IFERROR(VLOOKUP($F49,Arrangörslista!J$98:$AG$135,16,FALSE), "DNS")))), IF(Deltagarlista!$K$3=1,IF(ISBLANK(Deltagarlista!$C18),"",IF(ISBLANK(Arrangörslista!J$98),"",IFERROR(VLOOKUP($F49,Arrangörslista!J$98:$AG$135,16,FALSE), "DNS"))),""))</f>
        <v/>
      </c>
      <c r="AV49" s="5" t="str">
        <f>IF(Deltagarlista!$K$3=2,
IF(ISBLANK(Deltagarlista!$C18),"",IF(ISBLANK(Arrangörslista!K$98),"",IF($GV49=AV$64," DNS ",IFERROR(VLOOKUP($F49,Arrangörslista!K$98:$AG$135,16,FALSE), "DNS")))), IF(Deltagarlista!$K$3=1,IF(ISBLANK(Deltagarlista!$C18),"",IF(ISBLANK(Arrangörslista!K$98),"",IFERROR(VLOOKUP($F49,Arrangörslista!K$98:$AG$135,16,FALSE), "DNS"))),""))</f>
        <v/>
      </c>
      <c r="AW49" s="5" t="str">
        <f>IF(Deltagarlista!$K$3=2,
IF(ISBLANK(Deltagarlista!$C18),"",IF(ISBLANK(Arrangörslista!L$98),"",IF($GV49=AW$64," DNS ",IFERROR(VLOOKUP($F49,Arrangörslista!L$98:$AG$135,16,FALSE), "DNS")))), IF(Deltagarlista!$K$3=1,IF(ISBLANK(Deltagarlista!$C18),"",IF(ISBLANK(Arrangörslista!L$98),"",IFERROR(VLOOKUP($F49,Arrangörslista!L$98:$AG$135,16,FALSE), "DNS"))),""))</f>
        <v/>
      </c>
      <c r="AX49" s="5" t="str">
        <f>IF(Deltagarlista!$K$3=2,
IF(ISBLANK(Deltagarlista!$C18),"",IF(ISBLANK(Arrangörslista!M$98),"",IF($GV49=AX$64," DNS ",IFERROR(VLOOKUP($F49,Arrangörslista!M$98:$AG$135,16,FALSE), "DNS")))), IF(Deltagarlista!$K$3=1,IF(ISBLANK(Deltagarlista!$C18),"",IF(ISBLANK(Arrangörslista!M$98),"",IFERROR(VLOOKUP($F49,Arrangörslista!M$98:$AG$135,16,FALSE), "DNS"))),""))</f>
        <v/>
      </c>
      <c r="AY49" s="5" t="str">
        <f>IF(Deltagarlista!$K$3=2,
IF(ISBLANK(Deltagarlista!$C18),"",IF(ISBLANK(Arrangörslista!N$98),"",IF($GV49=AY$64," DNS ",IFERROR(VLOOKUP($F49,Arrangörslista!N$98:$AG$135,16,FALSE), "DNS")))), IF(Deltagarlista!$K$3=1,IF(ISBLANK(Deltagarlista!$C18),"",IF(ISBLANK(Arrangörslista!N$98),"",IFERROR(VLOOKUP($F49,Arrangörslista!N$98:$AG$135,16,FALSE), "DNS"))),""))</f>
        <v/>
      </c>
      <c r="AZ49" s="5" t="str">
        <f>IF(Deltagarlista!$K$3=2,
IF(ISBLANK(Deltagarlista!$C18),"",IF(ISBLANK(Arrangörslista!O$98),"",IF($GV49=AZ$64," DNS ",IFERROR(VLOOKUP($F49,Arrangörslista!O$98:$AG$135,16,FALSE), "DNS")))), IF(Deltagarlista!$K$3=1,IF(ISBLANK(Deltagarlista!$C18),"",IF(ISBLANK(Arrangörslista!O$98),"",IFERROR(VLOOKUP($F49,Arrangörslista!O$98:$AG$135,16,FALSE), "DNS"))),""))</f>
        <v/>
      </c>
      <c r="BA49" s="5" t="str">
        <f>IF(Deltagarlista!$K$3=2,
IF(ISBLANK(Deltagarlista!$C18),"",IF(ISBLANK(Arrangörslista!P$98),"",IF($GV49=BA$64," DNS ",IFERROR(VLOOKUP($F49,Arrangörslista!P$98:$AG$135,16,FALSE), "DNS")))), IF(Deltagarlista!$K$3=1,IF(ISBLANK(Deltagarlista!$C18),"",IF(ISBLANK(Arrangörslista!P$98),"",IFERROR(VLOOKUP($F49,Arrangörslista!P$98:$AG$135,16,FALSE), "DNS"))),""))</f>
        <v/>
      </c>
      <c r="BB49" s="5" t="str">
        <f>IF(Deltagarlista!$K$3=2,
IF(ISBLANK(Deltagarlista!$C18),"",IF(ISBLANK(Arrangörslista!Q$98),"",IF($GV49=BB$64," DNS ",IFERROR(VLOOKUP($F49,Arrangörslista!Q$98:$AG$135,16,FALSE), "DNS")))), IF(Deltagarlista!$K$3=1,IF(ISBLANK(Deltagarlista!$C18),"",IF(ISBLANK(Arrangörslista!Q$98),"",IFERROR(VLOOKUP($F49,Arrangörslista!Q$98:$AG$135,16,FALSE), "DNS"))),""))</f>
        <v/>
      </c>
      <c r="BC49" s="5" t="str">
        <f>IF(Deltagarlista!$K$3=2,
IF(ISBLANK(Deltagarlista!$C18),"",IF(ISBLANK(Arrangörslista!C$143),"",IF($GV49=BC$64," DNS ",IFERROR(VLOOKUP($F49,Arrangörslista!C$143:$AG$180,16,FALSE), "DNS")))), IF(Deltagarlista!$K$3=1,IF(ISBLANK(Deltagarlista!$C18),"",IF(ISBLANK(Arrangörslista!C$143),"",IFERROR(VLOOKUP($F49,Arrangörslista!C$143:$AG$180,16,FALSE), "DNS"))),""))</f>
        <v/>
      </c>
      <c r="BD49" s="5" t="str">
        <f>IF(Deltagarlista!$K$3=2,
IF(ISBLANK(Deltagarlista!$C18),"",IF(ISBLANK(Arrangörslista!D$143),"",IF($GV49=BD$64," DNS ",IFERROR(VLOOKUP($F49,Arrangörslista!D$143:$AG$180,16,FALSE), "DNS")))), IF(Deltagarlista!$K$3=1,IF(ISBLANK(Deltagarlista!$C18),"",IF(ISBLANK(Arrangörslista!D$143),"",IFERROR(VLOOKUP($F49,Arrangörslista!D$143:$AG$180,16,FALSE), "DNS"))),""))</f>
        <v/>
      </c>
      <c r="BE49" s="5" t="str">
        <f>IF(Deltagarlista!$K$3=2,
IF(ISBLANK(Deltagarlista!$C18),"",IF(ISBLANK(Arrangörslista!E$143),"",IF($GV49=BE$64," DNS ",IFERROR(VLOOKUP($F49,Arrangörslista!E$143:$AG$180,16,FALSE), "DNS")))), IF(Deltagarlista!$K$3=1,IF(ISBLANK(Deltagarlista!$C18),"",IF(ISBLANK(Arrangörslista!E$143),"",IFERROR(VLOOKUP($F49,Arrangörslista!E$143:$AG$180,16,FALSE), "DNS"))),""))</f>
        <v/>
      </c>
      <c r="BF49" s="5" t="str">
        <f>IF(Deltagarlista!$K$3=2,
IF(ISBLANK(Deltagarlista!$C18),"",IF(ISBLANK(Arrangörslista!F$143),"",IF($GV49=BF$64," DNS ",IFERROR(VLOOKUP($F49,Arrangörslista!F$143:$AG$180,16,FALSE), "DNS")))), IF(Deltagarlista!$K$3=1,IF(ISBLANK(Deltagarlista!$C18),"",IF(ISBLANK(Arrangörslista!F$143),"",IFERROR(VLOOKUP($F49,Arrangörslista!F$143:$AG$180,16,FALSE), "DNS"))),""))</f>
        <v/>
      </c>
      <c r="BG49" s="5" t="str">
        <f>IF(Deltagarlista!$K$3=2,
IF(ISBLANK(Deltagarlista!$C18),"",IF(ISBLANK(Arrangörslista!G$143),"",IF($GV49=BG$64," DNS ",IFERROR(VLOOKUP($F49,Arrangörslista!G$143:$AG$180,16,FALSE), "DNS")))), IF(Deltagarlista!$K$3=1,IF(ISBLANK(Deltagarlista!$C18),"",IF(ISBLANK(Arrangörslista!G$143),"",IFERROR(VLOOKUP($F49,Arrangörslista!G$143:$AG$180,16,FALSE), "DNS"))),""))</f>
        <v/>
      </c>
      <c r="BH49" s="5" t="str">
        <f>IF(Deltagarlista!$K$3=2,
IF(ISBLANK(Deltagarlista!$C18),"",IF(ISBLANK(Arrangörslista!H$143),"",IF($GV49=BH$64," DNS ",IFERROR(VLOOKUP($F49,Arrangörslista!H$143:$AG$180,16,FALSE), "DNS")))), IF(Deltagarlista!$K$3=1,IF(ISBLANK(Deltagarlista!$C18),"",IF(ISBLANK(Arrangörslista!H$143),"",IFERROR(VLOOKUP($F49,Arrangörslista!H$143:$AG$180,16,FALSE), "DNS"))),""))</f>
        <v/>
      </c>
      <c r="BI49" s="5" t="str">
        <f>IF(Deltagarlista!$K$3=2,
IF(ISBLANK(Deltagarlista!$C18),"",IF(ISBLANK(Arrangörslista!I$143),"",IF($GV49=BI$64," DNS ",IFERROR(VLOOKUP($F49,Arrangörslista!I$143:$AG$180,16,FALSE), "DNS")))), IF(Deltagarlista!$K$3=1,IF(ISBLANK(Deltagarlista!$C18),"",IF(ISBLANK(Arrangörslista!I$143),"",IFERROR(VLOOKUP($F49,Arrangörslista!I$143:$AG$180,16,FALSE), "DNS"))),""))</f>
        <v/>
      </c>
      <c r="BJ49" s="5" t="str">
        <f>IF(Deltagarlista!$K$3=2,
IF(ISBLANK(Deltagarlista!$C18),"",IF(ISBLANK(Arrangörslista!J$143),"",IF($GV49=BJ$64," DNS ",IFERROR(VLOOKUP($F49,Arrangörslista!J$143:$AG$180,16,FALSE), "DNS")))), IF(Deltagarlista!$K$3=1,IF(ISBLANK(Deltagarlista!$C18),"",IF(ISBLANK(Arrangörslista!J$143),"",IFERROR(VLOOKUP($F49,Arrangörslista!J$143:$AG$180,16,FALSE), "DNS"))),""))</f>
        <v/>
      </c>
      <c r="BK49" s="5" t="str">
        <f>IF(Deltagarlista!$K$3=2,
IF(ISBLANK(Deltagarlista!$C18),"",IF(ISBLANK(Arrangörslista!K$143),"",IF($GV49=BK$64," DNS ",IFERROR(VLOOKUP($F49,Arrangörslista!K$143:$AG$180,16,FALSE), "DNS")))), IF(Deltagarlista!$K$3=1,IF(ISBLANK(Deltagarlista!$C18),"",IF(ISBLANK(Arrangörslista!K$143),"",IFERROR(VLOOKUP($F49,Arrangörslista!K$143:$AG$180,16,FALSE), "DNS"))),""))</f>
        <v/>
      </c>
      <c r="BL49" s="5" t="str">
        <f>IF(Deltagarlista!$K$3=2,
IF(ISBLANK(Deltagarlista!$C18),"",IF(ISBLANK(Arrangörslista!L$143),"",IF($GV49=BL$64," DNS ",IFERROR(VLOOKUP($F49,Arrangörslista!L$143:$AG$180,16,FALSE), "DNS")))), IF(Deltagarlista!$K$3=1,IF(ISBLANK(Deltagarlista!$C18),"",IF(ISBLANK(Arrangörslista!L$143),"",IFERROR(VLOOKUP($F49,Arrangörslista!L$143:$AG$180,16,FALSE), "DNS"))),""))</f>
        <v/>
      </c>
      <c r="BM49" s="5" t="str">
        <f>IF(Deltagarlista!$K$3=2,
IF(ISBLANK(Deltagarlista!$C18),"",IF(ISBLANK(Arrangörslista!M$143),"",IF($GV49=BM$64," DNS ",IFERROR(VLOOKUP($F49,Arrangörslista!M$143:$AG$180,16,FALSE), "DNS")))), IF(Deltagarlista!$K$3=1,IF(ISBLANK(Deltagarlista!$C18),"",IF(ISBLANK(Arrangörslista!M$143),"",IFERROR(VLOOKUP($F49,Arrangörslista!M$143:$AG$180,16,FALSE), "DNS"))),""))</f>
        <v/>
      </c>
      <c r="BN49" s="5" t="str">
        <f>IF(Deltagarlista!$K$3=2,
IF(ISBLANK(Deltagarlista!$C18),"",IF(ISBLANK(Arrangörslista!N$143),"",IF($GV49=BN$64," DNS ",IFERROR(VLOOKUP($F49,Arrangörslista!N$143:$AG$180,16,FALSE), "DNS")))), IF(Deltagarlista!$K$3=1,IF(ISBLANK(Deltagarlista!$C18),"",IF(ISBLANK(Arrangörslista!N$143),"",IFERROR(VLOOKUP($F49,Arrangörslista!N$143:$AG$180,16,FALSE), "DNS"))),""))</f>
        <v/>
      </c>
      <c r="BO49" s="5" t="str">
        <f>IF(Deltagarlista!$K$3=2,
IF(ISBLANK(Deltagarlista!$C18),"",IF(ISBLANK(Arrangörslista!O$143),"",IF($GV49=BO$64," DNS ",IFERROR(VLOOKUP($F49,Arrangörslista!O$143:$AG$180,16,FALSE), "DNS")))), IF(Deltagarlista!$K$3=1,IF(ISBLANK(Deltagarlista!$C18),"",IF(ISBLANK(Arrangörslista!O$143),"",IFERROR(VLOOKUP($F49,Arrangörslista!O$143:$AG$180,16,FALSE), "DNS"))),""))</f>
        <v/>
      </c>
      <c r="BP49" s="5" t="str">
        <f>IF(Deltagarlista!$K$3=2,
IF(ISBLANK(Deltagarlista!$C18),"",IF(ISBLANK(Arrangörslista!P$143),"",IF($GV49=BP$64," DNS ",IFERROR(VLOOKUP($F49,Arrangörslista!P$143:$AG$180,16,FALSE), "DNS")))), IF(Deltagarlista!$K$3=1,IF(ISBLANK(Deltagarlista!$C18),"",IF(ISBLANK(Arrangörslista!P$143),"",IFERROR(VLOOKUP($F49,Arrangörslista!P$143:$AG$180,16,FALSE), "DNS"))),""))</f>
        <v/>
      </c>
      <c r="BQ49" s="80" t="str">
        <f>IF(Deltagarlista!$K$3=2,
IF(ISBLANK(Deltagarlista!$C18),"",IF(ISBLANK(Arrangörslista!Q$143),"",IF($GV49=BQ$64," DNS ",IFERROR(VLOOKUP($F49,Arrangörslista!Q$143:$AG$180,16,FALSE), "DNS")))), IF(Deltagarlista!$K$3=1,IF(ISBLANK(Deltagarlista!$C18),"",IF(ISBLANK(Arrangörslista!Q$143),"",IFERROR(VLOOKUP($F49,Arrangörslista!Q$143:$AG$180,16,FALSE), "DNS"))),""))</f>
        <v/>
      </c>
      <c r="BR49" s="51"/>
      <c r="BS49" s="50" t="str">
        <f t="shared" si="125"/>
        <v>2</v>
      </c>
      <c r="BT49" s="51"/>
      <c r="BU49" s="71">
        <f t="shared" si="126"/>
        <v>0</v>
      </c>
      <c r="BV49" s="61">
        <f t="shared" si="127"/>
        <v>0</v>
      </c>
      <c r="BW49" s="61">
        <f t="shared" si="128"/>
        <v>0</v>
      </c>
      <c r="BX49" s="61">
        <f t="shared" si="129"/>
        <v>0</v>
      </c>
      <c r="BY49" s="61">
        <f t="shared" si="130"/>
        <v>0</v>
      </c>
      <c r="BZ49" s="61">
        <f t="shared" si="131"/>
        <v>0</v>
      </c>
      <c r="CA49" s="61">
        <f t="shared" si="132"/>
        <v>0</v>
      </c>
      <c r="CB49" s="61">
        <f t="shared" si="133"/>
        <v>0</v>
      </c>
      <c r="CC49" s="61">
        <f t="shared" si="134"/>
        <v>0</v>
      </c>
      <c r="CD49" s="61">
        <f t="shared" si="135"/>
        <v>0</v>
      </c>
      <c r="CE49" s="61">
        <f t="shared" si="136"/>
        <v>0</v>
      </c>
      <c r="CF49" s="61">
        <f t="shared" si="137"/>
        <v>0</v>
      </c>
      <c r="CG49" s="61">
        <f t="shared" si="138"/>
        <v>0</v>
      </c>
      <c r="CH49" s="61">
        <f t="shared" si="139"/>
        <v>0</v>
      </c>
      <c r="CI49" s="61">
        <f t="shared" si="140"/>
        <v>0</v>
      </c>
      <c r="CJ49" s="61">
        <f t="shared" si="141"/>
        <v>0</v>
      </c>
      <c r="CK49" s="61">
        <f t="shared" si="142"/>
        <v>0</v>
      </c>
      <c r="CL49" s="61">
        <f t="shared" si="143"/>
        <v>0</v>
      </c>
      <c r="CM49" s="61">
        <f t="shared" si="144"/>
        <v>0</v>
      </c>
      <c r="CN49" s="61">
        <f t="shared" si="145"/>
        <v>0</v>
      </c>
      <c r="CO49" s="61">
        <f t="shared" si="146"/>
        <v>0</v>
      </c>
      <c r="CP49" s="61">
        <f t="shared" si="147"/>
        <v>0</v>
      </c>
      <c r="CQ49" s="61">
        <f t="shared" si="148"/>
        <v>0</v>
      </c>
      <c r="CR49" s="61">
        <f t="shared" si="149"/>
        <v>0</v>
      </c>
      <c r="CS49" s="61">
        <f t="shared" si="150"/>
        <v>0</v>
      </c>
      <c r="CT49" s="61">
        <f t="shared" si="151"/>
        <v>0</v>
      </c>
      <c r="CU49" s="61">
        <f t="shared" si="152"/>
        <v>0</v>
      </c>
      <c r="CV49" s="61">
        <f t="shared" si="153"/>
        <v>0</v>
      </c>
      <c r="CW49" s="61">
        <f t="shared" si="154"/>
        <v>0</v>
      </c>
      <c r="CX49" s="61">
        <f t="shared" si="155"/>
        <v>0</v>
      </c>
      <c r="CY49" s="61">
        <f t="shared" si="156"/>
        <v>0</v>
      </c>
      <c r="CZ49" s="61">
        <f t="shared" si="157"/>
        <v>0</v>
      </c>
      <c r="DA49" s="61">
        <f t="shared" si="158"/>
        <v>0</v>
      </c>
      <c r="DB49" s="61">
        <f t="shared" si="159"/>
        <v>0</v>
      </c>
      <c r="DC49" s="61">
        <f t="shared" si="160"/>
        <v>0</v>
      </c>
      <c r="DD49" s="61">
        <f t="shared" si="161"/>
        <v>0</v>
      </c>
      <c r="DE49" s="61">
        <f t="shared" si="162"/>
        <v>0</v>
      </c>
      <c r="DF49" s="61">
        <f t="shared" si="163"/>
        <v>0</v>
      </c>
      <c r="DG49" s="61">
        <f t="shared" si="164"/>
        <v>0</v>
      </c>
      <c r="DH49" s="61">
        <f t="shared" si="165"/>
        <v>0</v>
      </c>
      <c r="DI49" s="61">
        <f t="shared" si="166"/>
        <v>0</v>
      </c>
      <c r="DJ49" s="61">
        <f t="shared" si="167"/>
        <v>0</v>
      </c>
      <c r="DK49" s="61">
        <f t="shared" si="168"/>
        <v>0</v>
      </c>
      <c r="DL49" s="61">
        <f t="shared" si="169"/>
        <v>0</v>
      </c>
      <c r="DM49" s="61">
        <f t="shared" si="170"/>
        <v>0</v>
      </c>
      <c r="DN49" s="61">
        <f t="shared" si="171"/>
        <v>0</v>
      </c>
      <c r="DO49" s="61">
        <f t="shared" si="172"/>
        <v>0</v>
      </c>
      <c r="DP49" s="61">
        <f t="shared" si="173"/>
        <v>0</v>
      </c>
      <c r="DQ49" s="61">
        <f t="shared" si="174"/>
        <v>0</v>
      </c>
      <c r="DR49" s="61">
        <f t="shared" si="175"/>
        <v>0</v>
      </c>
      <c r="DS49" s="61">
        <f t="shared" si="176"/>
        <v>0</v>
      </c>
      <c r="DT49" s="61">
        <f t="shared" si="177"/>
        <v>0</v>
      </c>
      <c r="DU49" s="61">
        <f t="shared" si="178"/>
        <v>0</v>
      </c>
      <c r="DV49" s="61">
        <f t="shared" si="179"/>
        <v>0</v>
      </c>
      <c r="DW49" s="61">
        <f t="shared" si="180"/>
        <v>0</v>
      </c>
      <c r="DX49" s="61">
        <f t="shared" si="181"/>
        <v>0</v>
      </c>
      <c r="DY49" s="61">
        <f t="shared" si="182"/>
        <v>0</v>
      </c>
      <c r="DZ49" s="61">
        <f t="shared" si="183"/>
        <v>0</v>
      </c>
      <c r="EA49" s="61">
        <f t="shared" si="184"/>
        <v>0</v>
      </c>
      <c r="EB49" s="61">
        <f t="shared" si="185"/>
        <v>0</v>
      </c>
      <c r="EC49" s="61">
        <f t="shared" si="186"/>
        <v>0</v>
      </c>
      <c r="EE49" s="61">
        <f xml:space="preserve">
IF(OR(Deltagarlista!$K$3=3,Deltagarlista!$K$3=4),
IF(Arrangörslista!$U$5&lt;8,0,
IF(Arrangörslista!$U$5&lt;16,SUM(LARGE(BV49:CJ49,1)),
IF(Arrangörslista!$U$5&lt;24,SUM(LARGE(BV49:CR49,{1;2})),
IF(Arrangörslista!$U$5&lt;32,SUM(LARGE(BV49:CZ49,{1;2;3})),
IF(Arrangörslista!$U$5&lt;40,SUM(LARGE(BV49:DH49,{1;2;3;4})),
IF(Arrangörslista!$U$5&lt;48,SUM(LARGE(BV49:DP49,{1;2;3;4;5})),
IF(Arrangörslista!$U$5&lt;56,SUM(LARGE(BV49:DX49,{1;2;3;4;5;6})),
IF(Arrangörslista!$U$5&lt;64,SUM(LARGE(BV49:EC49,{1;2;3;4;5;6;7})),0)))))))),
IF(Deltagarlista!$K$3=2,
IF(Arrangörslista!$U$5&lt;4,LARGE(BV49:BX49,1),
IF(Arrangörslista!$U$5&lt;7,SUM(LARGE(BV49:CA49,{1;2;3})),
IF(Arrangörslista!$U$5&lt;10,SUM(LARGE(BV49:CD49,{1;2;3;4})),
IF(Arrangörslista!$U$5&lt;13,SUM(LARGE(BV49:CG49,{1;2;3;4;5;6})),
IF(Arrangörslista!$U$5&lt;16,SUM(LARGE(BV49:CJ49,{1;2;3;4;5;6;7})),
IF(Arrangörslista!$U$5&lt;19,SUM(LARGE(BV49:CM49,{1;2;3;4;5;6;7;8;9})),
IF(Arrangörslista!$U$5&lt;22,SUM(LARGE(BV49:CP49,{1;2;3;4;5;6;7;8;9;10})),
IF(Arrangörslista!$U$5&lt;25,SUM(LARGE(BV49:CS49,{1;2;3;4;5;6;7;8;9;10;11;12})),
IF(Arrangörslista!$U$5&lt;28,SUM(LARGE(BV49:CV49,{1;2;3;4;5;6;7;8;9;10;11;12;13})),
IF(Arrangörslista!$U$5&lt;31,SUM(LARGE(BV49:CY49,{1;2;3;4;5;6;7;8;9;10;11;12;13;14;15})),
IF(Arrangörslista!$U$5&lt;34,SUM(LARGE(BV49:DB49,{1;2;3;4;5;6;7;8;9;10;11;12;13;14;15;16})),
IF(Arrangörslista!$U$5&lt;37,SUM(LARGE(BV49:DE49,{1;2;3;4;5;6;7;8;9;10;11;12;13;14;15;16;17;18})),
IF(Arrangörslista!$U$5&lt;40,SUM(LARGE(BV49:DH49,{1;2;3;4;5;6;7;8;9;10;11;12;13;14;15;16;17;18;19})),
IF(Arrangörslista!$U$5&lt;43,SUM(LARGE(BV49:DK49,{1;2;3;4;5;6;7;8;9;10;11;12;13;14;15;16;17;18;19;20;21})),
IF(Arrangörslista!$U$5&lt;46,SUM(LARGE(BV49:DN49,{1;2;3;4;5;6;7;8;9;10;11;12;13;14;15;16;17;18;19;20;21;22})),
IF(Arrangörslista!$U$5&lt;49,SUM(LARGE(BV49:DQ49,{1;2;3;4;5;6;7;8;9;10;11;12;13;14;15;16;17;18;19;20;21;22;23;24})),
IF(Arrangörslista!$U$5&lt;52,SUM(LARGE(BV49:DT49,{1;2;3;4;5;6;7;8;9;10;11;12;13;14;15;16;17;18;19;20;21;22;23;24;25})),
IF(Arrangörslista!$U$5&lt;55,SUM(LARGE(BV49:DW49,{1;2;3;4;5;6;7;8;9;10;11;12;13;14;15;16;17;18;19;20;21;22;23;24;25;26;27})),
IF(Arrangörslista!$U$5&lt;58,SUM(LARGE(BV49:DZ49,{1;2;3;4;5;6;7;8;9;10;11;12;13;14;15;16;17;18;19;20;21;22;23;24;25;26;27;28})),
IF(Arrangörslista!$U$5&lt;61,SUM(LARGE(BV49:EC49,{1;2;3;4;5;6;7;8;9;10;11;12;13;14;15;16;17;18;19;20;21;22;23;24;25;26;27;28;29;30})),0)))))))))))))))))))),
IF(Arrangörslista!$U$5&lt;4,0,
IF(Arrangörslista!$U$5&lt;8,SUM(LARGE(BV49:CB49,1)),
IF(Arrangörslista!$U$5&lt;12,SUM(LARGE(BV49:CF49,{1;2})),
IF(Arrangörslista!$U$5&lt;16,SUM(LARGE(BV49:CJ49,{1;2;3})),
IF(Arrangörslista!$U$5&lt;20,SUM(LARGE(BV49:CN49,{1;2;3;4})),
IF(Arrangörslista!$U$5&lt;24,SUM(LARGE(BV49:CR49,{1;2;3;4;5})),
IF(Arrangörslista!$U$5&lt;28,SUM(LARGE(BV49:CV49,{1;2;3;4;5;6})),
IF(Arrangörslista!$U$5&lt;32,SUM(LARGE(BV49:CZ49,{1;2;3;4;5;6;7})),
IF(Arrangörslista!$U$5&lt;36,SUM(LARGE(BV49:DD49,{1;2;3;4;5;6;7;8})),
IF(Arrangörslista!$U$5&lt;40,SUM(LARGE(BV49:DH49,{1;2;3;4;5;6;7;8;9})),
IF(Arrangörslista!$U$5&lt;44,SUM(LARGE(BV49:DL49,{1;2;3;4;5;6;7;8;9;10})),
IF(Arrangörslista!$U$5&lt;48,SUM(LARGE(BV49:DP49,{1;2;3;4;5;6;7;8;9;10;11})),
IF(Arrangörslista!$U$5&lt;52,SUM(LARGE(BV49:DT49,{1;2;3;4;5;6;7;8;9;10;11;12})),
IF(Arrangörslista!$U$5&lt;56,SUM(LARGE(BV49:DX49,{1;2;3;4;5;6;7;8;9;10;11;12;13})),
IF(Arrangörslista!$U$5&lt;60,SUM(LARGE(BV49:EB49,{1;2;3;4;5;6;7;8;9;10;11;12;13;14})),
IF(Arrangörslista!$U$5=60,SUM(LARGE(BV49:EC49,{1;2;3;4;5;6;7;8;9;10;11;12;13;14;15})),0))))))))))))))))))</f>
        <v>0</v>
      </c>
      <c r="EG49" s="67">
        <f t="shared" si="187"/>
        <v>0</v>
      </c>
      <c r="EH49" s="61"/>
      <c r="EI49" s="61"/>
      <c r="EK49" s="62">
        <f t="shared" si="188"/>
        <v>61</v>
      </c>
      <c r="EL49" s="62">
        <f t="shared" si="189"/>
        <v>61</v>
      </c>
      <c r="EM49" s="62">
        <f t="shared" si="190"/>
        <v>61</v>
      </c>
      <c r="EN49" s="62">
        <f t="shared" si="191"/>
        <v>61</v>
      </c>
      <c r="EO49" s="62">
        <f t="shared" si="192"/>
        <v>61</v>
      </c>
      <c r="EP49" s="62">
        <f t="shared" si="193"/>
        <v>61</v>
      </c>
      <c r="EQ49" s="62">
        <f t="shared" si="194"/>
        <v>61</v>
      </c>
      <c r="ER49" s="62">
        <f t="shared" si="195"/>
        <v>61</v>
      </c>
      <c r="ES49" s="62">
        <f t="shared" si="196"/>
        <v>61</v>
      </c>
      <c r="ET49" s="62">
        <f t="shared" si="197"/>
        <v>61</v>
      </c>
      <c r="EU49" s="62">
        <f t="shared" si="198"/>
        <v>61</v>
      </c>
      <c r="EV49" s="62">
        <f t="shared" si="199"/>
        <v>61</v>
      </c>
      <c r="EW49" s="62">
        <f t="shared" si="200"/>
        <v>61</v>
      </c>
      <c r="EX49" s="62">
        <f t="shared" si="201"/>
        <v>61</v>
      </c>
      <c r="EY49" s="62">
        <f t="shared" si="202"/>
        <v>61</v>
      </c>
      <c r="EZ49" s="62">
        <f t="shared" si="203"/>
        <v>61</v>
      </c>
      <c r="FA49" s="62">
        <f t="shared" si="204"/>
        <v>61</v>
      </c>
      <c r="FB49" s="62">
        <f t="shared" si="205"/>
        <v>61</v>
      </c>
      <c r="FC49" s="62">
        <f t="shared" si="206"/>
        <v>61</v>
      </c>
      <c r="FD49" s="62">
        <f t="shared" si="207"/>
        <v>61</v>
      </c>
      <c r="FE49" s="62">
        <f t="shared" si="208"/>
        <v>61</v>
      </c>
      <c r="FF49" s="62">
        <f t="shared" si="209"/>
        <v>61</v>
      </c>
      <c r="FG49" s="62">
        <f t="shared" si="210"/>
        <v>61</v>
      </c>
      <c r="FH49" s="62">
        <f t="shared" si="211"/>
        <v>61</v>
      </c>
      <c r="FI49" s="62">
        <f t="shared" si="212"/>
        <v>61</v>
      </c>
      <c r="FJ49" s="62">
        <f t="shared" si="213"/>
        <v>61</v>
      </c>
      <c r="FK49" s="62">
        <f t="shared" si="214"/>
        <v>61</v>
      </c>
      <c r="FL49" s="62">
        <f t="shared" si="215"/>
        <v>61</v>
      </c>
      <c r="FM49" s="62">
        <f t="shared" si="216"/>
        <v>61</v>
      </c>
      <c r="FN49" s="62">
        <f t="shared" si="217"/>
        <v>61</v>
      </c>
      <c r="FO49" s="62">
        <f t="shared" si="218"/>
        <v>61</v>
      </c>
      <c r="FP49" s="62">
        <f t="shared" si="219"/>
        <v>61</v>
      </c>
      <c r="FQ49" s="62">
        <f t="shared" si="220"/>
        <v>61</v>
      </c>
      <c r="FR49" s="62">
        <f t="shared" si="221"/>
        <v>61</v>
      </c>
      <c r="FS49" s="62">
        <f t="shared" si="222"/>
        <v>61</v>
      </c>
      <c r="FT49" s="62">
        <f t="shared" si="223"/>
        <v>61</v>
      </c>
      <c r="FU49" s="62">
        <f t="shared" si="224"/>
        <v>61</v>
      </c>
      <c r="FV49" s="62">
        <f t="shared" si="225"/>
        <v>61</v>
      </c>
      <c r="FW49" s="62">
        <f t="shared" si="226"/>
        <v>61</v>
      </c>
      <c r="FX49" s="62">
        <f t="shared" si="227"/>
        <v>61</v>
      </c>
      <c r="FY49" s="62">
        <f t="shared" si="228"/>
        <v>61</v>
      </c>
      <c r="FZ49" s="62">
        <f t="shared" si="229"/>
        <v>61</v>
      </c>
      <c r="GA49" s="62">
        <f t="shared" si="230"/>
        <v>61</v>
      </c>
      <c r="GB49" s="62">
        <f t="shared" si="231"/>
        <v>61</v>
      </c>
      <c r="GC49" s="62">
        <f t="shared" si="232"/>
        <v>61</v>
      </c>
      <c r="GD49" s="62">
        <f t="shared" si="233"/>
        <v>61</v>
      </c>
      <c r="GE49" s="62">
        <f t="shared" si="234"/>
        <v>61</v>
      </c>
      <c r="GF49" s="62">
        <f t="shared" si="235"/>
        <v>61</v>
      </c>
      <c r="GG49" s="62">
        <f t="shared" si="236"/>
        <v>61</v>
      </c>
      <c r="GH49" s="62">
        <f t="shared" si="237"/>
        <v>61</v>
      </c>
      <c r="GI49" s="62">
        <f t="shared" si="238"/>
        <v>61</v>
      </c>
      <c r="GJ49" s="62">
        <f t="shared" si="239"/>
        <v>61</v>
      </c>
      <c r="GK49" s="62">
        <f t="shared" si="240"/>
        <v>61</v>
      </c>
      <c r="GL49" s="62">
        <f t="shared" si="241"/>
        <v>61</v>
      </c>
      <c r="GM49" s="62">
        <f t="shared" si="242"/>
        <v>61</v>
      </c>
      <c r="GN49" s="62">
        <f t="shared" si="243"/>
        <v>61</v>
      </c>
      <c r="GO49" s="62">
        <f t="shared" si="244"/>
        <v>61</v>
      </c>
      <c r="GP49" s="62">
        <f t="shared" si="245"/>
        <v>61</v>
      </c>
      <c r="GQ49" s="62">
        <f t="shared" si="246"/>
        <v>61</v>
      </c>
      <c r="GR49" s="62">
        <f t="shared" si="247"/>
        <v>61</v>
      </c>
      <c r="GT49" s="62">
        <f>IF(Deltagarlista!$K$3=2,
IF(GW49="1",
      IF(Arrangörslista!$U$5=1,J112,
IF(Arrangörslista!$U$5=2,K112,
IF(Arrangörslista!$U$5=3,L112,
IF(Arrangörslista!$U$5=4,M112,
IF(Arrangörslista!$U$5=5,N112,
IF(Arrangörslista!$U$5=6,O112,
IF(Arrangörslista!$U$5=7,P112,
IF(Arrangörslista!$U$5=8,Q112,
IF(Arrangörslista!$U$5=9,R112,
IF(Arrangörslista!$U$5=10,S112,
IF(Arrangörslista!$U$5=11,T112,
IF(Arrangörslista!$U$5=12,U112,
IF(Arrangörslista!$U$5=13,V112,
IF(Arrangörslista!$U$5=14,W112,
IF(Arrangörslista!$U$5=15,X112,
IF(Arrangörslista!$U$5=16,Y112,IF(Arrangörslista!$U$5=17,Z112,IF(Arrangörslista!$U$5=18,AA112,IF(Arrangörslista!$U$5=19,AB112,IF(Arrangörslista!$U$5=20,AC112,IF(Arrangörslista!$U$5=21,AD112,IF(Arrangörslista!$U$5=22,AE112,IF(Arrangörslista!$U$5=23,AF112, IF(Arrangörslista!$U$5=24,AG112, IF(Arrangörslista!$U$5=25,AH112, IF(Arrangörslista!$U$5=26,AI112, IF(Arrangörslista!$U$5=27,AJ112, IF(Arrangörslista!$U$5=28,AK112, IF(Arrangörslista!$U$5=29,AL112, IF(Arrangörslista!$U$5=30,AM112, IF(Arrangörslista!$U$5=31,AN112, IF(Arrangörslista!$U$5=32,AO112, IF(Arrangörslista!$U$5=33,AP112, IF(Arrangörslista!$U$5=34,AQ112, IF(Arrangörslista!$U$5=35,AR112, IF(Arrangörslista!$U$5=36,AS112, IF(Arrangörslista!$U$5=37,AT112, IF(Arrangörslista!$U$5=38,AU112, IF(Arrangörslista!$U$5=39,AV112, IF(Arrangörslista!$U$5=40,AW112, IF(Arrangörslista!$U$5=41,AX112, IF(Arrangörslista!$U$5=42,AY112, IF(Arrangörslista!$U$5=43,AZ112, IF(Arrangörslista!$U$5=44,BA112, IF(Arrangörslista!$U$5=45,BB112, IF(Arrangörslista!$U$5=46,BC112, IF(Arrangörslista!$U$5=47,BD112, IF(Arrangörslista!$U$5=48,BE112, IF(Arrangörslista!$U$5=49,BF112, IF(Arrangörslista!$U$5=50,BG112, IF(Arrangörslista!$U$5=51,BH112, IF(Arrangörslista!$U$5=52,BI112, IF(Arrangörslista!$U$5=53,BJ112, IF(Arrangörslista!$U$5=54,BK112, IF(Arrangörslista!$U$5=55,BL112, IF(Arrangörslista!$U$5=56,BM112, IF(Arrangörslista!$U$5=57,BN112, IF(Arrangörslista!$U$5=58,BO112, IF(Arrangörslista!$U$5=59,BP112, IF(Arrangörslista!$U$5=60,BQ112,0))))))))))))))))))))))))))))))))))))))))))))))))))))))))))))),IF(Deltagarlista!$K$3=4, IF(Arrangörslista!$U$5=1,J112,
IF(Arrangörslista!$U$5=2,J112,
IF(Arrangörslista!$U$5=3,K112,
IF(Arrangörslista!$U$5=4,K112,
IF(Arrangörslista!$U$5=5,L112,
IF(Arrangörslista!$U$5=6,L112,
IF(Arrangörslista!$U$5=7,M112,
IF(Arrangörslista!$U$5=8,M112,
IF(Arrangörslista!$U$5=9,N112,
IF(Arrangörslista!$U$5=10,N112,
IF(Arrangörslista!$U$5=11,O112,
IF(Arrangörslista!$U$5=12,O112,
IF(Arrangörslista!$U$5=13,P112,
IF(Arrangörslista!$U$5=14,P112,
IF(Arrangörslista!$U$5=15,Q112,
IF(Arrangörslista!$U$5=16,Q112,
IF(Arrangörslista!$U$5=17,R112,
IF(Arrangörslista!$U$5=18,R112,
IF(Arrangörslista!$U$5=19,S112,
IF(Arrangörslista!$U$5=20,S112,
IF(Arrangörslista!$U$5=21,T112,
IF(Arrangörslista!$U$5=22,T112,IF(Arrangörslista!$U$5=23,U112, IF(Arrangörslista!$U$5=24,U112, IF(Arrangörslista!$U$5=25,V112, IF(Arrangörslista!$U$5=26,V112, IF(Arrangörslista!$U$5=27,W112, IF(Arrangörslista!$U$5=28,W112, IF(Arrangörslista!$U$5=29,X112, IF(Arrangörslista!$U$5=30,X112, IF(Arrangörslista!$U$5=31,X112, IF(Arrangörslista!$U$5=32,Y112, IF(Arrangörslista!$U$5=33,AO112, IF(Arrangörslista!$U$5=34,Y112, IF(Arrangörslista!$U$5=35,Z112, IF(Arrangörslista!$U$5=36,AR112, IF(Arrangörslista!$U$5=37,Z112, IF(Arrangörslista!$U$5=38,AA112, IF(Arrangörslista!$U$5=39,AU112, IF(Arrangörslista!$U$5=40,AA112, IF(Arrangörslista!$U$5=41,AB112, IF(Arrangörslista!$U$5=42,AX112, IF(Arrangörslista!$U$5=43,AB112, IF(Arrangörslista!$U$5=44,AC112, IF(Arrangörslista!$U$5=45,BA112, IF(Arrangörslista!$U$5=46,AC112, IF(Arrangörslista!$U$5=47,AD112, IF(Arrangörslista!$U$5=48,BD112, IF(Arrangörslista!$U$5=49,AD112, IF(Arrangörslista!$U$5=50,AE112, IF(Arrangörslista!$U$5=51,BG112, IF(Arrangörslista!$U$5=52,AE112, IF(Arrangörslista!$U$5=53,AF112, IF(Arrangörslista!$U$5=54,BJ112, IF(Arrangörslista!$U$5=55,AF112, IF(Arrangörslista!$U$5=56,AG112, IF(Arrangörslista!$U$5=57,BM112, IF(Arrangörslista!$U$5=58,AG112, IF(Arrangörslista!$U$5=59,AH112, IF(Arrangörslista!$U$5=60,AH112,0)))))))))))))))))))))))))))))))))))))))))))))))))))))))))))),IF(Arrangörslista!$U$5=1,J112,
IF(Arrangörslista!$U$5=2,K112,
IF(Arrangörslista!$U$5=3,L112,
IF(Arrangörslista!$U$5=4,M112,
IF(Arrangörslista!$U$5=5,N112,
IF(Arrangörslista!$U$5=6,O112,
IF(Arrangörslista!$U$5=7,P112,
IF(Arrangörslista!$U$5=8,Q112,
IF(Arrangörslista!$U$5=9,R112,
IF(Arrangörslista!$U$5=10,S112,
IF(Arrangörslista!$U$5=11,T112,
IF(Arrangörslista!$U$5=12,U112,
IF(Arrangörslista!$U$5=13,V112,
IF(Arrangörslista!$U$5=14,W112,
IF(Arrangörslista!$U$5=15,X112,
IF(Arrangörslista!$U$5=16,Y112,IF(Arrangörslista!$U$5=17,Z112,IF(Arrangörslista!$U$5=18,AA112,IF(Arrangörslista!$U$5=19,AB112,IF(Arrangörslista!$U$5=20,AC112,IF(Arrangörslista!$U$5=21,AD112,IF(Arrangörslista!$U$5=22,AE112,IF(Arrangörslista!$U$5=23,AF112, IF(Arrangörslista!$U$5=24,AG112, IF(Arrangörslista!$U$5=25,AH112, IF(Arrangörslista!$U$5=26,AI112, IF(Arrangörslista!$U$5=27,AJ112, IF(Arrangörslista!$U$5=28,AK112, IF(Arrangörslista!$U$5=29,AL112, IF(Arrangörslista!$U$5=30,AM112, IF(Arrangörslista!$U$5=31,AN112, IF(Arrangörslista!$U$5=32,AO112, IF(Arrangörslista!$U$5=33,AP112, IF(Arrangörslista!$U$5=34,AQ112, IF(Arrangörslista!$U$5=35,AR112, IF(Arrangörslista!$U$5=36,AS112, IF(Arrangörslista!$U$5=37,AT112, IF(Arrangörslista!$U$5=38,AU112, IF(Arrangörslista!$U$5=39,AV112, IF(Arrangörslista!$U$5=40,AW112, IF(Arrangörslista!$U$5=41,AX112, IF(Arrangörslista!$U$5=42,AY112, IF(Arrangörslista!$U$5=43,AZ112, IF(Arrangörslista!$U$5=44,BA112, IF(Arrangörslista!$U$5=45,BB112, IF(Arrangörslista!$U$5=46,BC112, IF(Arrangörslista!$U$5=47,BD112, IF(Arrangörslista!$U$5=48,BE112, IF(Arrangörslista!$U$5=49,BF112, IF(Arrangörslista!$U$5=50,BG112, IF(Arrangörslista!$U$5=51,BH112, IF(Arrangörslista!$U$5=52,BI112, IF(Arrangörslista!$U$5=53,BJ112, IF(Arrangörslista!$U$5=54,BK112, IF(Arrangörslista!$U$5=55,BL112, IF(Arrangörslista!$U$5=56,BM112, IF(Arrangörslista!$U$5=57,BN112, IF(Arrangörslista!$U$5=58,BO112, IF(Arrangörslista!$U$5=59,BP112, IF(Arrangörslista!$U$5=60,BQ112,0))))))))))))))))))))))))))))))))))))))))))))))))))))))))))))
))</f>
        <v>0</v>
      </c>
      <c r="GV49" s="65" t="str">
        <f>IFERROR(IF(VLOOKUP(F49,Deltagarlista!$E$5:$I$64,5,FALSE)="Grön","Gr",IF(VLOOKUP(F49,Deltagarlista!$E$5:$I$64,5,FALSE)="Röd","R",IF(VLOOKUP(F49,Deltagarlista!$E$5:$I$64,5,FALSE)="Blå","B","Gu"))),"")</f>
        <v/>
      </c>
      <c r="GW49" s="62" t="str">
        <f t="shared" si="124"/>
        <v/>
      </c>
    </row>
    <row r="50" spans="2:205" ht="15.75" customHeight="1" x14ac:dyDescent="0.3">
      <c r="B50" s="23" t="str">
        <f>IF((COUNTIF(Deltagarlista!$H$5:$H$64,"GM"))&gt;46,47,"")</f>
        <v/>
      </c>
      <c r="C50" s="92" t="str">
        <f>IF(ISBLANK(Deltagarlista!C24),"",Deltagarlista!C24)</f>
        <v/>
      </c>
      <c r="D50" s="109" t="str">
        <f>CONCATENATE(IF(Deltagarlista!H24="GM","GM   ",""), IF(OR(Deltagarlista!$K$3=4,Deltagarlista!$K$3=2),Deltagarlista!I24,""))</f>
        <v/>
      </c>
      <c r="E50" s="8" t="str">
        <f>IF(ISBLANK(Deltagarlista!D24),"",Deltagarlista!D24)</f>
        <v/>
      </c>
      <c r="F50" s="8" t="str">
        <f>IF(ISBLANK(Deltagarlista!E24),"",Deltagarlista!E24)</f>
        <v/>
      </c>
      <c r="G50" s="95" t="str">
        <f>IF(ISBLANK(Deltagarlista!F24),"",Deltagarlista!F24)</f>
        <v/>
      </c>
      <c r="H50" s="72" t="str">
        <f>IF(ISBLANK(Deltagarlista!C24),"",BU50-EE50)</f>
        <v/>
      </c>
      <c r="I50" s="13" t="str">
        <f>IF(ISBLANK(Deltagarlista!C24),"",IF(AND(Deltagarlista!$K$3=2,Deltagarlista!$L$3&lt;37),SUM(SUM(BV50:EC50)-(ROUNDDOWN(Arrangörslista!$U$5/3,1))*($BW$3+1)),SUM(BV50:EC50)))</f>
        <v/>
      </c>
      <c r="J50" s="79" t="str">
        <f>IF(Deltagarlista!$K$3=4,IF(ISBLANK(Deltagarlista!$C24),"",IF(ISBLANK(Arrangörslista!C$8),"",IFERROR(VLOOKUP($F50,Arrangörslista!C$8:$AG$45,16,FALSE),IF(ISBLANK(Deltagarlista!$C24),"",IF(ISBLANK(Arrangörslista!C$8),"",IFERROR(VLOOKUP($F50,Arrangörslista!D$8:$AG$45,16,FALSE),"DNS")))))),IF(Deltagarlista!$K$3=2,
IF(ISBLANK(Deltagarlista!$C24),"",IF(ISBLANK(Arrangörslista!C$8),"",IF($GV50=J$64," DNS ",IFERROR(VLOOKUP($F50,Arrangörslista!C$8:$AG$45,16,FALSE),"DNS")))),IF(ISBLANK(Deltagarlista!$C24),"",IF(ISBLANK(Arrangörslista!C$8),"",IFERROR(VLOOKUP($F50,Arrangörslista!C$8:$AG$45,16,FALSE),"DNS")))))</f>
        <v/>
      </c>
      <c r="K50" s="5" t="str">
        <f>IF(Deltagarlista!$K$3=4,IF(ISBLANK(Deltagarlista!$C24),"",IF(ISBLANK(Arrangörslista!E$8),"",IFERROR(VLOOKUP($F50,Arrangörslista!E$8:$AG$45,16,FALSE),IF(ISBLANK(Deltagarlista!$C24),"",IF(ISBLANK(Arrangörslista!E$8),"",IFERROR(VLOOKUP($F50,Arrangörslista!F$8:$AG$45,16,FALSE),"DNS")))))),IF(Deltagarlista!$K$3=2,
IF(ISBLANK(Deltagarlista!$C24),"",IF(ISBLANK(Arrangörslista!D$8),"",IF($GV50=K$64," DNS ",IFERROR(VLOOKUP($F50,Arrangörslista!D$8:$AG$45,16,FALSE),"DNS")))),IF(ISBLANK(Deltagarlista!$C24),"",IF(ISBLANK(Arrangörslista!D$8),"",IFERROR(VLOOKUP($F50,Arrangörslista!D$8:$AG$45,16,FALSE),"DNS")))))</f>
        <v/>
      </c>
      <c r="L50" s="5" t="str">
        <f>IF(Deltagarlista!$K$3=4,IF(ISBLANK(Deltagarlista!$C24),"",IF(ISBLANK(Arrangörslista!G$8),"",IFERROR(VLOOKUP($F50,Arrangörslista!G$8:$AG$45,16,FALSE),IF(ISBLANK(Deltagarlista!$C24),"",IF(ISBLANK(Arrangörslista!G$8),"",IFERROR(VLOOKUP($F50,Arrangörslista!H$8:$AG$45,16,FALSE),"DNS")))))),IF(Deltagarlista!$K$3=2,
IF(ISBLANK(Deltagarlista!$C24),"",IF(ISBLANK(Arrangörslista!E$8),"",IF($GV50=L$64," DNS ",IFERROR(VLOOKUP($F50,Arrangörslista!E$8:$AG$45,16,FALSE),"DNS")))),IF(ISBLANK(Deltagarlista!$C24),"",IF(ISBLANK(Arrangörslista!E$8),"",IFERROR(VLOOKUP($F50,Arrangörslista!E$8:$AG$45,16,FALSE),"DNS")))))</f>
        <v/>
      </c>
      <c r="M50" s="5" t="str">
        <f>IF(Deltagarlista!$K$3=4,IF(ISBLANK(Deltagarlista!$C24),"",IF(ISBLANK(Arrangörslista!I$8),"",IFERROR(VLOOKUP($F50,Arrangörslista!I$8:$AG$45,16,FALSE),IF(ISBLANK(Deltagarlista!$C24),"",IF(ISBLANK(Arrangörslista!I$8),"",IFERROR(VLOOKUP($F50,Arrangörslista!J$8:$AG$45,16,FALSE),"DNS")))))),IF(Deltagarlista!$K$3=2,
IF(ISBLANK(Deltagarlista!$C24),"",IF(ISBLANK(Arrangörslista!F$8),"",IF($GV50=M$64," DNS ",IFERROR(VLOOKUP($F50,Arrangörslista!F$8:$AG$45,16,FALSE),"DNS")))),IF(ISBLANK(Deltagarlista!$C24),"",IF(ISBLANK(Arrangörslista!F$8),"",IFERROR(VLOOKUP($F50,Arrangörslista!F$8:$AG$45,16,FALSE),"DNS")))))</f>
        <v/>
      </c>
      <c r="N50" s="5" t="str">
        <f>IF(Deltagarlista!$K$3=4,IF(ISBLANK(Deltagarlista!$C24),"",IF(ISBLANK(Arrangörslista!K$8),"",IFERROR(VLOOKUP($F50,Arrangörslista!K$8:$AG$45,16,FALSE),IF(ISBLANK(Deltagarlista!$C24),"",IF(ISBLANK(Arrangörslista!K$8),"",IFERROR(VLOOKUP($F50,Arrangörslista!L$8:$AG$45,16,FALSE),"DNS")))))),IF(Deltagarlista!$K$3=2,
IF(ISBLANK(Deltagarlista!$C24),"",IF(ISBLANK(Arrangörslista!G$8),"",IF($GV50=N$64," DNS ",IFERROR(VLOOKUP($F50,Arrangörslista!G$8:$AG$45,16,FALSE),"DNS")))),IF(ISBLANK(Deltagarlista!$C24),"",IF(ISBLANK(Arrangörslista!G$8),"",IFERROR(VLOOKUP($F50,Arrangörslista!G$8:$AG$45,16,FALSE),"DNS")))))</f>
        <v/>
      </c>
      <c r="O50" s="5" t="str">
        <f>IF(Deltagarlista!$K$3=4,IF(ISBLANK(Deltagarlista!$C24),"",IF(ISBLANK(Arrangörslista!M$8),"",IFERROR(VLOOKUP($F50,Arrangörslista!M$8:$AG$45,16,FALSE),IF(ISBLANK(Deltagarlista!$C24),"",IF(ISBLANK(Arrangörslista!M$8),"",IFERROR(VLOOKUP($F50,Arrangörslista!N$8:$AG$45,16,FALSE),"DNS")))))),IF(Deltagarlista!$K$3=2,
IF(ISBLANK(Deltagarlista!$C24),"",IF(ISBLANK(Arrangörslista!H$8),"",IF($GV50=O$64," DNS ",IFERROR(VLOOKUP($F50,Arrangörslista!H$8:$AG$45,16,FALSE),"DNS")))),IF(ISBLANK(Deltagarlista!$C24),"",IF(ISBLANK(Arrangörslista!H$8),"",IFERROR(VLOOKUP($F50,Arrangörslista!H$8:$AG$45,16,FALSE),"DNS")))))</f>
        <v/>
      </c>
      <c r="P50" s="5" t="str">
        <f>IF(Deltagarlista!$K$3=4,IF(ISBLANK(Deltagarlista!$C24),"",IF(ISBLANK(Arrangörslista!O$8),"",IFERROR(VLOOKUP($F50,Arrangörslista!O$8:$AG$45,16,FALSE),IF(ISBLANK(Deltagarlista!$C24),"",IF(ISBLANK(Arrangörslista!O$8),"",IFERROR(VLOOKUP($F50,Arrangörslista!P$8:$AG$45,16,FALSE),"DNS")))))),IF(Deltagarlista!$K$3=2,
IF(ISBLANK(Deltagarlista!$C24),"",IF(ISBLANK(Arrangörslista!I$8),"",IF($GV50=P$64," DNS ",IFERROR(VLOOKUP($F50,Arrangörslista!I$8:$AG$45,16,FALSE),"DNS")))),IF(ISBLANK(Deltagarlista!$C24),"",IF(ISBLANK(Arrangörslista!I$8),"",IFERROR(VLOOKUP($F50,Arrangörslista!I$8:$AG$45,16,FALSE),"DNS")))))</f>
        <v/>
      </c>
      <c r="Q50" s="5" t="str">
        <f>IF(Deltagarlista!$K$3=4,IF(ISBLANK(Deltagarlista!$C24),"",IF(ISBLANK(Arrangörslista!Q$8),"",IFERROR(VLOOKUP($F50,Arrangörslista!Q$8:$AG$45,16,FALSE),IF(ISBLANK(Deltagarlista!$C24),"",IF(ISBLANK(Arrangörslista!Q$8),"",IFERROR(VLOOKUP($F50,Arrangörslista!C$53:$AG$90,16,FALSE),"DNS")))))),IF(Deltagarlista!$K$3=2,
IF(ISBLANK(Deltagarlista!$C24),"",IF(ISBLANK(Arrangörslista!J$8),"",IF($GV50=Q$64," DNS ",IFERROR(VLOOKUP($F50,Arrangörslista!J$8:$AG$45,16,FALSE),"DNS")))),IF(ISBLANK(Deltagarlista!$C24),"",IF(ISBLANK(Arrangörslista!J$8),"",IFERROR(VLOOKUP($F50,Arrangörslista!J$8:$AG$45,16,FALSE),"DNS")))))</f>
        <v/>
      </c>
      <c r="R50" s="5" t="str">
        <f>IF(Deltagarlista!$K$3=4,IF(ISBLANK(Deltagarlista!$C24),"",IF(ISBLANK(Arrangörslista!D$53),"",IFERROR(VLOOKUP($F50,Arrangörslista!D$53:$AG$90,16,FALSE),IF(ISBLANK(Deltagarlista!$C24),"",IF(ISBLANK(Arrangörslista!D$53),"",IFERROR(VLOOKUP($F50,Arrangörslista!E$53:$AG$90,16,FALSE),"DNS")))))),IF(Deltagarlista!$K$3=2,
IF(ISBLANK(Deltagarlista!$C24),"",IF(ISBLANK(Arrangörslista!K$8),"",IF($GV50=R$64," DNS ",IFERROR(VLOOKUP($F50,Arrangörslista!K$8:$AG$45,16,FALSE),"DNS")))),IF(ISBLANK(Deltagarlista!$C24),"",IF(ISBLANK(Arrangörslista!K$8),"",IFERROR(VLOOKUP($F50,Arrangörslista!K$8:$AG$45,16,FALSE),"DNS")))))</f>
        <v/>
      </c>
      <c r="S50" s="5" t="str">
        <f>IF(Deltagarlista!$K$3=4,IF(ISBLANK(Deltagarlista!$C24),"",IF(ISBLANK(Arrangörslista!F$53),"",IFERROR(VLOOKUP($F50,Arrangörslista!F$53:$AG$90,16,FALSE),IF(ISBLANK(Deltagarlista!$C24),"",IF(ISBLANK(Arrangörslista!F$53),"",IFERROR(VLOOKUP($F50,Arrangörslista!G$53:$AG$90,16,FALSE),"DNS")))))),IF(Deltagarlista!$K$3=2,
IF(ISBLANK(Deltagarlista!$C24),"",IF(ISBLANK(Arrangörslista!L$8),"",IF($GV50=S$64," DNS ",IFERROR(VLOOKUP($F50,Arrangörslista!L$8:$AG$45,16,FALSE),"DNS")))),IF(ISBLANK(Deltagarlista!$C24),"",IF(ISBLANK(Arrangörslista!L$8),"",IFERROR(VLOOKUP($F50,Arrangörslista!L$8:$AG$45,16,FALSE),"DNS")))))</f>
        <v/>
      </c>
      <c r="T50" s="5" t="str">
        <f>IF(Deltagarlista!$K$3=4,IF(ISBLANK(Deltagarlista!$C24),"",IF(ISBLANK(Arrangörslista!H$53),"",IFERROR(VLOOKUP($F50,Arrangörslista!H$53:$AG$90,16,FALSE),IF(ISBLANK(Deltagarlista!$C24),"",IF(ISBLANK(Arrangörslista!H$53),"",IFERROR(VLOOKUP($F50,Arrangörslista!I$53:$AG$90,16,FALSE),"DNS")))))),IF(Deltagarlista!$K$3=2,
IF(ISBLANK(Deltagarlista!$C24),"",IF(ISBLANK(Arrangörslista!M$8),"",IF($GV50=T$64," DNS ",IFERROR(VLOOKUP($F50,Arrangörslista!M$8:$AG$45,16,FALSE),"DNS")))),IF(ISBLANK(Deltagarlista!$C24),"",IF(ISBLANK(Arrangörslista!M$8),"",IFERROR(VLOOKUP($F50,Arrangörslista!M$8:$AG$45,16,FALSE),"DNS")))))</f>
        <v/>
      </c>
      <c r="U50" s="5" t="str">
        <f>IF(Deltagarlista!$K$3=4,IF(ISBLANK(Deltagarlista!$C24),"",IF(ISBLANK(Arrangörslista!J$53),"",IFERROR(VLOOKUP($F50,Arrangörslista!J$53:$AG$90,16,FALSE),IF(ISBLANK(Deltagarlista!$C24),"",IF(ISBLANK(Arrangörslista!J$53),"",IFERROR(VLOOKUP($F50,Arrangörslista!K$53:$AG$90,16,FALSE),"DNS")))))),IF(Deltagarlista!$K$3=2,
IF(ISBLANK(Deltagarlista!$C24),"",IF(ISBLANK(Arrangörslista!N$8),"",IF($GV50=U$64," DNS ",IFERROR(VLOOKUP($F50,Arrangörslista!N$8:$AG$45,16,FALSE),"DNS")))),IF(ISBLANK(Deltagarlista!$C24),"",IF(ISBLANK(Arrangörslista!N$8),"",IFERROR(VLOOKUP($F50,Arrangörslista!N$8:$AG$45,16,FALSE),"DNS")))))</f>
        <v/>
      </c>
      <c r="V50" s="5" t="str">
        <f>IF(Deltagarlista!$K$3=4,IF(ISBLANK(Deltagarlista!$C24),"",IF(ISBLANK(Arrangörslista!L$53),"",IFERROR(VLOOKUP($F50,Arrangörslista!L$53:$AG$90,16,FALSE),IF(ISBLANK(Deltagarlista!$C24),"",IF(ISBLANK(Arrangörslista!L$53),"",IFERROR(VLOOKUP($F50,Arrangörslista!M$53:$AG$90,16,FALSE),"DNS")))))),IF(Deltagarlista!$K$3=2,
IF(ISBLANK(Deltagarlista!$C24),"",IF(ISBLANK(Arrangörslista!O$8),"",IF($GV50=V$64," DNS ",IFERROR(VLOOKUP($F50,Arrangörslista!O$8:$AG$45,16,FALSE),"DNS")))),IF(ISBLANK(Deltagarlista!$C24),"",IF(ISBLANK(Arrangörslista!O$8),"",IFERROR(VLOOKUP($F50,Arrangörslista!O$8:$AG$45,16,FALSE),"DNS")))))</f>
        <v/>
      </c>
      <c r="W50" s="5" t="str">
        <f>IF(Deltagarlista!$K$3=4,IF(ISBLANK(Deltagarlista!$C24),"",IF(ISBLANK(Arrangörslista!N$53),"",IFERROR(VLOOKUP($F50,Arrangörslista!N$53:$AG$90,16,FALSE),IF(ISBLANK(Deltagarlista!$C24),"",IF(ISBLANK(Arrangörslista!N$53),"",IFERROR(VLOOKUP($F50,Arrangörslista!O$53:$AG$90,16,FALSE),"DNS")))))),IF(Deltagarlista!$K$3=2,
IF(ISBLANK(Deltagarlista!$C24),"",IF(ISBLANK(Arrangörslista!P$8),"",IF($GV50=W$64," DNS ",IFERROR(VLOOKUP($F50,Arrangörslista!P$8:$AG$45,16,FALSE),"DNS")))),IF(ISBLANK(Deltagarlista!$C24),"",IF(ISBLANK(Arrangörslista!P$8),"",IFERROR(VLOOKUP($F50,Arrangörslista!P$8:$AG$45,16,FALSE),"DNS")))))</f>
        <v/>
      </c>
      <c r="X50" s="5" t="str">
        <f>IF(Deltagarlista!$K$3=4,IF(ISBLANK(Deltagarlista!$C24),"",IF(ISBLANK(Arrangörslista!P$53),"",IFERROR(VLOOKUP($F50,Arrangörslista!P$53:$AG$90,16,FALSE),IF(ISBLANK(Deltagarlista!$C24),"",IF(ISBLANK(Arrangörslista!P$53),"",IFERROR(VLOOKUP($F50,Arrangörslista!Q$53:$AG$90,16,FALSE),"DNS")))))),IF(Deltagarlista!$K$3=2,
IF(ISBLANK(Deltagarlista!$C24),"",IF(ISBLANK(Arrangörslista!Q$8),"",IF($GV50=X$64," DNS ",IFERROR(VLOOKUP($F50,Arrangörslista!Q$8:$AG$45,16,FALSE),"DNS")))),IF(ISBLANK(Deltagarlista!$C24),"",IF(ISBLANK(Arrangörslista!Q$8),"",IFERROR(VLOOKUP($F50,Arrangörslista!Q$8:$AG$45,16,FALSE),"DNS")))))</f>
        <v/>
      </c>
      <c r="Y50" s="5" t="str">
        <f>IF(Deltagarlista!$K$3=4,IF(ISBLANK(Deltagarlista!$C24),"",IF(ISBLANK(Arrangörslista!C$98),"",IFERROR(VLOOKUP($F50,Arrangörslista!C$98:$AG$135,16,FALSE),IF(ISBLANK(Deltagarlista!$C24),"",IF(ISBLANK(Arrangörslista!C$98),"",IFERROR(VLOOKUP($F50,Arrangörslista!D$98:$AG$135,16,FALSE),"DNS")))))),IF(Deltagarlista!$K$3=2,
IF(ISBLANK(Deltagarlista!$C24),"",IF(ISBLANK(Arrangörslista!C$53),"",IF($GV50=Y$64," DNS ",IFERROR(VLOOKUP($F50,Arrangörslista!C$53:$AG$90,16,FALSE),"DNS")))),IF(ISBLANK(Deltagarlista!$C24),"",IF(ISBLANK(Arrangörslista!C$53),"",IFERROR(VLOOKUP($F50,Arrangörslista!C$53:$AG$90,16,FALSE),"DNS")))))</f>
        <v/>
      </c>
      <c r="Z50" s="5" t="str">
        <f>IF(Deltagarlista!$K$3=4,IF(ISBLANK(Deltagarlista!$C24),"",IF(ISBLANK(Arrangörslista!E$98),"",IFERROR(VLOOKUP($F50,Arrangörslista!E$98:$AG$135,16,FALSE),IF(ISBLANK(Deltagarlista!$C24),"",IF(ISBLANK(Arrangörslista!E$98),"",IFERROR(VLOOKUP($F50,Arrangörslista!F$98:$AG$135,16,FALSE),"DNS")))))),IF(Deltagarlista!$K$3=2,
IF(ISBLANK(Deltagarlista!$C24),"",IF(ISBLANK(Arrangörslista!D$53),"",IF($GV50=Z$64," DNS ",IFERROR(VLOOKUP($F50,Arrangörslista!D$53:$AG$90,16,FALSE),"DNS")))),IF(ISBLANK(Deltagarlista!$C24),"",IF(ISBLANK(Arrangörslista!D$53),"",IFERROR(VLOOKUP($F50,Arrangörslista!D$53:$AG$90,16,FALSE),"DNS")))))</f>
        <v/>
      </c>
      <c r="AA50" s="5" t="str">
        <f>IF(Deltagarlista!$K$3=4,IF(ISBLANK(Deltagarlista!$C24),"",IF(ISBLANK(Arrangörslista!G$98),"",IFERROR(VLOOKUP($F50,Arrangörslista!G$98:$AG$135,16,FALSE),IF(ISBLANK(Deltagarlista!$C24),"",IF(ISBLANK(Arrangörslista!G$98),"",IFERROR(VLOOKUP($F50,Arrangörslista!H$98:$AG$135,16,FALSE),"DNS")))))),IF(Deltagarlista!$K$3=2,
IF(ISBLANK(Deltagarlista!$C24),"",IF(ISBLANK(Arrangörslista!E$53),"",IF($GV50=AA$64," DNS ",IFERROR(VLOOKUP($F50,Arrangörslista!E$53:$AG$90,16,FALSE),"DNS")))),IF(ISBLANK(Deltagarlista!$C24),"",IF(ISBLANK(Arrangörslista!E$53),"",IFERROR(VLOOKUP($F50,Arrangörslista!E$53:$AG$90,16,FALSE),"DNS")))))</f>
        <v/>
      </c>
      <c r="AB50" s="5" t="str">
        <f>IF(Deltagarlista!$K$3=4,IF(ISBLANK(Deltagarlista!$C24),"",IF(ISBLANK(Arrangörslista!I$98),"",IFERROR(VLOOKUP($F50,Arrangörslista!I$98:$AG$135,16,FALSE),IF(ISBLANK(Deltagarlista!$C24),"",IF(ISBLANK(Arrangörslista!I$98),"",IFERROR(VLOOKUP($F50,Arrangörslista!J$98:$AG$135,16,FALSE),"DNS")))))),IF(Deltagarlista!$K$3=2,
IF(ISBLANK(Deltagarlista!$C24),"",IF(ISBLANK(Arrangörslista!F$53),"",IF($GV50=AB$64," DNS ",IFERROR(VLOOKUP($F50,Arrangörslista!F$53:$AG$90,16,FALSE),"DNS")))),IF(ISBLANK(Deltagarlista!$C24),"",IF(ISBLANK(Arrangörslista!F$53),"",IFERROR(VLOOKUP($F50,Arrangörslista!F$53:$AG$90,16,FALSE),"DNS")))))</f>
        <v/>
      </c>
      <c r="AC50" s="5" t="str">
        <f>IF(Deltagarlista!$K$3=4,IF(ISBLANK(Deltagarlista!$C24),"",IF(ISBLANK(Arrangörslista!K$98),"",IFERROR(VLOOKUP($F50,Arrangörslista!K$98:$AG$135,16,FALSE),IF(ISBLANK(Deltagarlista!$C24),"",IF(ISBLANK(Arrangörslista!K$98),"",IFERROR(VLOOKUP($F50,Arrangörslista!L$98:$AG$135,16,FALSE),"DNS")))))),IF(Deltagarlista!$K$3=2,
IF(ISBLANK(Deltagarlista!$C24),"",IF(ISBLANK(Arrangörslista!G$53),"",IF($GV50=AC$64," DNS ",IFERROR(VLOOKUP($F50,Arrangörslista!G$53:$AG$90,16,FALSE),"DNS")))),IF(ISBLANK(Deltagarlista!$C24),"",IF(ISBLANK(Arrangörslista!G$53),"",IFERROR(VLOOKUP($F50,Arrangörslista!G$53:$AG$90,16,FALSE),"DNS")))))</f>
        <v/>
      </c>
      <c r="AD50" s="5" t="str">
        <f>IF(Deltagarlista!$K$3=4,IF(ISBLANK(Deltagarlista!$C24),"",IF(ISBLANK(Arrangörslista!M$98),"",IFERROR(VLOOKUP($F50,Arrangörslista!M$98:$AG$135,16,FALSE),IF(ISBLANK(Deltagarlista!$C24),"",IF(ISBLANK(Arrangörslista!M$98),"",IFERROR(VLOOKUP($F50,Arrangörslista!N$98:$AG$135,16,FALSE),"DNS")))))),IF(Deltagarlista!$K$3=2,
IF(ISBLANK(Deltagarlista!$C24),"",IF(ISBLANK(Arrangörslista!H$53),"",IF($GV50=AD$64," DNS ",IFERROR(VLOOKUP($F50,Arrangörslista!H$53:$AG$90,16,FALSE),"DNS")))),IF(ISBLANK(Deltagarlista!$C24),"",IF(ISBLANK(Arrangörslista!H$53),"",IFERROR(VLOOKUP($F50,Arrangörslista!H$53:$AG$90,16,FALSE),"DNS")))))</f>
        <v/>
      </c>
      <c r="AE50" s="5" t="str">
        <f>IF(Deltagarlista!$K$3=4,IF(ISBLANK(Deltagarlista!$C24),"",IF(ISBLANK(Arrangörslista!O$98),"",IFERROR(VLOOKUP($F50,Arrangörslista!O$98:$AG$135,16,FALSE),IF(ISBLANK(Deltagarlista!$C24),"",IF(ISBLANK(Arrangörslista!O$98),"",IFERROR(VLOOKUP($F50,Arrangörslista!P$98:$AG$135,16,FALSE),"DNS")))))),IF(Deltagarlista!$K$3=2,
IF(ISBLANK(Deltagarlista!$C24),"",IF(ISBLANK(Arrangörslista!I$53),"",IF($GV50=AE$64," DNS ",IFERROR(VLOOKUP($F50,Arrangörslista!I$53:$AG$90,16,FALSE),"DNS")))),IF(ISBLANK(Deltagarlista!$C24),"",IF(ISBLANK(Arrangörslista!I$53),"",IFERROR(VLOOKUP($F50,Arrangörslista!I$53:$AG$90,16,FALSE),"DNS")))))</f>
        <v/>
      </c>
      <c r="AF50" s="5" t="str">
        <f>IF(Deltagarlista!$K$3=4,IF(ISBLANK(Deltagarlista!$C24),"",IF(ISBLANK(Arrangörslista!Q$98),"",IFERROR(VLOOKUP($F50,Arrangörslista!Q$98:$AG$135,16,FALSE),IF(ISBLANK(Deltagarlista!$C24),"",IF(ISBLANK(Arrangörslista!Q$98),"",IFERROR(VLOOKUP($F50,Arrangörslista!C$143:$AG$180,16,FALSE),"DNS")))))),IF(Deltagarlista!$K$3=2,
IF(ISBLANK(Deltagarlista!$C24),"",IF(ISBLANK(Arrangörslista!J$53),"",IF($GV50=AF$64," DNS ",IFERROR(VLOOKUP($F50,Arrangörslista!J$53:$AG$90,16,FALSE),"DNS")))),IF(ISBLANK(Deltagarlista!$C24),"",IF(ISBLANK(Arrangörslista!J$53),"",IFERROR(VLOOKUP($F50,Arrangörslista!J$53:$AG$90,16,FALSE),"DNS")))))</f>
        <v/>
      </c>
      <c r="AG50" s="5" t="str">
        <f>IF(Deltagarlista!$K$3=4,IF(ISBLANK(Deltagarlista!$C24),"",IF(ISBLANK(Arrangörslista!D$143),"",IFERROR(VLOOKUP($F50,Arrangörslista!D$143:$AG$180,16,FALSE),IF(ISBLANK(Deltagarlista!$C24),"",IF(ISBLANK(Arrangörslista!D$143),"",IFERROR(VLOOKUP($F50,Arrangörslista!E$143:$AG$180,16,FALSE),"DNS")))))),IF(Deltagarlista!$K$3=2,
IF(ISBLANK(Deltagarlista!$C24),"",IF(ISBLANK(Arrangörslista!K$53),"",IF($GV50=AG$64," DNS ",IFERROR(VLOOKUP($F50,Arrangörslista!K$53:$AG$90,16,FALSE),"DNS")))),IF(ISBLANK(Deltagarlista!$C24),"",IF(ISBLANK(Arrangörslista!K$53),"",IFERROR(VLOOKUP($F50,Arrangörslista!K$53:$AG$90,16,FALSE),"DNS")))))</f>
        <v/>
      </c>
      <c r="AH50" s="5" t="str">
        <f>IF(Deltagarlista!$K$3=4,IF(ISBLANK(Deltagarlista!$C24),"",IF(ISBLANK(Arrangörslista!F$143),"",IFERROR(VLOOKUP($F50,Arrangörslista!F$143:$AG$180,16,FALSE),IF(ISBLANK(Deltagarlista!$C24),"",IF(ISBLANK(Arrangörslista!F$143),"",IFERROR(VLOOKUP($F50,Arrangörslista!G$143:$AG$180,16,FALSE),"DNS")))))),IF(Deltagarlista!$K$3=2,
IF(ISBLANK(Deltagarlista!$C24),"",IF(ISBLANK(Arrangörslista!L$53),"",IF($GV50=AH$64," DNS ",IFERROR(VLOOKUP($F50,Arrangörslista!L$53:$AG$90,16,FALSE),"DNS")))),IF(ISBLANK(Deltagarlista!$C24),"",IF(ISBLANK(Arrangörslista!L$53),"",IFERROR(VLOOKUP($F50,Arrangörslista!L$53:$AG$90,16,FALSE),"DNS")))))</f>
        <v/>
      </c>
      <c r="AI50" s="5" t="str">
        <f>IF(Deltagarlista!$K$3=4,IF(ISBLANK(Deltagarlista!$C24),"",IF(ISBLANK(Arrangörslista!H$143),"",IFERROR(VLOOKUP($F50,Arrangörslista!H$143:$AG$180,16,FALSE),IF(ISBLANK(Deltagarlista!$C24),"",IF(ISBLANK(Arrangörslista!H$143),"",IFERROR(VLOOKUP($F50,Arrangörslista!I$143:$AG$180,16,FALSE),"DNS")))))),IF(Deltagarlista!$K$3=2,
IF(ISBLANK(Deltagarlista!$C24),"",IF(ISBLANK(Arrangörslista!M$53),"",IF($GV50=AI$64," DNS ",IFERROR(VLOOKUP($F50,Arrangörslista!M$53:$AG$90,16,FALSE),"DNS")))),IF(ISBLANK(Deltagarlista!$C24),"",IF(ISBLANK(Arrangörslista!M$53),"",IFERROR(VLOOKUP($F50,Arrangörslista!M$53:$AG$90,16,FALSE),"DNS")))))</f>
        <v/>
      </c>
      <c r="AJ50" s="5" t="str">
        <f>IF(Deltagarlista!$K$3=4,IF(ISBLANK(Deltagarlista!$C24),"",IF(ISBLANK(Arrangörslista!J$143),"",IFERROR(VLOOKUP($F50,Arrangörslista!J$143:$AG$180,16,FALSE),IF(ISBLANK(Deltagarlista!$C24),"",IF(ISBLANK(Arrangörslista!J$143),"",IFERROR(VLOOKUP($F50,Arrangörslista!K$143:$AG$180,16,FALSE),"DNS")))))),IF(Deltagarlista!$K$3=2,
IF(ISBLANK(Deltagarlista!$C24),"",IF(ISBLANK(Arrangörslista!N$53),"",IF($GV50=AJ$64," DNS ",IFERROR(VLOOKUP($F50,Arrangörslista!N$53:$AG$90,16,FALSE),"DNS")))),IF(ISBLANK(Deltagarlista!$C24),"",IF(ISBLANK(Arrangörslista!N$53),"",IFERROR(VLOOKUP($F50,Arrangörslista!N$53:$AG$90,16,FALSE),"DNS")))))</f>
        <v/>
      </c>
      <c r="AK50" s="5" t="str">
        <f>IF(Deltagarlista!$K$3=4,IF(ISBLANK(Deltagarlista!$C24),"",IF(ISBLANK(Arrangörslista!L$143),"",IFERROR(VLOOKUP($F50,Arrangörslista!L$143:$AG$180,16,FALSE),IF(ISBLANK(Deltagarlista!$C24),"",IF(ISBLANK(Arrangörslista!L$143),"",IFERROR(VLOOKUP($F50,Arrangörslista!M$143:$AG$180,16,FALSE),"DNS")))))),IF(Deltagarlista!$K$3=2,
IF(ISBLANK(Deltagarlista!$C24),"",IF(ISBLANK(Arrangörslista!O$53),"",IF($GV50=AK$64," DNS ",IFERROR(VLOOKUP($F50,Arrangörslista!O$53:$AG$90,16,FALSE),"DNS")))),IF(ISBLANK(Deltagarlista!$C24),"",IF(ISBLANK(Arrangörslista!O$53),"",IFERROR(VLOOKUP($F50,Arrangörslista!O$53:$AG$90,16,FALSE),"DNS")))))</f>
        <v/>
      </c>
      <c r="AL50" s="5" t="str">
        <f>IF(Deltagarlista!$K$3=4,IF(ISBLANK(Deltagarlista!$C24),"",IF(ISBLANK(Arrangörslista!N$143),"",IFERROR(VLOOKUP($F50,Arrangörslista!N$143:$AG$180,16,FALSE),IF(ISBLANK(Deltagarlista!$C24),"",IF(ISBLANK(Arrangörslista!N$143),"",IFERROR(VLOOKUP($F50,Arrangörslista!O$143:$AG$180,16,FALSE),"DNS")))))),IF(Deltagarlista!$K$3=2,
IF(ISBLANK(Deltagarlista!$C24),"",IF(ISBLANK(Arrangörslista!P$53),"",IF($GV50=AL$64," DNS ",IFERROR(VLOOKUP($F50,Arrangörslista!P$53:$AG$90,16,FALSE),"DNS")))),IF(ISBLANK(Deltagarlista!$C24),"",IF(ISBLANK(Arrangörslista!P$53),"",IFERROR(VLOOKUP($F50,Arrangörslista!P$53:$AG$90,16,FALSE),"DNS")))))</f>
        <v/>
      </c>
      <c r="AM50" s="5" t="str">
        <f>IF(Deltagarlista!$K$3=4,IF(ISBLANK(Deltagarlista!$C24),"",IF(ISBLANK(Arrangörslista!P$143),"",IFERROR(VLOOKUP($F50,Arrangörslista!P$143:$AG$180,16,FALSE),IF(ISBLANK(Deltagarlista!$C24),"",IF(ISBLANK(Arrangörslista!P$143),"",IFERROR(VLOOKUP($F50,Arrangörslista!Q$143:$AG$180,16,FALSE),"DNS")))))),IF(Deltagarlista!$K$3=2,
IF(ISBLANK(Deltagarlista!$C24),"",IF(ISBLANK(Arrangörslista!Q$53),"",IF($GV50=AM$64," DNS ",IFERROR(VLOOKUP($F50,Arrangörslista!Q$53:$AG$90,16,FALSE),"DNS")))),IF(ISBLANK(Deltagarlista!$C24),"",IF(ISBLANK(Arrangörslista!Q$53),"",IFERROR(VLOOKUP($F50,Arrangörslista!Q$53:$AG$90,16,FALSE),"DNS")))))</f>
        <v/>
      </c>
      <c r="AN50" s="5" t="str">
        <f>IF(Deltagarlista!$K$3=2,
IF(ISBLANK(Deltagarlista!$C24),"",IF(ISBLANK(Arrangörslista!C$98),"",IF($GV50=AN$64," DNS ",IFERROR(VLOOKUP($F50,Arrangörslista!C$98:$AG$135,16,FALSE), "DNS")))), IF(Deltagarlista!$K$3=1,IF(ISBLANK(Deltagarlista!$C24),"",IF(ISBLANK(Arrangörslista!C$98),"",IFERROR(VLOOKUP($F50,Arrangörslista!C$98:$AG$135,16,FALSE), "DNS"))),""))</f>
        <v/>
      </c>
      <c r="AO50" s="5" t="str">
        <f>IF(Deltagarlista!$K$3=2,
IF(ISBLANK(Deltagarlista!$C24),"",IF(ISBLANK(Arrangörslista!D$98),"",IF($GV50=AO$64," DNS ",IFERROR(VLOOKUP($F50,Arrangörslista!D$98:$AG$135,16,FALSE), "DNS")))), IF(Deltagarlista!$K$3=1,IF(ISBLANK(Deltagarlista!$C24),"",IF(ISBLANK(Arrangörslista!D$98),"",IFERROR(VLOOKUP($F50,Arrangörslista!D$98:$AG$135,16,FALSE), "DNS"))),""))</f>
        <v/>
      </c>
      <c r="AP50" s="5" t="str">
        <f>IF(Deltagarlista!$K$3=2,
IF(ISBLANK(Deltagarlista!$C24),"",IF(ISBLANK(Arrangörslista!E$98),"",IF($GV50=AP$64," DNS ",IFERROR(VLOOKUP($F50,Arrangörslista!E$98:$AG$135,16,FALSE), "DNS")))), IF(Deltagarlista!$K$3=1,IF(ISBLANK(Deltagarlista!$C24),"",IF(ISBLANK(Arrangörslista!E$98),"",IFERROR(VLOOKUP($F50,Arrangörslista!E$98:$AG$135,16,FALSE), "DNS"))),""))</f>
        <v/>
      </c>
      <c r="AQ50" s="5" t="str">
        <f>IF(Deltagarlista!$K$3=2,
IF(ISBLANK(Deltagarlista!$C24),"",IF(ISBLANK(Arrangörslista!F$98),"",IF($GV50=AQ$64," DNS ",IFERROR(VLOOKUP($F50,Arrangörslista!F$98:$AG$135,16,FALSE), "DNS")))), IF(Deltagarlista!$K$3=1,IF(ISBLANK(Deltagarlista!$C24),"",IF(ISBLANK(Arrangörslista!F$98),"",IFERROR(VLOOKUP($F50,Arrangörslista!F$98:$AG$135,16,FALSE), "DNS"))),""))</f>
        <v/>
      </c>
      <c r="AR50" s="5" t="str">
        <f>IF(Deltagarlista!$K$3=2,
IF(ISBLANK(Deltagarlista!$C24),"",IF(ISBLANK(Arrangörslista!G$98),"",IF($GV50=AR$64," DNS ",IFERROR(VLOOKUP($F50,Arrangörslista!G$98:$AG$135,16,FALSE), "DNS")))), IF(Deltagarlista!$K$3=1,IF(ISBLANK(Deltagarlista!$C24),"",IF(ISBLANK(Arrangörslista!G$98),"",IFERROR(VLOOKUP($F50,Arrangörslista!G$98:$AG$135,16,FALSE), "DNS"))),""))</f>
        <v/>
      </c>
      <c r="AS50" s="5" t="str">
        <f>IF(Deltagarlista!$K$3=2,
IF(ISBLANK(Deltagarlista!$C24),"",IF(ISBLANK(Arrangörslista!H$98),"",IF($GV50=AS$64," DNS ",IFERROR(VLOOKUP($F50,Arrangörslista!H$98:$AG$135,16,FALSE), "DNS")))), IF(Deltagarlista!$K$3=1,IF(ISBLANK(Deltagarlista!$C24),"",IF(ISBLANK(Arrangörslista!H$98),"",IFERROR(VLOOKUP($F50,Arrangörslista!H$98:$AG$135,16,FALSE), "DNS"))),""))</f>
        <v/>
      </c>
      <c r="AT50" s="5" t="str">
        <f>IF(Deltagarlista!$K$3=2,
IF(ISBLANK(Deltagarlista!$C24),"",IF(ISBLANK(Arrangörslista!I$98),"",IF($GV50=AT$64," DNS ",IFERROR(VLOOKUP($F50,Arrangörslista!I$98:$AG$135,16,FALSE), "DNS")))), IF(Deltagarlista!$K$3=1,IF(ISBLANK(Deltagarlista!$C24),"",IF(ISBLANK(Arrangörslista!I$98),"",IFERROR(VLOOKUP($F50,Arrangörslista!I$98:$AG$135,16,FALSE), "DNS"))),""))</f>
        <v/>
      </c>
      <c r="AU50" s="5" t="str">
        <f>IF(Deltagarlista!$K$3=2,
IF(ISBLANK(Deltagarlista!$C24),"",IF(ISBLANK(Arrangörslista!J$98),"",IF($GV50=AU$64," DNS ",IFERROR(VLOOKUP($F50,Arrangörslista!J$98:$AG$135,16,FALSE), "DNS")))), IF(Deltagarlista!$K$3=1,IF(ISBLANK(Deltagarlista!$C24),"",IF(ISBLANK(Arrangörslista!J$98),"",IFERROR(VLOOKUP($F50,Arrangörslista!J$98:$AG$135,16,FALSE), "DNS"))),""))</f>
        <v/>
      </c>
      <c r="AV50" s="5" t="str">
        <f>IF(Deltagarlista!$K$3=2,
IF(ISBLANK(Deltagarlista!$C24),"",IF(ISBLANK(Arrangörslista!K$98),"",IF($GV50=AV$64," DNS ",IFERROR(VLOOKUP($F50,Arrangörslista!K$98:$AG$135,16,FALSE), "DNS")))), IF(Deltagarlista!$K$3=1,IF(ISBLANK(Deltagarlista!$C24),"",IF(ISBLANK(Arrangörslista!K$98),"",IFERROR(VLOOKUP($F50,Arrangörslista!K$98:$AG$135,16,FALSE), "DNS"))),""))</f>
        <v/>
      </c>
      <c r="AW50" s="5" t="str">
        <f>IF(Deltagarlista!$K$3=2,
IF(ISBLANK(Deltagarlista!$C24),"",IF(ISBLANK(Arrangörslista!L$98),"",IF($GV50=AW$64," DNS ",IFERROR(VLOOKUP($F50,Arrangörslista!L$98:$AG$135,16,FALSE), "DNS")))), IF(Deltagarlista!$K$3=1,IF(ISBLANK(Deltagarlista!$C24),"",IF(ISBLANK(Arrangörslista!L$98),"",IFERROR(VLOOKUP($F50,Arrangörslista!L$98:$AG$135,16,FALSE), "DNS"))),""))</f>
        <v/>
      </c>
      <c r="AX50" s="5" t="str">
        <f>IF(Deltagarlista!$K$3=2,
IF(ISBLANK(Deltagarlista!$C24),"",IF(ISBLANK(Arrangörslista!M$98),"",IF($GV50=AX$64," DNS ",IFERROR(VLOOKUP($F50,Arrangörslista!M$98:$AG$135,16,FALSE), "DNS")))), IF(Deltagarlista!$K$3=1,IF(ISBLANK(Deltagarlista!$C24),"",IF(ISBLANK(Arrangörslista!M$98),"",IFERROR(VLOOKUP($F50,Arrangörslista!M$98:$AG$135,16,FALSE), "DNS"))),""))</f>
        <v/>
      </c>
      <c r="AY50" s="5" t="str">
        <f>IF(Deltagarlista!$K$3=2,
IF(ISBLANK(Deltagarlista!$C24),"",IF(ISBLANK(Arrangörslista!N$98),"",IF($GV50=AY$64," DNS ",IFERROR(VLOOKUP($F50,Arrangörslista!N$98:$AG$135,16,FALSE), "DNS")))), IF(Deltagarlista!$K$3=1,IF(ISBLANK(Deltagarlista!$C24),"",IF(ISBLANK(Arrangörslista!N$98),"",IFERROR(VLOOKUP($F50,Arrangörslista!N$98:$AG$135,16,FALSE), "DNS"))),""))</f>
        <v/>
      </c>
      <c r="AZ50" s="5" t="str">
        <f>IF(Deltagarlista!$K$3=2,
IF(ISBLANK(Deltagarlista!$C24),"",IF(ISBLANK(Arrangörslista!O$98),"",IF($GV50=AZ$64," DNS ",IFERROR(VLOOKUP($F50,Arrangörslista!O$98:$AG$135,16,FALSE), "DNS")))), IF(Deltagarlista!$K$3=1,IF(ISBLANK(Deltagarlista!$C24),"",IF(ISBLANK(Arrangörslista!O$98),"",IFERROR(VLOOKUP($F50,Arrangörslista!O$98:$AG$135,16,FALSE), "DNS"))),""))</f>
        <v/>
      </c>
      <c r="BA50" s="5" t="str">
        <f>IF(Deltagarlista!$K$3=2,
IF(ISBLANK(Deltagarlista!$C24),"",IF(ISBLANK(Arrangörslista!P$98),"",IF($GV50=BA$64," DNS ",IFERROR(VLOOKUP($F50,Arrangörslista!P$98:$AG$135,16,FALSE), "DNS")))), IF(Deltagarlista!$K$3=1,IF(ISBLANK(Deltagarlista!$C24),"",IF(ISBLANK(Arrangörslista!P$98),"",IFERROR(VLOOKUP($F50,Arrangörslista!P$98:$AG$135,16,FALSE), "DNS"))),""))</f>
        <v/>
      </c>
      <c r="BB50" s="5" t="str">
        <f>IF(Deltagarlista!$K$3=2,
IF(ISBLANK(Deltagarlista!$C24),"",IF(ISBLANK(Arrangörslista!Q$98),"",IF($GV50=BB$64," DNS ",IFERROR(VLOOKUP($F50,Arrangörslista!Q$98:$AG$135,16,FALSE), "DNS")))), IF(Deltagarlista!$K$3=1,IF(ISBLANK(Deltagarlista!$C24),"",IF(ISBLANK(Arrangörslista!Q$98),"",IFERROR(VLOOKUP($F50,Arrangörslista!Q$98:$AG$135,16,FALSE), "DNS"))),""))</f>
        <v/>
      </c>
      <c r="BC50" s="5" t="str">
        <f>IF(Deltagarlista!$K$3=2,
IF(ISBLANK(Deltagarlista!$C24),"",IF(ISBLANK(Arrangörslista!C$143),"",IF($GV50=BC$64," DNS ",IFERROR(VLOOKUP($F50,Arrangörslista!C$143:$AG$180,16,FALSE), "DNS")))), IF(Deltagarlista!$K$3=1,IF(ISBLANK(Deltagarlista!$C24),"",IF(ISBLANK(Arrangörslista!C$143),"",IFERROR(VLOOKUP($F50,Arrangörslista!C$143:$AG$180,16,FALSE), "DNS"))),""))</f>
        <v/>
      </c>
      <c r="BD50" s="5" t="str">
        <f>IF(Deltagarlista!$K$3=2,
IF(ISBLANK(Deltagarlista!$C24),"",IF(ISBLANK(Arrangörslista!D$143),"",IF($GV50=BD$64," DNS ",IFERROR(VLOOKUP($F50,Arrangörslista!D$143:$AG$180,16,FALSE), "DNS")))), IF(Deltagarlista!$K$3=1,IF(ISBLANK(Deltagarlista!$C24),"",IF(ISBLANK(Arrangörslista!D$143),"",IFERROR(VLOOKUP($F50,Arrangörslista!D$143:$AG$180,16,FALSE), "DNS"))),""))</f>
        <v/>
      </c>
      <c r="BE50" s="5" t="str">
        <f>IF(Deltagarlista!$K$3=2,
IF(ISBLANK(Deltagarlista!$C24),"",IF(ISBLANK(Arrangörslista!E$143),"",IF($GV50=BE$64," DNS ",IFERROR(VLOOKUP($F50,Arrangörslista!E$143:$AG$180,16,FALSE), "DNS")))), IF(Deltagarlista!$K$3=1,IF(ISBLANK(Deltagarlista!$C24),"",IF(ISBLANK(Arrangörslista!E$143),"",IFERROR(VLOOKUP($F50,Arrangörslista!E$143:$AG$180,16,FALSE), "DNS"))),""))</f>
        <v/>
      </c>
      <c r="BF50" s="5" t="str">
        <f>IF(Deltagarlista!$K$3=2,
IF(ISBLANK(Deltagarlista!$C24),"",IF(ISBLANK(Arrangörslista!F$143),"",IF($GV50=BF$64," DNS ",IFERROR(VLOOKUP($F50,Arrangörslista!F$143:$AG$180,16,FALSE), "DNS")))), IF(Deltagarlista!$K$3=1,IF(ISBLANK(Deltagarlista!$C24),"",IF(ISBLANK(Arrangörslista!F$143),"",IFERROR(VLOOKUP($F50,Arrangörslista!F$143:$AG$180,16,FALSE), "DNS"))),""))</f>
        <v/>
      </c>
      <c r="BG50" s="5" t="str">
        <f>IF(Deltagarlista!$K$3=2,
IF(ISBLANK(Deltagarlista!$C24),"",IF(ISBLANK(Arrangörslista!G$143),"",IF($GV50=BG$64," DNS ",IFERROR(VLOOKUP($F50,Arrangörslista!G$143:$AG$180,16,FALSE), "DNS")))), IF(Deltagarlista!$K$3=1,IF(ISBLANK(Deltagarlista!$C24),"",IF(ISBLANK(Arrangörslista!G$143),"",IFERROR(VLOOKUP($F50,Arrangörslista!G$143:$AG$180,16,FALSE), "DNS"))),""))</f>
        <v/>
      </c>
      <c r="BH50" s="5" t="str">
        <f>IF(Deltagarlista!$K$3=2,
IF(ISBLANK(Deltagarlista!$C24),"",IF(ISBLANK(Arrangörslista!H$143),"",IF($GV50=BH$64," DNS ",IFERROR(VLOOKUP($F50,Arrangörslista!H$143:$AG$180,16,FALSE), "DNS")))), IF(Deltagarlista!$K$3=1,IF(ISBLANK(Deltagarlista!$C24),"",IF(ISBLANK(Arrangörslista!H$143),"",IFERROR(VLOOKUP($F50,Arrangörslista!H$143:$AG$180,16,FALSE), "DNS"))),""))</f>
        <v/>
      </c>
      <c r="BI50" s="5" t="str">
        <f>IF(Deltagarlista!$K$3=2,
IF(ISBLANK(Deltagarlista!$C24),"",IF(ISBLANK(Arrangörslista!I$143),"",IF($GV50=BI$64," DNS ",IFERROR(VLOOKUP($F50,Arrangörslista!I$143:$AG$180,16,FALSE), "DNS")))), IF(Deltagarlista!$K$3=1,IF(ISBLANK(Deltagarlista!$C24),"",IF(ISBLANK(Arrangörslista!I$143),"",IFERROR(VLOOKUP($F50,Arrangörslista!I$143:$AG$180,16,FALSE), "DNS"))),""))</f>
        <v/>
      </c>
      <c r="BJ50" s="5" t="str">
        <f>IF(Deltagarlista!$K$3=2,
IF(ISBLANK(Deltagarlista!$C24),"",IF(ISBLANK(Arrangörslista!J$143),"",IF($GV50=BJ$64," DNS ",IFERROR(VLOOKUP($F50,Arrangörslista!J$143:$AG$180,16,FALSE), "DNS")))), IF(Deltagarlista!$K$3=1,IF(ISBLANK(Deltagarlista!$C24),"",IF(ISBLANK(Arrangörslista!J$143),"",IFERROR(VLOOKUP($F50,Arrangörslista!J$143:$AG$180,16,FALSE), "DNS"))),""))</f>
        <v/>
      </c>
      <c r="BK50" s="5" t="str">
        <f>IF(Deltagarlista!$K$3=2,
IF(ISBLANK(Deltagarlista!$C24),"",IF(ISBLANK(Arrangörslista!K$143),"",IF($GV50=BK$64," DNS ",IFERROR(VLOOKUP($F50,Arrangörslista!K$143:$AG$180,16,FALSE), "DNS")))), IF(Deltagarlista!$K$3=1,IF(ISBLANK(Deltagarlista!$C24),"",IF(ISBLANK(Arrangörslista!K$143),"",IFERROR(VLOOKUP($F50,Arrangörslista!K$143:$AG$180,16,FALSE), "DNS"))),""))</f>
        <v/>
      </c>
      <c r="BL50" s="5" t="str">
        <f>IF(Deltagarlista!$K$3=2,
IF(ISBLANK(Deltagarlista!$C24),"",IF(ISBLANK(Arrangörslista!L$143),"",IF($GV50=BL$64," DNS ",IFERROR(VLOOKUP($F50,Arrangörslista!L$143:$AG$180,16,FALSE), "DNS")))), IF(Deltagarlista!$K$3=1,IF(ISBLANK(Deltagarlista!$C24),"",IF(ISBLANK(Arrangörslista!L$143),"",IFERROR(VLOOKUP($F50,Arrangörslista!L$143:$AG$180,16,FALSE), "DNS"))),""))</f>
        <v/>
      </c>
      <c r="BM50" s="5" t="str">
        <f>IF(Deltagarlista!$K$3=2,
IF(ISBLANK(Deltagarlista!$C24),"",IF(ISBLANK(Arrangörslista!M$143),"",IF($GV50=BM$64," DNS ",IFERROR(VLOOKUP($F50,Arrangörslista!M$143:$AG$180,16,FALSE), "DNS")))), IF(Deltagarlista!$K$3=1,IF(ISBLANK(Deltagarlista!$C24),"",IF(ISBLANK(Arrangörslista!M$143),"",IFERROR(VLOOKUP($F50,Arrangörslista!M$143:$AG$180,16,FALSE), "DNS"))),""))</f>
        <v/>
      </c>
      <c r="BN50" s="5" t="str">
        <f>IF(Deltagarlista!$K$3=2,
IF(ISBLANK(Deltagarlista!$C24),"",IF(ISBLANK(Arrangörslista!N$143),"",IF($GV50=BN$64," DNS ",IFERROR(VLOOKUP($F50,Arrangörslista!N$143:$AG$180,16,FALSE), "DNS")))), IF(Deltagarlista!$K$3=1,IF(ISBLANK(Deltagarlista!$C24),"",IF(ISBLANK(Arrangörslista!N$143),"",IFERROR(VLOOKUP($F50,Arrangörslista!N$143:$AG$180,16,FALSE), "DNS"))),""))</f>
        <v/>
      </c>
      <c r="BO50" s="5" t="str">
        <f>IF(Deltagarlista!$K$3=2,
IF(ISBLANK(Deltagarlista!$C24),"",IF(ISBLANK(Arrangörslista!O$143),"",IF($GV50=BO$64," DNS ",IFERROR(VLOOKUP($F50,Arrangörslista!O$143:$AG$180,16,FALSE), "DNS")))), IF(Deltagarlista!$K$3=1,IF(ISBLANK(Deltagarlista!$C24),"",IF(ISBLANK(Arrangörslista!O$143),"",IFERROR(VLOOKUP($F50,Arrangörslista!O$143:$AG$180,16,FALSE), "DNS"))),""))</f>
        <v/>
      </c>
      <c r="BP50" s="5" t="str">
        <f>IF(Deltagarlista!$K$3=2,
IF(ISBLANK(Deltagarlista!$C24),"",IF(ISBLANK(Arrangörslista!P$143),"",IF($GV50=BP$64," DNS ",IFERROR(VLOOKUP($F50,Arrangörslista!P$143:$AG$180,16,FALSE), "DNS")))), IF(Deltagarlista!$K$3=1,IF(ISBLANK(Deltagarlista!$C24),"",IF(ISBLANK(Arrangörslista!P$143),"",IFERROR(VLOOKUP($F50,Arrangörslista!P$143:$AG$180,16,FALSE), "DNS"))),""))</f>
        <v/>
      </c>
      <c r="BQ50" s="80" t="str">
        <f>IF(Deltagarlista!$K$3=2,
IF(ISBLANK(Deltagarlista!$C24),"",IF(ISBLANK(Arrangörslista!Q$143),"",IF($GV50=BQ$64," DNS ",IFERROR(VLOOKUP($F50,Arrangörslista!Q$143:$AG$180,16,FALSE), "DNS")))), IF(Deltagarlista!$K$3=1,IF(ISBLANK(Deltagarlista!$C24),"",IF(ISBLANK(Arrangörslista!Q$143),"",IFERROR(VLOOKUP($F50,Arrangörslista!Q$143:$AG$180,16,FALSE), "DNS"))),""))</f>
        <v/>
      </c>
      <c r="BR50" s="51"/>
      <c r="BS50" s="50" t="str">
        <f t="shared" si="125"/>
        <v>2</v>
      </c>
      <c r="BT50" s="51"/>
      <c r="BU50" s="71">
        <f t="shared" si="126"/>
        <v>0</v>
      </c>
      <c r="BV50" s="61">
        <f t="shared" si="127"/>
        <v>0</v>
      </c>
      <c r="BW50" s="61">
        <f t="shared" si="128"/>
        <v>0</v>
      </c>
      <c r="BX50" s="61">
        <f t="shared" si="129"/>
        <v>0</v>
      </c>
      <c r="BY50" s="61">
        <f t="shared" si="130"/>
        <v>0</v>
      </c>
      <c r="BZ50" s="61">
        <f t="shared" si="131"/>
        <v>0</v>
      </c>
      <c r="CA50" s="61">
        <f t="shared" si="132"/>
        <v>0</v>
      </c>
      <c r="CB50" s="61">
        <f t="shared" si="133"/>
        <v>0</v>
      </c>
      <c r="CC50" s="61">
        <f t="shared" si="134"/>
        <v>0</v>
      </c>
      <c r="CD50" s="61">
        <f t="shared" si="135"/>
        <v>0</v>
      </c>
      <c r="CE50" s="61">
        <f t="shared" si="136"/>
        <v>0</v>
      </c>
      <c r="CF50" s="61">
        <f t="shared" si="137"/>
        <v>0</v>
      </c>
      <c r="CG50" s="61">
        <f t="shared" si="138"/>
        <v>0</v>
      </c>
      <c r="CH50" s="61">
        <f t="shared" si="139"/>
        <v>0</v>
      </c>
      <c r="CI50" s="61">
        <f t="shared" si="140"/>
        <v>0</v>
      </c>
      <c r="CJ50" s="61">
        <f t="shared" si="141"/>
        <v>0</v>
      </c>
      <c r="CK50" s="61">
        <f t="shared" si="142"/>
        <v>0</v>
      </c>
      <c r="CL50" s="61">
        <f t="shared" si="143"/>
        <v>0</v>
      </c>
      <c r="CM50" s="61">
        <f t="shared" si="144"/>
        <v>0</v>
      </c>
      <c r="CN50" s="61">
        <f t="shared" si="145"/>
        <v>0</v>
      </c>
      <c r="CO50" s="61">
        <f t="shared" si="146"/>
        <v>0</v>
      </c>
      <c r="CP50" s="61">
        <f t="shared" si="147"/>
        <v>0</v>
      </c>
      <c r="CQ50" s="61">
        <f t="shared" si="148"/>
        <v>0</v>
      </c>
      <c r="CR50" s="61">
        <f t="shared" si="149"/>
        <v>0</v>
      </c>
      <c r="CS50" s="61">
        <f t="shared" si="150"/>
        <v>0</v>
      </c>
      <c r="CT50" s="61">
        <f t="shared" si="151"/>
        <v>0</v>
      </c>
      <c r="CU50" s="61">
        <f t="shared" si="152"/>
        <v>0</v>
      </c>
      <c r="CV50" s="61">
        <f t="shared" si="153"/>
        <v>0</v>
      </c>
      <c r="CW50" s="61">
        <f t="shared" si="154"/>
        <v>0</v>
      </c>
      <c r="CX50" s="61">
        <f t="shared" si="155"/>
        <v>0</v>
      </c>
      <c r="CY50" s="61">
        <f t="shared" si="156"/>
        <v>0</v>
      </c>
      <c r="CZ50" s="61">
        <f t="shared" si="157"/>
        <v>0</v>
      </c>
      <c r="DA50" s="61">
        <f t="shared" si="158"/>
        <v>0</v>
      </c>
      <c r="DB50" s="61">
        <f t="shared" si="159"/>
        <v>0</v>
      </c>
      <c r="DC50" s="61">
        <f t="shared" si="160"/>
        <v>0</v>
      </c>
      <c r="DD50" s="61">
        <f t="shared" si="161"/>
        <v>0</v>
      </c>
      <c r="DE50" s="61">
        <f t="shared" si="162"/>
        <v>0</v>
      </c>
      <c r="DF50" s="61">
        <f t="shared" si="163"/>
        <v>0</v>
      </c>
      <c r="DG50" s="61">
        <f t="shared" si="164"/>
        <v>0</v>
      </c>
      <c r="DH50" s="61">
        <f t="shared" si="165"/>
        <v>0</v>
      </c>
      <c r="DI50" s="61">
        <f t="shared" si="166"/>
        <v>0</v>
      </c>
      <c r="DJ50" s="61">
        <f t="shared" si="167"/>
        <v>0</v>
      </c>
      <c r="DK50" s="61">
        <f t="shared" si="168"/>
        <v>0</v>
      </c>
      <c r="DL50" s="61">
        <f t="shared" si="169"/>
        <v>0</v>
      </c>
      <c r="DM50" s="61">
        <f t="shared" si="170"/>
        <v>0</v>
      </c>
      <c r="DN50" s="61">
        <f t="shared" si="171"/>
        <v>0</v>
      </c>
      <c r="DO50" s="61">
        <f t="shared" si="172"/>
        <v>0</v>
      </c>
      <c r="DP50" s="61">
        <f t="shared" si="173"/>
        <v>0</v>
      </c>
      <c r="DQ50" s="61">
        <f t="shared" si="174"/>
        <v>0</v>
      </c>
      <c r="DR50" s="61">
        <f t="shared" si="175"/>
        <v>0</v>
      </c>
      <c r="DS50" s="61">
        <f t="shared" si="176"/>
        <v>0</v>
      </c>
      <c r="DT50" s="61">
        <f t="shared" si="177"/>
        <v>0</v>
      </c>
      <c r="DU50" s="61">
        <f t="shared" si="178"/>
        <v>0</v>
      </c>
      <c r="DV50" s="61">
        <f t="shared" si="179"/>
        <v>0</v>
      </c>
      <c r="DW50" s="61">
        <f t="shared" si="180"/>
        <v>0</v>
      </c>
      <c r="DX50" s="61">
        <f t="shared" si="181"/>
        <v>0</v>
      </c>
      <c r="DY50" s="61">
        <f t="shared" si="182"/>
        <v>0</v>
      </c>
      <c r="DZ50" s="61">
        <f t="shared" si="183"/>
        <v>0</v>
      </c>
      <c r="EA50" s="61">
        <f t="shared" si="184"/>
        <v>0</v>
      </c>
      <c r="EB50" s="61">
        <f t="shared" si="185"/>
        <v>0</v>
      </c>
      <c r="EC50" s="61">
        <f t="shared" si="186"/>
        <v>0</v>
      </c>
      <c r="EE50" s="61">
        <f xml:space="preserve">
IF(OR(Deltagarlista!$K$3=3,Deltagarlista!$K$3=4),
IF(Arrangörslista!$U$5&lt;8,0,
IF(Arrangörslista!$U$5&lt;16,SUM(LARGE(BV50:CJ50,1)),
IF(Arrangörslista!$U$5&lt;24,SUM(LARGE(BV50:CR50,{1;2})),
IF(Arrangörslista!$U$5&lt;32,SUM(LARGE(BV50:CZ50,{1;2;3})),
IF(Arrangörslista!$U$5&lt;40,SUM(LARGE(BV50:DH50,{1;2;3;4})),
IF(Arrangörslista!$U$5&lt;48,SUM(LARGE(BV50:DP50,{1;2;3;4;5})),
IF(Arrangörslista!$U$5&lt;56,SUM(LARGE(BV50:DX50,{1;2;3;4;5;6})),
IF(Arrangörslista!$U$5&lt;64,SUM(LARGE(BV50:EC50,{1;2;3;4;5;6;7})),0)))))))),
IF(Deltagarlista!$K$3=2,
IF(Arrangörslista!$U$5&lt;4,LARGE(BV50:BX50,1),
IF(Arrangörslista!$U$5&lt;7,SUM(LARGE(BV50:CA50,{1;2;3})),
IF(Arrangörslista!$U$5&lt;10,SUM(LARGE(BV50:CD50,{1;2;3;4})),
IF(Arrangörslista!$U$5&lt;13,SUM(LARGE(BV50:CG50,{1;2;3;4;5;6})),
IF(Arrangörslista!$U$5&lt;16,SUM(LARGE(BV50:CJ50,{1;2;3;4;5;6;7})),
IF(Arrangörslista!$U$5&lt;19,SUM(LARGE(BV50:CM50,{1;2;3;4;5;6;7;8;9})),
IF(Arrangörslista!$U$5&lt;22,SUM(LARGE(BV50:CP50,{1;2;3;4;5;6;7;8;9;10})),
IF(Arrangörslista!$U$5&lt;25,SUM(LARGE(BV50:CS50,{1;2;3;4;5;6;7;8;9;10;11;12})),
IF(Arrangörslista!$U$5&lt;28,SUM(LARGE(BV50:CV50,{1;2;3;4;5;6;7;8;9;10;11;12;13})),
IF(Arrangörslista!$U$5&lt;31,SUM(LARGE(BV50:CY50,{1;2;3;4;5;6;7;8;9;10;11;12;13;14;15})),
IF(Arrangörslista!$U$5&lt;34,SUM(LARGE(BV50:DB50,{1;2;3;4;5;6;7;8;9;10;11;12;13;14;15;16})),
IF(Arrangörslista!$U$5&lt;37,SUM(LARGE(BV50:DE50,{1;2;3;4;5;6;7;8;9;10;11;12;13;14;15;16;17;18})),
IF(Arrangörslista!$U$5&lt;40,SUM(LARGE(BV50:DH50,{1;2;3;4;5;6;7;8;9;10;11;12;13;14;15;16;17;18;19})),
IF(Arrangörslista!$U$5&lt;43,SUM(LARGE(BV50:DK50,{1;2;3;4;5;6;7;8;9;10;11;12;13;14;15;16;17;18;19;20;21})),
IF(Arrangörslista!$U$5&lt;46,SUM(LARGE(BV50:DN50,{1;2;3;4;5;6;7;8;9;10;11;12;13;14;15;16;17;18;19;20;21;22})),
IF(Arrangörslista!$U$5&lt;49,SUM(LARGE(BV50:DQ50,{1;2;3;4;5;6;7;8;9;10;11;12;13;14;15;16;17;18;19;20;21;22;23;24})),
IF(Arrangörslista!$U$5&lt;52,SUM(LARGE(BV50:DT50,{1;2;3;4;5;6;7;8;9;10;11;12;13;14;15;16;17;18;19;20;21;22;23;24;25})),
IF(Arrangörslista!$U$5&lt;55,SUM(LARGE(BV50:DW50,{1;2;3;4;5;6;7;8;9;10;11;12;13;14;15;16;17;18;19;20;21;22;23;24;25;26;27})),
IF(Arrangörslista!$U$5&lt;58,SUM(LARGE(BV50:DZ50,{1;2;3;4;5;6;7;8;9;10;11;12;13;14;15;16;17;18;19;20;21;22;23;24;25;26;27;28})),
IF(Arrangörslista!$U$5&lt;61,SUM(LARGE(BV50:EC50,{1;2;3;4;5;6;7;8;9;10;11;12;13;14;15;16;17;18;19;20;21;22;23;24;25;26;27;28;29;30})),0)))))))))))))))))))),
IF(Arrangörslista!$U$5&lt;4,0,
IF(Arrangörslista!$U$5&lt;8,SUM(LARGE(BV50:CB50,1)),
IF(Arrangörslista!$U$5&lt;12,SUM(LARGE(BV50:CF50,{1;2})),
IF(Arrangörslista!$U$5&lt;16,SUM(LARGE(BV50:CJ50,{1;2;3})),
IF(Arrangörslista!$U$5&lt;20,SUM(LARGE(BV50:CN50,{1;2;3;4})),
IF(Arrangörslista!$U$5&lt;24,SUM(LARGE(BV50:CR50,{1;2;3;4;5})),
IF(Arrangörslista!$U$5&lt;28,SUM(LARGE(BV50:CV50,{1;2;3;4;5;6})),
IF(Arrangörslista!$U$5&lt;32,SUM(LARGE(BV50:CZ50,{1;2;3;4;5;6;7})),
IF(Arrangörslista!$U$5&lt;36,SUM(LARGE(BV50:DD50,{1;2;3;4;5;6;7;8})),
IF(Arrangörslista!$U$5&lt;40,SUM(LARGE(BV50:DH50,{1;2;3;4;5;6;7;8;9})),
IF(Arrangörslista!$U$5&lt;44,SUM(LARGE(BV50:DL50,{1;2;3;4;5;6;7;8;9;10})),
IF(Arrangörslista!$U$5&lt;48,SUM(LARGE(BV50:DP50,{1;2;3;4;5;6;7;8;9;10;11})),
IF(Arrangörslista!$U$5&lt;52,SUM(LARGE(BV50:DT50,{1;2;3;4;5;6;7;8;9;10;11;12})),
IF(Arrangörslista!$U$5&lt;56,SUM(LARGE(BV50:DX50,{1;2;3;4;5;6;7;8;9;10;11;12;13})),
IF(Arrangörslista!$U$5&lt;60,SUM(LARGE(BV50:EB50,{1;2;3;4;5;6;7;8;9;10;11;12;13;14})),
IF(Arrangörslista!$U$5=60,SUM(LARGE(BV50:EC50,{1;2;3;4;5;6;7;8;9;10;11;12;13;14;15})),0))))))))))))))))))</f>
        <v>0</v>
      </c>
      <c r="EG50" s="67">
        <f t="shared" si="187"/>
        <v>0</v>
      </c>
      <c r="EH50" s="61"/>
      <c r="EI50" s="61"/>
      <c r="EK50" s="62">
        <f t="shared" si="188"/>
        <v>61</v>
      </c>
      <c r="EL50" s="62">
        <f t="shared" si="189"/>
        <v>61</v>
      </c>
      <c r="EM50" s="62">
        <f t="shared" si="190"/>
        <v>61</v>
      </c>
      <c r="EN50" s="62">
        <f t="shared" si="191"/>
        <v>61</v>
      </c>
      <c r="EO50" s="62">
        <f t="shared" si="192"/>
        <v>61</v>
      </c>
      <c r="EP50" s="62">
        <f t="shared" si="193"/>
        <v>61</v>
      </c>
      <c r="EQ50" s="62">
        <f t="shared" si="194"/>
        <v>61</v>
      </c>
      <c r="ER50" s="62">
        <f t="shared" si="195"/>
        <v>61</v>
      </c>
      <c r="ES50" s="62">
        <f t="shared" si="196"/>
        <v>61</v>
      </c>
      <c r="ET50" s="62">
        <f t="shared" si="197"/>
        <v>61</v>
      </c>
      <c r="EU50" s="62">
        <f t="shared" si="198"/>
        <v>61</v>
      </c>
      <c r="EV50" s="62">
        <f t="shared" si="199"/>
        <v>61</v>
      </c>
      <c r="EW50" s="62">
        <f t="shared" si="200"/>
        <v>61</v>
      </c>
      <c r="EX50" s="62">
        <f t="shared" si="201"/>
        <v>61</v>
      </c>
      <c r="EY50" s="62">
        <f t="shared" si="202"/>
        <v>61</v>
      </c>
      <c r="EZ50" s="62">
        <f t="shared" si="203"/>
        <v>61</v>
      </c>
      <c r="FA50" s="62">
        <f t="shared" si="204"/>
        <v>61</v>
      </c>
      <c r="FB50" s="62">
        <f t="shared" si="205"/>
        <v>61</v>
      </c>
      <c r="FC50" s="62">
        <f t="shared" si="206"/>
        <v>61</v>
      </c>
      <c r="FD50" s="62">
        <f t="shared" si="207"/>
        <v>61</v>
      </c>
      <c r="FE50" s="62">
        <f t="shared" si="208"/>
        <v>61</v>
      </c>
      <c r="FF50" s="62">
        <f t="shared" si="209"/>
        <v>61</v>
      </c>
      <c r="FG50" s="62">
        <f t="shared" si="210"/>
        <v>61</v>
      </c>
      <c r="FH50" s="62">
        <f t="shared" si="211"/>
        <v>61</v>
      </c>
      <c r="FI50" s="62">
        <f t="shared" si="212"/>
        <v>61</v>
      </c>
      <c r="FJ50" s="62">
        <f t="shared" si="213"/>
        <v>61</v>
      </c>
      <c r="FK50" s="62">
        <f t="shared" si="214"/>
        <v>61</v>
      </c>
      <c r="FL50" s="62">
        <f t="shared" si="215"/>
        <v>61</v>
      </c>
      <c r="FM50" s="62">
        <f t="shared" si="216"/>
        <v>61</v>
      </c>
      <c r="FN50" s="62">
        <f t="shared" si="217"/>
        <v>61</v>
      </c>
      <c r="FO50" s="62">
        <f t="shared" si="218"/>
        <v>61</v>
      </c>
      <c r="FP50" s="62">
        <f t="shared" si="219"/>
        <v>61</v>
      </c>
      <c r="FQ50" s="62">
        <f t="shared" si="220"/>
        <v>61</v>
      </c>
      <c r="FR50" s="62">
        <f t="shared" si="221"/>
        <v>61</v>
      </c>
      <c r="FS50" s="62">
        <f t="shared" si="222"/>
        <v>61</v>
      </c>
      <c r="FT50" s="62">
        <f t="shared" si="223"/>
        <v>61</v>
      </c>
      <c r="FU50" s="62">
        <f t="shared" si="224"/>
        <v>61</v>
      </c>
      <c r="FV50" s="62">
        <f t="shared" si="225"/>
        <v>61</v>
      </c>
      <c r="FW50" s="62">
        <f t="shared" si="226"/>
        <v>61</v>
      </c>
      <c r="FX50" s="62">
        <f t="shared" si="227"/>
        <v>61</v>
      </c>
      <c r="FY50" s="62">
        <f t="shared" si="228"/>
        <v>61</v>
      </c>
      <c r="FZ50" s="62">
        <f t="shared" si="229"/>
        <v>61</v>
      </c>
      <c r="GA50" s="62">
        <f t="shared" si="230"/>
        <v>61</v>
      </c>
      <c r="GB50" s="62">
        <f t="shared" si="231"/>
        <v>61</v>
      </c>
      <c r="GC50" s="62">
        <f t="shared" si="232"/>
        <v>61</v>
      </c>
      <c r="GD50" s="62">
        <f t="shared" si="233"/>
        <v>61</v>
      </c>
      <c r="GE50" s="62">
        <f t="shared" si="234"/>
        <v>61</v>
      </c>
      <c r="GF50" s="62">
        <f t="shared" si="235"/>
        <v>61</v>
      </c>
      <c r="GG50" s="62">
        <f t="shared" si="236"/>
        <v>61</v>
      </c>
      <c r="GH50" s="62">
        <f t="shared" si="237"/>
        <v>61</v>
      </c>
      <c r="GI50" s="62">
        <f t="shared" si="238"/>
        <v>61</v>
      </c>
      <c r="GJ50" s="62">
        <f t="shared" si="239"/>
        <v>61</v>
      </c>
      <c r="GK50" s="62">
        <f t="shared" si="240"/>
        <v>61</v>
      </c>
      <c r="GL50" s="62">
        <f t="shared" si="241"/>
        <v>61</v>
      </c>
      <c r="GM50" s="62">
        <f t="shared" si="242"/>
        <v>61</v>
      </c>
      <c r="GN50" s="62">
        <f t="shared" si="243"/>
        <v>61</v>
      </c>
      <c r="GO50" s="62">
        <f t="shared" si="244"/>
        <v>61</v>
      </c>
      <c r="GP50" s="62">
        <f t="shared" si="245"/>
        <v>61</v>
      </c>
      <c r="GQ50" s="62">
        <f t="shared" si="246"/>
        <v>61</v>
      </c>
      <c r="GR50" s="62">
        <f t="shared" si="247"/>
        <v>61</v>
      </c>
      <c r="GT50" s="62">
        <f>IF(Deltagarlista!$K$3=2,
IF(GW50="1",
      IF(Arrangörslista!$U$5=1,J113,
IF(Arrangörslista!$U$5=2,K113,
IF(Arrangörslista!$U$5=3,L113,
IF(Arrangörslista!$U$5=4,M113,
IF(Arrangörslista!$U$5=5,N113,
IF(Arrangörslista!$U$5=6,O113,
IF(Arrangörslista!$U$5=7,P113,
IF(Arrangörslista!$U$5=8,Q113,
IF(Arrangörslista!$U$5=9,R113,
IF(Arrangörslista!$U$5=10,S113,
IF(Arrangörslista!$U$5=11,T113,
IF(Arrangörslista!$U$5=12,U113,
IF(Arrangörslista!$U$5=13,V113,
IF(Arrangörslista!$U$5=14,W113,
IF(Arrangörslista!$U$5=15,X113,
IF(Arrangörslista!$U$5=16,Y113,IF(Arrangörslista!$U$5=17,Z113,IF(Arrangörslista!$U$5=18,AA113,IF(Arrangörslista!$U$5=19,AB113,IF(Arrangörslista!$U$5=20,AC113,IF(Arrangörslista!$U$5=21,AD113,IF(Arrangörslista!$U$5=22,AE113,IF(Arrangörslista!$U$5=23,AF113, IF(Arrangörslista!$U$5=24,AG113, IF(Arrangörslista!$U$5=25,AH113, IF(Arrangörslista!$U$5=26,AI113, IF(Arrangörslista!$U$5=27,AJ113, IF(Arrangörslista!$U$5=28,AK113, IF(Arrangörslista!$U$5=29,AL113, IF(Arrangörslista!$U$5=30,AM113, IF(Arrangörslista!$U$5=31,AN113, IF(Arrangörslista!$U$5=32,AO113, IF(Arrangörslista!$U$5=33,AP113, IF(Arrangörslista!$U$5=34,AQ113, IF(Arrangörslista!$U$5=35,AR113, IF(Arrangörslista!$U$5=36,AS113, IF(Arrangörslista!$U$5=37,AT113, IF(Arrangörslista!$U$5=38,AU113, IF(Arrangörslista!$U$5=39,AV113, IF(Arrangörslista!$U$5=40,AW113, IF(Arrangörslista!$U$5=41,AX113, IF(Arrangörslista!$U$5=42,AY113, IF(Arrangörslista!$U$5=43,AZ113, IF(Arrangörslista!$U$5=44,BA113, IF(Arrangörslista!$U$5=45,BB113, IF(Arrangörslista!$U$5=46,BC113, IF(Arrangörslista!$U$5=47,BD113, IF(Arrangörslista!$U$5=48,BE113, IF(Arrangörslista!$U$5=49,BF113, IF(Arrangörslista!$U$5=50,BG113, IF(Arrangörslista!$U$5=51,BH113, IF(Arrangörslista!$U$5=52,BI113, IF(Arrangörslista!$U$5=53,BJ113, IF(Arrangörslista!$U$5=54,BK113, IF(Arrangörslista!$U$5=55,BL113, IF(Arrangörslista!$U$5=56,BM113, IF(Arrangörslista!$U$5=57,BN113, IF(Arrangörslista!$U$5=58,BO113, IF(Arrangörslista!$U$5=59,BP113, IF(Arrangörslista!$U$5=60,BQ113,0))))))))))))))))))))))))))))))))))))))))))))))))))))))))))))),IF(Deltagarlista!$K$3=4, IF(Arrangörslista!$U$5=1,J113,
IF(Arrangörslista!$U$5=2,J113,
IF(Arrangörslista!$U$5=3,K113,
IF(Arrangörslista!$U$5=4,K113,
IF(Arrangörslista!$U$5=5,L113,
IF(Arrangörslista!$U$5=6,L113,
IF(Arrangörslista!$U$5=7,M113,
IF(Arrangörslista!$U$5=8,M113,
IF(Arrangörslista!$U$5=9,N113,
IF(Arrangörslista!$U$5=10,N113,
IF(Arrangörslista!$U$5=11,O113,
IF(Arrangörslista!$U$5=12,O113,
IF(Arrangörslista!$U$5=13,P113,
IF(Arrangörslista!$U$5=14,P113,
IF(Arrangörslista!$U$5=15,Q113,
IF(Arrangörslista!$U$5=16,Q113,
IF(Arrangörslista!$U$5=17,R113,
IF(Arrangörslista!$U$5=18,R113,
IF(Arrangörslista!$U$5=19,S113,
IF(Arrangörslista!$U$5=20,S113,
IF(Arrangörslista!$U$5=21,T113,
IF(Arrangörslista!$U$5=22,T113,IF(Arrangörslista!$U$5=23,U113, IF(Arrangörslista!$U$5=24,U113, IF(Arrangörslista!$U$5=25,V113, IF(Arrangörslista!$U$5=26,V113, IF(Arrangörslista!$U$5=27,W113, IF(Arrangörslista!$U$5=28,W113, IF(Arrangörslista!$U$5=29,X113, IF(Arrangörslista!$U$5=30,X113, IF(Arrangörslista!$U$5=31,X113, IF(Arrangörslista!$U$5=32,Y113, IF(Arrangörslista!$U$5=33,AO113, IF(Arrangörslista!$U$5=34,Y113, IF(Arrangörslista!$U$5=35,Z113, IF(Arrangörslista!$U$5=36,AR113, IF(Arrangörslista!$U$5=37,Z113, IF(Arrangörslista!$U$5=38,AA113, IF(Arrangörslista!$U$5=39,AU113, IF(Arrangörslista!$U$5=40,AA113, IF(Arrangörslista!$U$5=41,AB113, IF(Arrangörslista!$U$5=42,AX113, IF(Arrangörslista!$U$5=43,AB113, IF(Arrangörslista!$U$5=44,AC113, IF(Arrangörslista!$U$5=45,BA113, IF(Arrangörslista!$U$5=46,AC113, IF(Arrangörslista!$U$5=47,AD113, IF(Arrangörslista!$U$5=48,BD113, IF(Arrangörslista!$U$5=49,AD113, IF(Arrangörslista!$U$5=50,AE113, IF(Arrangörslista!$U$5=51,BG113, IF(Arrangörslista!$U$5=52,AE113, IF(Arrangörslista!$U$5=53,AF113, IF(Arrangörslista!$U$5=54,BJ113, IF(Arrangörslista!$U$5=55,AF113, IF(Arrangörslista!$U$5=56,AG113, IF(Arrangörslista!$U$5=57,BM113, IF(Arrangörslista!$U$5=58,AG113, IF(Arrangörslista!$U$5=59,AH113, IF(Arrangörslista!$U$5=60,AH113,0)))))))))))))))))))))))))))))))))))))))))))))))))))))))))))),IF(Arrangörslista!$U$5=1,J113,
IF(Arrangörslista!$U$5=2,K113,
IF(Arrangörslista!$U$5=3,L113,
IF(Arrangörslista!$U$5=4,M113,
IF(Arrangörslista!$U$5=5,N113,
IF(Arrangörslista!$U$5=6,O113,
IF(Arrangörslista!$U$5=7,P113,
IF(Arrangörslista!$U$5=8,Q113,
IF(Arrangörslista!$U$5=9,R113,
IF(Arrangörslista!$U$5=10,S113,
IF(Arrangörslista!$U$5=11,T113,
IF(Arrangörslista!$U$5=12,U113,
IF(Arrangörslista!$U$5=13,V113,
IF(Arrangörslista!$U$5=14,W113,
IF(Arrangörslista!$U$5=15,X113,
IF(Arrangörslista!$U$5=16,Y113,IF(Arrangörslista!$U$5=17,Z113,IF(Arrangörslista!$U$5=18,AA113,IF(Arrangörslista!$U$5=19,AB113,IF(Arrangörslista!$U$5=20,AC113,IF(Arrangörslista!$U$5=21,AD113,IF(Arrangörslista!$U$5=22,AE113,IF(Arrangörslista!$U$5=23,AF113, IF(Arrangörslista!$U$5=24,AG113, IF(Arrangörslista!$U$5=25,AH113, IF(Arrangörslista!$U$5=26,AI113, IF(Arrangörslista!$U$5=27,AJ113, IF(Arrangörslista!$U$5=28,AK113, IF(Arrangörslista!$U$5=29,AL113, IF(Arrangörslista!$U$5=30,AM113, IF(Arrangörslista!$U$5=31,AN113, IF(Arrangörslista!$U$5=32,AO113, IF(Arrangörslista!$U$5=33,AP113, IF(Arrangörslista!$U$5=34,AQ113, IF(Arrangörslista!$U$5=35,AR113, IF(Arrangörslista!$U$5=36,AS113, IF(Arrangörslista!$U$5=37,AT113, IF(Arrangörslista!$U$5=38,AU113, IF(Arrangörslista!$U$5=39,AV113, IF(Arrangörslista!$U$5=40,AW113, IF(Arrangörslista!$U$5=41,AX113, IF(Arrangörslista!$U$5=42,AY113, IF(Arrangörslista!$U$5=43,AZ113, IF(Arrangörslista!$U$5=44,BA113, IF(Arrangörslista!$U$5=45,BB113, IF(Arrangörslista!$U$5=46,BC113, IF(Arrangörslista!$U$5=47,BD113, IF(Arrangörslista!$U$5=48,BE113, IF(Arrangörslista!$U$5=49,BF113, IF(Arrangörslista!$U$5=50,BG113, IF(Arrangörslista!$U$5=51,BH113, IF(Arrangörslista!$U$5=52,BI113, IF(Arrangörslista!$U$5=53,BJ113, IF(Arrangörslista!$U$5=54,BK113, IF(Arrangörslista!$U$5=55,BL113, IF(Arrangörslista!$U$5=56,BM113, IF(Arrangörslista!$U$5=57,BN113, IF(Arrangörslista!$U$5=58,BO113, IF(Arrangörslista!$U$5=59,BP113, IF(Arrangörslista!$U$5=60,BQ113,0))))))))))))))))))))))))))))))))))))))))))))))))))))))))))))
))</f>
        <v>0</v>
      </c>
      <c r="GV50" s="65" t="str">
        <f>IFERROR(IF(VLOOKUP(F50,Deltagarlista!$E$5:$I$64,5,FALSE)="Grön","Gr",IF(VLOOKUP(F50,Deltagarlista!$E$5:$I$64,5,FALSE)="Röd","R",IF(VLOOKUP(F50,Deltagarlista!$E$5:$I$64,5,FALSE)="Blå","B","Gu"))),"")</f>
        <v/>
      </c>
      <c r="GW50" s="62" t="str">
        <f t="shared" si="124"/>
        <v/>
      </c>
    </row>
    <row r="51" spans="2:205" ht="15.75" customHeight="1" x14ac:dyDescent="0.3">
      <c r="B51" s="23" t="str">
        <f>IF((COUNTIF(Deltagarlista!$H$5:$H$64,"GM"))&gt;47,48,"")</f>
        <v/>
      </c>
      <c r="C51" s="92" t="str">
        <f>IF(ISBLANK(Deltagarlista!C27),"",Deltagarlista!C27)</f>
        <v/>
      </c>
      <c r="D51" s="109" t="str">
        <f>CONCATENATE(IF(Deltagarlista!H27="GM","GM   ",""), IF(OR(Deltagarlista!$K$3=4,Deltagarlista!$K$3=2),Deltagarlista!I27,""))</f>
        <v/>
      </c>
      <c r="E51" s="8" t="str">
        <f>IF(ISBLANK(Deltagarlista!D27),"",Deltagarlista!D27)</f>
        <v/>
      </c>
      <c r="F51" s="8" t="str">
        <f>IF(ISBLANK(Deltagarlista!E27),"",Deltagarlista!E27)</f>
        <v/>
      </c>
      <c r="G51" s="95" t="str">
        <f>IF(ISBLANK(Deltagarlista!F27),"",Deltagarlista!F27)</f>
        <v/>
      </c>
      <c r="H51" s="72" t="str">
        <f>IF(ISBLANK(Deltagarlista!C27),"",BU51-EE51)</f>
        <v/>
      </c>
      <c r="I51" s="13" t="str">
        <f>IF(ISBLANK(Deltagarlista!C27),"",IF(AND(Deltagarlista!$K$3=2,Deltagarlista!$L$3&lt;37),SUM(SUM(BV51:EC51)-(ROUNDDOWN(Arrangörslista!$U$5/3,1))*($BW$3+1)),SUM(BV51:EC51)))</f>
        <v/>
      </c>
      <c r="J51" s="79" t="str">
        <f>IF(Deltagarlista!$K$3=4,IF(ISBLANK(Deltagarlista!$C27),"",IF(ISBLANK(Arrangörslista!C$8),"",IFERROR(VLOOKUP($F51,Arrangörslista!C$8:$AG$45,16,FALSE),IF(ISBLANK(Deltagarlista!$C27),"",IF(ISBLANK(Arrangörslista!C$8),"",IFERROR(VLOOKUP($F51,Arrangörslista!D$8:$AG$45,16,FALSE),"DNS")))))),IF(Deltagarlista!$K$3=2,
IF(ISBLANK(Deltagarlista!$C27),"",IF(ISBLANK(Arrangörslista!C$8),"",IF($GV51=J$64," DNS ",IFERROR(VLOOKUP($F51,Arrangörslista!C$8:$AG$45,16,FALSE),"DNS")))),IF(ISBLANK(Deltagarlista!$C27),"",IF(ISBLANK(Arrangörslista!C$8),"",IFERROR(VLOOKUP($F51,Arrangörslista!C$8:$AG$45,16,FALSE),"DNS")))))</f>
        <v/>
      </c>
      <c r="K51" s="5" t="str">
        <f>IF(Deltagarlista!$K$3=4,IF(ISBLANK(Deltagarlista!$C27),"",IF(ISBLANK(Arrangörslista!E$8),"",IFERROR(VLOOKUP($F51,Arrangörslista!E$8:$AG$45,16,FALSE),IF(ISBLANK(Deltagarlista!$C27),"",IF(ISBLANK(Arrangörslista!E$8),"",IFERROR(VLOOKUP($F51,Arrangörslista!F$8:$AG$45,16,FALSE),"DNS")))))),IF(Deltagarlista!$K$3=2,
IF(ISBLANK(Deltagarlista!$C27),"",IF(ISBLANK(Arrangörslista!D$8),"",IF($GV51=K$64," DNS ",IFERROR(VLOOKUP($F51,Arrangörslista!D$8:$AG$45,16,FALSE),"DNS")))),IF(ISBLANK(Deltagarlista!$C27),"",IF(ISBLANK(Arrangörslista!D$8),"",IFERROR(VLOOKUP($F51,Arrangörslista!D$8:$AG$45,16,FALSE),"DNS")))))</f>
        <v/>
      </c>
      <c r="L51" s="5" t="str">
        <f>IF(Deltagarlista!$K$3=4,IF(ISBLANK(Deltagarlista!$C27),"",IF(ISBLANK(Arrangörslista!G$8),"",IFERROR(VLOOKUP($F51,Arrangörslista!G$8:$AG$45,16,FALSE),IF(ISBLANK(Deltagarlista!$C27),"",IF(ISBLANK(Arrangörslista!G$8),"",IFERROR(VLOOKUP($F51,Arrangörslista!H$8:$AG$45,16,FALSE),"DNS")))))),IF(Deltagarlista!$K$3=2,
IF(ISBLANK(Deltagarlista!$C27),"",IF(ISBLANK(Arrangörslista!E$8),"",IF($GV51=L$64," DNS ",IFERROR(VLOOKUP($F51,Arrangörslista!E$8:$AG$45,16,FALSE),"DNS")))),IF(ISBLANK(Deltagarlista!$C27),"",IF(ISBLANK(Arrangörslista!E$8),"",IFERROR(VLOOKUP($F51,Arrangörslista!E$8:$AG$45,16,FALSE),"DNS")))))</f>
        <v/>
      </c>
      <c r="M51" s="5" t="str">
        <f>IF(Deltagarlista!$K$3=4,IF(ISBLANK(Deltagarlista!$C27),"",IF(ISBLANK(Arrangörslista!I$8),"",IFERROR(VLOOKUP($F51,Arrangörslista!I$8:$AG$45,16,FALSE),IF(ISBLANK(Deltagarlista!$C27),"",IF(ISBLANK(Arrangörslista!I$8),"",IFERROR(VLOOKUP($F51,Arrangörslista!J$8:$AG$45,16,FALSE),"DNS")))))),IF(Deltagarlista!$K$3=2,
IF(ISBLANK(Deltagarlista!$C27),"",IF(ISBLANK(Arrangörslista!F$8),"",IF($GV51=M$64," DNS ",IFERROR(VLOOKUP($F51,Arrangörslista!F$8:$AG$45,16,FALSE),"DNS")))),IF(ISBLANK(Deltagarlista!$C27),"",IF(ISBLANK(Arrangörslista!F$8),"",IFERROR(VLOOKUP($F51,Arrangörslista!F$8:$AG$45,16,FALSE),"DNS")))))</f>
        <v/>
      </c>
      <c r="N51" s="5" t="str">
        <f>IF(Deltagarlista!$K$3=4,IF(ISBLANK(Deltagarlista!$C27),"",IF(ISBLANK(Arrangörslista!K$8),"",IFERROR(VLOOKUP($F51,Arrangörslista!K$8:$AG$45,16,FALSE),IF(ISBLANK(Deltagarlista!$C27),"",IF(ISBLANK(Arrangörslista!K$8),"",IFERROR(VLOOKUP($F51,Arrangörslista!L$8:$AG$45,16,FALSE),"DNS")))))),IF(Deltagarlista!$K$3=2,
IF(ISBLANK(Deltagarlista!$C27),"",IF(ISBLANK(Arrangörslista!G$8),"",IF($GV51=N$64," DNS ",IFERROR(VLOOKUP($F51,Arrangörslista!G$8:$AG$45,16,FALSE),"DNS")))),IF(ISBLANK(Deltagarlista!$C27),"",IF(ISBLANK(Arrangörslista!G$8),"",IFERROR(VLOOKUP($F51,Arrangörslista!G$8:$AG$45,16,FALSE),"DNS")))))</f>
        <v/>
      </c>
      <c r="O51" s="5" t="str">
        <f>IF(Deltagarlista!$K$3=4,IF(ISBLANK(Deltagarlista!$C27),"",IF(ISBLANK(Arrangörslista!M$8),"",IFERROR(VLOOKUP($F51,Arrangörslista!M$8:$AG$45,16,FALSE),IF(ISBLANK(Deltagarlista!$C27),"",IF(ISBLANK(Arrangörslista!M$8),"",IFERROR(VLOOKUP($F51,Arrangörslista!N$8:$AG$45,16,FALSE),"DNS")))))),IF(Deltagarlista!$K$3=2,
IF(ISBLANK(Deltagarlista!$C27),"",IF(ISBLANK(Arrangörslista!H$8),"",IF($GV51=O$64," DNS ",IFERROR(VLOOKUP($F51,Arrangörslista!H$8:$AG$45,16,FALSE),"DNS")))),IF(ISBLANK(Deltagarlista!$C27),"",IF(ISBLANK(Arrangörslista!H$8),"",IFERROR(VLOOKUP($F51,Arrangörslista!H$8:$AG$45,16,FALSE),"DNS")))))</f>
        <v/>
      </c>
      <c r="P51" s="5" t="str">
        <f>IF(Deltagarlista!$K$3=4,IF(ISBLANK(Deltagarlista!$C27),"",IF(ISBLANK(Arrangörslista!O$8),"",IFERROR(VLOOKUP($F51,Arrangörslista!O$8:$AG$45,16,FALSE),IF(ISBLANK(Deltagarlista!$C27),"",IF(ISBLANK(Arrangörslista!O$8),"",IFERROR(VLOOKUP($F51,Arrangörslista!P$8:$AG$45,16,FALSE),"DNS")))))),IF(Deltagarlista!$K$3=2,
IF(ISBLANK(Deltagarlista!$C27),"",IF(ISBLANK(Arrangörslista!I$8),"",IF($GV51=P$64," DNS ",IFERROR(VLOOKUP($F51,Arrangörslista!I$8:$AG$45,16,FALSE),"DNS")))),IF(ISBLANK(Deltagarlista!$C27),"",IF(ISBLANK(Arrangörslista!I$8),"",IFERROR(VLOOKUP($F51,Arrangörslista!I$8:$AG$45,16,FALSE),"DNS")))))</f>
        <v/>
      </c>
      <c r="Q51" s="5" t="str">
        <f>IF(Deltagarlista!$K$3=4,IF(ISBLANK(Deltagarlista!$C27),"",IF(ISBLANK(Arrangörslista!Q$8),"",IFERROR(VLOOKUP($F51,Arrangörslista!Q$8:$AG$45,16,FALSE),IF(ISBLANK(Deltagarlista!$C27),"",IF(ISBLANK(Arrangörslista!Q$8),"",IFERROR(VLOOKUP($F51,Arrangörslista!C$53:$AG$90,16,FALSE),"DNS")))))),IF(Deltagarlista!$K$3=2,
IF(ISBLANK(Deltagarlista!$C27),"",IF(ISBLANK(Arrangörslista!J$8),"",IF($GV51=Q$64," DNS ",IFERROR(VLOOKUP($F51,Arrangörslista!J$8:$AG$45,16,FALSE),"DNS")))),IF(ISBLANK(Deltagarlista!$C27),"",IF(ISBLANK(Arrangörslista!J$8),"",IFERROR(VLOOKUP($F51,Arrangörslista!J$8:$AG$45,16,FALSE),"DNS")))))</f>
        <v/>
      </c>
      <c r="R51" s="5" t="str">
        <f>IF(Deltagarlista!$K$3=4,IF(ISBLANK(Deltagarlista!$C27),"",IF(ISBLANK(Arrangörslista!D$53),"",IFERROR(VLOOKUP($F51,Arrangörslista!D$53:$AG$90,16,FALSE),IF(ISBLANK(Deltagarlista!$C27),"",IF(ISBLANK(Arrangörslista!D$53),"",IFERROR(VLOOKUP($F51,Arrangörslista!E$53:$AG$90,16,FALSE),"DNS")))))),IF(Deltagarlista!$K$3=2,
IF(ISBLANK(Deltagarlista!$C27),"",IF(ISBLANK(Arrangörslista!K$8),"",IF($GV51=R$64," DNS ",IFERROR(VLOOKUP($F51,Arrangörslista!K$8:$AG$45,16,FALSE),"DNS")))),IF(ISBLANK(Deltagarlista!$C27),"",IF(ISBLANK(Arrangörslista!K$8),"",IFERROR(VLOOKUP($F51,Arrangörslista!K$8:$AG$45,16,FALSE),"DNS")))))</f>
        <v/>
      </c>
      <c r="S51" s="5" t="str">
        <f>IF(Deltagarlista!$K$3=4,IF(ISBLANK(Deltagarlista!$C27),"",IF(ISBLANK(Arrangörslista!F$53),"",IFERROR(VLOOKUP($F51,Arrangörslista!F$53:$AG$90,16,FALSE),IF(ISBLANK(Deltagarlista!$C27),"",IF(ISBLANK(Arrangörslista!F$53),"",IFERROR(VLOOKUP($F51,Arrangörslista!G$53:$AG$90,16,FALSE),"DNS")))))),IF(Deltagarlista!$K$3=2,
IF(ISBLANK(Deltagarlista!$C27),"",IF(ISBLANK(Arrangörslista!L$8),"",IF($GV51=S$64," DNS ",IFERROR(VLOOKUP($F51,Arrangörslista!L$8:$AG$45,16,FALSE),"DNS")))),IF(ISBLANK(Deltagarlista!$C27),"",IF(ISBLANK(Arrangörslista!L$8),"",IFERROR(VLOOKUP($F51,Arrangörslista!L$8:$AG$45,16,FALSE),"DNS")))))</f>
        <v/>
      </c>
      <c r="T51" s="5" t="str">
        <f>IF(Deltagarlista!$K$3=4,IF(ISBLANK(Deltagarlista!$C27),"",IF(ISBLANK(Arrangörslista!H$53),"",IFERROR(VLOOKUP($F51,Arrangörslista!H$53:$AG$90,16,FALSE),IF(ISBLANK(Deltagarlista!$C27),"",IF(ISBLANK(Arrangörslista!H$53),"",IFERROR(VLOOKUP($F51,Arrangörslista!I$53:$AG$90,16,FALSE),"DNS")))))),IF(Deltagarlista!$K$3=2,
IF(ISBLANK(Deltagarlista!$C27),"",IF(ISBLANK(Arrangörslista!M$8),"",IF($GV51=T$64," DNS ",IFERROR(VLOOKUP($F51,Arrangörslista!M$8:$AG$45,16,FALSE),"DNS")))),IF(ISBLANK(Deltagarlista!$C27),"",IF(ISBLANK(Arrangörslista!M$8),"",IFERROR(VLOOKUP($F51,Arrangörslista!M$8:$AG$45,16,FALSE),"DNS")))))</f>
        <v/>
      </c>
      <c r="U51" s="5" t="str">
        <f>IF(Deltagarlista!$K$3=4,IF(ISBLANK(Deltagarlista!$C27),"",IF(ISBLANK(Arrangörslista!J$53),"",IFERROR(VLOOKUP($F51,Arrangörslista!J$53:$AG$90,16,FALSE),IF(ISBLANK(Deltagarlista!$C27),"",IF(ISBLANK(Arrangörslista!J$53),"",IFERROR(VLOOKUP($F51,Arrangörslista!K$53:$AG$90,16,FALSE),"DNS")))))),IF(Deltagarlista!$K$3=2,
IF(ISBLANK(Deltagarlista!$C27),"",IF(ISBLANK(Arrangörslista!N$8),"",IF($GV51=U$64," DNS ",IFERROR(VLOOKUP($F51,Arrangörslista!N$8:$AG$45,16,FALSE),"DNS")))),IF(ISBLANK(Deltagarlista!$C27),"",IF(ISBLANK(Arrangörslista!N$8),"",IFERROR(VLOOKUP($F51,Arrangörslista!N$8:$AG$45,16,FALSE),"DNS")))))</f>
        <v/>
      </c>
      <c r="V51" s="5" t="str">
        <f>IF(Deltagarlista!$K$3=4,IF(ISBLANK(Deltagarlista!$C27),"",IF(ISBLANK(Arrangörslista!L$53),"",IFERROR(VLOOKUP($F51,Arrangörslista!L$53:$AG$90,16,FALSE),IF(ISBLANK(Deltagarlista!$C27),"",IF(ISBLANK(Arrangörslista!L$53),"",IFERROR(VLOOKUP($F51,Arrangörslista!M$53:$AG$90,16,FALSE),"DNS")))))),IF(Deltagarlista!$K$3=2,
IF(ISBLANK(Deltagarlista!$C27),"",IF(ISBLANK(Arrangörslista!O$8),"",IF($GV51=V$64," DNS ",IFERROR(VLOOKUP($F51,Arrangörslista!O$8:$AG$45,16,FALSE),"DNS")))),IF(ISBLANK(Deltagarlista!$C27),"",IF(ISBLANK(Arrangörslista!O$8),"",IFERROR(VLOOKUP($F51,Arrangörslista!O$8:$AG$45,16,FALSE),"DNS")))))</f>
        <v/>
      </c>
      <c r="W51" s="5" t="str">
        <f>IF(Deltagarlista!$K$3=4,IF(ISBLANK(Deltagarlista!$C27),"",IF(ISBLANK(Arrangörslista!N$53),"",IFERROR(VLOOKUP($F51,Arrangörslista!N$53:$AG$90,16,FALSE),IF(ISBLANK(Deltagarlista!$C27),"",IF(ISBLANK(Arrangörslista!N$53),"",IFERROR(VLOOKUP($F51,Arrangörslista!O$53:$AG$90,16,FALSE),"DNS")))))),IF(Deltagarlista!$K$3=2,
IF(ISBLANK(Deltagarlista!$C27),"",IF(ISBLANK(Arrangörslista!P$8),"",IF($GV51=W$64," DNS ",IFERROR(VLOOKUP($F51,Arrangörslista!P$8:$AG$45,16,FALSE),"DNS")))),IF(ISBLANK(Deltagarlista!$C27),"",IF(ISBLANK(Arrangörslista!P$8),"",IFERROR(VLOOKUP($F51,Arrangörslista!P$8:$AG$45,16,FALSE),"DNS")))))</f>
        <v/>
      </c>
      <c r="X51" s="5" t="str">
        <f>IF(Deltagarlista!$K$3=4,IF(ISBLANK(Deltagarlista!$C27),"",IF(ISBLANK(Arrangörslista!P$53),"",IFERROR(VLOOKUP($F51,Arrangörslista!P$53:$AG$90,16,FALSE),IF(ISBLANK(Deltagarlista!$C27),"",IF(ISBLANK(Arrangörslista!P$53),"",IFERROR(VLOOKUP($F51,Arrangörslista!Q$53:$AG$90,16,FALSE),"DNS")))))),IF(Deltagarlista!$K$3=2,
IF(ISBLANK(Deltagarlista!$C27),"",IF(ISBLANK(Arrangörslista!Q$8),"",IF($GV51=X$64," DNS ",IFERROR(VLOOKUP($F51,Arrangörslista!Q$8:$AG$45,16,FALSE),"DNS")))),IF(ISBLANK(Deltagarlista!$C27),"",IF(ISBLANK(Arrangörslista!Q$8),"",IFERROR(VLOOKUP($F51,Arrangörslista!Q$8:$AG$45,16,FALSE),"DNS")))))</f>
        <v/>
      </c>
      <c r="Y51" s="5" t="str">
        <f>IF(Deltagarlista!$K$3=4,IF(ISBLANK(Deltagarlista!$C27),"",IF(ISBLANK(Arrangörslista!C$98),"",IFERROR(VLOOKUP($F51,Arrangörslista!C$98:$AG$135,16,FALSE),IF(ISBLANK(Deltagarlista!$C27),"",IF(ISBLANK(Arrangörslista!C$98),"",IFERROR(VLOOKUP($F51,Arrangörslista!D$98:$AG$135,16,FALSE),"DNS")))))),IF(Deltagarlista!$K$3=2,
IF(ISBLANK(Deltagarlista!$C27),"",IF(ISBLANK(Arrangörslista!C$53),"",IF($GV51=Y$64," DNS ",IFERROR(VLOOKUP($F51,Arrangörslista!C$53:$AG$90,16,FALSE),"DNS")))),IF(ISBLANK(Deltagarlista!$C27),"",IF(ISBLANK(Arrangörslista!C$53),"",IFERROR(VLOOKUP($F51,Arrangörslista!C$53:$AG$90,16,FALSE),"DNS")))))</f>
        <v/>
      </c>
      <c r="Z51" s="5" t="str">
        <f>IF(Deltagarlista!$K$3=4,IF(ISBLANK(Deltagarlista!$C27),"",IF(ISBLANK(Arrangörslista!E$98),"",IFERROR(VLOOKUP($F51,Arrangörslista!E$98:$AG$135,16,FALSE),IF(ISBLANK(Deltagarlista!$C27),"",IF(ISBLANK(Arrangörslista!E$98),"",IFERROR(VLOOKUP($F51,Arrangörslista!F$98:$AG$135,16,FALSE),"DNS")))))),IF(Deltagarlista!$K$3=2,
IF(ISBLANK(Deltagarlista!$C27),"",IF(ISBLANK(Arrangörslista!D$53),"",IF($GV51=Z$64," DNS ",IFERROR(VLOOKUP($F51,Arrangörslista!D$53:$AG$90,16,FALSE),"DNS")))),IF(ISBLANK(Deltagarlista!$C27),"",IF(ISBLANK(Arrangörslista!D$53),"",IFERROR(VLOOKUP($F51,Arrangörslista!D$53:$AG$90,16,FALSE),"DNS")))))</f>
        <v/>
      </c>
      <c r="AA51" s="5" t="str">
        <f>IF(Deltagarlista!$K$3=4,IF(ISBLANK(Deltagarlista!$C27),"",IF(ISBLANK(Arrangörslista!G$98),"",IFERROR(VLOOKUP($F51,Arrangörslista!G$98:$AG$135,16,FALSE),IF(ISBLANK(Deltagarlista!$C27),"",IF(ISBLANK(Arrangörslista!G$98),"",IFERROR(VLOOKUP($F51,Arrangörslista!H$98:$AG$135,16,FALSE),"DNS")))))),IF(Deltagarlista!$K$3=2,
IF(ISBLANK(Deltagarlista!$C27),"",IF(ISBLANK(Arrangörslista!E$53),"",IF($GV51=AA$64," DNS ",IFERROR(VLOOKUP($F51,Arrangörslista!E$53:$AG$90,16,FALSE),"DNS")))),IF(ISBLANK(Deltagarlista!$C27),"",IF(ISBLANK(Arrangörslista!E$53),"",IFERROR(VLOOKUP($F51,Arrangörslista!E$53:$AG$90,16,FALSE),"DNS")))))</f>
        <v/>
      </c>
      <c r="AB51" s="5" t="str">
        <f>IF(Deltagarlista!$K$3=4,IF(ISBLANK(Deltagarlista!$C27),"",IF(ISBLANK(Arrangörslista!I$98),"",IFERROR(VLOOKUP($F51,Arrangörslista!I$98:$AG$135,16,FALSE),IF(ISBLANK(Deltagarlista!$C27),"",IF(ISBLANK(Arrangörslista!I$98),"",IFERROR(VLOOKUP($F51,Arrangörslista!J$98:$AG$135,16,FALSE),"DNS")))))),IF(Deltagarlista!$K$3=2,
IF(ISBLANK(Deltagarlista!$C27),"",IF(ISBLANK(Arrangörslista!F$53),"",IF($GV51=AB$64," DNS ",IFERROR(VLOOKUP($F51,Arrangörslista!F$53:$AG$90,16,FALSE),"DNS")))),IF(ISBLANK(Deltagarlista!$C27),"",IF(ISBLANK(Arrangörslista!F$53),"",IFERROR(VLOOKUP($F51,Arrangörslista!F$53:$AG$90,16,FALSE),"DNS")))))</f>
        <v/>
      </c>
      <c r="AC51" s="5" t="str">
        <f>IF(Deltagarlista!$K$3=4,IF(ISBLANK(Deltagarlista!$C27),"",IF(ISBLANK(Arrangörslista!K$98),"",IFERROR(VLOOKUP($F51,Arrangörslista!K$98:$AG$135,16,FALSE),IF(ISBLANK(Deltagarlista!$C27),"",IF(ISBLANK(Arrangörslista!K$98),"",IFERROR(VLOOKUP($F51,Arrangörslista!L$98:$AG$135,16,FALSE),"DNS")))))),IF(Deltagarlista!$K$3=2,
IF(ISBLANK(Deltagarlista!$C27),"",IF(ISBLANK(Arrangörslista!G$53),"",IF($GV51=AC$64," DNS ",IFERROR(VLOOKUP($F51,Arrangörslista!G$53:$AG$90,16,FALSE),"DNS")))),IF(ISBLANK(Deltagarlista!$C27),"",IF(ISBLANK(Arrangörslista!G$53),"",IFERROR(VLOOKUP($F51,Arrangörslista!G$53:$AG$90,16,FALSE),"DNS")))))</f>
        <v/>
      </c>
      <c r="AD51" s="5" t="str">
        <f>IF(Deltagarlista!$K$3=4,IF(ISBLANK(Deltagarlista!$C27),"",IF(ISBLANK(Arrangörslista!M$98),"",IFERROR(VLOOKUP($F51,Arrangörslista!M$98:$AG$135,16,FALSE),IF(ISBLANK(Deltagarlista!$C27),"",IF(ISBLANK(Arrangörslista!M$98),"",IFERROR(VLOOKUP($F51,Arrangörslista!N$98:$AG$135,16,FALSE),"DNS")))))),IF(Deltagarlista!$K$3=2,
IF(ISBLANK(Deltagarlista!$C27),"",IF(ISBLANK(Arrangörslista!H$53),"",IF($GV51=AD$64," DNS ",IFERROR(VLOOKUP($F51,Arrangörslista!H$53:$AG$90,16,FALSE),"DNS")))),IF(ISBLANK(Deltagarlista!$C27),"",IF(ISBLANK(Arrangörslista!H$53),"",IFERROR(VLOOKUP($F51,Arrangörslista!H$53:$AG$90,16,FALSE),"DNS")))))</f>
        <v/>
      </c>
      <c r="AE51" s="5" t="str">
        <f>IF(Deltagarlista!$K$3=4,IF(ISBLANK(Deltagarlista!$C27),"",IF(ISBLANK(Arrangörslista!O$98),"",IFERROR(VLOOKUP($F51,Arrangörslista!O$98:$AG$135,16,FALSE),IF(ISBLANK(Deltagarlista!$C27),"",IF(ISBLANK(Arrangörslista!O$98),"",IFERROR(VLOOKUP($F51,Arrangörslista!P$98:$AG$135,16,FALSE),"DNS")))))),IF(Deltagarlista!$K$3=2,
IF(ISBLANK(Deltagarlista!$C27),"",IF(ISBLANK(Arrangörslista!I$53),"",IF($GV51=AE$64," DNS ",IFERROR(VLOOKUP($F51,Arrangörslista!I$53:$AG$90,16,FALSE),"DNS")))),IF(ISBLANK(Deltagarlista!$C27),"",IF(ISBLANK(Arrangörslista!I$53),"",IFERROR(VLOOKUP($F51,Arrangörslista!I$53:$AG$90,16,FALSE),"DNS")))))</f>
        <v/>
      </c>
      <c r="AF51" s="5" t="str">
        <f>IF(Deltagarlista!$K$3=4,IF(ISBLANK(Deltagarlista!$C27),"",IF(ISBLANK(Arrangörslista!Q$98),"",IFERROR(VLOOKUP($F51,Arrangörslista!Q$98:$AG$135,16,FALSE),IF(ISBLANK(Deltagarlista!$C27),"",IF(ISBLANK(Arrangörslista!Q$98),"",IFERROR(VLOOKUP($F51,Arrangörslista!C$143:$AG$180,16,FALSE),"DNS")))))),IF(Deltagarlista!$K$3=2,
IF(ISBLANK(Deltagarlista!$C27),"",IF(ISBLANK(Arrangörslista!J$53),"",IF($GV51=AF$64," DNS ",IFERROR(VLOOKUP($F51,Arrangörslista!J$53:$AG$90,16,FALSE),"DNS")))),IF(ISBLANK(Deltagarlista!$C27),"",IF(ISBLANK(Arrangörslista!J$53),"",IFERROR(VLOOKUP($F51,Arrangörslista!J$53:$AG$90,16,FALSE),"DNS")))))</f>
        <v/>
      </c>
      <c r="AG51" s="5" t="str">
        <f>IF(Deltagarlista!$K$3=4,IF(ISBLANK(Deltagarlista!$C27),"",IF(ISBLANK(Arrangörslista!D$143),"",IFERROR(VLOOKUP($F51,Arrangörslista!D$143:$AG$180,16,FALSE),IF(ISBLANK(Deltagarlista!$C27),"",IF(ISBLANK(Arrangörslista!D$143),"",IFERROR(VLOOKUP($F51,Arrangörslista!E$143:$AG$180,16,FALSE),"DNS")))))),IF(Deltagarlista!$K$3=2,
IF(ISBLANK(Deltagarlista!$C27),"",IF(ISBLANK(Arrangörslista!K$53),"",IF($GV51=AG$64," DNS ",IFERROR(VLOOKUP($F51,Arrangörslista!K$53:$AG$90,16,FALSE),"DNS")))),IF(ISBLANK(Deltagarlista!$C27),"",IF(ISBLANK(Arrangörslista!K$53),"",IFERROR(VLOOKUP($F51,Arrangörslista!K$53:$AG$90,16,FALSE),"DNS")))))</f>
        <v/>
      </c>
      <c r="AH51" s="5" t="str">
        <f>IF(Deltagarlista!$K$3=4,IF(ISBLANK(Deltagarlista!$C27),"",IF(ISBLANK(Arrangörslista!F$143),"",IFERROR(VLOOKUP($F51,Arrangörslista!F$143:$AG$180,16,FALSE),IF(ISBLANK(Deltagarlista!$C27),"",IF(ISBLANK(Arrangörslista!F$143),"",IFERROR(VLOOKUP($F51,Arrangörslista!G$143:$AG$180,16,FALSE),"DNS")))))),IF(Deltagarlista!$K$3=2,
IF(ISBLANK(Deltagarlista!$C27),"",IF(ISBLANK(Arrangörslista!L$53),"",IF($GV51=AH$64," DNS ",IFERROR(VLOOKUP($F51,Arrangörslista!L$53:$AG$90,16,FALSE),"DNS")))),IF(ISBLANK(Deltagarlista!$C27),"",IF(ISBLANK(Arrangörslista!L$53),"",IFERROR(VLOOKUP($F51,Arrangörslista!L$53:$AG$90,16,FALSE),"DNS")))))</f>
        <v/>
      </c>
      <c r="AI51" s="5" t="str">
        <f>IF(Deltagarlista!$K$3=4,IF(ISBLANK(Deltagarlista!$C27),"",IF(ISBLANK(Arrangörslista!H$143),"",IFERROR(VLOOKUP($F51,Arrangörslista!H$143:$AG$180,16,FALSE),IF(ISBLANK(Deltagarlista!$C27),"",IF(ISBLANK(Arrangörslista!H$143),"",IFERROR(VLOOKUP($F51,Arrangörslista!I$143:$AG$180,16,FALSE),"DNS")))))),IF(Deltagarlista!$K$3=2,
IF(ISBLANK(Deltagarlista!$C27),"",IF(ISBLANK(Arrangörslista!M$53),"",IF($GV51=AI$64," DNS ",IFERROR(VLOOKUP($F51,Arrangörslista!M$53:$AG$90,16,FALSE),"DNS")))),IF(ISBLANK(Deltagarlista!$C27),"",IF(ISBLANK(Arrangörslista!M$53),"",IFERROR(VLOOKUP($F51,Arrangörslista!M$53:$AG$90,16,FALSE),"DNS")))))</f>
        <v/>
      </c>
      <c r="AJ51" s="5" t="str">
        <f>IF(Deltagarlista!$K$3=4,IF(ISBLANK(Deltagarlista!$C27),"",IF(ISBLANK(Arrangörslista!J$143),"",IFERROR(VLOOKUP($F51,Arrangörslista!J$143:$AG$180,16,FALSE),IF(ISBLANK(Deltagarlista!$C27),"",IF(ISBLANK(Arrangörslista!J$143),"",IFERROR(VLOOKUP($F51,Arrangörslista!K$143:$AG$180,16,FALSE),"DNS")))))),IF(Deltagarlista!$K$3=2,
IF(ISBLANK(Deltagarlista!$C27),"",IF(ISBLANK(Arrangörslista!N$53),"",IF($GV51=AJ$64," DNS ",IFERROR(VLOOKUP($F51,Arrangörslista!N$53:$AG$90,16,FALSE),"DNS")))),IF(ISBLANK(Deltagarlista!$C27),"",IF(ISBLANK(Arrangörslista!N$53),"",IFERROR(VLOOKUP($F51,Arrangörslista!N$53:$AG$90,16,FALSE),"DNS")))))</f>
        <v/>
      </c>
      <c r="AK51" s="5" t="str">
        <f>IF(Deltagarlista!$K$3=4,IF(ISBLANK(Deltagarlista!$C27),"",IF(ISBLANK(Arrangörslista!L$143),"",IFERROR(VLOOKUP($F51,Arrangörslista!L$143:$AG$180,16,FALSE),IF(ISBLANK(Deltagarlista!$C27),"",IF(ISBLANK(Arrangörslista!L$143),"",IFERROR(VLOOKUP($F51,Arrangörslista!M$143:$AG$180,16,FALSE),"DNS")))))),IF(Deltagarlista!$K$3=2,
IF(ISBLANK(Deltagarlista!$C27),"",IF(ISBLANK(Arrangörslista!O$53),"",IF($GV51=AK$64," DNS ",IFERROR(VLOOKUP($F51,Arrangörslista!O$53:$AG$90,16,FALSE),"DNS")))),IF(ISBLANK(Deltagarlista!$C27),"",IF(ISBLANK(Arrangörslista!O$53),"",IFERROR(VLOOKUP($F51,Arrangörslista!O$53:$AG$90,16,FALSE),"DNS")))))</f>
        <v/>
      </c>
      <c r="AL51" s="5" t="str">
        <f>IF(Deltagarlista!$K$3=4,IF(ISBLANK(Deltagarlista!$C27),"",IF(ISBLANK(Arrangörslista!N$143),"",IFERROR(VLOOKUP($F51,Arrangörslista!N$143:$AG$180,16,FALSE),IF(ISBLANK(Deltagarlista!$C27),"",IF(ISBLANK(Arrangörslista!N$143),"",IFERROR(VLOOKUP($F51,Arrangörslista!O$143:$AG$180,16,FALSE),"DNS")))))),IF(Deltagarlista!$K$3=2,
IF(ISBLANK(Deltagarlista!$C27),"",IF(ISBLANK(Arrangörslista!P$53),"",IF($GV51=AL$64," DNS ",IFERROR(VLOOKUP($F51,Arrangörslista!P$53:$AG$90,16,FALSE),"DNS")))),IF(ISBLANK(Deltagarlista!$C27),"",IF(ISBLANK(Arrangörslista!P$53),"",IFERROR(VLOOKUP($F51,Arrangörslista!P$53:$AG$90,16,FALSE),"DNS")))))</f>
        <v/>
      </c>
      <c r="AM51" s="5" t="str">
        <f>IF(Deltagarlista!$K$3=4,IF(ISBLANK(Deltagarlista!$C27),"",IF(ISBLANK(Arrangörslista!P$143),"",IFERROR(VLOOKUP($F51,Arrangörslista!P$143:$AG$180,16,FALSE),IF(ISBLANK(Deltagarlista!$C27),"",IF(ISBLANK(Arrangörslista!P$143),"",IFERROR(VLOOKUP($F51,Arrangörslista!Q$143:$AG$180,16,FALSE),"DNS")))))),IF(Deltagarlista!$K$3=2,
IF(ISBLANK(Deltagarlista!$C27),"",IF(ISBLANK(Arrangörslista!Q$53),"",IF($GV51=AM$64," DNS ",IFERROR(VLOOKUP($F51,Arrangörslista!Q$53:$AG$90,16,FALSE),"DNS")))),IF(ISBLANK(Deltagarlista!$C27),"",IF(ISBLANK(Arrangörslista!Q$53),"",IFERROR(VLOOKUP($F51,Arrangörslista!Q$53:$AG$90,16,FALSE),"DNS")))))</f>
        <v/>
      </c>
      <c r="AN51" s="5" t="str">
        <f>IF(Deltagarlista!$K$3=2,
IF(ISBLANK(Deltagarlista!$C27),"",IF(ISBLANK(Arrangörslista!C$98),"",IF($GV51=AN$64," DNS ",IFERROR(VLOOKUP($F51,Arrangörslista!C$98:$AG$135,16,FALSE), "DNS")))), IF(Deltagarlista!$K$3=1,IF(ISBLANK(Deltagarlista!$C27),"",IF(ISBLANK(Arrangörslista!C$98),"",IFERROR(VLOOKUP($F51,Arrangörslista!C$98:$AG$135,16,FALSE), "DNS"))),""))</f>
        <v/>
      </c>
      <c r="AO51" s="5" t="str">
        <f>IF(Deltagarlista!$K$3=2,
IF(ISBLANK(Deltagarlista!$C27),"",IF(ISBLANK(Arrangörslista!D$98),"",IF($GV51=AO$64," DNS ",IFERROR(VLOOKUP($F51,Arrangörslista!D$98:$AG$135,16,FALSE), "DNS")))), IF(Deltagarlista!$K$3=1,IF(ISBLANK(Deltagarlista!$C27),"",IF(ISBLANK(Arrangörslista!D$98),"",IFERROR(VLOOKUP($F51,Arrangörslista!D$98:$AG$135,16,FALSE), "DNS"))),""))</f>
        <v/>
      </c>
      <c r="AP51" s="5" t="str">
        <f>IF(Deltagarlista!$K$3=2,
IF(ISBLANK(Deltagarlista!$C27),"",IF(ISBLANK(Arrangörslista!E$98),"",IF($GV51=AP$64," DNS ",IFERROR(VLOOKUP($F51,Arrangörslista!E$98:$AG$135,16,FALSE), "DNS")))), IF(Deltagarlista!$K$3=1,IF(ISBLANK(Deltagarlista!$C27),"",IF(ISBLANK(Arrangörslista!E$98),"",IFERROR(VLOOKUP($F51,Arrangörslista!E$98:$AG$135,16,FALSE), "DNS"))),""))</f>
        <v/>
      </c>
      <c r="AQ51" s="5" t="str">
        <f>IF(Deltagarlista!$K$3=2,
IF(ISBLANK(Deltagarlista!$C27),"",IF(ISBLANK(Arrangörslista!F$98),"",IF($GV51=AQ$64," DNS ",IFERROR(VLOOKUP($F51,Arrangörslista!F$98:$AG$135,16,FALSE), "DNS")))), IF(Deltagarlista!$K$3=1,IF(ISBLANK(Deltagarlista!$C27),"",IF(ISBLANK(Arrangörslista!F$98),"",IFERROR(VLOOKUP($F51,Arrangörslista!F$98:$AG$135,16,FALSE), "DNS"))),""))</f>
        <v/>
      </c>
      <c r="AR51" s="5" t="str">
        <f>IF(Deltagarlista!$K$3=2,
IF(ISBLANK(Deltagarlista!$C27),"",IF(ISBLANK(Arrangörslista!G$98),"",IF($GV51=AR$64," DNS ",IFERROR(VLOOKUP($F51,Arrangörslista!G$98:$AG$135,16,FALSE), "DNS")))), IF(Deltagarlista!$K$3=1,IF(ISBLANK(Deltagarlista!$C27),"",IF(ISBLANK(Arrangörslista!G$98),"",IFERROR(VLOOKUP($F51,Arrangörslista!G$98:$AG$135,16,FALSE), "DNS"))),""))</f>
        <v/>
      </c>
      <c r="AS51" s="5" t="str">
        <f>IF(Deltagarlista!$K$3=2,
IF(ISBLANK(Deltagarlista!$C27),"",IF(ISBLANK(Arrangörslista!H$98),"",IF($GV51=AS$64," DNS ",IFERROR(VLOOKUP($F51,Arrangörslista!H$98:$AG$135,16,FALSE), "DNS")))), IF(Deltagarlista!$K$3=1,IF(ISBLANK(Deltagarlista!$C27),"",IF(ISBLANK(Arrangörslista!H$98),"",IFERROR(VLOOKUP($F51,Arrangörslista!H$98:$AG$135,16,FALSE), "DNS"))),""))</f>
        <v/>
      </c>
      <c r="AT51" s="5" t="str">
        <f>IF(Deltagarlista!$K$3=2,
IF(ISBLANK(Deltagarlista!$C27),"",IF(ISBLANK(Arrangörslista!I$98),"",IF($GV51=AT$64," DNS ",IFERROR(VLOOKUP($F51,Arrangörslista!I$98:$AG$135,16,FALSE), "DNS")))), IF(Deltagarlista!$K$3=1,IF(ISBLANK(Deltagarlista!$C27),"",IF(ISBLANK(Arrangörslista!I$98),"",IFERROR(VLOOKUP($F51,Arrangörslista!I$98:$AG$135,16,FALSE), "DNS"))),""))</f>
        <v/>
      </c>
      <c r="AU51" s="5" t="str">
        <f>IF(Deltagarlista!$K$3=2,
IF(ISBLANK(Deltagarlista!$C27),"",IF(ISBLANK(Arrangörslista!J$98),"",IF($GV51=AU$64," DNS ",IFERROR(VLOOKUP($F51,Arrangörslista!J$98:$AG$135,16,FALSE), "DNS")))), IF(Deltagarlista!$K$3=1,IF(ISBLANK(Deltagarlista!$C27),"",IF(ISBLANK(Arrangörslista!J$98),"",IFERROR(VLOOKUP($F51,Arrangörslista!J$98:$AG$135,16,FALSE), "DNS"))),""))</f>
        <v/>
      </c>
      <c r="AV51" s="5" t="str">
        <f>IF(Deltagarlista!$K$3=2,
IF(ISBLANK(Deltagarlista!$C27),"",IF(ISBLANK(Arrangörslista!K$98),"",IF($GV51=AV$64," DNS ",IFERROR(VLOOKUP($F51,Arrangörslista!K$98:$AG$135,16,FALSE), "DNS")))), IF(Deltagarlista!$K$3=1,IF(ISBLANK(Deltagarlista!$C27),"",IF(ISBLANK(Arrangörslista!K$98),"",IFERROR(VLOOKUP($F51,Arrangörslista!K$98:$AG$135,16,FALSE), "DNS"))),""))</f>
        <v/>
      </c>
      <c r="AW51" s="5" t="str">
        <f>IF(Deltagarlista!$K$3=2,
IF(ISBLANK(Deltagarlista!$C27),"",IF(ISBLANK(Arrangörslista!L$98),"",IF($GV51=AW$64," DNS ",IFERROR(VLOOKUP($F51,Arrangörslista!L$98:$AG$135,16,FALSE), "DNS")))), IF(Deltagarlista!$K$3=1,IF(ISBLANK(Deltagarlista!$C27),"",IF(ISBLANK(Arrangörslista!L$98),"",IFERROR(VLOOKUP($F51,Arrangörslista!L$98:$AG$135,16,FALSE), "DNS"))),""))</f>
        <v/>
      </c>
      <c r="AX51" s="5" t="str">
        <f>IF(Deltagarlista!$K$3=2,
IF(ISBLANK(Deltagarlista!$C27),"",IF(ISBLANK(Arrangörslista!M$98),"",IF($GV51=AX$64," DNS ",IFERROR(VLOOKUP($F51,Arrangörslista!M$98:$AG$135,16,FALSE), "DNS")))), IF(Deltagarlista!$K$3=1,IF(ISBLANK(Deltagarlista!$C27),"",IF(ISBLANK(Arrangörslista!M$98),"",IFERROR(VLOOKUP($F51,Arrangörslista!M$98:$AG$135,16,FALSE), "DNS"))),""))</f>
        <v/>
      </c>
      <c r="AY51" s="5" t="str">
        <f>IF(Deltagarlista!$K$3=2,
IF(ISBLANK(Deltagarlista!$C27),"",IF(ISBLANK(Arrangörslista!N$98),"",IF($GV51=AY$64," DNS ",IFERROR(VLOOKUP($F51,Arrangörslista!N$98:$AG$135,16,FALSE), "DNS")))), IF(Deltagarlista!$K$3=1,IF(ISBLANK(Deltagarlista!$C27),"",IF(ISBLANK(Arrangörslista!N$98),"",IFERROR(VLOOKUP($F51,Arrangörslista!N$98:$AG$135,16,FALSE), "DNS"))),""))</f>
        <v/>
      </c>
      <c r="AZ51" s="5" t="str">
        <f>IF(Deltagarlista!$K$3=2,
IF(ISBLANK(Deltagarlista!$C27),"",IF(ISBLANK(Arrangörslista!O$98),"",IF($GV51=AZ$64," DNS ",IFERROR(VLOOKUP($F51,Arrangörslista!O$98:$AG$135,16,FALSE), "DNS")))), IF(Deltagarlista!$K$3=1,IF(ISBLANK(Deltagarlista!$C27),"",IF(ISBLANK(Arrangörslista!O$98),"",IFERROR(VLOOKUP($F51,Arrangörslista!O$98:$AG$135,16,FALSE), "DNS"))),""))</f>
        <v/>
      </c>
      <c r="BA51" s="5" t="str">
        <f>IF(Deltagarlista!$K$3=2,
IF(ISBLANK(Deltagarlista!$C27),"",IF(ISBLANK(Arrangörslista!P$98),"",IF($GV51=BA$64," DNS ",IFERROR(VLOOKUP($F51,Arrangörslista!P$98:$AG$135,16,FALSE), "DNS")))), IF(Deltagarlista!$K$3=1,IF(ISBLANK(Deltagarlista!$C27),"",IF(ISBLANK(Arrangörslista!P$98),"",IFERROR(VLOOKUP($F51,Arrangörslista!P$98:$AG$135,16,FALSE), "DNS"))),""))</f>
        <v/>
      </c>
      <c r="BB51" s="5" t="str">
        <f>IF(Deltagarlista!$K$3=2,
IF(ISBLANK(Deltagarlista!$C27),"",IF(ISBLANK(Arrangörslista!Q$98),"",IF($GV51=BB$64," DNS ",IFERROR(VLOOKUP($F51,Arrangörslista!Q$98:$AG$135,16,FALSE), "DNS")))), IF(Deltagarlista!$K$3=1,IF(ISBLANK(Deltagarlista!$C27),"",IF(ISBLANK(Arrangörslista!Q$98),"",IFERROR(VLOOKUP($F51,Arrangörslista!Q$98:$AG$135,16,FALSE), "DNS"))),""))</f>
        <v/>
      </c>
      <c r="BC51" s="5" t="str">
        <f>IF(Deltagarlista!$K$3=2,
IF(ISBLANK(Deltagarlista!$C27),"",IF(ISBLANK(Arrangörslista!C$143),"",IF($GV51=BC$64," DNS ",IFERROR(VLOOKUP($F51,Arrangörslista!C$143:$AG$180,16,FALSE), "DNS")))), IF(Deltagarlista!$K$3=1,IF(ISBLANK(Deltagarlista!$C27),"",IF(ISBLANK(Arrangörslista!C$143),"",IFERROR(VLOOKUP($F51,Arrangörslista!C$143:$AG$180,16,FALSE), "DNS"))),""))</f>
        <v/>
      </c>
      <c r="BD51" s="5" t="str">
        <f>IF(Deltagarlista!$K$3=2,
IF(ISBLANK(Deltagarlista!$C27),"",IF(ISBLANK(Arrangörslista!D$143),"",IF($GV51=BD$64," DNS ",IFERROR(VLOOKUP($F51,Arrangörslista!D$143:$AG$180,16,FALSE), "DNS")))), IF(Deltagarlista!$K$3=1,IF(ISBLANK(Deltagarlista!$C27),"",IF(ISBLANK(Arrangörslista!D$143),"",IFERROR(VLOOKUP($F51,Arrangörslista!D$143:$AG$180,16,FALSE), "DNS"))),""))</f>
        <v/>
      </c>
      <c r="BE51" s="5" t="str">
        <f>IF(Deltagarlista!$K$3=2,
IF(ISBLANK(Deltagarlista!$C27),"",IF(ISBLANK(Arrangörslista!E$143),"",IF($GV51=BE$64," DNS ",IFERROR(VLOOKUP($F51,Arrangörslista!E$143:$AG$180,16,FALSE), "DNS")))), IF(Deltagarlista!$K$3=1,IF(ISBLANK(Deltagarlista!$C27),"",IF(ISBLANK(Arrangörslista!E$143),"",IFERROR(VLOOKUP($F51,Arrangörslista!E$143:$AG$180,16,FALSE), "DNS"))),""))</f>
        <v/>
      </c>
      <c r="BF51" s="5" t="str">
        <f>IF(Deltagarlista!$K$3=2,
IF(ISBLANK(Deltagarlista!$C27),"",IF(ISBLANK(Arrangörslista!F$143),"",IF($GV51=BF$64," DNS ",IFERROR(VLOOKUP($F51,Arrangörslista!F$143:$AG$180,16,FALSE), "DNS")))), IF(Deltagarlista!$K$3=1,IF(ISBLANK(Deltagarlista!$C27),"",IF(ISBLANK(Arrangörslista!F$143),"",IFERROR(VLOOKUP($F51,Arrangörslista!F$143:$AG$180,16,FALSE), "DNS"))),""))</f>
        <v/>
      </c>
      <c r="BG51" s="5" t="str">
        <f>IF(Deltagarlista!$K$3=2,
IF(ISBLANK(Deltagarlista!$C27),"",IF(ISBLANK(Arrangörslista!G$143),"",IF($GV51=BG$64," DNS ",IFERROR(VLOOKUP($F51,Arrangörslista!G$143:$AG$180,16,FALSE), "DNS")))), IF(Deltagarlista!$K$3=1,IF(ISBLANK(Deltagarlista!$C27),"",IF(ISBLANK(Arrangörslista!G$143),"",IFERROR(VLOOKUP($F51,Arrangörslista!G$143:$AG$180,16,FALSE), "DNS"))),""))</f>
        <v/>
      </c>
      <c r="BH51" s="5" t="str">
        <f>IF(Deltagarlista!$K$3=2,
IF(ISBLANK(Deltagarlista!$C27),"",IF(ISBLANK(Arrangörslista!H$143),"",IF($GV51=BH$64," DNS ",IFERROR(VLOOKUP($F51,Arrangörslista!H$143:$AG$180,16,FALSE), "DNS")))), IF(Deltagarlista!$K$3=1,IF(ISBLANK(Deltagarlista!$C27),"",IF(ISBLANK(Arrangörslista!H$143),"",IFERROR(VLOOKUP($F51,Arrangörslista!H$143:$AG$180,16,FALSE), "DNS"))),""))</f>
        <v/>
      </c>
      <c r="BI51" s="5" t="str">
        <f>IF(Deltagarlista!$K$3=2,
IF(ISBLANK(Deltagarlista!$C27),"",IF(ISBLANK(Arrangörslista!I$143),"",IF($GV51=BI$64," DNS ",IFERROR(VLOOKUP($F51,Arrangörslista!I$143:$AG$180,16,FALSE), "DNS")))), IF(Deltagarlista!$K$3=1,IF(ISBLANK(Deltagarlista!$C27),"",IF(ISBLANK(Arrangörslista!I$143),"",IFERROR(VLOOKUP($F51,Arrangörslista!I$143:$AG$180,16,FALSE), "DNS"))),""))</f>
        <v/>
      </c>
      <c r="BJ51" s="5" t="str">
        <f>IF(Deltagarlista!$K$3=2,
IF(ISBLANK(Deltagarlista!$C27),"",IF(ISBLANK(Arrangörslista!J$143),"",IF($GV51=BJ$64," DNS ",IFERROR(VLOOKUP($F51,Arrangörslista!J$143:$AG$180,16,FALSE), "DNS")))), IF(Deltagarlista!$K$3=1,IF(ISBLANK(Deltagarlista!$C27),"",IF(ISBLANK(Arrangörslista!J$143),"",IFERROR(VLOOKUP($F51,Arrangörslista!J$143:$AG$180,16,FALSE), "DNS"))),""))</f>
        <v/>
      </c>
      <c r="BK51" s="5" t="str">
        <f>IF(Deltagarlista!$K$3=2,
IF(ISBLANK(Deltagarlista!$C27),"",IF(ISBLANK(Arrangörslista!K$143),"",IF($GV51=BK$64," DNS ",IFERROR(VLOOKUP($F51,Arrangörslista!K$143:$AG$180,16,FALSE), "DNS")))), IF(Deltagarlista!$K$3=1,IF(ISBLANK(Deltagarlista!$C27),"",IF(ISBLANK(Arrangörslista!K$143),"",IFERROR(VLOOKUP($F51,Arrangörslista!K$143:$AG$180,16,FALSE), "DNS"))),""))</f>
        <v/>
      </c>
      <c r="BL51" s="5" t="str">
        <f>IF(Deltagarlista!$K$3=2,
IF(ISBLANK(Deltagarlista!$C27),"",IF(ISBLANK(Arrangörslista!L$143),"",IF($GV51=BL$64," DNS ",IFERROR(VLOOKUP($F51,Arrangörslista!L$143:$AG$180,16,FALSE), "DNS")))), IF(Deltagarlista!$K$3=1,IF(ISBLANK(Deltagarlista!$C27),"",IF(ISBLANK(Arrangörslista!L$143),"",IFERROR(VLOOKUP($F51,Arrangörslista!L$143:$AG$180,16,FALSE), "DNS"))),""))</f>
        <v/>
      </c>
      <c r="BM51" s="5" t="str">
        <f>IF(Deltagarlista!$K$3=2,
IF(ISBLANK(Deltagarlista!$C27),"",IF(ISBLANK(Arrangörslista!M$143),"",IF($GV51=BM$64," DNS ",IFERROR(VLOOKUP($F51,Arrangörslista!M$143:$AG$180,16,FALSE), "DNS")))), IF(Deltagarlista!$K$3=1,IF(ISBLANK(Deltagarlista!$C27),"",IF(ISBLANK(Arrangörslista!M$143),"",IFERROR(VLOOKUP($F51,Arrangörslista!M$143:$AG$180,16,FALSE), "DNS"))),""))</f>
        <v/>
      </c>
      <c r="BN51" s="5" t="str">
        <f>IF(Deltagarlista!$K$3=2,
IF(ISBLANK(Deltagarlista!$C27),"",IF(ISBLANK(Arrangörslista!N$143),"",IF($GV51=BN$64," DNS ",IFERROR(VLOOKUP($F51,Arrangörslista!N$143:$AG$180,16,FALSE), "DNS")))), IF(Deltagarlista!$K$3=1,IF(ISBLANK(Deltagarlista!$C27),"",IF(ISBLANK(Arrangörslista!N$143),"",IFERROR(VLOOKUP($F51,Arrangörslista!N$143:$AG$180,16,FALSE), "DNS"))),""))</f>
        <v/>
      </c>
      <c r="BO51" s="5" t="str">
        <f>IF(Deltagarlista!$K$3=2,
IF(ISBLANK(Deltagarlista!$C27),"",IF(ISBLANK(Arrangörslista!O$143),"",IF($GV51=BO$64," DNS ",IFERROR(VLOOKUP($F51,Arrangörslista!O$143:$AG$180,16,FALSE), "DNS")))), IF(Deltagarlista!$K$3=1,IF(ISBLANK(Deltagarlista!$C27),"",IF(ISBLANK(Arrangörslista!O$143),"",IFERROR(VLOOKUP($F51,Arrangörslista!O$143:$AG$180,16,FALSE), "DNS"))),""))</f>
        <v/>
      </c>
      <c r="BP51" s="5" t="str">
        <f>IF(Deltagarlista!$K$3=2,
IF(ISBLANK(Deltagarlista!$C27),"",IF(ISBLANK(Arrangörslista!P$143),"",IF($GV51=BP$64," DNS ",IFERROR(VLOOKUP($F51,Arrangörslista!P$143:$AG$180,16,FALSE), "DNS")))), IF(Deltagarlista!$K$3=1,IF(ISBLANK(Deltagarlista!$C27),"",IF(ISBLANK(Arrangörslista!P$143),"",IFERROR(VLOOKUP($F51,Arrangörslista!P$143:$AG$180,16,FALSE), "DNS"))),""))</f>
        <v/>
      </c>
      <c r="BQ51" s="80" t="str">
        <f>IF(Deltagarlista!$K$3=2,
IF(ISBLANK(Deltagarlista!$C27),"",IF(ISBLANK(Arrangörslista!Q$143),"",IF($GV51=BQ$64," DNS ",IFERROR(VLOOKUP($F51,Arrangörslista!Q$143:$AG$180,16,FALSE), "DNS")))), IF(Deltagarlista!$K$3=1,IF(ISBLANK(Deltagarlista!$C27),"",IF(ISBLANK(Arrangörslista!Q$143),"",IFERROR(VLOOKUP($F51,Arrangörslista!Q$143:$AG$180,16,FALSE), "DNS"))),""))</f>
        <v/>
      </c>
      <c r="BR51" s="51"/>
      <c r="BS51" s="50" t="str">
        <f t="shared" si="125"/>
        <v>2</v>
      </c>
      <c r="BT51" s="51"/>
      <c r="BU51" s="71">
        <f t="shared" si="126"/>
        <v>0</v>
      </c>
      <c r="BV51" s="61">
        <f t="shared" si="127"/>
        <v>0</v>
      </c>
      <c r="BW51" s="61">
        <f t="shared" si="128"/>
        <v>0</v>
      </c>
      <c r="BX51" s="61">
        <f t="shared" si="129"/>
        <v>0</v>
      </c>
      <c r="BY51" s="61">
        <f t="shared" si="130"/>
        <v>0</v>
      </c>
      <c r="BZ51" s="61">
        <f t="shared" si="131"/>
        <v>0</v>
      </c>
      <c r="CA51" s="61">
        <f t="shared" si="132"/>
        <v>0</v>
      </c>
      <c r="CB51" s="61">
        <f t="shared" si="133"/>
        <v>0</v>
      </c>
      <c r="CC51" s="61">
        <f t="shared" si="134"/>
        <v>0</v>
      </c>
      <c r="CD51" s="61">
        <f t="shared" si="135"/>
        <v>0</v>
      </c>
      <c r="CE51" s="61">
        <f t="shared" si="136"/>
        <v>0</v>
      </c>
      <c r="CF51" s="61">
        <f t="shared" si="137"/>
        <v>0</v>
      </c>
      <c r="CG51" s="61">
        <f t="shared" si="138"/>
        <v>0</v>
      </c>
      <c r="CH51" s="61">
        <f t="shared" si="139"/>
        <v>0</v>
      </c>
      <c r="CI51" s="61">
        <f t="shared" si="140"/>
        <v>0</v>
      </c>
      <c r="CJ51" s="61">
        <f t="shared" si="141"/>
        <v>0</v>
      </c>
      <c r="CK51" s="61">
        <f t="shared" si="142"/>
        <v>0</v>
      </c>
      <c r="CL51" s="61">
        <f t="shared" si="143"/>
        <v>0</v>
      </c>
      <c r="CM51" s="61">
        <f t="shared" si="144"/>
        <v>0</v>
      </c>
      <c r="CN51" s="61">
        <f t="shared" si="145"/>
        <v>0</v>
      </c>
      <c r="CO51" s="61">
        <f t="shared" si="146"/>
        <v>0</v>
      </c>
      <c r="CP51" s="61">
        <f t="shared" si="147"/>
        <v>0</v>
      </c>
      <c r="CQ51" s="61">
        <f t="shared" si="148"/>
        <v>0</v>
      </c>
      <c r="CR51" s="61">
        <f t="shared" si="149"/>
        <v>0</v>
      </c>
      <c r="CS51" s="61">
        <f t="shared" si="150"/>
        <v>0</v>
      </c>
      <c r="CT51" s="61">
        <f t="shared" si="151"/>
        <v>0</v>
      </c>
      <c r="CU51" s="61">
        <f t="shared" si="152"/>
        <v>0</v>
      </c>
      <c r="CV51" s="61">
        <f t="shared" si="153"/>
        <v>0</v>
      </c>
      <c r="CW51" s="61">
        <f t="shared" si="154"/>
        <v>0</v>
      </c>
      <c r="CX51" s="61">
        <f t="shared" si="155"/>
        <v>0</v>
      </c>
      <c r="CY51" s="61">
        <f t="shared" si="156"/>
        <v>0</v>
      </c>
      <c r="CZ51" s="61">
        <f t="shared" si="157"/>
        <v>0</v>
      </c>
      <c r="DA51" s="61">
        <f t="shared" si="158"/>
        <v>0</v>
      </c>
      <c r="DB51" s="61">
        <f t="shared" si="159"/>
        <v>0</v>
      </c>
      <c r="DC51" s="61">
        <f t="shared" si="160"/>
        <v>0</v>
      </c>
      <c r="DD51" s="61">
        <f t="shared" si="161"/>
        <v>0</v>
      </c>
      <c r="DE51" s="61">
        <f t="shared" si="162"/>
        <v>0</v>
      </c>
      <c r="DF51" s="61">
        <f t="shared" si="163"/>
        <v>0</v>
      </c>
      <c r="DG51" s="61">
        <f t="shared" si="164"/>
        <v>0</v>
      </c>
      <c r="DH51" s="61">
        <f t="shared" si="165"/>
        <v>0</v>
      </c>
      <c r="DI51" s="61">
        <f t="shared" si="166"/>
        <v>0</v>
      </c>
      <c r="DJ51" s="61">
        <f t="shared" si="167"/>
        <v>0</v>
      </c>
      <c r="DK51" s="61">
        <f t="shared" si="168"/>
        <v>0</v>
      </c>
      <c r="DL51" s="61">
        <f t="shared" si="169"/>
        <v>0</v>
      </c>
      <c r="DM51" s="61">
        <f t="shared" si="170"/>
        <v>0</v>
      </c>
      <c r="DN51" s="61">
        <f t="shared" si="171"/>
        <v>0</v>
      </c>
      <c r="DO51" s="61">
        <f t="shared" si="172"/>
        <v>0</v>
      </c>
      <c r="DP51" s="61">
        <f t="shared" si="173"/>
        <v>0</v>
      </c>
      <c r="DQ51" s="61">
        <f t="shared" si="174"/>
        <v>0</v>
      </c>
      <c r="DR51" s="61">
        <f t="shared" si="175"/>
        <v>0</v>
      </c>
      <c r="DS51" s="61">
        <f t="shared" si="176"/>
        <v>0</v>
      </c>
      <c r="DT51" s="61">
        <f t="shared" si="177"/>
        <v>0</v>
      </c>
      <c r="DU51" s="61">
        <f t="shared" si="178"/>
        <v>0</v>
      </c>
      <c r="DV51" s="61">
        <f t="shared" si="179"/>
        <v>0</v>
      </c>
      <c r="DW51" s="61">
        <f t="shared" si="180"/>
        <v>0</v>
      </c>
      <c r="DX51" s="61">
        <f t="shared" si="181"/>
        <v>0</v>
      </c>
      <c r="DY51" s="61">
        <f t="shared" si="182"/>
        <v>0</v>
      </c>
      <c r="DZ51" s="61">
        <f t="shared" si="183"/>
        <v>0</v>
      </c>
      <c r="EA51" s="61">
        <f t="shared" si="184"/>
        <v>0</v>
      </c>
      <c r="EB51" s="61">
        <f t="shared" si="185"/>
        <v>0</v>
      </c>
      <c r="EC51" s="61">
        <f t="shared" si="186"/>
        <v>0</v>
      </c>
      <c r="EE51" s="61">
        <f xml:space="preserve">
IF(OR(Deltagarlista!$K$3=3,Deltagarlista!$K$3=4),
IF(Arrangörslista!$U$5&lt;8,0,
IF(Arrangörslista!$U$5&lt;16,SUM(LARGE(BV51:CJ51,1)),
IF(Arrangörslista!$U$5&lt;24,SUM(LARGE(BV51:CR51,{1;2})),
IF(Arrangörslista!$U$5&lt;32,SUM(LARGE(BV51:CZ51,{1;2;3})),
IF(Arrangörslista!$U$5&lt;40,SUM(LARGE(BV51:DH51,{1;2;3;4})),
IF(Arrangörslista!$U$5&lt;48,SUM(LARGE(BV51:DP51,{1;2;3;4;5})),
IF(Arrangörslista!$U$5&lt;56,SUM(LARGE(BV51:DX51,{1;2;3;4;5;6})),
IF(Arrangörslista!$U$5&lt;64,SUM(LARGE(BV51:EC51,{1;2;3;4;5;6;7})),0)))))))),
IF(Deltagarlista!$K$3=2,
IF(Arrangörslista!$U$5&lt;4,LARGE(BV51:BX51,1),
IF(Arrangörslista!$U$5&lt;7,SUM(LARGE(BV51:CA51,{1;2;3})),
IF(Arrangörslista!$U$5&lt;10,SUM(LARGE(BV51:CD51,{1;2;3;4})),
IF(Arrangörslista!$U$5&lt;13,SUM(LARGE(BV51:CG51,{1;2;3;4;5;6})),
IF(Arrangörslista!$U$5&lt;16,SUM(LARGE(BV51:CJ51,{1;2;3;4;5;6;7})),
IF(Arrangörslista!$U$5&lt;19,SUM(LARGE(BV51:CM51,{1;2;3;4;5;6;7;8;9})),
IF(Arrangörslista!$U$5&lt;22,SUM(LARGE(BV51:CP51,{1;2;3;4;5;6;7;8;9;10})),
IF(Arrangörslista!$U$5&lt;25,SUM(LARGE(BV51:CS51,{1;2;3;4;5;6;7;8;9;10;11;12})),
IF(Arrangörslista!$U$5&lt;28,SUM(LARGE(BV51:CV51,{1;2;3;4;5;6;7;8;9;10;11;12;13})),
IF(Arrangörslista!$U$5&lt;31,SUM(LARGE(BV51:CY51,{1;2;3;4;5;6;7;8;9;10;11;12;13;14;15})),
IF(Arrangörslista!$U$5&lt;34,SUM(LARGE(BV51:DB51,{1;2;3;4;5;6;7;8;9;10;11;12;13;14;15;16})),
IF(Arrangörslista!$U$5&lt;37,SUM(LARGE(BV51:DE51,{1;2;3;4;5;6;7;8;9;10;11;12;13;14;15;16;17;18})),
IF(Arrangörslista!$U$5&lt;40,SUM(LARGE(BV51:DH51,{1;2;3;4;5;6;7;8;9;10;11;12;13;14;15;16;17;18;19})),
IF(Arrangörslista!$U$5&lt;43,SUM(LARGE(BV51:DK51,{1;2;3;4;5;6;7;8;9;10;11;12;13;14;15;16;17;18;19;20;21})),
IF(Arrangörslista!$U$5&lt;46,SUM(LARGE(BV51:DN51,{1;2;3;4;5;6;7;8;9;10;11;12;13;14;15;16;17;18;19;20;21;22})),
IF(Arrangörslista!$U$5&lt;49,SUM(LARGE(BV51:DQ51,{1;2;3;4;5;6;7;8;9;10;11;12;13;14;15;16;17;18;19;20;21;22;23;24})),
IF(Arrangörslista!$U$5&lt;52,SUM(LARGE(BV51:DT51,{1;2;3;4;5;6;7;8;9;10;11;12;13;14;15;16;17;18;19;20;21;22;23;24;25})),
IF(Arrangörslista!$U$5&lt;55,SUM(LARGE(BV51:DW51,{1;2;3;4;5;6;7;8;9;10;11;12;13;14;15;16;17;18;19;20;21;22;23;24;25;26;27})),
IF(Arrangörslista!$U$5&lt;58,SUM(LARGE(BV51:DZ51,{1;2;3;4;5;6;7;8;9;10;11;12;13;14;15;16;17;18;19;20;21;22;23;24;25;26;27;28})),
IF(Arrangörslista!$U$5&lt;61,SUM(LARGE(BV51:EC51,{1;2;3;4;5;6;7;8;9;10;11;12;13;14;15;16;17;18;19;20;21;22;23;24;25;26;27;28;29;30})),0)))))))))))))))))))),
IF(Arrangörslista!$U$5&lt;4,0,
IF(Arrangörslista!$U$5&lt;8,SUM(LARGE(BV51:CB51,1)),
IF(Arrangörslista!$U$5&lt;12,SUM(LARGE(BV51:CF51,{1;2})),
IF(Arrangörslista!$U$5&lt;16,SUM(LARGE(BV51:CJ51,{1;2;3})),
IF(Arrangörslista!$U$5&lt;20,SUM(LARGE(BV51:CN51,{1;2;3;4})),
IF(Arrangörslista!$U$5&lt;24,SUM(LARGE(BV51:CR51,{1;2;3;4;5})),
IF(Arrangörslista!$U$5&lt;28,SUM(LARGE(BV51:CV51,{1;2;3;4;5;6})),
IF(Arrangörslista!$U$5&lt;32,SUM(LARGE(BV51:CZ51,{1;2;3;4;5;6;7})),
IF(Arrangörslista!$U$5&lt;36,SUM(LARGE(BV51:DD51,{1;2;3;4;5;6;7;8})),
IF(Arrangörslista!$U$5&lt;40,SUM(LARGE(BV51:DH51,{1;2;3;4;5;6;7;8;9})),
IF(Arrangörslista!$U$5&lt;44,SUM(LARGE(BV51:DL51,{1;2;3;4;5;6;7;8;9;10})),
IF(Arrangörslista!$U$5&lt;48,SUM(LARGE(BV51:DP51,{1;2;3;4;5;6;7;8;9;10;11})),
IF(Arrangörslista!$U$5&lt;52,SUM(LARGE(BV51:DT51,{1;2;3;4;5;6;7;8;9;10;11;12})),
IF(Arrangörslista!$U$5&lt;56,SUM(LARGE(BV51:DX51,{1;2;3;4;5;6;7;8;9;10;11;12;13})),
IF(Arrangörslista!$U$5&lt;60,SUM(LARGE(BV51:EB51,{1;2;3;4;5;6;7;8;9;10;11;12;13;14})),
IF(Arrangörslista!$U$5=60,SUM(LARGE(BV51:EC51,{1;2;3;4;5;6;7;8;9;10;11;12;13;14;15})),0))))))))))))))))))</f>
        <v>0</v>
      </c>
      <c r="EG51" s="67">
        <f t="shared" si="187"/>
        <v>0</v>
      </c>
      <c r="EH51" s="61"/>
      <c r="EI51" s="61"/>
      <c r="EK51" s="62">
        <f t="shared" si="188"/>
        <v>61</v>
      </c>
      <c r="EL51" s="62">
        <f t="shared" si="189"/>
        <v>61</v>
      </c>
      <c r="EM51" s="62">
        <f t="shared" si="190"/>
        <v>61</v>
      </c>
      <c r="EN51" s="62">
        <f t="shared" si="191"/>
        <v>61</v>
      </c>
      <c r="EO51" s="62">
        <f t="shared" si="192"/>
        <v>61</v>
      </c>
      <c r="EP51" s="62">
        <f t="shared" si="193"/>
        <v>61</v>
      </c>
      <c r="EQ51" s="62">
        <f t="shared" si="194"/>
        <v>61</v>
      </c>
      <c r="ER51" s="62">
        <f t="shared" si="195"/>
        <v>61</v>
      </c>
      <c r="ES51" s="62">
        <f t="shared" si="196"/>
        <v>61</v>
      </c>
      <c r="ET51" s="62">
        <f t="shared" si="197"/>
        <v>61</v>
      </c>
      <c r="EU51" s="62">
        <f t="shared" si="198"/>
        <v>61</v>
      </c>
      <c r="EV51" s="62">
        <f t="shared" si="199"/>
        <v>61</v>
      </c>
      <c r="EW51" s="62">
        <f t="shared" si="200"/>
        <v>61</v>
      </c>
      <c r="EX51" s="62">
        <f t="shared" si="201"/>
        <v>61</v>
      </c>
      <c r="EY51" s="62">
        <f t="shared" si="202"/>
        <v>61</v>
      </c>
      <c r="EZ51" s="62">
        <f t="shared" si="203"/>
        <v>61</v>
      </c>
      <c r="FA51" s="62">
        <f t="shared" si="204"/>
        <v>61</v>
      </c>
      <c r="FB51" s="62">
        <f t="shared" si="205"/>
        <v>61</v>
      </c>
      <c r="FC51" s="62">
        <f t="shared" si="206"/>
        <v>61</v>
      </c>
      <c r="FD51" s="62">
        <f t="shared" si="207"/>
        <v>61</v>
      </c>
      <c r="FE51" s="62">
        <f t="shared" si="208"/>
        <v>61</v>
      </c>
      <c r="FF51" s="62">
        <f t="shared" si="209"/>
        <v>61</v>
      </c>
      <c r="FG51" s="62">
        <f t="shared" si="210"/>
        <v>61</v>
      </c>
      <c r="FH51" s="62">
        <f t="shared" si="211"/>
        <v>61</v>
      </c>
      <c r="FI51" s="62">
        <f t="shared" si="212"/>
        <v>61</v>
      </c>
      <c r="FJ51" s="62">
        <f t="shared" si="213"/>
        <v>61</v>
      </c>
      <c r="FK51" s="62">
        <f t="shared" si="214"/>
        <v>61</v>
      </c>
      <c r="FL51" s="62">
        <f t="shared" si="215"/>
        <v>61</v>
      </c>
      <c r="FM51" s="62">
        <f t="shared" si="216"/>
        <v>61</v>
      </c>
      <c r="FN51" s="62">
        <f t="shared" si="217"/>
        <v>61</v>
      </c>
      <c r="FO51" s="62">
        <f t="shared" si="218"/>
        <v>61</v>
      </c>
      <c r="FP51" s="62">
        <f t="shared" si="219"/>
        <v>61</v>
      </c>
      <c r="FQ51" s="62">
        <f t="shared" si="220"/>
        <v>61</v>
      </c>
      <c r="FR51" s="62">
        <f t="shared" si="221"/>
        <v>61</v>
      </c>
      <c r="FS51" s="62">
        <f t="shared" si="222"/>
        <v>61</v>
      </c>
      <c r="FT51" s="62">
        <f t="shared" si="223"/>
        <v>61</v>
      </c>
      <c r="FU51" s="62">
        <f t="shared" si="224"/>
        <v>61</v>
      </c>
      <c r="FV51" s="62">
        <f t="shared" si="225"/>
        <v>61</v>
      </c>
      <c r="FW51" s="62">
        <f t="shared" si="226"/>
        <v>61</v>
      </c>
      <c r="FX51" s="62">
        <f t="shared" si="227"/>
        <v>61</v>
      </c>
      <c r="FY51" s="62">
        <f t="shared" si="228"/>
        <v>61</v>
      </c>
      <c r="FZ51" s="62">
        <f t="shared" si="229"/>
        <v>61</v>
      </c>
      <c r="GA51" s="62">
        <f t="shared" si="230"/>
        <v>61</v>
      </c>
      <c r="GB51" s="62">
        <f t="shared" si="231"/>
        <v>61</v>
      </c>
      <c r="GC51" s="62">
        <f t="shared" si="232"/>
        <v>61</v>
      </c>
      <c r="GD51" s="62">
        <f t="shared" si="233"/>
        <v>61</v>
      </c>
      <c r="GE51" s="62">
        <f t="shared" si="234"/>
        <v>61</v>
      </c>
      <c r="GF51" s="62">
        <f t="shared" si="235"/>
        <v>61</v>
      </c>
      <c r="GG51" s="62">
        <f t="shared" si="236"/>
        <v>61</v>
      </c>
      <c r="GH51" s="62">
        <f t="shared" si="237"/>
        <v>61</v>
      </c>
      <c r="GI51" s="62">
        <f t="shared" si="238"/>
        <v>61</v>
      </c>
      <c r="GJ51" s="62">
        <f t="shared" si="239"/>
        <v>61</v>
      </c>
      <c r="GK51" s="62">
        <f t="shared" si="240"/>
        <v>61</v>
      </c>
      <c r="GL51" s="62">
        <f t="shared" si="241"/>
        <v>61</v>
      </c>
      <c r="GM51" s="62">
        <f t="shared" si="242"/>
        <v>61</v>
      </c>
      <c r="GN51" s="62">
        <f t="shared" si="243"/>
        <v>61</v>
      </c>
      <c r="GO51" s="62">
        <f t="shared" si="244"/>
        <v>61</v>
      </c>
      <c r="GP51" s="62">
        <f t="shared" si="245"/>
        <v>61</v>
      </c>
      <c r="GQ51" s="62">
        <f t="shared" si="246"/>
        <v>61</v>
      </c>
      <c r="GR51" s="62">
        <f t="shared" si="247"/>
        <v>61</v>
      </c>
      <c r="GT51" s="62">
        <f>IF(Deltagarlista!$K$3=2,
IF(GW51="1",
      IF(Arrangörslista!$U$5=1,J114,
IF(Arrangörslista!$U$5=2,K114,
IF(Arrangörslista!$U$5=3,L114,
IF(Arrangörslista!$U$5=4,M114,
IF(Arrangörslista!$U$5=5,N114,
IF(Arrangörslista!$U$5=6,O114,
IF(Arrangörslista!$U$5=7,P114,
IF(Arrangörslista!$U$5=8,Q114,
IF(Arrangörslista!$U$5=9,R114,
IF(Arrangörslista!$U$5=10,S114,
IF(Arrangörslista!$U$5=11,T114,
IF(Arrangörslista!$U$5=12,U114,
IF(Arrangörslista!$U$5=13,V114,
IF(Arrangörslista!$U$5=14,W114,
IF(Arrangörslista!$U$5=15,X114,
IF(Arrangörslista!$U$5=16,Y114,IF(Arrangörslista!$U$5=17,Z114,IF(Arrangörslista!$U$5=18,AA114,IF(Arrangörslista!$U$5=19,AB114,IF(Arrangörslista!$U$5=20,AC114,IF(Arrangörslista!$U$5=21,AD114,IF(Arrangörslista!$U$5=22,AE114,IF(Arrangörslista!$U$5=23,AF114, IF(Arrangörslista!$U$5=24,AG114, IF(Arrangörslista!$U$5=25,AH114, IF(Arrangörslista!$U$5=26,AI114, IF(Arrangörslista!$U$5=27,AJ114, IF(Arrangörslista!$U$5=28,AK114, IF(Arrangörslista!$U$5=29,AL114, IF(Arrangörslista!$U$5=30,AM114, IF(Arrangörslista!$U$5=31,AN114, IF(Arrangörslista!$U$5=32,AO114, IF(Arrangörslista!$U$5=33,AP114, IF(Arrangörslista!$U$5=34,AQ114, IF(Arrangörslista!$U$5=35,AR114, IF(Arrangörslista!$U$5=36,AS114, IF(Arrangörslista!$U$5=37,AT114, IF(Arrangörslista!$U$5=38,AU114, IF(Arrangörslista!$U$5=39,AV114, IF(Arrangörslista!$U$5=40,AW114, IF(Arrangörslista!$U$5=41,AX114, IF(Arrangörslista!$U$5=42,AY114, IF(Arrangörslista!$U$5=43,AZ114, IF(Arrangörslista!$U$5=44,BA114, IF(Arrangörslista!$U$5=45,BB114, IF(Arrangörslista!$U$5=46,BC114, IF(Arrangörslista!$U$5=47,BD114, IF(Arrangörslista!$U$5=48,BE114, IF(Arrangörslista!$U$5=49,BF114, IF(Arrangörslista!$U$5=50,BG114, IF(Arrangörslista!$U$5=51,BH114, IF(Arrangörslista!$U$5=52,BI114, IF(Arrangörslista!$U$5=53,BJ114, IF(Arrangörslista!$U$5=54,BK114, IF(Arrangörslista!$U$5=55,BL114, IF(Arrangörslista!$U$5=56,BM114, IF(Arrangörslista!$U$5=57,BN114, IF(Arrangörslista!$U$5=58,BO114, IF(Arrangörslista!$U$5=59,BP114, IF(Arrangörslista!$U$5=60,BQ114,0))))))))))))))))))))))))))))))))))))))))))))))))))))))))))))),IF(Deltagarlista!$K$3=4, IF(Arrangörslista!$U$5=1,J114,
IF(Arrangörslista!$U$5=2,J114,
IF(Arrangörslista!$U$5=3,K114,
IF(Arrangörslista!$U$5=4,K114,
IF(Arrangörslista!$U$5=5,L114,
IF(Arrangörslista!$U$5=6,L114,
IF(Arrangörslista!$U$5=7,M114,
IF(Arrangörslista!$U$5=8,M114,
IF(Arrangörslista!$U$5=9,N114,
IF(Arrangörslista!$U$5=10,N114,
IF(Arrangörslista!$U$5=11,O114,
IF(Arrangörslista!$U$5=12,O114,
IF(Arrangörslista!$U$5=13,P114,
IF(Arrangörslista!$U$5=14,P114,
IF(Arrangörslista!$U$5=15,Q114,
IF(Arrangörslista!$U$5=16,Q114,
IF(Arrangörslista!$U$5=17,R114,
IF(Arrangörslista!$U$5=18,R114,
IF(Arrangörslista!$U$5=19,S114,
IF(Arrangörslista!$U$5=20,S114,
IF(Arrangörslista!$U$5=21,T114,
IF(Arrangörslista!$U$5=22,T114,IF(Arrangörslista!$U$5=23,U114, IF(Arrangörslista!$U$5=24,U114, IF(Arrangörslista!$U$5=25,V114, IF(Arrangörslista!$U$5=26,V114, IF(Arrangörslista!$U$5=27,W114, IF(Arrangörslista!$U$5=28,W114, IF(Arrangörslista!$U$5=29,X114, IF(Arrangörslista!$U$5=30,X114, IF(Arrangörslista!$U$5=31,X114, IF(Arrangörslista!$U$5=32,Y114, IF(Arrangörslista!$U$5=33,AO114, IF(Arrangörslista!$U$5=34,Y114, IF(Arrangörslista!$U$5=35,Z114, IF(Arrangörslista!$U$5=36,AR114, IF(Arrangörslista!$U$5=37,Z114, IF(Arrangörslista!$U$5=38,AA114, IF(Arrangörslista!$U$5=39,AU114, IF(Arrangörslista!$U$5=40,AA114, IF(Arrangörslista!$U$5=41,AB114, IF(Arrangörslista!$U$5=42,AX114, IF(Arrangörslista!$U$5=43,AB114, IF(Arrangörslista!$U$5=44,AC114, IF(Arrangörslista!$U$5=45,BA114, IF(Arrangörslista!$U$5=46,AC114, IF(Arrangörslista!$U$5=47,AD114, IF(Arrangörslista!$U$5=48,BD114, IF(Arrangörslista!$U$5=49,AD114, IF(Arrangörslista!$U$5=50,AE114, IF(Arrangörslista!$U$5=51,BG114, IF(Arrangörslista!$U$5=52,AE114, IF(Arrangörslista!$U$5=53,AF114, IF(Arrangörslista!$U$5=54,BJ114, IF(Arrangörslista!$U$5=55,AF114, IF(Arrangörslista!$U$5=56,AG114, IF(Arrangörslista!$U$5=57,BM114, IF(Arrangörslista!$U$5=58,AG114, IF(Arrangörslista!$U$5=59,AH114, IF(Arrangörslista!$U$5=60,AH114,0)))))))))))))))))))))))))))))))))))))))))))))))))))))))))))),IF(Arrangörslista!$U$5=1,J114,
IF(Arrangörslista!$U$5=2,K114,
IF(Arrangörslista!$U$5=3,L114,
IF(Arrangörslista!$U$5=4,M114,
IF(Arrangörslista!$U$5=5,N114,
IF(Arrangörslista!$U$5=6,O114,
IF(Arrangörslista!$U$5=7,P114,
IF(Arrangörslista!$U$5=8,Q114,
IF(Arrangörslista!$U$5=9,R114,
IF(Arrangörslista!$U$5=10,S114,
IF(Arrangörslista!$U$5=11,T114,
IF(Arrangörslista!$U$5=12,U114,
IF(Arrangörslista!$U$5=13,V114,
IF(Arrangörslista!$U$5=14,W114,
IF(Arrangörslista!$U$5=15,X114,
IF(Arrangörslista!$U$5=16,Y114,IF(Arrangörslista!$U$5=17,Z114,IF(Arrangörslista!$U$5=18,AA114,IF(Arrangörslista!$U$5=19,AB114,IF(Arrangörslista!$U$5=20,AC114,IF(Arrangörslista!$U$5=21,AD114,IF(Arrangörslista!$U$5=22,AE114,IF(Arrangörslista!$U$5=23,AF114, IF(Arrangörslista!$U$5=24,AG114, IF(Arrangörslista!$U$5=25,AH114, IF(Arrangörslista!$U$5=26,AI114, IF(Arrangörslista!$U$5=27,AJ114, IF(Arrangörslista!$U$5=28,AK114, IF(Arrangörslista!$U$5=29,AL114, IF(Arrangörslista!$U$5=30,AM114, IF(Arrangörslista!$U$5=31,AN114, IF(Arrangörslista!$U$5=32,AO114, IF(Arrangörslista!$U$5=33,AP114, IF(Arrangörslista!$U$5=34,AQ114, IF(Arrangörslista!$U$5=35,AR114, IF(Arrangörslista!$U$5=36,AS114, IF(Arrangörslista!$U$5=37,AT114, IF(Arrangörslista!$U$5=38,AU114, IF(Arrangörslista!$U$5=39,AV114, IF(Arrangörslista!$U$5=40,AW114, IF(Arrangörslista!$U$5=41,AX114, IF(Arrangörslista!$U$5=42,AY114, IF(Arrangörslista!$U$5=43,AZ114, IF(Arrangörslista!$U$5=44,BA114, IF(Arrangörslista!$U$5=45,BB114, IF(Arrangörslista!$U$5=46,BC114, IF(Arrangörslista!$U$5=47,BD114, IF(Arrangörslista!$U$5=48,BE114, IF(Arrangörslista!$U$5=49,BF114, IF(Arrangörslista!$U$5=50,BG114, IF(Arrangörslista!$U$5=51,BH114, IF(Arrangörslista!$U$5=52,BI114, IF(Arrangörslista!$U$5=53,BJ114, IF(Arrangörslista!$U$5=54,BK114, IF(Arrangörslista!$U$5=55,BL114, IF(Arrangörslista!$U$5=56,BM114, IF(Arrangörslista!$U$5=57,BN114, IF(Arrangörslista!$U$5=58,BO114, IF(Arrangörslista!$U$5=59,BP114, IF(Arrangörslista!$U$5=60,BQ114,0))))))))))))))))))))))))))))))))))))))))))))))))))))))))))))
))</f>
        <v>0</v>
      </c>
      <c r="GV51" s="65" t="str">
        <f>IFERROR(IF(VLOOKUP(F51,Deltagarlista!$E$5:$I$64,5,FALSE)="Grön","Gr",IF(VLOOKUP(F51,Deltagarlista!$E$5:$I$64,5,FALSE)="Röd","R",IF(VLOOKUP(F51,Deltagarlista!$E$5:$I$64,5,FALSE)="Blå","B","Gu"))),"")</f>
        <v/>
      </c>
      <c r="GW51" s="62" t="str">
        <f t="shared" si="124"/>
        <v/>
      </c>
    </row>
    <row r="52" spans="2:205" ht="15.75" customHeight="1" x14ac:dyDescent="0.3">
      <c r="B52" s="23" t="str">
        <f>IF((COUNTIF(Deltagarlista!$H$5:$H$64,"GM"))&gt;48,49,"")</f>
        <v/>
      </c>
      <c r="C52" s="92" t="str">
        <f>IF(ISBLANK(Deltagarlista!C5),"",Deltagarlista!C5)</f>
        <v/>
      </c>
      <c r="D52" s="109" t="str">
        <f>CONCATENATE(IF(Deltagarlista!H5="GM","GM   ",""), IF(OR(Deltagarlista!$K$3=4,Deltagarlista!$K$3=2),Deltagarlista!I5,""))</f>
        <v/>
      </c>
      <c r="E52" s="8" t="str">
        <f>IF(ISBLANK(Deltagarlista!D5),"",Deltagarlista!D5)</f>
        <v/>
      </c>
      <c r="F52" s="8" t="str">
        <f>IF(ISBLANK(Deltagarlista!E5),"",Deltagarlista!E5)</f>
        <v/>
      </c>
      <c r="G52" s="95" t="str">
        <f>IF(ISBLANK(Deltagarlista!F5),"",Deltagarlista!F5)</f>
        <v/>
      </c>
      <c r="H52" s="72" t="str">
        <f>IF(ISBLANK(Deltagarlista!C5),"",BU52-EE52)</f>
        <v/>
      </c>
      <c r="I52" s="13" t="str">
        <f>IF(ISBLANK(Deltagarlista!C5),"",IF(AND(Deltagarlista!$K$3=2,Deltagarlista!$L$3&lt;37),SUM(SUM(BV52:EC52)-(ROUNDDOWN(Arrangörslista!$U$5/3,1))*($BW$3+1)),SUM(BV52:EC52)))</f>
        <v/>
      </c>
      <c r="J52" s="79" t="str">
        <f>IF(Deltagarlista!$K$3=4,IF(ISBLANK(Deltagarlista!$C5),"",IF(ISBLANK(Arrangörslista!C$8),"",IFERROR(VLOOKUP($F52,Arrangörslista!C$8:$AG$45,16,FALSE),IF(ISBLANK(Deltagarlista!$C5),"",IF(ISBLANK(Arrangörslista!C$8),"",IFERROR(VLOOKUP($F52,Arrangörslista!D$8:$AG$45,16,FALSE),"DNS")))))),IF(Deltagarlista!$K$3=2,
IF(ISBLANK(Deltagarlista!$C5),"",IF(ISBLANK(Arrangörslista!C$8),"",IF($GV52=J$64," DNS ",IFERROR(VLOOKUP($F52,Arrangörslista!C$8:$AG$45,16,FALSE),"DNS")))),IF(ISBLANK(Deltagarlista!$C5),"",IF(ISBLANK(Arrangörslista!C$8),"",IFERROR(VLOOKUP($F52,Arrangörslista!C$8:$AG$45,16,FALSE),"DNS")))))</f>
        <v/>
      </c>
      <c r="K52" s="5" t="str">
        <f>IF(Deltagarlista!$K$3=4,IF(ISBLANK(Deltagarlista!$C5),"",IF(ISBLANK(Arrangörslista!E$8),"",IFERROR(VLOOKUP($F52,Arrangörslista!E$8:$AG$45,16,FALSE),IF(ISBLANK(Deltagarlista!$C5),"",IF(ISBLANK(Arrangörslista!E$8),"",IFERROR(VLOOKUP($F52,Arrangörslista!F$8:$AG$45,16,FALSE),"DNS")))))),IF(Deltagarlista!$K$3=2,
IF(ISBLANK(Deltagarlista!$C5),"",IF(ISBLANK(Arrangörslista!D$8),"",IF($GV52=K$64," DNS ",IFERROR(VLOOKUP($F52,Arrangörslista!D$8:$AG$45,16,FALSE),"DNS")))),IF(ISBLANK(Deltagarlista!$C5),"",IF(ISBLANK(Arrangörslista!D$8),"",IFERROR(VLOOKUP($F52,Arrangörslista!D$8:$AG$45,16,FALSE),"DNS")))))</f>
        <v/>
      </c>
      <c r="L52" s="5" t="str">
        <f>IF(Deltagarlista!$K$3=4,IF(ISBLANK(Deltagarlista!$C5),"",IF(ISBLANK(Arrangörslista!G$8),"",IFERROR(VLOOKUP($F52,Arrangörslista!G$8:$AG$45,16,FALSE),IF(ISBLANK(Deltagarlista!$C5),"",IF(ISBLANK(Arrangörslista!G$8),"",IFERROR(VLOOKUP($F52,Arrangörslista!H$8:$AG$45,16,FALSE),"DNS")))))),IF(Deltagarlista!$K$3=2,
IF(ISBLANK(Deltagarlista!$C5),"",IF(ISBLANK(Arrangörslista!E$8),"",IF($GV52=L$64," DNS ",IFERROR(VLOOKUP($F52,Arrangörslista!E$8:$AG$45,16,FALSE),"DNS")))),IF(ISBLANK(Deltagarlista!$C5),"",IF(ISBLANK(Arrangörslista!E$8),"",IFERROR(VLOOKUP($F52,Arrangörslista!E$8:$AG$45,16,FALSE),"DNS")))))</f>
        <v/>
      </c>
      <c r="M52" s="5" t="str">
        <f>IF(Deltagarlista!$K$3=4,IF(ISBLANK(Deltagarlista!$C5),"",IF(ISBLANK(Arrangörslista!I$8),"",IFERROR(VLOOKUP($F52,Arrangörslista!I$8:$AG$45,16,FALSE),IF(ISBLANK(Deltagarlista!$C5),"",IF(ISBLANK(Arrangörslista!I$8),"",IFERROR(VLOOKUP($F52,Arrangörslista!J$8:$AG$45,16,FALSE),"DNS")))))),IF(Deltagarlista!$K$3=2,
IF(ISBLANK(Deltagarlista!$C5),"",IF(ISBLANK(Arrangörslista!F$8),"",IF($GV52=M$64," DNS ",IFERROR(VLOOKUP($F52,Arrangörslista!F$8:$AG$45,16,FALSE),"DNS")))),IF(ISBLANK(Deltagarlista!$C5),"",IF(ISBLANK(Arrangörslista!F$8),"",IFERROR(VLOOKUP($F52,Arrangörslista!F$8:$AG$45,16,FALSE),"DNS")))))</f>
        <v/>
      </c>
      <c r="N52" s="5" t="str">
        <f>IF(Deltagarlista!$K$3=4,IF(ISBLANK(Deltagarlista!$C5),"",IF(ISBLANK(Arrangörslista!K$8),"",IFERROR(VLOOKUP($F52,Arrangörslista!K$8:$AG$45,16,FALSE),IF(ISBLANK(Deltagarlista!$C5),"",IF(ISBLANK(Arrangörslista!K$8),"",IFERROR(VLOOKUP($F52,Arrangörslista!L$8:$AG$45,16,FALSE),"DNS")))))),IF(Deltagarlista!$K$3=2,
IF(ISBLANK(Deltagarlista!$C5),"",IF(ISBLANK(Arrangörslista!G$8),"",IF($GV52=N$64," DNS ",IFERROR(VLOOKUP($F52,Arrangörslista!G$8:$AG$45,16,FALSE),"DNS")))),IF(ISBLANK(Deltagarlista!$C5),"",IF(ISBLANK(Arrangörslista!G$8),"",IFERROR(VLOOKUP($F52,Arrangörslista!G$8:$AG$45,16,FALSE),"DNS")))))</f>
        <v/>
      </c>
      <c r="O52" s="5" t="str">
        <f>IF(Deltagarlista!$K$3=4,IF(ISBLANK(Deltagarlista!$C5),"",IF(ISBLANK(Arrangörslista!M$8),"",IFERROR(VLOOKUP($F52,Arrangörslista!M$8:$AG$45,16,FALSE),IF(ISBLANK(Deltagarlista!$C5),"",IF(ISBLANK(Arrangörslista!M$8),"",IFERROR(VLOOKUP($F52,Arrangörslista!N$8:$AG$45,16,FALSE),"DNS")))))),IF(Deltagarlista!$K$3=2,
IF(ISBLANK(Deltagarlista!$C5),"",IF(ISBLANK(Arrangörslista!H$8),"",IF($GV52=O$64," DNS ",IFERROR(VLOOKUP($F52,Arrangörslista!H$8:$AG$45,16,FALSE),"DNS")))),IF(ISBLANK(Deltagarlista!$C5),"",IF(ISBLANK(Arrangörslista!H$8),"",IFERROR(VLOOKUP($F52,Arrangörslista!H$8:$AG$45,16,FALSE),"DNS")))))</f>
        <v/>
      </c>
      <c r="P52" s="5" t="str">
        <f>IF(Deltagarlista!$K$3=4,IF(ISBLANK(Deltagarlista!$C5),"",IF(ISBLANK(Arrangörslista!O$8),"",IFERROR(VLOOKUP($F52,Arrangörslista!O$8:$AG$45,16,FALSE),IF(ISBLANK(Deltagarlista!$C5),"",IF(ISBLANK(Arrangörslista!O$8),"",IFERROR(VLOOKUP($F52,Arrangörslista!P$8:$AG$45,16,FALSE),"DNS")))))),IF(Deltagarlista!$K$3=2,
IF(ISBLANK(Deltagarlista!$C5),"",IF(ISBLANK(Arrangörslista!I$8),"",IF($GV52=P$64," DNS ",IFERROR(VLOOKUP($F52,Arrangörslista!I$8:$AG$45,16,FALSE),"DNS")))),IF(ISBLANK(Deltagarlista!$C5),"",IF(ISBLANK(Arrangörslista!I$8),"",IFERROR(VLOOKUP($F52,Arrangörslista!I$8:$AG$45,16,FALSE),"DNS")))))</f>
        <v/>
      </c>
      <c r="Q52" s="5" t="str">
        <f>IF(Deltagarlista!$K$3=4,IF(ISBLANK(Deltagarlista!$C5),"",IF(ISBLANK(Arrangörslista!Q$8),"",IFERROR(VLOOKUP($F52,Arrangörslista!Q$8:$AG$45,16,FALSE),IF(ISBLANK(Deltagarlista!$C5),"",IF(ISBLANK(Arrangörslista!Q$8),"",IFERROR(VLOOKUP($F52,Arrangörslista!C$53:$AG$90,16,FALSE),"DNS")))))),IF(Deltagarlista!$K$3=2,
IF(ISBLANK(Deltagarlista!$C5),"",IF(ISBLANK(Arrangörslista!J$8),"",IF($GV52=Q$64," DNS ",IFERROR(VLOOKUP($F52,Arrangörslista!J$8:$AG$45,16,FALSE),"DNS")))),IF(ISBLANK(Deltagarlista!$C5),"",IF(ISBLANK(Arrangörslista!J$8),"",IFERROR(VLOOKUP($F52,Arrangörslista!J$8:$AG$45,16,FALSE),"DNS")))))</f>
        <v/>
      </c>
      <c r="R52" s="5" t="str">
        <f>IF(Deltagarlista!$K$3=4,IF(ISBLANK(Deltagarlista!$C5),"",IF(ISBLANK(Arrangörslista!D$53),"",IFERROR(VLOOKUP($F52,Arrangörslista!D$53:$AG$90,16,FALSE),IF(ISBLANK(Deltagarlista!$C5),"",IF(ISBLANK(Arrangörslista!D$53),"",IFERROR(VLOOKUP($F52,Arrangörslista!E$53:$AG$90,16,FALSE),"DNS")))))),IF(Deltagarlista!$K$3=2,
IF(ISBLANK(Deltagarlista!$C5),"",IF(ISBLANK(Arrangörslista!K$8),"",IF($GV52=R$64," DNS ",IFERROR(VLOOKUP($F52,Arrangörslista!K$8:$AG$45,16,FALSE),"DNS")))),IF(ISBLANK(Deltagarlista!$C5),"",IF(ISBLANK(Arrangörslista!K$8),"",IFERROR(VLOOKUP($F52,Arrangörslista!K$8:$AG$45,16,FALSE),"DNS")))))</f>
        <v/>
      </c>
      <c r="S52" s="5" t="str">
        <f>IF(Deltagarlista!$K$3=4,IF(ISBLANK(Deltagarlista!$C5),"",IF(ISBLANK(Arrangörslista!F$53),"",IFERROR(VLOOKUP($F52,Arrangörslista!F$53:$AG$90,16,FALSE),IF(ISBLANK(Deltagarlista!$C5),"",IF(ISBLANK(Arrangörslista!F$53),"",IFERROR(VLOOKUP($F52,Arrangörslista!G$53:$AG$90,16,FALSE),"DNS")))))),IF(Deltagarlista!$K$3=2,
IF(ISBLANK(Deltagarlista!$C5),"",IF(ISBLANK(Arrangörslista!L$8),"",IF($GV52=S$64," DNS ",IFERROR(VLOOKUP($F52,Arrangörslista!L$8:$AG$45,16,FALSE),"DNS")))),IF(ISBLANK(Deltagarlista!$C5),"",IF(ISBLANK(Arrangörslista!L$8),"",IFERROR(VLOOKUP($F52,Arrangörslista!L$8:$AG$45,16,FALSE),"DNS")))))</f>
        <v/>
      </c>
      <c r="T52" s="5" t="str">
        <f>IF(Deltagarlista!$K$3=4,IF(ISBLANK(Deltagarlista!$C5),"",IF(ISBLANK(Arrangörslista!H$53),"",IFERROR(VLOOKUP($F52,Arrangörslista!H$53:$AG$90,16,FALSE),IF(ISBLANK(Deltagarlista!$C5),"",IF(ISBLANK(Arrangörslista!H$53),"",IFERROR(VLOOKUP($F52,Arrangörslista!I$53:$AG$90,16,FALSE),"DNS")))))),IF(Deltagarlista!$K$3=2,
IF(ISBLANK(Deltagarlista!$C5),"",IF(ISBLANK(Arrangörslista!M$8),"",IF($GV52=T$64," DNS ",IFERROR(VLOOKUP($F52,Arrangörslista!M$8:$AG$45,16,FALSE),"DNS")))),IF(ISBLANK(Deltagarlista!$C5),"",IF(ISBLANK(Arrangörslista!M$8),"",IFERROR(VLOOKUP($F52,Arrangörslista!M$8:$AG$45,16,FALSE),"DNS")))))</f>
        <v/>
      </c>
      <c r="U52" s="5" t="str">
        <f>IF(Deltagarlista!$K$3=4,IF(ISBLANK(Deltagarlista!$C5),"",IF(ISBLANK(Arrangörslista!J$53),"",IFERROR(VLOOKUP($F52,Arrangörslista!J$53:$AG$90,16,FALSE),IF(ISBLANK(Deltagarlista!$C5),"",IF(ISBLANK(Arrangörslista!J$53),"",IFERROR(VLOOKUP($F52,Arrangörslista!K$53:$AG$90,16,FALSE),"DNS")))))),IF(Deltagarlista!$K$3=2,
IF(ISBLANK(Deltagarlista!$C5),"",IF(ISBLANK(Arrangörslista!N$8),"",IF($GV52=U$64," DNS ",IFERROR(VLOOKUP($F52,Arrangörslista!N$8:$AG$45,16,FALSE),"DNS")))),IF(ISBLANK(Deltagarlista!$C5),"",IF(ISBLANK(Arrangörslista!N$8),"",IFERROR(VLOOKUP($F52,Arrangörslista!N$8:$AG$45,16,FALSE),"DNS")))))</f>
        <v/>
      </c>
      <c r="V52" s="5" t="str">
        <f>IF(Deltagarlista!$K$3=4,IF(ISBLANK(Deltagarlista!$C5),"",IF(ISBLANK(Arrangörslista!L$53),"",IFERROR(VLOOKUP($F52,Arrangörslista!L$53:$AG$90,16,FALSE),IF(ISBLANK(Deltagarlista!$C5),"",IF(ISBLANK(Arrangörslista!L$53),"",IFERROR(VLOOKUP($F52,Arrangörslista!M$53:$AG$90,16,FALSE),"DNS")))))),IF(Deltagarlista!$K$3=2,
IF(ISBLANK(Deltagarlista!$C5),"",IF(ISBLANK(Arrangörslista!O$8),"",IF($GV52=V$64," DNS ",IFERROR(VLOOKUP($F52,Arrangörslista!O$8:$AG$45,16,FALSE),"DNS")))),IF(ISBLANK(Deltagarlista!$C5),"",IF(ISBLANK(Arrangörslista!O$8),"",IFERROR(VLOOKUP($F52,Arrangörslista!O$8:$AG$45,16,FALSE),"DNS")))))</f>
        <v/>
      </c>
      <c r="W52" s="5" t="str">
        <f>IF(Deltagarlista!$K$3=4,IF(ISBLANK(Deltagarlista!$C5),"",IF(ISBLANK(Arrangörslista!N$53),"",IFERROR(VLOOKUP($F52,Arrangörslista!N$53:$AG$90,16,FALSE),IF(ISBLANK(Deltagarlista!$C5),"",IF(ISBLANK(Arrangörslista!N$53),"",IFERROR(VLOOKUP($F52,Arrangörslista!O$53:$AG$90,16,FALSE),"DNS")))))),IF(Deltagarlista!$K$3=2,
IF(ISBLANK(Deltagarlista!$C5),"",IF(ISBLANK(Arrangörslista!P$8),"",IF($GV52=W$64," DNS ",IFERROR(VLOOKUP($F52,Arrangörslista!P$8:$AG$45,16,FALSE),"DNS")))),IF(ISBLANK(Deltagarlista!$C5),"",IF(ISBLANK(Arrangörslista!P$8),"",IFERROR(VLOOKUP($F52,Arrangörslista!P$8:$AG$45,16,FALSE),"DNS")))))</f>
        <v/>
      </c>
      <c r="X52" s="5" t="str">
        <f>IF(Deltagarlista!$K$3=4,IF(ISBLANK(Deltagarlista!$C5),"",IF(ISBLANK(Arrangörslista!P$53),"",IFERROR(VLOOKUP($F52,Arrangörslista!P$53:$AG$90,16,FALSE),IF(ISBLANK(Deltagarlista!$C5),"",IF(ISBLANK(Arrangörslista!P$53),"",IFERROR(VLOOKUP($F52,Arrangörslista!Q$53:$AG$90,16,FALSE),"DNS")))))),IF(Deltagarlista!$K$3=2,
IF(ISBLANK(Deltagarlista!$C5),"",IF(ISBLANK(Arrangörslista!Q$8),"",IF($GV52=X$64," DNS ",IFERROR(VLOOKUP($F52,Arrangörslista!Q$8:$AG$45,16,FALSE),"DNS")))),IF(ISBLANK(Deltagarlista!$C5),"",IF(ISBLANK(Arrangörslista!Q$8),"",IFERROR(VLOOKUP($F52,Arrangörslista!Q$8:$AG$45,16,FALSE),"DNS")))))</f>
        <v/>
      </c>
      <c r="Y52" s="5" t="str">
        <f>IF(Deltagarlista!$K$3=4,IF(ISBLANK(Deltagarlista!$C5),"",IF(ISBLANK(Arrangörslista!C$98),"",IFERROR(VLOOKUP($F52,Arrangörslista!C$98:$AG$135,16,FALSE),IF(ISBLANK(Deltagarlista!$C5),"",IF(ISBLANK(Arrangörslista!C$98),"",IFERROR(VLOOKUP($F52,Arrangörslista!D$98:$AG$135,16,FALSE),"DNS")))))),IF(Deltagarlista!$K$3=2,
IF(ISBLANK(Deltagarlista!$C5),"",IF(ISBLANK(Arrangörslista!C$53),"",IF($GV52=Y$64," DNS ",IFERROR(VLOOKUP($F52,Arrangörslista!C$53:$AG$90,16,FALSE),"DNS")))),IF(ISBLANK(Deltagarlista!$C5),"",IF(ISBLANK(Arrangörslista!C$53),"",IFERROR(VLOOKUP($F52,Arrangörslista!C$53:$AG$90,16,FALSE),"DNS")))))</f>
        <v/>
      </c>
      <c r="Z52" s="5" t="str">
        <f>IF(Deltagarlista!$K$3=4,IF(ISBLANK(Deltagarlista!$C5),"",IF(ISBLANK(Arrangörslista!E$98),"",IFERROR(VLOOKUP($F52,Arrangörslista!E$98:$AG$135,16,FALSE),IF(ISBLANK(Deltagarlista!$C5),"",IF(ISBLANK(Arrangörslista!E$98),"",IFERROR(VLOOKUP($F52,Arrangörslista!F$98:$AG$135,16,FALSE),"DNS")))))),IF(Deltagarlista!$K$3=2,
IF(ISBLANK(Deltagarlista!$C5),"",IF(ISBLANK(Arrangörslista!D$53),"",IF($GV52=Z$64," DNS ",IFERROR(VLOOKUP($F52,Arrangörslista!D$53:$AG$90,16,FALSE),"DNS")))),IF(ISBLANK(Deltagarlista!$C5),"",IF(ISBLANK(Arrangörslista!D$53),"",IFERROR(VLOOKUP($F52,Arrangörslista!D$53:$AG$90,16,FALSE),"DNS")))))</f>
        <v/>
      </c>
      <c r="AA52" s="5" t="str">
        <f>IF(Deltagarlista!$K$3=4,IF(ISBLANK(Deltagarlista!$C5),"",IF(ISBLANK(Arrangörslista!G$98),"",IFERROR(VLOOKUP($F52,Arrangörslista!G$98:$AG$135,16,FALSE),IF(ISBLANK(Deltagarlista!$C5),"",IF(ISBLANK(Arrangörslista!G$98),"",IFERROR(VLOOKUP($F52,Arrangörslista!H$98:$AG$135,16,FALSE),"DNS")))))),IF(Deltagarlista!$K$3=2,
IF(ISBLANK(Deltagarlista!$C5),"",IF(ISBLANK(Arrangörslista!E$53),"",IF($GV52=AA$64," DNS ",IFERROR(VLOOKUP($F52,Arrangörslista!E$53:$AG$90,16,FALSE),"DNS")))),IF(ISBLANK(Deltagarlista!$C5),"",IF(ISBLANK(Arrangörslista!E$53),"",IFERROR(VLOOKUP($F52,Arrangörslista!E$53:$AG$90,16,FALSE),"DNS")))))</f>
        <v/>
      </c>
      <c r="AB52" s="5" t="str">
        <f>IF(Deltagarlista!$K$3=4,IF(ISBLANK(Deltagarlista!$C5),"",IF(ISBLANK(Arrangörslista!I$98),"",IFERROR(VLOOKUP($F52,Arrangörslista!I$98:$AG$135,16,FALSE),IF(ISBLANK(Deltagarlista!$C5),"",IF(ISBLANK(Arrangörslista!I$98),"",IFERROR(VLOOKUP($F52,Arrangörslista!J$98:$AG$135,16,FALSE),"DNS")))))),IF(Deltagarlista!$K$3=2,
IF(ISBLANK(Deltagarlista!$C5),"",IF(ISBLANK(Arrangörslista!F$53),"",IF($GV52=AB$64," DNS ",IFERROR(VLOOKUP($F52,Arrangörslista!F$53:$AG$90,16,FALSE),"DNS")))),IF(ISBLANK(Deltagarlista!$C5),"",IF(ISBLANK(Arrangörslista!F$53),"",IFERROR(VLOOKUP($F52,Arrangörslista!F$53:$AG$90,16,FALSE),"DNS")))))</f>
        <v/>
      </c>
      <c r="AC52" s="5" t="str">
        <f>IF(Deltagarlista!$K$3=4,IF(ISBLANK(Deltagarlista!$C5),"",IF(ISBLANK(Arrangörslista!K$98),"",IFERROR(VLOOKUP($F52,Arrangörslista!K$98:$AG$135,16,FALSE),IF(ISBLANK(Deltagarlista!$C5),"",IF(ISBLANK(Arrangörslista!K$98),"",IFERROR(VLOOKUP($F52,Arrangörslista!L$98:$AG$135,16,FALSE),"DNS")))))),IF(Deltagarlista!$K$3=2,
IF(ISBLANK(Deltagarlista!$C5),"",IF(ISBLANK(Arrangörslista!G$53),"",IF($GV52=AC$64," DNS ",IFERROR(VLOOKUP($F52,Arrangörslista!G$53:$AG$90,16,FALSE),"DNS")))),IF(ISBLANK(Deltagarlista!$C5),"",IF(ISBLANK(Arrangörslista!G$53),"",IFERROR(VLOOKUP($F52,Arrangörslista!G$53:$AG$90,16,FALSE),"DNS")))))</f>
        <v/>
      </c>
      <c r="AD52" s="5" t="str">
        <f>IF(Deltagarlista!$K$3=4,IF(ISBLANK(Deltagarlista!$C5),"",IF(ISBLANK(Arrangörslista!M$98),"",IFERROR(VLOOKUP($F52,Arrangörslista!M$98:$AG$135,16,FALSE),IF(ISBLANK(Deltagarlista!$C5),"",IF(ISBLANK(Arrangörslista!M$98),"",IFERROR(VLOOKUP($F52,Arrangörslista!N$98:$AG$135,16,FALSE),"DNS")))))),IF(Deltagarlista!$K$3=2,
IF(ISBLANK(Deltagarlista!$C5),"",IF(ISBLANK(Arrangörslista!H$53),"",IF($GV52=AD$64," DNS ",IFERROR(VLOOKUP($F52,Arrangörslista!H$53:$AG$90,16,FALSE),"DNS")))),IF(ISBLANK(Deltagarlista!$C5),"",IF(ISBLANK(Arrangörslista!H$53),"",IFERROR(VLOOKUP($F52,Arrangörslista!H$53:$AG$90,16,FALSE),"DNS")))))</f>
        <v/>
      </c>
      <c r="AE52" s="5" t="str">
        <f>IF(Deltagarlista!$K$3=4,IF(ISBLANK(Deltagarlista!$C5),"",IF(ISBLANK(Arrangörslista!O$98),"",IFERROR(VLOOKUP($F52,Arrangörslista!O$98:$AG$135,16,FALSE),IF(ISBLANK(Deltagarlista!$C5),"",IF(ISBLANK(Arrangörslista!O$98),"",IFERROR(VLOOKUP($F52,Arrangörslista!P$98:$AG$135,16,FALSE),"DNS")))))),IF(Deltagarlista!$K$3=2,
IF(ISBLANK(Deltagarlista!$C5),"",IF(ISBLANK(Arrangörslista!I$53),"",IF($GV52=AE$64," DNS ",IFERROR(VLOOKUP($F52,Arrangörslista!I$53:$AG$90,16,FALSE),"DNS")))),IF(ISBLANK(Deltagarlista!$C5),"",IF(ISBLANK(Arrangörslista!I$53),"",IFERROR(VLOOKUP($F52,Arrangörslista!I$53:$AG$90,16,FALSE),"DNS")))))</f>
        <v/>
      </c>
      <c r="AF52" s="5" t="str">
        <f>IF(Deltagarlista!$K$3=4,IF(ISBLANK(Deltagarlista!$C5),"",IF(ISBLANK(Arrangörslista!Q$98),"",IFERROR(VLOOKUP($F52,Arrangörslista!Q$98:$AG$135,16,FALSE),IF(ISBLANK(Deltagarlista!$C5),"",IF(ISBLANK(Arrangörslista!Q$98),"",IFERROR(VLOOKUP($F52,Arrangörslista!C$143:$AG$180,16,FALSE),"DNS")))))),IF(Deltagarlista!$K$3=2,
IF(ISBLANK(Deltagarlista!$C5),"",IF(ISBLANK(Arrangörslista!J$53),"",IF($GV52=AF$64," DNS ",IFERROR(VLOOKUP($F52,Arrangörslista!J$53:$AG$90,16,FALSE),"DNS")))),IF(ISBLANK(Deltagarlista!$C5),"",IF(ISBLANK(Arrangörslista!J$53),"",IFERROR(VLOOKUP($F52,Arrangörslista!J$53:$AG$90,16,FALSE),"DNS")))))</f>
        <v/>
      </c>
      <c r="AG52" s="5" t="str">
        <f>IF(Deltagarlista!$K$3=4,IF(ISBLANK(Deltagarlista!$C5),"",IF(ISBLANK(Arrangörslista!D$143),"",IFERROR(VLOOKUP($F52,Arrangörslista!D$143:$AG$180,16,FALSE),IF(ISBLANK(Deltagarlista!$C5),"",IF(ISBLANK(Arrangörslista!D$143),"",IFERROR(VLOOKUP($F52,Arrangörslista!E$143:$AG$180,16,FALSE),"DNS")))))),IF(Deltagarlista!$K$3=2,
IF(ISBLANK(Deltagarlista!$C5),"",IF(ISBLANK(Arrangörslista!K$53),"",IF($GV52=AG$64," DNS ",IFERROR(VLOOKUP($F52,Arrangörslista!K$53:$AG$90,16,FALSE),"DNS")))),IF(ISBLANK(Deltagarlista!$C5),"",IF(ISBLANK(Arrangörslista!K$53),"",IFERROR(VLOOKUP($F52,Arrangörslista!K$53:$AG$90,16,FALSE),"DNS")))))</f>
        <v/>
      </c>
      <c r="AH52" s="5" t="str">
        <f>IF(Deltagarlista!$K$3=4,IF(ISBLANK(Deltagarlista!$C5),"",IF(ISBLANK(Arrangörslista!F$143),"",IFERROR(VLOOKUP($F52,Arrangörslista!F$143:$AG$180,16,FALSE),IF(ISBLANK(Deltagarlista!$C5),"",IF(ISBLANK(Arrangörslista!F$143),"",IFERROR(VLOOKUP($F52,Arrangörslista!G$143:$AG$180,16,FALSE),"DNS")))))),IF(Deltagarlista!$K$3=2,
IF(ISBLANK(Deltagarlista!$C5),"",IF(ISBLANK(Arrangörslista!L$53),"",IF($GV52=AH$64," DNS ",IFERROR(VLOOKUP($F52,Arrangörslista!L$53:$AG$90,16,FALSE),"DNS")))),IF(ISBLANK(Deltagarlista!$C5),"",IF(ISBLANK(Arrangörslista!L$53),"",IFERROR(VLOOKUP($F52,Arrangörslista!L$53:$AG$90,16,FALSE),"DNS")))))</f>
        <v/>
      </c>
      <c r="AI52" s="5" t="str">
        <f>IF(Deltagarlista!$K$3=4,IF(ISBLANK(Deltagarlista!$C5),"",IF(ISBLANK(Arrangörslista!H$143),"",IFERROR(VLOOKUP($F52,Arrangörslista!H$143:$AG$180,16,FALSE),IF(ISBLANK(Deltagarlista!$C5),"",IF(ISBLANK(Arrangörslista!H$143),"",IFERROR(VLOOKUP($F52,Arrangörslista!I$143:$AG$180,16,FALSE),"DNS")))))),IF(Deltagarlista!$K$3=2,
IF(ISBLANK(Deltagarlista!$C5),"",IF(ISBLANK(Arrangörslista!M$53),"",IF($GV52=AI$64," DNS ",IFERROR(VLOOKUP($F52,Arrangörslista!M$53:$AG$90,16,FALSE),"DNS")))),IF(ISBLANK(Deltagarlista!$C5),"",IF(ISBLANK(Arrangörslista!M$53),"",IFERROR(VLOOKUP($F52,Arrangörslista!M$53:$AG$90,16,FALSE),"DNS")))))</f>
        <v/>
      </c>
      <c r="AJ52" s="5" t="str">
        <f>IF(Deltagarlista!$K$3=4,IF(ISBLANK(Deltagarlista!$C5),"",IF(ISBLANK(Arrangörslista!J$143),"",IFERROR(VLOOKUP($F52,Arrangörslista!J$143:$AG$180,16,FALSE),IF(ISBLANK(Deltagarlista!$C5),"",IF(ISBLANK(Arrangörslista!J$143),"",IFERROR(VLOOKUP($F52,Arrangörslista!K$143:$AG$180,16,FALSE),"DNS")))))),IF(Deltagarlista!$K$3=2,
IF(ISBLANK(Deltagarlista!$C5),"",IF(ISBLANK(Arrangörslista!N$53),"",IF($GV52=AJ$64," DNS ",IFERROR(VLOOKUP($F52,Arrangörslista!N$53:$AG$90,16,FALSE),"DNS")))),IF(ISBLANK(Deltagarlista!$C5),"",IF(ISBLANK(Arrangörslista!N$53),"",IFERROR(VLOOKUP($F52,Arrangörslista!N$53:$AG$90,16,FALSE),"DNS")))))</f>
        <v/>
      </c>
      <c r="AK52" s="5" t="str">
        <f>IF(Deltagarlista!$K$3=4,IF(ISBLANK(Deltagarlista!$C5),"",IF(ISBLANK(Arrangörslista!L$143),"",IFERROR(VLOOKUP($F52,Arrangörslista!L$143:$AG$180,16,FALSE),IF(ISBLANK(Deltagarlista!$C5),"",IF(ISBLANK(Arrangörslista!L$143),"",IFERROR(VLOOKUP($F52,Arrangörslista!M$143:$AG$180,16,FALSE),"DNS")))))),IF(Deltagarlista!$K$3=2,
IF(ISBLANK(Deltagarlista!$C5),"",IF(ISBLANK(Arrangörslista!O$53),"",IF($GV52=AK$64," DNS ",IFERROR(VLOOKUP($F52,Arrangörslista!O$53:$AG$90,16,FALSE),"DNS")))),IF(ISBLANK(Deltagarlista!$C5),"",IF(ISBLANK(Arrangörslista!O$53),"",IFERROR(VLOOKUP($F52,Arrangörslista!O$53:$AG$90,16,FALSE),"DNS")))))</f>
        <v/>
      </c>
      <c r="AL52" s="5" t="str">
        <f>IF(Deltagarlista!$K$3=4,IF(ISBLANK(Deltagarlista!$C5),"",IF(ISBLANK(Arrangörslista!N$143),"",IFERROR(VLOOKUP($F52,Arrangörslista!N$143:$AG$180,16,FALSE),IF(ISBLANK(Deltagarlista!$C5),"",IF(ISBLANK(Arrangörslista!N$143),"",IFERROR(VLOOKUP($F52,Arrangörslista!O$143:$AG$180,16,FALSE),"DNS")))))),IF(Deltagarlista!$K$3=2,
IF(ISBLANK(Deltagarlista!$C5),"",IF(ISBLANK(Arrangörslista!P$53),"",IF($GV52=AL$64," DNS ",IFERROR(VLOOKUP($F52,Arrangörslista!P$53:$AG$90,16,FALSE),"DNS")))),IF(ISBLANK(Deltagarlista!$C5),"",IF(ISBLANK(Arrangörslista!P$53),"",IFERROR(VLOOKUP($F52,Arrangörslista!P$53:$AG$90,16,FALSE),"DNS")))))</f>
        <v/>
      </c>
      <c r="AM52" s="5" t="str">
        <f>IF(Deltagarlista!$K$3=4,IF(ISBLANK(Deltagarlista!$C5),"",IF(ISBLANK(Arrangörslista!P$143),"",IFERROR(VLOOKUP($F52,Arrangörslista!P$143:$AG$180,16,FALSE),IF(ISBLANK(Deltagarlista!$C5),"",IF(ISBLANK(Arrangörslista!P$143),"",IFERROR(VLOOKUP($F52,Arrangörslista!Q$143:$AG$180,16,FALSE),"DNS")))))),IF(Deltagarlista!$K$3=2,
IF(ISBLANK(Deltagarlista!$C5),"",IF(ISBLANK(Arrangörslista!Q$53),"",IF($GV52=AM$64," DNS ",IFERROR(VLOOKUP($F52,Arrangörslista!Q$53:$AG$90,16,FALSE),"DNS")))),IF(ISBLANK(Deltagarlista!$C5),"",IF(ISBLANK(Arrangörslista!Q$53),"",IFERROR(VLOOKUP($F52,Arrangörslista!Q$53:$AG$90,16,FALSE),"DNS")))))</f>
        <v/>
      </c>
      <c r="AN52" s="5" t="str">
        <f>IF(Deltagarlista!$K$3=2,
IF(ISBLANK(Deltagarlista!$C5),"",IF(ISBLANK(Arrangörslista!C$98),"",IF($GV52=AN$64," DNS ",IFERROR(VLOOKUP($F52,Arrangörslista!C$98:$AG$135,16,FALSE), "DNS")))), IF(Deltagarlista!$K$3=1,IF(ISBLANK(Deltagarlista!$C5),"",IF(ISBLANK(Arrangörslista!C$98),"",IFERROR(VLOOKUP($F52,Arrangörslista!C$98:$AG$135,16,FALSE), "DNS"))),""))</f>
        <v/>
      </c>
      <c r="AO52" s="5" t="str">
        <f>IF(Deltagarlista!$K$3=2,
IF(ISBLANK(Deltagarlista!$C5),"",IF(ISBLANK(Arrangörslista!D$98),"",IF($GV52=AO$64," DNS ",IFERROR(VLOOKUP($F52,Arrangörslista!D$98:$AG$135,16,FALSE), "DNS")))), IF(Deltagarlista!$K$3=1,IF(ISBLANK(Deltagarlista!$C5),"",IF(ISBLANK(Arrangörslista!D$98),"",IFERROR(VLOOKUP($F52,Arrangörslista!D$98:$AG$135,16,FALSE), "DNS"))),""))</f>
        <v/>
      </c>
      <c r="AP52" s="5" t="str">
        <f>IF(Deltagarlista!$K$3=2,
IF(ISBLANK(Deltagarlista!$C5),"",IF(ISBLANK(Arrangörslista!E$98),"",IF($GV52=AP$64," DNS ",IFERROR(VLOOKUP($F52,Arrangörslista!E$98:$AG$135,16,FALSE), "DNS")))), IF(Deltagarlista!$K$3=1,IF(ISBLANK(Deltagarlista!$C5),"",IF(ISBLANK(Arrangörslista!E$98),"",IFERROR(VLOOKUP($F52,Arrangörslista!E$98:$AG$135,16,FALSE), "DNS"))),""))</f>
        <v/>
      </c>
      <c r="AQ52" s="5" t="str">
        <f>IF(Deltagarlista!$K$3=2,
IF(ISBLANK(Deltagarlista!$C5),"",IF(ISBLANK(Arrangörslista!F$98),"",IF($GV52=AQ$64," DNS ",IFERROR(VLOOKUP($F52,Arrangörslista!F$98:$AG$135,16,FALSE), "DNS")))), IF(Deltagarlista!$K$3=1,IF(ISBLANK(Deltagarlista!$C5),"",IF(ISBLANK(Arrangörslista!F$98),"",IFERROR(VLOOKUP($F52,Arrangörslista!F$98:$AG$135,16,FALSE), "DNS"))),""))</f>
        <v/>
      </c>
      <c r="AR52" s="5" t="str">
        <f>IF(Deltagarlista!$K$3=2,
IF(ISBLANK(Deltagarlista!$C5),"",IF(ISBLANK(Arrangörslista!G$98),"",IF($GV52=AR$64," DNS ",IFERROR(VLOOKUP($F52,Arrangörslista!G$98:$AG$135,16,FALSE), "DNS")))), IF(Deltagarlista!$K$3=1,IF(ISBLANK(Deltagarlista!$C5),"",IF(ISBLANK(Arrangörslista!G$98),"",IFERROR(VLOOKUP($F52,Arrangörslista!G$98:$AG$135,16,FALSE), "DNS"))),""))</f>
        <v/>
      </c>
      <c r="AS52" s="5" t="str">
        <f>IF(Deltagarlista!$K$3=2,
IF(ISBLANK(Deltagarlista!$C5),"",IF(ISBLANK(Arrangörslista!H$98),"",IF($GV52=AS$64," DNS ",IFERROR(VLOOKUP($F52,Arrangörslista!H$98:$AG$135,16,FALSE), "DNS")))), IF(Deltagarlista!$K$3=1,IF(ISBLANK(Deltagarlista!$C5),"",IF(ISBLANK(Arrangörslista!H$98),"",IFERROR(VLOOKUP($F52,Arrangörslista!H$98:$AG$135,16,FALSE), "DNS"))),""))</f>
        <v/>
      </c>
      <c r="AT52" s="5" t="str">
        <f>IF(Deltagarlista!$K$3=2,
IF(ISBLANK(Deltagarlista!$C5),"",IF(ISBLANK(Arrangörslista!I$98),"",IF($GV52=AT$64," DNS ",IFERROR(VLOOKUP($F52,Arrangörslista!I$98:$AG$135,16,FALSE), "DNS")))), IF(Deltagarlista!$K$3=1,IF(ISBLANK(Deltagarlista!$C5),"",IF(ISBLANK(Arrangörslista!I$98),"",IFERROR(VLOOKUP($F52,Arrangörslista!I$98:$AG$135,16,FALSE), "DNS"))),""))</f>
        <v/>
      </c>
      <c r="AU52" s="5" t="str">
        <f>IF(Deltagarlista!$K$3=2,
IF(ISBLANK(Deltagarlista!$C5),"",IF(ISBLANK(Arrangörslista!J$98),"",IF($GV52=AU$64," DNS ",IFERROR(VLOOKUP($F52,Arrangörslista!J$98:$AG$135,16,FALSE), "DNS")))), IF(Deltagarlista!$K$3=1,IF(ISBLANK(Deltagarlista!$C5),"",IF(ISBLANK(Arrangörslista!J$98),"",IFERROR(VLOOKUP($F52,Arrangörslista!J$98:$AG$135,16,FALSE), "DNS"))),""))</f>
        <v/>
      </c>
      <c r="AV52" s="5" t="str">
        <f>IF(Deltagarlista!$K$3=2,
IF(ISBLANK(Deltagarlista!$C5),"",IF(ISBLANK(Arrangörslista!K$98),"",IF($GV52=AV$64," DNS ",IFERROR(VLOOKUP($F52,Arrangörslista!K$98:$AG$135,16,FALSE), "DNS")))), IF(Deltagarlista!$K$3=1,IF(ISBLANK(Deltagarlista!$C5),"",IF(ISBLANK(Arrangörslista!K$98),"",IFERROR(VLOOKUP($F52,Arrangörslista!K$98:$AG$135,16,FALSE), "DNS"))),""))</f>
        <v/>
      </c>
      <c r="AW52" s="5" t="str">
        <f>IF(Deltagarlista!$K$3=2,
IF(ISBLANK(Deltagarlista!$C5),"",IF(ISBLANK(Arrangörslista!L$98),"",IF($GV52=AW$64," DNS ",IFERROR(VLOOKUP($F52,Arrangörslista!L$98:$AG$135,16,FALSE), "DNS")))), IF(Deltagarlista!$K$3=1,IF(ISBLANK(Deltagarlista!$C5),"",IF(ISBLANK(Arrangörslista!L$98),"",IFERROR(VLOOKUP($F52,Arrangörslista!L$98:$AG$135,16,FALSE), "DNS"))),""))</f>
        <v/>
      </c>
      <c r="AX52" s="5" t="str">
        <f>IF(Deltagarlista!$K$3=2,
IF(ISBLANK(Deltagarlista!$C5),"",IF(ISBLANK(Arrangörslista!M$98),"",IF($GV52=AX$64," DNS ",IFERROR(VLOOKUP($F52,Arrangörslista!M$98:$AG$135,16,FALSE), "DNS")))), IF(Deltagarlista!$K$3=1,IF(ISBLANK(Deltagarlista!$C5),"",IF(ISBLANK(Arrangörslista!M$98),"",IFERROR(VLOOKUP($F52,Arrangörslista!M$98:$AG$135,16,FALSE), "DNS"))),""))</f>
        <v/>
      </c>
      <c r="AY52" s="5" t="str">
        <f>IF(Deltagarlista!$K$3=2,
IF(ISBLANK(Deltagarlista!$C5),"",IF(ISBLANK(Arrangörslista!N$98),"",IF($GV52=AY$64," DNS ",IFERROR(VLOOKUP($F52,Arrangörslista!N$98:$AG$135,16,FALSE), "DNS")))), IF(Deltagarlista!$K$3=1,IF(ISBLANK(Deltagarlista!$C5),"",IF(ISBLANK(Arrangörslista!N$98),"",IFERROR(VLOOKUP($F52,Arrangörslista!N$98:$AG$135,16,FALSE), "DNS"))),""))</f>
        <v/>
      </c>
      <c r="AZ52" s="5" t="str">
        <f>IF(Deltagarlista!$K$3=2,
IF(ISBLANK(Deltagarlista!$C5),"",IF(ISBLANK(Arrangörslista!O$98),"",IF($GV52=AZ$64," DNS ",IFERROR(VLOOKUP($F52,Arrangörslista!O$98:$AG$135,16,FALSE), "DNS")))), IF(Deltagarlista!$K$3=1,IF(ISBLANK(Deltagarlista!$C5),"",IF(ISBLANK(Arrangörslista!O$98),"",IFERROR(VLOOKUP($F52,Arrangörslista!O$98:$AG$135,16,FALSE), "DNS"))),""))</f>
        <v/>
      </c>
      <c r="BA52" s="5" t="str">
        <f>IF(Deltagarlista!$K$3=2,
IF(ISBLANK(Deltagarlista!$C5),"",IF(ISBLANK(Arrangörslista!P$98),"",IF($GV52=BA$64," DNS ",IFERROR(VLOOKUP($F52,Arrangörslista!P$98:$AG$135,16,FALSE), "DNS")))), IF(Deltagarlista!$K$3=1,IF(ISBLANK(Deltagarlista!$C5),"",IF(ISBLANK(Arrangörslista!P$98),"",IFERROR(VLOOKUP($F52,Arrangörslista!P$98:$AG$135,16,FALSE), "DNS"))),""))</f>
        <v/>
      </c>
      <c r="BB52" s="5" t="str">
        <f>IF(Deltagarlista!$K$3=2,
IF(ISBLANK(Deltagarlista!$C5),"",IF(ISBLANK(Arrangörslista!Q$98),"",IF($GV52=BB$64," DNS ",IFERROR(VLOOKUP($F52,Arrangörslista!Q$98:$AG$135,16,FALSE), "DNS")))), IF(Deltagarlista!$K$3=1,IF(ISBLANK(Deltagarlista!$C5),"",IF(ISBLANK(Arrangörslista!Q$98),"",IFERROR(VLOOKUP($F52,Arrangörslista!Q$98:$AG$135,16,FALSE), "DNS"))),""))</f>
        <v/>
      </c>
      <c r="BC52" s="5" t="str">
        <f>IF(Deltagarlista!$K$3=2,
IF(ISBLANK(Deltagarlista!$C5),"",IF(ISBLANK(Arrangörslista!C$143),"",IF($GV52=BC$64," DNS ",IFERROR(VLOOKUP($F52,Arrangörslista!C$143:$AG$180,16,FALSE), "DNS")))), IF(Deltagarlista!$K$3=1,IF(ISBLANK(Deltagarlista!$C5),"",IF(ISBLANK(Arrangörslista!C$143),"",IFERROR(VLOOKUP($F52,Arrangörslista!C$143:$AG$180,16,FALSE), "DNS"))),""))</f>
        <v/>
      </c>
      <c r="BD52" s="5" t="str">
        <f>IF(Deltagarlista!$K$3=2,
IF(ISBLANK(Deltagarlista!$C5),"",IF(ISBLANK(Arrangörslista!D$143),"",IF($GV52=BD$64," DNS ",IFERROR(VLOOKUP($F52,Arrangörslista!D$143:$AG$180,16,FALSE), "DNS")))), IF(Deltagarlista!$K$3=1,IF(ISBLANK(Deltagarlista!$C5),"",IF(ISBLANK(Arrangörslista!D$143),"",IFERROR(VLOOKUP($F52,Arrangörslista!D$143:$AG$180,16,FALSE), "DNS"))),""))</f>
        <v/>
      </c>
      <c r="BE52" s="5" t="str">
        <f>IF(Deltagarlista!$K$3=2,
IF(ISBLANK(Deltagarlista!$C5),"",IF(ISBLANK(Arrangörslista!E$143),"",IF($GV52=BE$64," DNS ",IFERROR(VLOOKUP($F52,Arrangörslista!E$143:$AG$180,16,FALSE), "DNS")))), IF(Deltagarlista!$K$3=1,IF(ISBLANK(Deltagarlista!$C5),"",IF(ISBLANK(Arrangörslista!E$143),"",IFERROR(VLOOKUP($F52,Arrangörslista!E$143:$AG$180,16,FALSE), "DNS"))),""))</f>
        <v/>
      </c>
      <c r="BF52" s="5" t="str">
        <f>IF(Deltagarlista!$K$3=2,
IF(ISBLANK(Deltagarlista!$C5),"",IF(ISBLANK(Arrangörslista!F$143),"",IF($GV52=BF$64," DNS ",IFERROR(VLOOKUP($F52,Arrangörslista!F$143:$AG$180,16,FALSE), "DNS")))), IF(Deltagarlista!$K$3=1,IF(ISBLANK(Deltagarlista!$C5),"",IF(ISBLANK(Arrangörslista!F$143),"",IFERROR(VLOOKUP($F52,Arrangörslista!F$143:$AG$180,16,FALSE), "DNS"))),""))</f>
        <v/>
      </c>
      <c r="BG52" s="5" t="str">
        <f>IF(Deltagarlista!$K$3=2,
IF(ISBLANK(Deltagarlista!$C5),"",IF(ISBLANK(Arrangörslista!G$143),"",IF($GV52=BG$64," DNS ",IFERROR(VLOOKUP($F52,Arrangörslista!G$143:$AG$180,16,FALSE), "DNS")))), IF(Deltagarlista!$K$3=1,IF(ISBLANK(Deltagarlista!$C5),"",IF(ISBLANK(Arrangörslista!G$143),"",IFERROR(VLOOKUP($F52,Arrangörslista!G$143:$AG$180,16,FALSE), "DNS"))),""))</f>
        <v/>
      </c>
      <c r="BH52" s="5" t="str">
        <f>IF(Deltagarlista!$K$3=2,
IF(ISBLANK(Deltagarlista!$C5),"",IF(ISBLANK(Arrangörslista!H$143),"",IF($GV52=BH$64," DNS ",IFERROR(VLOOKUP($F52,Arrangörslista!H$143:$AG$180,16,FALSE), "DNS")))), IF(Deltagarlista!$K$3=1,IF(ISBLANK(Deltagarlista!$C5),"",IF(ISBLANK(Arrangörslista!H$143),"",IFERROR(VLOOKUP($F52,Arrangörslista!H$143:$AG$180,16,FALSE), "DNS"))),""))</f>
        <v/>
      </c>
      <c r="BI52" s="5" t="str">
        <f>IF(Deltagarlista!$K$3=2,
IF(ISBLANK(Deltagarlista!$C5),"",IF(ISBLANK(Arrangörslista!I$143),"",IF($GV52=BI$64," DNS ",IFERROR(VLOOKUP($F52,Arrangörslista!I$143:$AG$180,16,FALSE), "DNS")))), IF(Deltagarlista!$K$3=1,IF(ISBLANK(Deltagarlista!$C5),"",IF(ISBLANK(Arrangörslista!I$143),"",IFERROR(VLOOKUP($F52,Arrangörslista!I$143:$AG$180,16,FALSE), "DNS"))),""))</f>
        <v/>
      </c>
      <c r="BJ52" s="5" t="str">
        <f>IF(Deltagarlista!$K$3=2,
IF(ISBLANK(Deltagarlista!$C5),"",IF(ISBLANK(Arrangörslista!J$143),"",IF($GV52=BJ$64," DNS ",IFERROR(VLOOKUP($F52,Arrangörslista!J$143:$AG$180,16,FALSE), "DNS")))), IF(Deltagarlista!$K$3=1,IF(ISBLANK(Deltagarlista!$C5),"",IF(ISBLANK(Arrangörslista!J$143),"",IFERROR(VLOOKUP($F52,Arrangörslista!J$143:$AG$180,16,FALSE), "DNS"))),""))</f>
        <v/>
      </c>
      <c r="BK52" s="5" t="str">
        <f>IF(Deltagarlista!$K$3=2,
IF(ISBLANK(Deltagarlista!$C5),"",IF(ISBLANK(Arrangörslista!K$143),"",IF($GV52=BK$64," DNS ",IFERROR(VLOOKUP($F52,Arrangörslista!K$143:$AG$180,16,FALSE), "DNS")))), IF(Deltagarlista!$K$3=1,IF(ISBLANK(Deltagarlista!$C5),"",IF(ISBLANK(Arrangörslista!K$143),"",IFERROR(VLOOKUP($F52,Arrangörslista!K$143:$AG$180,16,FALSE), "DNS"))),""))</f>
        <v/>
      </c>
      <c r="BL52" s="5" t="str">
        <f>IF(Deltagarlista!$K$3=2,
IF(ISBLANK(Deltagarlista!$C5),"",IF(ISBLANK(Arrangörslista!L$143),"",IF($GV52=BL$64," DNS ",IFERROR(VLOOKUP($F52,Arrangörslista!L$143:$AG$180,16,FALSE), "DNS")))), IF(Deltagarlista!$K$3=1,IF(ISBLANK(Deltagarlista!$C5),"",IF(ISBLANK(Arrangörslista!L$143),"",IFERROR(VLOOKUP($F52,Arrangörslista!L$143:$AG$180,16,FALSE), "DNS"))),""))</f>
        <v/>
      </c>
      <c r="BM52" s="5" t="str">
        <f>IF(Deltagarlista!$K$3=2,
IF(ISBLANK(Deltagarlista!$C5),"",IF(ISBLANK(Arrangörslista!M$143),"",IF($GV52=BM$64," DNS ",IFERROR(VLOOKUP($F52,Arrangörslista!M$143:$AG$180,16,FALSE), "DNS")))), IF(Deltagarlista!$K$3=1,IF(ISBLANK(Deltagarlista!$C5),"",IF(ISBLANK(Arrangörslista!M$143),"",IFERROR(VLOOKUP($F52,Arrangörslista!M$143:$AG$180,16,FALSE), "DNS"))),""))</f>
        <v/>
      </c>
      <c r="BN52" s="5" t="str">
        <f>IF(Deltagarlista!$K$3=2,
IF(ISBLANK(Deltagarlista!$C5),"",IF(ISBLANK(Arrangörslista!N$143),"",IF($GV52=BN$64," DNS ",IFERROR(VLOOKUP($F52,Arrangörslista!N$143:$AG$180,16,FALSE), "DNS")))), IF(Deltagarlista!$K$3=1,IF(ISBLANK(Deltagarlista!$C5),"",IF(ISBLANK(Arrangörslista!N$143),"",IFERROR(VLOOKUP($F52,Arrangörslista!N$143:$AG$180,16,FALSE), "DNS"))),""))</f>
        <v/>
      </c>
      <c r="BO52" s="5" t="str">
        <f>IF(Deltagarlista!$K$3=2,
IF(ISBLANK(Deltagarlista!$C5),"",IF(ISBLANK(Arrangörslista!O$143),"",IF($GV52=BO$64," DNS ",IFERROR(VLOOKUP($F52,Arrangörslista!O$143:$AG$180,16,FALSE), "DNS")))), IF(Deltagarlista!$K$3=1,IF(ISBLANK(Deltagarlista!$C5),"",IF(ISBLANK(Arrangörslista!O$143),"",IFERROR(VLOOKUP($F52,Arrangörslista!O$143:$AG$180,16,FALSE), "DNS"))),""))</f>
        <v/>
      </c>
      <c r="BP52" s="5" t="str">
        <f>IF(Deltagarlista!$K$3=2,
IF(ISBLANK(Deltagarlista!$C5),"",IF(ISBLANK(Arrangörslista!P$143),"",IF($GV52=BP$64," DNS ",IFERROR(VLOOKUP($F52,Arrangörslista!P$143:$AG$180,16,FALSE), "DNS")))), IF(Deltagarlista!$K$3=1,IF(ISBLANK(Deltagarlista!$C5),"",IF(ISBLANK(Arrangörslista!P$143),"",IFERROR(VLOOKUP($F52,Arrangörslista!P$143:$AG$180,16,FALSE), "DNS"))),""))</f>
        <v/>
      </c>
      <c r="BQ52" s="80" t="str">
        <f>IF(Deltagarlista!$K$3=2,
IF(ISBLANK(Deltagarlista!$C5),"",IF(ISBLANK(Arrangörslista!Q$143),"",IF($GV52=BQ$64," DNS ",IFERROR(VLOOKUP($F52,Arrangörslista!Q$143:$AG$180,16,FALSE), "DNS")))), IF(Deltagarlista!$K$3=1,IF(ISBLANK(Deltagarlista!$C5),"",IF(ISBLANK(Arrangörslista!Q$143),"",IFERROR(VLOOKUP($F52,Arrangörslista!Q$143:$AG$180,16,FALSE), "DNS"))),""))</f>
        <v/>
      </c>
      <c r="BR52" s="51"/>
      <c r="BS52" s="50" t="str">
        <f t="shared" si="125"/>
        <v>2</v>
      </c>
      <c r="BT52" s="51"/>
      <c r="BU52" s="71">
        <f t="shared" si="126"/>
        <v>0</v>
      </c>
      <c r="BV52" s="61">
        <f t="shared" si="127"/>
        <v>0</v>
      </c>
      <c r="BW52" s="61">
        <f t="shared" si="128"/>
        <v>0</v>
      </c>
      <c r="BX52" s="61">
        <f t="shared" si="129"/>
        <v>0</v>
      </c>
      <c r="BY52" s="61">
        <f t="shared" si="130"/>
        <v>0</v>
      </c>
      <c r="BZ52" s="61">
        <f t="shared" si="131"/>
        <v>0</v>
      </c>
      <c r="CA52" s="61">
        <f t="shared" si="132"/>
        <v>0</v>
      </c>
      <c r="CB52" s="61">
        <f t="shared" si="133"/>
        <v>0</v>
      </c>
      <c r="CC52" s="61">
        <f t="shared" si="134"/>
        <v>0</v>
      </c>
      <c r="CD52" s="61">
        <f t="shared" si="135"/>
        <v>0</v>
      </c>
      <c r="CE52" s="61">
        <f t="shared" si="136"/>
        <v>0</v>
      </c>
      <c r="CF52" s="61">
        <f t="shared" si="137"/>
        <v>0</v>
      </c>
      <c r="CG52" s="61">
        <f t="shared" si="138"/>
        <v>0</v>
      </c>
      <c r="CH52" s="61">
        <f t="shared" si="139"/>
        <v>0</v>
      </c>
      <c r="CI52" s="61">
        <f t="shared" si="140"/>
        <v>0</v>
      </c>
      <c r="CJ52" s="61">
        <f t="shared" si="141"/>
        <v>0</v>
      </c>
      <c r="CK52" s="61">
        <f t="shared" si="142"/>
        <v>0</v>
      </c>
      <c r="CL52" s="61">
        <f t="shared" si="143"/>
        <v>0</v>
      </c>
      <c r="CM52" s="61">
        <f t="shared" si="144"/>
        <v>0</v>
      </c>
      <c r="CN52" s="61">
        <f t="shared" si="145"/>
        <v>0</v>
      </c>
      <c r="CO52" s="61">
        <f t="shared" si="146"/>
        <v>0</v>
      </c>
      <c r="CP52" s="61">
        <f t="shared" si="147"/>
        <v>0</v>
      </c>
      <c r="CQ52" s="61">
        <f t="shared" si="148"/>
        <v>0</v>
      </c>
      <c r="CR52" s="61">
        <f t="shared" si="149"/>
        <v>0</v>
      </c>
      <c r="CS52" s="61">
        <f t="shared" si="150"/>
        <v>0</v>
      </c>
      <c r="CT52" s="61">
        <f t="shared" si="151"/>
        <v>0</v>
      </c>
      <c r="CU52" s="61">
        <f t="shared" si="152"/>
        <v>0</v>
      </c>
      <c r="CV52" s="61">
        <f t="shared" si="153"/>
        <v>0</v>
      </c>
      <c r="CW52" s="61">
        <f t="shared" si="154"/>
        <v>0</v>
      </c>
      <c r="CX52" s="61">
        <f t="shared" si="155"/>
        <v>0</v>
      </c>
      <c r="CY52" s="61">
        <f t="shared" si="156"/>
        <v>0</v>
      </c>
      <c r="CZ52" s="61">
        <f t="shared" si="157"/>
        <v>0</v>
      </c>
      <c r="DA52" s="61">
        <f t="shared" si="158"/>
        <v>0</v>
      </c>
      <c r="DB52" s="61">
        <f t="shared" si="159"/>
        <v>0</v>
      </c>
      <c r="DC52" s="61">
        <f t="shared" si="160"/>
        <v>0</v>
      </c>
      <c r="DD52" s="61">
        <f t="shared" si="161"/>
        <v>0</v>
      </c>
      <c r="DE52" s="61">
        <f t="shared" si="162"/>
        <v>0</v>
      </c>
      <c r="DF52" s="61">
        <f t="shared" si="163"/>
        <v>0</v>
      </c>
      <c r="DG52" s="61">
        <f t="shared" si="164"/>
        <v>0</v>
      </c>
      <c r="DH52" s="61">
        <f t="shared" si="165"/>
        <v>0</v>
      </c>
      <c r="DI52" s="61">
        <f t="shared" si="166"/>
        <v>0</v>
      </c>
      <c r="DJ52" s="61">
        <f t="shared" si="167"/>
        <v>0</v>
      </c>
      <c r="DK52" s="61">
        <f t="shared" si="168"/>
        <v>0</v>
      </c>
      <c r="DL52" s="61">
        <f t="shared" si="169"/>
        <v>0</v>
      </c>
      <c r="DM52" s="61">
        <f t="shared" si="170"/>
        <v>0</v>
      </c>
      <c r="DN52" s="61">
        <f t="shared" si="171"/>
        <v>0</v>
      </c>
      <c r="DO52" s="61">
        <f t="shared" si="172"/>
        <v>0</v>
      </c>
      <c r="DP52" s="61">
        <f t="shared" si="173"/>
        <v>0</v>
      </c>
      <c r="DQ52" s="61">
        <f t="shared" si="174"/>
        <v>0</v>
      </c>
      <c r="DR52" s="61">
        <f t="shared" si="175"/>
        <v>0</v>
      </c>
      <c r="DS52" s="61">
        <f t="shared" si="176"/>
        <v>0</v>
      </c>
      <c r="DT52" s="61">
        <f t="shared" si="177"/>
        <v>0</v>
      </c>
      <c r="DU52" s="61">
        <f t="shared" si="178"/>
        <v>0</v>
      </c>
      <c r="DV52" s="61">
        <f t="shared" si="179"/>
        <v>0</v>
      </c>
      <c r="DW52" s="61">
        <f t="shared" si="180"/>
        <v>0</v>
      </c>
      <c r="DX52" s="61">
        <f t="shared" si="181"/>
        <v>0</v>
      </c>
      <c r="DY52" s="61">
        <f t="shared" si="182"/>
        <v>0</v>
      </c>
      <c r="DZ52" s="61">
        <f t="shared" si="183"/>
        <v>0</v>
      </c>
      <c r="EA52" s="61">
        <f t="shared" si="184"/>
        <v>0</v>
      </c>
      <c r="EB52" s="61">
        <f t="shared" si="185"/>
        <v>0</v>
      </c>
      <c r="EC52" s="61">
        <f t="shared" si="186"/>
        <v>0</v>
      </c>
      <c r="EE52" s="61">
        <f xml:space="preserve">
IF(OR(Deltagarlista!$K$3=3,Deltagarlista!$K$3=4),
IF(Arrangörslista!$U$5&lt;8,0,
IF(Arrangörslista!$U$5&lt;16,SUM(LARGE(BV52:CJ52,1)),
IF(Arrangörslista!$U$5&lt;24,SUM(LARGE(BV52:CR52,{1;2})),
IF(Arrangörslista!$U$5&lt;32,SUM(LARGE(BV52:CZ52,{1;2;3})),
IF(Arrangörslista!$U$5&lt;40,SUM(LARGE(BV52:DH52,{1;2;3;4})),
IF(Arrangörslista!$U$5&lt;48,SUM(LARGE(BV52:DP52,{1;2;3;4;5})),
IF(Arrangörslista!$U$5&lt;56,SUM(LARGE(BV52:DX52,{1;2;3;4;5;6})),
IF(Arrangörslista!$U$5&lt;64,SUM(LARGE(BV52:EC52,{1;2;3;4;5;6;7})),0)))))))),
IF(Deltagarlista!$K$3=2,
IF(Arrangörslista!$U$5&lt;4,LARGE(BV52:BX52,1),
IF(Arrangörslista!$U$5&lt;7,SUM(LARGE(BV52:CA52,{1;2;3})),
IF(Arrangörslista!$U$5&lt;10,SUM(LARGE(BV52:CD52,{1;2;3;4})),
IF(Arrangörslista!$U$5&lt;13,SUM(LARGE(BV52:CG52,{1;2;3;4;5;6})),
IF(Arrangörslista!$U$5&lt;16,SUM(LARGE(BV52:CJ52,{1;2;3;4;5;6;7})),
IF(Arrangörslista!$U$5&lt;19,SUM(LARGE(BV52:CM52,{1;2;3;4;5;6;7;8;9})),
IF(Arrangörslista!$U$5&lt;22,SUM(LARGE(BV52:CP52,{1;2;3;4;5;6;7;8;9;10})),
IF(Arrangörslista!$U$5&lt;25,SUM(LARGE(BV52:CS52,{1;2;3;4;5;6;7;8;9;10;11;12})),
IF(Arrangörslista!$U$5&lt;28,SUM(LARGE(BV52:CV52,{1;2;3;4;5;6;7;8;9;10;11;12;13})),
IF(Arrangörslista!$U$5&lt;31,SUM(LARGE(BV52:CY52,{1;2;3;4;5;6;7;8;9;10;11;12;13;14;15})),
IF(Arrangörslista!$U$5&lt;34,SUM(LARGE(BV52:DB52,{1;2;3;4;5;6;7;8;9;10;11;12;13;14;15;16})),
IF(Arrangörslista!$U$5&lt;37,SUM(LARGE(BV52:DE52,{1;2;3;4;5;6;7;8;9;10;11;12;13;14;15;16;17;18})),
IF(Arrangörslista!$U$5&lt;40,SUM(LARGE(BV52:DH52,{1;2;3;4;5;6;7;8;9;10;11;12;13;14;15;16;17;18;19})),
IF(Arrangörslista!$U$5&lt;43,SUM(LARGE(BV52:DK52,{1;2;3;4;5;6;7;8;9;10;11;12;13;14;15;16;17;18;19;20;21})),
IF(Arrangörslista!$U$5&lt;46,SUM(LARGE(BV52:DN52,{1;2;3;4;5;6;7;8;9;10;11;12;13;14;15;16;17;18;19;20;21;22})),
IF(Arrangörslista!$U$5&lt;49,SUM(LARGE(BV52:DQ52,{1;2;3;4;5;6;7;8;9;10;11;12;13;14;15;16;17;18;19;20;21;22;23;24})),
IF(Arrangörslista!$U$5&lt;52,SUM(LARGE(BV52:DT52,{1;2;3;4;5;6;7;8;9;10;11;12;13;14;15;16;17;18;19;20;21;22;23;24;25})),
IF(Arrangörslista!$U$5&lt;55,SUM(LARGE(BV52:DW52,{1;2;3;4;5;6;7;8;9;10;11;12;13;14;15;16;17;18;19;20;21;22;23;24;25;26;27})),
IF(Arrangörslista!$U$5&lt;58,SUM(LARGE(BV52:DZ52,{1;2;3;4;5;6;7;8;9;10;11;12;13;14;15;16;17;18;19;20;21;22;23;24;25;26;27;28})),
IF(Arrangörslista!$U$5&lt;61,SUM(LARGE(BV52:EC52,{1;2;3;4;5;6;7;8;9;10;11;12;13;14;15;16;17;18;19;20;21;22;23;24;25;26;27;28;29;30})),0)))))))))))))))))))),
IF(Arrangörslista!$U$5&lt;4,0,
IF(Arrangörslista!$U$5&lt;8,SUM(LARGE(BV52:CB52,1)),
IF(Arrangörslista!$U$5&lt;12,SUM(LARGE(BV52:CF52,{1;2})),
IF(Arrangörslista!$U$5&lt;16,SUM(LARGE(BV52:CJ52,{1;2;3})),
IF(Arrangörslista!$U$5&lt;20,SUM(LARGE(BV52:CN52,{1;2;3;4})),
IF(Arrangörslista!$U$5&lt;24,SUM(LARGE(BV52:CR52,{1;2;3;4;5})),
IF(Arrangörslista!$U$5&lt;28,SUM(LARGE(BV52:CV52,{1;2;3;4;5;6})),
IF(Arrangörslista!$U$5&lt;32,SUM(LARGE(BV52:CZ52,{1;2;3;4;5;6;7})),
IF(Arrangörslista!$U$5&lt;36,SUM(LARGE(BV52:DD52,{1;2;3;4;5;6;7;8})),
IF(Arrangörslista!$U$5&lt;40,SUM(LARGE(BV52:DH52,{1;2;3;4;5;6;7;8;9})),
IF(Arrangörslista!$U$5&lt;44,SUM(LARGE(BV52:DL52,{1;2;3;4;5;6;7;8;9;10})),
IF(Arrangörslista!$U$5&lt;48,SUM(LARGE(BV52:DP52,{1;2;3;4;5;6;7;8;9;10;11})),
IF(Arrangörslista!$U$5&lt;52,SUM(LARGE(BV52:DT52,{1;2;3;4;5;6;7;8;9;10;11;12})),
IF(Arrangörslista!$U$5&lt;56,SUM(LARGE(BV52:DX52,{1;2;3;4;5;6;7;8;9;10;11;12;13})),
IF(Arrangörslista!$U$5&lt;60,SUM(LARGE(BV52:EB52,{1;2;3;4;5;6;7;8;9;10;11;12;13;14})),
IF(Arrangörslista!$U$5=60,SUM(LARGE(BV52:EC52,{1;2;3;4;5;6;7;8;9;10;11;12;13;14;15})),0))))))))))))))))))</f>
        <v>0</v>
      </c>
      <c r="EG52" s="67">
        <f t="shared" si="187"/>
        <v>0</v>
      </c>
      <c r="EH52" s="61"/>
      <c r="EI52" s="61"/>
      <c r="EK52" s="62">
        <f t="shared" si="188"/>
        <v>61</v>
      </c>
      <c r="EL52" s="62">
        <f t="shared" si="189"/>
        <v>61</v>
      </c>
      <c r="EM52" s="62">
        <f t="shared" si="190"/>
        <v>61</v>
      </c>
      <c r="EN52" s="62">
        <f t="shared" si="191"/>
        <v>61</v>
      </c>
      <c r="EO52" s="62">
        <f t="shared" si="192"/>
        <v>61</v>
      </c>
      <c r="EP52" s="62">
        <f t="shared" si="193"/>
        <v>61</v>
      </c>
      <c r="EQ52" s="62">
        <f t="shared" si="194"/>
        <v>61</v>
      </c>
      <c r="ER52" s="62">
        <f t="shared" si="195"/>
        <v>61</v>
      </c>
      <c r="ES52" s="62">
        <f t="shared" si="196"/>
        <v>61</v>
      </c>
      <c r="ET52" s="62">
        <f t="shared" si="197"/>
        <v>61</v>
      </c>
      <c r="EU52" s="62">
        <f t="shared" si="198"/>
        <v>61</v>
      </c>
      <c r="EV52" s="62">
        <f t="shared" si="199"/>
        <v>61</v>
      </c>
      <c r="EW52" s="62">
        <f t="shared" si="200"/>
        <v>61</v>
      </c>
      <c r="EX52" s="62">
        <f t="shared" si="201"/>
        <v>61</v>
      </c>
      <c r="EY52" s="62">
        <f t="shared" si="202"/>
        <v>61</v>
      </c>
      <c r="EZ52" s="62">
        <f t="shared" si="203"/>
        <v>61</v>
      </c>
      <c r="FA52" s="62">
        <f t="shared" si="204"/>
        <v>61</v>
      </c>
      <c r="FB52" s="62">
        <f t="shared" si="205"/>
        <v>61</v>
      </c>
      <c r="FC52" s="62">
        <f t="shared" si="206"/>
        <v>61</v>
      </c>
      <c r="FD52" s="62">
        <f t="shared" si="207"/>
        <v>61</v>
      </c>
      <c r="FE52" s="62">
        <f t="shared" si="208"/>
        <v>61</v>
      </c>
      <c r="FF52" s="62">
        <f t="shared" si="209"/>
        <v>61</v>
      </c>
      <c r="FG52" s="62">
        <f t="shared" si="210"/>
        <v>61</v>
      </c>
      <c r="FH52" s="62">
        <f t="shared" si="211"/>
        <v>61</v>
      </c>
      <c r="FI52" s="62">
        <f t="shared" si="212"/>
        <v>61</v>
      </c>
      <c r="FJ52" s="62">
        <f t="shared" si="213"/>
        <v>61</v>
      </c>
      <c r="FK52" s="62">
        <f t="shared" si="214"/>
        <v>61</v>
      </c>
      <c r="FL52" s="62">
        <f t="shared" si="215"/>
        <v>61</v>
      </c>
      <c r="FM52" s="62">
        <f t="shared" si="216"/>
        <v>61</v>
      </c>
      <c r="FN52" s="62">
        <f t="shared" si="217"/>
        <v>61</v>
      </c>
      <c r="FO52" s="62">
        <f t="shared" si="218"/>
        <v>61</v>
      </c>
      <c r="FP52" s="62">
        <f t="shared" si="219"/>
        <v>61</v>
      </c>
      <c r="FQ52" s="62">
        <f t="shared" si="220"/>
        <v>61</v>
      </c>
      <c r="FR52" s="62">
        <f t="shared" si="221"/>
        <v>61</v>
      </c>
      <c r="FS52" s="62">
        <f t="shared" si="222"/>
        <v>61</v>
      </c>
      <c r="FT52" s="62">
        <f t="shared" si="223"/>
        <v>61</v>
      </c>
      <c r="FU52" s="62">
        <f t="shared" si="224"/>
        <v>61</v>
      </c>
      <c r="FV52" s="62">
        <f t="shared" si="225"/>
        <v>61</v>
      </c>
      <c r="FW52" s="62">
        <f t="shared" si="226"/>
        <v>61</v>
      </c>
      <c r="FX52" s="62">
        <f t="shared" si="227"/>
        <v>61</v>
      </c>
      <c r="FY52" s="62">
        <f t="shared" si="228"/>
        <v>61</v>
      </c>
      <c r="FZ52" s="62">
        <f t="shared" si="229"/>
        <v>61</v>
      </c>
      <c r="GA52" s="62">
        <f t="shared" si="230"/>
        <v>61</v>
      </c>
      <c r="GB52" s="62">
        <f t="shared" si="231"/>
        <v>61</v>
      </c>
      <c r="GC52" s="62">
        <f t="shared" si="232"/>
        <v>61</v>
      </c>
      <c r="GD52" s="62">
        <f t="shared" si="233"/>
        <v>61</v>
      </c>
      <c r="GE52" s="62">
        <f t="shared" si="234"/>
        <v>61</v>
      </c>
      <c r="GF52" s="62">
        <f t="shared" si="235"/>
        <v>61</v>
      </c>
      <c r="GG52" s="62">
        <f t="shared" si="236"/>
        <v>61</v>
      </c>
      <c r="GH52" s="62">
        <f t="shared" si="237"/>
        <v>61</v>
      </c>
      <c r="GI52" s="62">
        <f t="shared" si="238"/>
        <v>61</v>
      </c>
      <c r="GJ52" s="62">
        <f t="shared" si="239"/>
        <v>61</v>
      </c>
      <c r="GK52" s="62">
        <f t="shared" si="240"/>
        <v>61</v>
      </c>
      <c r="GL52" s="62">
        <f t="shared" si="241"/>
        <v>61</v>
      </c>
      <c r="GM52" s="62">
        <f t="shared" si="242"/>
        <v>61</v>
      </c>
      <c r="GN52" s="62">
        <f t="shared" si="243"/>
        <v>61</v>
      </c>
      <c r="GO52" s="62">
        <f t="shared" si="244"/>
        <v>61</v>
      </c>
      <c r="GP52" s="62">
        <f t="shared" si="245"/>
        <v>61</v>
      </c>
      <c r="GQ52" s="62">
        <f t="shared" si="246"/>
        <v>61</v>
      </c>
      <c r="GR52" s="62">
        <f t="shared" si="247"/>
        <v>61</v>
      </c>
      <c r="GT52" s="62">
        <f>IF(Deltagarlista!$K$3=2,
IF(GW52="1",
      IF(Arrangörslista!$U$5=1,J115,
IF(Arrangörslista!$U$5=2,K115,
IF(Arrangörslista!$U$5=3,L115,
IF(Arrangörslista!$U$5=4,M115,
IF(Arrangörslista!$U$5=5,N115,
IF(Arrangörslista!$U$5=6,O115,
IF(Arrangörslista!$U$5=7,P115,
IF(Arrangörslista!$U$5=8,Q115,
IF(Arrangörslista!$U$5=9,R115,
IF(Arrangörslista!$U$5=10,S115,
IF(Arrangörslista!$U$5=11,T115,
IF(Arrangörslista!$U$5=12,U115,
IF(Arrangörslista!$U$5=13,V115,
IF(Arrangörslista!$U$5=14,W115,
IF(Arrangörslista!$U$5=15,X115,
IF(Arrangörslista!$U$5=16,Y115,IF(Arrangörslista!$U$5=17,Z115,IF(Arrangörslista!$U$5=18,AA115,IF(Arrangörslista!$U$5=19,AB115,IF(Arrangörslista!$U$5=20,AC115,IF(Arrangörslista!$U$5=21,AD115,IF(Arrangörslista!$U$5=22,AE115,IF(Arrangörslista!$U$5=23,AF115, IF(Arrangörslista!$U$5=24,AG115, IF(Arrangörslista!$U$5=25,AH115, IF(Arrangörslista!$U$5=26,AI115, IF(Arrangörslista!$U$5=27,AJ115, IF(Arrangörslista!$U$5=28,AK115, IF(Arrangörslista!$U$5=29,AL115, IF(Arrangörslista!$U$5=30,AM115, IF(Arrangörslista!$U$5=31,AN115, IF(Arrangörslista!$U$5=32,AO115, IF(Arrangörslista!$U$5=33,AP115, IF(Arrangörslista!$U$5=34,AQ115, IF(Arrangörslista!$U$5=35,AR115, IF(Arrangörslista!$U$5=36,AS115, IF(Arrangörslista!$U$5=37,AT115, IF(Arrangörslista!$U$5=38,AU115, IF(Arrangörslista!$U$5=39,AV115, IF(Arrangörslista!$U$5=40,AW115, IF(Arrangörslista!$U$5=41,AX115, IF(Arrangörslista!$U$5=42,AY115, IF(Arrangörslista!$U$5=43,AZ115, IF(Arrangörslista!$U$5=44,BA115, IF(Arrangörslista!$U$5=45,BB115, IF(Arrangörslista!$U$5=46,BC115, IF(Arrangörslista!$U$5=47,BD115, IF(Arrangörslista!$U$5=48,BE115, IF(Arrangörslista!$U$5=49,BF115, IF(Arrangörslista!$U$5=50,BG115, IF(Arrangörslista!$U$5=51,BH115, IF(Arrangörslista!$U$5=52,BI115, IF(Arrangörslista!$U$5=53,BJ115, IF(Arrangörslista!$U$5=54,BK115, IF(Arrangörslista!$U$5=55,BL115, IF(Arrangörslista!$U$5=56,BM115, IF(Arrangörslista!$U$5=57,BN115, IF(Arrangörslista!$U$5=58,BO115, IF(Arrangörslista!$U$5=59,BP115, IF(Arrangörslista!$U$5=60,BQ115,0))))))))))))))))))))))))))))))))))))))))))))))))))))))))))))),IF(Deltagarlista!$K$3=4, IF(Arrangörslista!$U$5=1,J115,
IF(Arrangörslista!$U$5=2,J115,
IF(Arrangörslista!$U$5=3,K115,
IF(Arrangörslista!$U$5=4,K115,
IF(Arrangörslista!$U$5=5,L115,
IF(Arrangörslista!$U$5=6,L115,
IF(Arrangörslista!$U$5=7,M115,
IF(Arrangörslista!$U$5=8,M115,
IF(Arrangörslista!$U$5=9,N115,
IF(Arrangörslista!$U$5=10,N115,
IF(Arrangörslista!$U$5=11,O115,
IF(Arrangörslista!$U$5=12,O115,
IF(Arrangörslista!$U$5=13,P115,
IF(Arrangörslista!$U$5=14,P115,
IF(Arrangörslista!$U$5=15,Q115,
IF(Arrangörslista!$U$5=16,Q115,
IF(Arrangörslista!$U$5=17,R115,
IF(Arrangörslista!$U$5=18,R115,
IF(Arrangörslista!$U$5=19,S115,
IF(Arrangörslista!$U$5=20,S115,
IF(Arrangörslista!$U$5=21,T115,
IF(Arrangörslista!$U$5=22,T115,IF(Arrangörslista!$U$5=23,U115, IF(Arrangörslista!$U$5=24,U115, IF(Arrangörslista!$U$5=25,V115, IF(Arrangörslista!$U$5=26,V115, IF(Arrangörslista!$U$5=27,W115, IF(Arrangörslista!$U$5=28,W115, IF(Arrangörslista!$U$5=29,X115, IF(Arrangörslista!$U$5=30,X115, IF(Arrangörslista!$U$5=31,X115, IF(Arrangörslista!$U$5=32,Y115, IF(Arrangörslista!$U$5=33,AO115, IF(Arrangörslista!$U$5=34,Y115, IF(Arrangörslista!$U$5=35,Z115, IF(Arrangörslista!$U$5=36,AR115, IF(Arrangörslista!$U$5=37,Z115, IF(Arrangörslista!$U$5=38,AA115, IF(Arrangörslista!$U$5=39,AU115, IF(Arrangörslista!$U$5=40,AA115, IF(Arrangörslista!$U$5=41,AB115, IF(Arrangörslista!$U$5=42,AX115, IF(Arrangörslista!$U$5=43,AB115, IF(Arrangörslista!$U$5=44,AC115, IF(Arrangörslista!$U$5=45,BA115, IF(Arrangörslista!$U$5=46,AC115, IF(Arrangörslista!$U$5=47,AD115, IF(Arrangörslista!$U$5=48,BD115, IF(Arrangörslista!$U$5=49,AD115, IF(Arrangörslista!$U$5=50,AE115, IF(Arrangörslista!$U$5=51,BG115, IF(Arrangörslista!$U$5=52,AE115, IF(Arrangörslista!$U$5=53,AF115, IF(Arrangörslista!$U$5=54,BJ115, IF(Arrangörslista!$U$5=55,AF115, IF(Arrangörslista!$U$5=56,AG115, IF(Arrangörslista!$U$5=57,BM115, IF(Arrangörslista!$U$5=58,AG115, IF(Arrangörslista!$U$5=59,AH115, IF(Arrangörslista!$U$5=60,AH115,0)))))))))))))))))))))))))))))))))))))))))))))))))))))))))))),IF(Arrangörslista!$U$5=1,J115,
IF(Arrangörslista!$U$5=2,K115,
IF(Arrangörslista!$U$5=3,L115,
IF(Arrangörslista!$U$5=4,M115,
IF(Arrangörslista!$U$5=5,N115,
IF(Arrangörslista!$U$5=6,O115,
IF(Arrangörslista!$U$5=7,P115,
IF(Arrangörslista!$U$5=8,Q115,
IF(Arrangörslista!$U$5=9,R115,
IF(Arrangörslista!$U$5=10,S115,
IF(Arrangörslista!$U$5=11,T115,
IF(Arrangörslista!$U$5=12,U115,
IF(Arrangörslista!$U$5=13,V115,
IF(Arrangörslista!$U$5=14,W115,
IF(Arrangörslista!$U$5=15,X115,
IF(Arrangörslista!$U$5=16,Y115,IF(Arrangörslista!$U$5=17,Z115,IF(Arrangörslista!$U$5=18,AA115,IF(Arrangörslista!$U$5=19,AB115,IF(Arrangörslista!$U$5=20,AC115,IF(Arrangörslista!$U$5=21,AD115,IF(Arrangörslista!$U$5=22,AE115,IF(Arrangörslista!$U$5=23,AF115, IF(Arrangörslista!$U$5=24,AG115, IF(Arrangörslista!$U$5=25,AH115, IF(Arrangörslista!$U$5=26,AI115, IF(Arrangörslista!$U$5=27,AJ115, IF(Arrangörslista!$U$5=28,AK115, IF(Arrangörslista!$U$5=29,AL115, IF(Arrangörslista!$U$5=30,AM115, IF(Arrangörslista!$U$5=31,AN115, IF(Arrangörslista!$U$5=32,AO115, IF(Arrangörslista!$U$5=33,AP115, IF(Arrangörslista!$U$5=34,AQ115, IF(Arrangörslista!$U$5=35,AR115, IF(Arrangörslista!$U$5=36,AS115, IF(Arrangörslista!$U$5=37,AT115, IF(Arrangörslista!$U$5=38,AU115, IF(Arrangörslista!$U$5=39,AV115, IF(Arrangörslista!$U$5=40,AW115, IF(Arrangörslista!$U$5=41,AX115, IF(Arrangörslista!$U$5=42,AY115, IF(Arrangörslista!$U$5=43,AZ115, IF(Arrangörslista!$U$5=44,BA115, IF(Arrangörslista!$U$5=45,BB115, IF(Arrangörslista!$U$5=46,BC115, IF(Arrangörslista!$U$5=47,BD115, IF(Arrangörslista!$U$5=48,BE115, IF(Arrangörslista!$U$5=49,BF115, IF(Arrangörslista!$U$5=50,BG115, IF(Arrangörslista!$U$5=51,BH115, IF(Arrangörslista!$U$5=52,BI115, IF(Arrangörslista!$U$5=53,BJ115, IF(Arrangörslista!$U$5=54,BK115, IF(Arrangörslista!$U$5=55,BL115, IF(Arrangörslista!$U$5=56,BM115, IF(Arrangörslista!$U$5=57,BN115, IF(Arrangörslista!$U$5=58,BO115, IF(Arrangörslista!$U$5=59,BP115, IF(Arrangörslista!$U$5=60,BQ115,0))))))))))))))))))))))))))))))))))))))))))))))))))))))))))))
))</f>
        <v>0</v>
      </c>
      <c r="GV52" s="65" t="str">
        <f>IFERROR(IF(VLOOKUP(F52,Deltagarlista!$E$5:$I$64,5,FALSE)="Grön","Gr",IF(VLOOKUP(F52,Deltagarlista!$E$5:$I$64,5,FALSE)="Röd","R",IF(VLOOKUP(F52,Deltagarlista!$E$5:$I$64,5,FALSE)="Blå","B","Gu"))),"")</f>
        <v/>
      </c>
      <c r="GW52" s="62" t="str">
        <f t="shared" si="124"/>
        <v/>
      </c>
    </row>
    <row r="53" spans="2:205" ht="15.75" customHeight="1" x14ac:dyDescent="0.3">
      <c r="B53" s="23" t="str">
        <f>IF((COUNTIF(Deltagarlista!$H$5:$H$64,"GM"))&gt;49,50,"")</f>
        <v/>
      </c>
      <c r="C53" s="92" t="str">
        <f>IF(ISBLANK(Deltagarlista!C15),"",Deltagarlista!C15)</f>
        <v/>
      </c>
      <c r="D53" s="109" t="str">
        <f>CONCATENATE(IF(Deltagarlista!H15="GM","GM   ",""), IF(OR(Deltagarlista!$K$3=4,Deltagarlista!$K$3=2),Deltagarlista!I15,""))</f>
        <v/>
      </c>
      <c r="E53" s="8" t="str">
        <f>IF(ISBLANK(Deltagarlista!D15),"",Deltagarlista!D15)</f>
        <v/>
      </c>
      <c r="F53" s="8" t="str">
        <f>IF(ISBLANK(Deltagarlista!E15),"",Deltagarlista!E15)</f>
        <v/>
      </c>
      <c r="G53" s="95" t="str">
        <f>IF(ISBLANK(Deltagarlista!F15),"",Deltagarlista!F15)</f>
        <v/>
      </c>
      <c r="H53" s="72" t="str">
        <f>IF(ISBLANK(Deltagarlista!C15),"",BU53-EE53)</f>
        <v/>
      </c>
      <c r="I53" s="13" t="str">
        <f>IF(ISBLANK(Deltagarlista!C15),"",IF(AND(Deltagarlista!$K$3=2,Deltagarlista!$L$3&lt;37),SUM(SUM(BV53:EC53)-(ROUNDDOWN(Arrangörslista!$U$5/3,1))*($BW$3+1)),SUM(BV53:EC53)))</f>
        <v/>
      </c>
      <c r="J53" s="79" t="str">
        <f>IF(Deltagarlista!$K$3=4,IF(ISBLANK(Deltagarlista!$C15),"",IF(ISBLANK(Arrangörslista!C$8),"",IFERROR(VLOOKUP($F53,Arrangörslista!C$8:$AG$45,16,FALSE),IF(ISBLANK(Deltagarlista!$C15),"",IF(ISBLANK(Arrangörslista!C$8),"",IFERROR(VLOOKUP($F53,Arrangörslista!D$8:$AG$45,16,FALSE),"DNS")))))),IF(Deltagarlista!$K$3=2,
IF(ISBLANK(Deltagarlista!$C15),"",IF(ISBLANK(Arrangörslista!C$8),"",IF($GV53=J$64," DNS ",IFERROR(VLOOKUP($F53,Arrangörslista!C$8:$AG$45,16,FALSE),"DNS")))),IF(ISBLANK(Deltagarlista!$C15),"",IF(ISBLANK(Arrangörslista!C$8),"",IFERROR(VLOOKUP($F53,Arrangörslista!C$8:$AG$45,16,FALSE),"DNS")))))</f>
        <v/>
      </c>
      <c r="K53" s="5" t="str">
        <f>IF(Deltagarlista!$K$3=4,IF(ISBLANK(Deltagarlista!$C15),"",IF(ISBLANK(Arrangörslista!E$8),"",IFERROR(VLOOKUP($F53,Arrangörslista!E$8:$AG$45,16,FALSE),IF(ISBLANK(Deltagarlista!$C15),"",IF(ISBLANK(Arrangörslista!E$8),"",IFERROR(VLOOKUP($F53,Arrangörslista!F$8:$AG$45,16,FALSE),"DNS")))))),IF(Deltagarlista!$K$3=2,
IF(ISBLANK(Deltagarlista!$C15),"",IF(ISBLANK(Arrangörslista!D$8),"",IF($GV53=K$64," DNS ",IFERROR(VLOOKUP($F53,Arrangörslista!D$8:$AG$45,16,FALSE),"DNS")))),IF(ISBLANK(Deltagarlista!$C15),"",IF(ISBLANK(Arrangörslista!D$8),"",IFERROR(VLOOKUP($F53,Arrangörslista!D$8:$AG$45,16,FALSE),"DNS")))))</f>
        <v/>
      </c>
      <c r="L53" s="5" t="str">
        <f>IF(Deltagarlista!$K$3=4,IF(ISBLANK(Deltagarlista!$C15),"",IF(ISBLANK(Arrangörslista!G$8),"",IFERROR(VLOOKUP($F53,Arrangörslista!G$8:$AG$45,16,FALSE),IF(ISBLANK(Deltagarlista!$C15),"",IF(ISBLANK(Arrangörslista!G$8),"",IFERROR(VLOOKUP($F53,Arrangörslista!H$8:$AG$45,16,FALSE),"DNS")))))),IF(Deltagarlista!$K$3=2,
IF(ISBLANK(Deltagarlista!$C15),"",IF(ISBLANK(Arrangörslista!E$8),"",IF($GV53=L$64," DNS ",IFERROR(VLOOKUP($F53,Arrangörslista!E$8:$AG$45,16,FALSE),"DNS")))),IF(ISBLANK(Deltagarlista!$C15),"",IF(ISBLANK(Arrangörslista!E$8),"",IFERROR(VLOOKUP($F53,Arrangörslista!E$8:$AG$45,16,FALSE),"DNS")))))</f>
        <v/>
      </c>
      <c r="M53" s="5" t="str">
        <f>IF(Deltagarlista!$K$3=4,IF(ISBLANK(Deltagarlista!$C15),"",IF(ISBLANK(Arrangörslista!I$8),"",IFERROR(VLOOKUP($F53,Arrangörslista!I$8:$AG$45,16,FALSE),IF(ISBLANK(Deltagarlista!$C15),"",IF(ISBLANK(Arrangörslista!I$8),"",IFERROR(VLOOKUP($F53,Arrangörslista!J$8:$AG$45,16,FALSE),"DNS")))))),IF(Deltagarlista!$K$3=2,
IF(ISBLANK(Deltagarlista!$C15),"",IF(ISBLANK(Arrangörslista!F$8),"",IF($GV53=M$64," DNS ",IFERROR(VLOOKUP($F53,Arrangörslista!F$8:$AG$45,16,FALSE),"DNS")))),IF(ISBLANK(Deltagarlista!$C15),"",IF(ISBLANK(Arrangörslista!F$8),"",IFERROR(VLOOKUP($F53,Arrangörslista!F$8:$AG$45,16,FALSE),"DNS")))))</f>
        <v/>
      </c>
      <c r="N53" s="5" t="str">
        <f>IF(Deltagarlista!$K$3=4,IF(ISBLANK(Deltagarlista!$C15),"",IF(ISBLANK(Arrangörslista!K$8),"",IFERROR(VLOOKUP($F53,Arrangörslista!K$8:$AG$45,16,FALSE),IF(ISBLANK(Deltagarlista!$C15),"",IF(ISBLANK(Arrangörslista!K$8),"",IFERROR(VLOOKUP($F53,Arrangörslista!L$8:$AG$45,16,FALSE),"DNS")))))),IF(Deltagarlista!$K$3=2,
IF(ISBLANK(Deltagarlista!$C15),"",IF(ISBLANK(Arrangörslista!G$8),"",IF($GV53=N$64," DNS ",IFERROR(VLOOKUP($F53,Arrangörslista!G$8:$AG$45,16,FALSE),"DNS")))),IF(ISBLANK(Deltagarlista!$C15),"",IF(ISBLANK(Arrangörslista!G$8),"",IFERROR(VLOOKUP($F53,Arrangörslista!G$8:$AG$45,16,FALSE),"DNS")))))</f>
        <v/>
      </c>
      <c r="O53" s="5" t="str">
        <f>IF(Deltagarlista!$K$3=4,IF(ISBLANK(Deltagarlista!$C15),"",IF(ISBLANK(Arrangörslista!M$8),"",IFERROR(VLOOKUP($F53,Arrangörslista!M$8:$AG$45,16,FALSE),IF(ISBLANK(Deltagarlista!$C15),"",IF(ISBLANK(Arrangörslista!M$8),"",IFERROR(VLOOKUP($F53,Arrangörslista!N$8:$AG$45,16,FALSE),"DNS")))))),IF(Deltagarlista!$K$3=2,
IF(ISBLANK(Deltagarlista!$C15),"",IF(ISBLANK(Arrangörslista!H$8),"",IF($GV53=O$64," DNS ",IFERROR(VLOOKUP($F53,Arrangörslista!H$8:$AG$45,16,FALSE),"DNS")))),IF(ISBLANK(Deltagarlista!$C15),"",IF(ISBLANK(Arrangörslista!H$8),"",IFERROR(VLOOKUP($F53,Arrangörslista!H$8:$AG$45,16,FALSE),"DNS")))))</f>
        <v/>
      </c>
      <c r="P53" s="5" t="str">
        <f>IF(Deltagarlista!$K$3=4,IF(ISBLANK(Deltagarlista!$C15),"",IF(ISBLANK(Arrangörslista!O$8),"",IFERROR(VLOOKUP($F53,Arrangörslista!O$8:$AG$45,16,FALSE),IF(ISBLANK(Deltagarlista!$C15),"",IF(ISBLANK(Arrangörslista!O$8),"",IFERROR(VLOOKUP($F53,Arrangörslista!P$8:$AG$45,16,FALSE),"DNS")))))),IF(Deltagarlista!$K$3=2,
IF(ISBLANK(Deltagarlista!$C15),"",IF(ISBLANK(Arrangörslista!I$8),"",IF($GV53=P$64," DNS ",IFERROR(VLOOKUP($F53,Arrangörslista!I$8:$AG$45,16,FALSE),"DNS")))),IF(ISBLANK(Deltagarlista!$C15),"",IF(ISBLANK(Arrangörslista!I$8),"",IFERROR(VLOOKUP($F53,Arrangörslista!I$8:$AG$45,16,FALSE),"DNS")))))</f>
        <v/>
      </c>
      <c r="Q53" s="5" t="str">
        <f>IF(Deltagarlista!$K$3=4,IF(ISBLANK(Deltagarlista!$C15),"",IF(ISBLANK(Arrangörslista!Q$8),"",IFERROR(VLOOKUP($F53,Arrangörslista!Q$8:$AG$45,16,FALSE),IF(ISBLANK(Deltagarlista!$C15),"",IF(ISBLANK(Arrangörslista!Q$8),"",IFERROR(VLOOKUP($F53,Arrangörslista!C$53:$AG$90,16,FALSE),"DNS")))))),IF(Deltagarlista!$K$3=2,
IF(ISBLANK(Deltagarlista!$C15),"",IF(ISBLANK(Arrangörslista!J$8),"",IF($GV53=Q$64," DNS ",IFERROR(VLOOKUP($F53,Arrangörslista!J$8:$AG$45,16,FALSE),"DNS")))),IF(ISBLANK(Deltagarlista!$C15),"",IF(ISBLANK(Arrangörslista!J$8),"",IFERROR(VLOOKUP($F53,Arrangörslista!J$8:$AG$45,16,FALSE),"DNS")))))</f>
        <v/>
      </c>
      <c r="R53" s="5" t="str">
        <f>IF(Deltagarlista!$K$3=4,IF(ISBLANK(Deltagarlista!$C15),"",IF(ISBLANK(Arrangörslista!D$53),"",IFERROR(VLOOKUP($F53,Arrangörslista!D$53:$AG$90,16,FALSE),IF(ISBLANK(Deltagarlista!$C15),"",IF(ISBLANK(Arrangörslista!D$53),"",IFERROR(VLOOKUP($F53,Arrangörslista!E$53:$AG$90,16,FALSE),"DNS")))))),IF(Deltagarlista!$K$3=2,
IF(ISBLANK(Deltagarlista!$C15),"",IF(ISBLANK(Arrangörslista!K$8),"",IF($GV53=R$64," DNS ",IFERROR(VLOOKUP($F53,Arrangörslista!K$8:$AG$45,16,FALSE),"DNS")))),IF(ISBLANK(Deltagarlista!$C15),"",IF(ISBLANK(Arrangörslista!K$8),"",IFERROR(VLOOKUP($F53,Arrangörslista!K$8:$AG$45,16,FALSE),"DNS")))))</f>
        <v/>
      </c>
      <c r="S53" s="5" t="str">
        <f>IF(Deltagarlista!$K$3=4,IF(ISBLANK(Deltagarlista!$C15),"",IF(ISBLANK(Arrangörslista!F$53),"",IFERROR(VLOOKUP($F53,Arrangörslista!F$53:$AG$90,16,FALSE),IF(ISBLANK(Deltagarlista!$C15),"",IF(ISBLANK(Arrangörslista!F$53),"",IFERROR(VLOOKUP($F53,Arrangörslista!G$53:$AG$90,16,FALSE),"DNS")))))),IF(Deltagarlista!$K$3=2,
IF(ISBLANK(Deltagarlista!$C15),"",IF(ISBLANK(Arrangörslista!L$8),"",IF($GV53=S$64," DNS ",IFERROR(VLOOKUP($F53,Arrangörslista!L$8:$AG$45,16,FALSE),"DNS")))),IF(ISBLANK(Deltagarlista!$C15),"",IF(ISBLANK(Arrangörslista!L$8),"",IFERROR(VLOOKUP($F53,Arrangörslista!L$8:$AG$45,16,FALSE),"DNS")))))</f>
        <v/>
      </c>
      <c r="T53" s="5" t="str">
        <f>IF(Deltagarlista!$K$3=4,IF(ISBLANK(Deltagarlista!$C15),"",IF(ISBLANK(Arrangörslista!H$53),"",IFERROR(VLOOKUP($F53,Arrangörslista!H$53:$AG$90,16,FALSE),IF(ISBLANK(Deltagarlista!$C15),"",IF(ISBLANK(Arrangörslista!H$53),"",IFERROR(VLOOKUP($F53,Arrangörslista!I$53:$AG$90,16,FALSE),"DNS")))))),IF(Deltagarlista!$K$3=2,
IF(ISBLANK(Deltagarlista!$C15),"",IF(ISBLANK(Arrangörslista!M$8),"",IF($GV53=T$64," DNS ",IFERROR(VLOOKUP($F53,Arrangörslista!M$8:$AG$45,16,FALSE),"DNS")))),IF(ISBLANK(Deltagarlista!$C15),"",IF(ISBLANK(Arrangörslista!M$8),"",IFERROR(VLOOKUP($F53,Arrangörslista!M$8:$AG$45,16,FALSE),"DNS")))))</f>
        <v/>
      </c>
      <c r="U53" s="5" t="str">
        <f>IF(Deltagarlista!$K$3=4,IF(ISBLANK(Deltagarlista!$C15),"",IF(ISBLANK(Arrangörslista!J$53),"",IFERROR(VLOOKUP($F53,Arrangörslista!J$53:$AG$90,16,FALSE),IF(ISBLANK(Deltagarlista!$C15),"",IF(ISBLANK(Arrangörslista!J$53),"",IFERROR(VLOOKUP($F53,Arrangörslista!K$53:$AG$90,16,FALSE),"DNS")))))),IF(Deltagarlista!$K$3=2,
IF(ISBLANK(Deltagarlista!$C15),"",IF(ISBLANK(Arrangörslista!N$8),"",IF($GV53=U$64," DNS ",IFERROR(VLOOKUP($F53,Arrangörslista!N$8:$AG$45,16,FALSE),"DNS")))),IF(ISBLANK(Deltagarlista!$C15),"",IF(ISBLANK(Arrangörslista!N$8),"",IFERROR(VLOOKUP($F53,Arrangörslista!N$8:$AG$45,16,FALSE),"DNS")))))</f>
        <v/>
      </c>
      <c r="V53" s="5" t="str">
        <f>IF(Deltagarlista!$K$3=4,IF(ISBLANK(Deltagarlista!$C15),"",IF(ISBLANK(Arrangörslista!L$53),"",IFERROR(VLOOKUP($F53,Arrangörslista!L$53:$AG$90,16,FALSE),IF(ISBLANK(Deltagarlista!$C15),"",IF(ISBLANK(Arrangörslista!L$53),"",IFERROR(VLOOKUP($F53,Arrangörslista!M$53:$AG$90,16,FALSE),"DNS")))))),IF(Deltagarlista!$K$3=2,
IF(ISBLANK(Deltagarlista!$C15),"",IF(ISBLANK(Arrangörslista!O$8),"",IF($GV53=V$64," DNS ",IFERROR(VLOOKUP($F53,Arrangörslista!O$8:$AG$45,16,FALSE),"DNS")))),IF(ISBLANK(Deltagarlista!$C15),"",IF(ISBLANK(Arrangörslista!O$8),"",IFERROR(VLOOKUP($F53,Arrangörslista!O$8:$AG$45,16,FALSE),"DNS")))))</f>
        <v/>
      </c>
      <c r="W53" s="5" t="str">
        <f>IF(Deltagarlista!$K$3=4,IF(ISBLANK(Deltagarlista!$C15),"",IF(ISBLANK(Arrangörslista!N$53),"",IFERROR(VLOOKUP($F53,Arrangörslista!N$53:$AG$90,16,FALSE),IF(ISBLANK(Deltagarlista!$C15),"",IF(ISBLANK(Arrangörslista!N$53),"",IFERROR(VLOOKUP($F53,Arrangörslista!O$53:$AG$90,16,FALSE),"DNS")))))),IF(Deltagarlista!$K$3=2,
IF(ISBLANK(Deltagarlista!$C15),"",IF(ISBLANK(Arrangörslista!P$8),"",IF($GV53=W$64," DNS ",IFERROR(VLOOKUP($F53,Arrangörslista!P$8:$AG$45,16,FALSE),"DNS")))),IF(ISBLANK(Deltagarlista!$C15),"",IF(ISBLANK(Arrangörslista!P$8),"",IFERROR(VLOOKUP($F53,Arrangörslista!P$8:$AG$45,16,FALSE),"DNS")))))</f>
        <v/>
      </c>
      <c r="X53" s="5" t="str">
        <f>IF(Deltagarlista!$K$3=4,IF(ISBLANK(Deltagarlista!$C15),"",IF(ISBLANK(Arrangörslista!P$53),"",IFERROR(VLOOKUP($F53,Arrangörslista!P$53:$AG$90,16,FALSE),IF(ISBLANK(Deltagarlista!$C15),"",IF(ISBLANK(Arrangörslista!P$53),"",IFERROR(VLOOKUP($F53,Arrangörslista!Q$53:$AG$90,16,FALSE),"DNS")))))),IF(Deltagarlista!$K$3=2,
IF(ISBLANK(Deltagarlista!$C15),"",IF(ISBLANK(Arrangörslista!Q$8),"",IF($GV53=X$64," DNS ",IFERROR(VLOOKUP($F53,Arrangörslista!Q$8:$AG$45,16,FALSE),"DNS")))),IF(ISBLANK(Deltagarlista!$C15),"",IF(ISBLANK(Arrangörslista!Q$8),"",IFERROR(VLOOKUP($F53,Arrangörslista!Q$8:$AG$45,16,FALSE),"DNS")))))</f>
        <v/>
      </c>
      <c r="Y53" s="5" t="str">
        <f>IF(Deltagarlista!$K$3=4,IF(ISBLANK(Deltagarlista!$C15),"",IF(ISBLANK(Arrangörslista!C$98),"",IFERROR(VLOOKUP($F53,Arrangörslista!C$98:$AG$135,16,FALSE),IF(ISBLANK(Deltagarlista!$C15),"",IF(ISBLANK(Arrangörslista!C$98),"",IFERROR(VLOOKUP($F53,Arrangörslista!D$98:$AG$135,16,FALSE),"DNS")))))),IF(Deltagarlista!$K$3=2,
IF(ISBLANK(Deltagarlista!$C15),"",IF(ISBLANK(Arrangörslista!C$53),"",IF($GV53=Y$64," DNS ",IFERROR(VLOOKUP($F53,Arrangörslista!C$53:$AG$90,16,FALSE),"DNS")))),IF(ISBLANK(Deltagarlista!$C15),"",IF(ISBLANK(Arrangörslista!C$53),"",IFERROR(VLOOKUP($F53,Arrangörslista!C$53:$AG$90,16,FALSE),"DNS")))))</f>
        <v/>
      </c>
      <c r="Z53" s="5" t="str">
        <f>IF(Deltagarlista!$K$3=4,IF(ISBLANK(Deltagarlista!$C15),"",IF(ISBLANK(Arrangörslista!E$98),"",IFERROR(VLOOKUP($F53,Arrangörslista!E$98:$AG$135,16,FALSE),IF(ISBLANK(Deltagarlista!$C15),"",IF(ISBLANK(Arrangörslista!E$98),"",IFERROR(VLOOKUP($F53,Arrangörslista!F$98:$AG$135,16,FALSE),"DNS")))))),IF(Deltagarlista!$K$3=2,
IF(ISBLANK(Deltagarlista!$C15),"",IF(ISBLANK(Arrangörslista!D$53),"",IF($GV53=Z$64," DNS ",IFERROR(VLOOKUP($F53,Arrangörslista!D$53:$AG$90,16,FALSE),"DNS")))),IF(ISBLANK(Deltagarlista!$C15),"",IF(ISBLANK(Arrangörslista!D$53),"",IFERROR(VLOOKUP($F53,Arrangörslista!D$53:$AG$90,16,FALSE),"DNS")))))</f>
        <v/>
      </c>
      <c r="AA53" s="5" t="str">
        <f>IF(Deltagarlista!$K$3=4,IF(ISBLANK(Deltagarlista!$C15),"",IF(ISBLANK(Arrangörslista!G$98),"",IFERROR(VLOOKUP($F53,Arrangörslista!G$98:$AG$135,16,FALSE),IF(ISBLANK(Deltagarlista!$C15),"",IF(ISBLANK(Arrangörslista!G$98),"",IFERROR(VLOOKUP($F53,Arrangörslista!H$98:$AG$135,16,FALSE),"DNS")))))),IF(Deltagarlista!$K$3=2,
IF(ISBLANK(Deltagarlista!$C15),"",IF(ISBLANK(Arrangörslista!E$53),"",IF($GV53=AA$64," DNS ",IFERROR(VLOOKUP($F53,Arrangörslista!E$53:$AG$90,16,FALSE),"DNS")))),IF(ISBLANK(Deltagarlista!$C15),"",IF(ISBLANK(Arrangörslista!E$53),"",IFERROR(VLOOKUP($F53,Arrangörslista!E$53:$AG$90,16,FALSE),"DNS")))))</f>
        <v/>
      </c>
      <c r="AB53" s="5" t="str">
        <f>IF(Deltagarlista!$K$3=4,IF(ISBLANK(Deltagarlista!$C15),"",IF(ISBLANK(Arrangörslista!I$98),"",IFERROR(VLOOKUP($F53,Arrangörslista!I$98:$AG$135,16,FALSE),IF(ISBLANK(Deltagarlista!$C15),"",IF(ISBLANK(Arrangörslista!I$98),"",IFERROR(VLOOKUP($F53,Arrangörslista!J$98:$AG$135,16,FALSE),"DNS")))))),IF(Deltagarlista!$K$3=2,
IF(ISBLANK(Deltagarlista!$C15),"",IF(ISBLANK(Arrangörslista!F$53),"",IF($GV53=AB$64," DNS ",IFERROR(VLOOKUP($F53,Arrangörslista!F$53:$AG$90,16,FALSE),"DNS")))),IF(ISBLANK(Deltagarlista!$C15),"",IF(ISBLANK(Arrangörslista!F$53),"",IFERROR(VLOOKUP($F53,Arrangörslista!F$53:$AG$90,16,FALSE),"DNS")))))</f>
        <v/>
      </c>
      <c r="AC53" s="5" t="str">
        <f>IF(Deltagarlista!$K$3=4,IF(ISBLANK(Deltagarlista!$C15),"",IF(ISBLANK(Arrangörslista!K$98),"",IFERROR(VLOOKUP($F53,Arrangörslista!K$98:$AG$135,16,FALSE),IF(ISBLANK(Deltagarlista!$C15),"",IF(ISBLANK(Arrangörslista!K$98),"",IFERROR(VLOOKUP($F53,Arrangörslista!L$98:$AG$135,16,FALSE),"DNS")))))),IF(Deltagarlista!$K$3=2,
IF(ISBLANK(Deltagarlista!$C15),"",IF(ISBLANK(Arrangörslista!G$53),"",IF($GV53=AC$64," DNS ",IFERROR(VLOOKUP($F53,Arrangörslista!G$53:$AG$90,16,FALSE),"DNS")))),IF(ISBLANK(Deltagarlista!$C15),"",IF(ISBLANK(Arrangörslista!G$53),"",IFERROR(VLOOKUP($F53,Arrangörslista!G$53:$AG$90,16,FALSE),"DNS")))))</f>
        <v/>
      </c>
      <c r="AD53" s="5" t="str">
        <f>IF(Deltagarlista!$K$3=4,IF(ISBLANK(Deltagarlista!$C15),"",IF(ISBLANK(Arrangörslista!M$98),"",IFERROR(VLOOKUP($F53,Arrangörslista!M$98:$AG$135,16,FALSE),IF(ISBLANK(Deltagarlista!$C15),"",IF(ISBLANK(Arrangörslista!M$98),"",IFERROR(VLOOKUP($F53,Arrangörslista!N$98:$AG$135,16,FALSE),"DNS")))))),IF(Deltagarlista!$K$3=2,
IF(ISBLANK(Deltagarlista!$C15),"",IF(ISBLANK(Arrangörslista!H$53),"",IF($GV53=AD$64," DNS ",IFERROR(VLOOKUP($F53,Arrangörslista!H$53:$AG$90,16,FALSE),"DNS")))),IF(ISBLANK(Deltagarlista!$C15),"",IF(ISBLANK(Arrangörslista!H$53),"",IFERROR(VLOOKUP($F53,Arrangörslista!H$53:$AG$90,16,FALSE),"DNS")))))</f>
        <v/>
      </c>
      <c r="AE53" s="5" t="str">
        <f>IF(Deltagarlista!$K$3=4,IF(ISBLANK(Deltagarlista!$C15),"",IF(ISBLANK(Arrangörslista!O$98),"",IFERROR(VLOOKUP($F53,Arrangörslista!O$98:$AG$135,16,FALSE),IF(ISBLANK(Deltagarlista!$C15),"",IF(ISBLANK(Arrangörslista!O$98),"",IFERROR(VLOOKUP($F53,Arrangörslista!P$98:$AG$135,16,FALSE),"DNS")))))),IF(Deltagarlista!$K$3=2,
IF(ISBLANK(Deltagarlista!$C15),"",IF(ISBLANK(Arrangörslista!I$53),"",IF($GV53=AE$64," DNS ",IFERROR(VLOOKUP($F53,Arrangörslista!I$53:$AG$90,16,FALSE),"DNS")))),IF(ISBLANK(Deltagarlista!$C15),"",IF(ISBLANK(Arrangörslista!I$53),"",IFERROR(VLOOKUP($F53,Arrangörslista!I$53:$AG$90,16,FALSE),"DNS")))))</f>
        <v/>
      </c>
      <c r="AF53" s="5" t="str">
        <f>IF(Deltagarlista!$K$3=4,IF(ISBLANK(Deltagarlista!$C15),"",IF(ISBLANK(Arrangörslista!Q$98),"",IFERROR(VLOOKUP($F53,Arrangörslista!Q$98:$AG$135,16,FALSE),IF(ISBLANK(Deltagarlista!$C15),"",IF(ISBLANK(Arrangörslista!Q$98),"",IFERROR(VLOOKUP($F53,Arrangörslista!C$143:$AG$180,16,FALSE),"DNS")))))),IF(Deltagarlista!$K$3=2,
IF(ISBLANK(Deltagarlista!$C15),"",IF(ISBLANK(Arrangörslista!J$53),"",IF($GV53=AF$64," DNS ",IFERROR(VLOOKUP($F53,Arrangörslista!J$53:$AG$90,16,FALSE),"DNS")))),IF(ISBLANK(Deltagarlista!$C15),"",IF(ISBLANK(Arrangörslista!J$53),"",IFERROR(VLOOKUP($F53,Arrangörslista!J$53:$AG$90,16,FALSE),"DNS")))))</f>
        <v/>
      </c>
      <c r="AG53" s="5" t="str">
        <f>IF(Deltagarlista!$K$3=4,IF(ISBLANK(Deltagarlista!$C15),"",IF(ISBLANK(Arrangörslista!D$143),"",IFERROR(VLOOKUP($F53,Arrangörslista!D$143:$AG$180,16,FALSE),IF(ISBLANK(Deltagarlista!$C15),"",IF(ISBLANK(Arrangörslista!D$143),"",IFERROR(VLOOKUP($F53,Arrangörslista!E$143:$AG$180,16,FALSE),"DNS")))))),IF(Deltagarlista!$K$3=2,
IF(ISBLANK(Deltagarlista!$C15),"",IF(ISBLANK(Arrangörslista!K$53),"",IF($GV53=AG$64," DNS ",IFERROR(VLOOKUP($F53,Arrangörslista!K$53:$AG$90,16,FALSE),"DNS")))),IF(ISBLANK(Deltagarlista!$C15),"",IF(ISBLANK(Arrangörslista!K$53),"",IFERROR(VLOOKUP($F53,Arrangörslista!K$53:$AG$90,16,FALSE),"DNS")))))</f>
        <v/>
      </c>
      <c r="AH53" s="5" t="str">
        <f>IF(Deltagarlista!$K$3=4,IF(ISBLANK(Deltagarlista!$C15),"",IF(ISBLANK(Arrangörslista!F$143),"",IFERROR(VLOOKUP($F53,Arrangörslista!F$143:$AG$180,16,FALSE),IF(ISBLANK(Deltagarlista!$C15),"",IF(ISBLANK(Arrangörslista!F$143),"",IFERROR(VLOOKUP($F53,Arrangörslista!G$143:$AG$180,16,FALSE),"DNS")))))),IF(Deltagarlista!$K$3=2,
IF(ISBLANK(Deltagarlista!$C15),"",IF(ISBLANK(Arrangörslista!L$53),"",IF($GV53=AH$64," DNS ",IFERROR(VLOOKUP($F53,Arrangörslista!L$53:$AG$90,16,FALSE),"DNS")))),IF(ISBLANK(Deltagarlista!$C15),"",IF(ISBLANK(Arrangörslista!L$53),"",IFERROR(VLOOKUP($F53,Arrangörslista!L$53:$AG$90,16,FALSE),"DNS")))))</f>
        <v/>
      </c>
      <c r="AI53" s="5" t="str">
        <f>IF(Deltagarlista!$K$3=4,IF(ISBLANK(Deltagarlista!$C15),"",IF(ISBLANK(Arrangörslista!H$143),"",IFERROR(VLOOKUP($F53,Arrangörslista!H$143:$AG$180,16,FALSE),IF(ISBLANK(Deltagarlista!$C15),"",IF(ISBLANK(Arrangörslista!H$143),"",IFERROR(VLOOKUP($F53,Arrangörslista!I$143:$AG$180,16,FALSE),"DNS")))))),IF(Deltagarlista!$K$3=2,
IF(ISBLANK(Deltagarlista!$C15),"",IF(ISBLANK(Arrangörslista!M$53),"",IF($GV53=AI$64," DNS ",IFERROR(VLOOKUP($F53,Arrangörslista!M$53:$AG$90,16,FALSE),"DNS")))),IF(ISBLANK(Deltagarlista!$C15),"",IF(ISBLANK(Arrangörslista!M$53),"",IFERROR(VLOOKUP($F53,Arrangörslista!M$53:$AG$90,16,FALSE),"DNS")))))</f>
        <v/>
      </c>
      <c r="AJ53" s="5" t="str">
        <f>IF(Deltagarlista!$K$3=4,IF(ISBLANK(Deltagarlista!$C15),"",IF(ISBLANK(Arrangörslista!J$143),"",IFERROR(VLOOKUP($F53,Arrangörslista!J$143:$AG$180,16,FALSE),IF(ISBLANK(Deltagarlista!$C15),"",IF(ISBLANK(Arrangörslista!J$143),"",IFERROR(VLOOKUP($F53,Arrangörslista!K$143:$AG$180,16,FALSE),"DNS")))))),IF(Deltagarlista!$K$3=2,
IF(ISBLANK(Deltagarlista!$C15),"",IF(ISBLANK(Arrangörslista!N$53),"",IF($GV53=AJ$64," DNS ",IFERROR(VLOOKUP($F53,Arrangörslista!N$53:$AG$90,16,FALSE),"DNS")))),IF(ISBLANK(Deltagarlista!$C15),"",IF(ISBLANK(Arrangörslista!N$53),"",IFERROR(VLOOKUP($F53,Arrangörslista!N$53:$AG$90,16,FALSE),"DNS")))))</f>
        <v/>
      </c>
      <c r="AK53" s="5" t="str">
        <f>IF(Deltagarlista!$K$3=4,IF(ISBLANK(Deltagarlista!$C15),"",IF(ISBLANK(Arrangörslista!L$143),"",IFERROR(VLOOKUP($F53,Arrangörslista!L$143:$AG$180,16,FALSE),IF(ISBLANK(Deltagarlista!$C15),"",IF(ISBLANK(Arrangörslista!L$143),"",IFERROR(VLOOKUP($F53,Arrangörslista!M$143:$AG$180,16,FALSE),"DNS")))))),IF(Deltagarlista!$K$3=2,
IF(ISBLANK(Deltagarlista!$C15),"",IF(ISBLANK(Arrangörslista!O$53),"",IF($GV53=AK$64," DNS ",IFERROR(VLOOKUP($F53,Arrangörslista!O$53:$AG$90,16,FALSE),"DNS")))),IF(ISBLANK(Deltagarlista!$C15),"",IF(ISBLANK(Arrangörslista!O$53),"",IFERROR(VLOOKUP($F53,Arrangörslista!O$53:$AG$90,16,FALSE),"DNS")))))</f>
        <v/>
      </c>
      <c r="AL53" s="5" t="str">
        <f>IF(Deltagarlista!$K$3=4,IF(ISBLANK(Deltagarlista!$C15),"",IF(ISBLANK(Arrangörslista!N$143),"",IFERROR(VLOOKUP($F53,Arrangörslista!N$143:$AG$180,16,FALSE),IF(ISBLANK(Deltagarlista!$C15),"",IF(ISBLANK(Arrangörslista!N$143),"",IFERROR(VLOOKUP($F53,Arrangörslista!O$143:$AG$180,16,FALSE),"DNS")))))),IF(Deltagarlista!$K$3=2,
IF(ISBLANK(Deltagarlista!$C15),"",IF(ISBLANK(Arrangörslista!P$53),"",IF($GV53=AL$64," DNS ",IFERROR(VLOOKUP($F53,Arrangörslista!P$53:$AG$90,16,FALSE),"DNS")))),IF(ISBLANK(Deltagarlista!$C15),"",IF(ISBLANK(Arrangörslista!P$53),"",IFERROR(VLOOKUP($F53,Arrangörslista!P$53:$AG$90,16,FALSE),"DNS")))))</f>
        <v/>
      </c>
      <c r="AM53" s="5" t="str">
        <f>IF(Deltagarlista!$K$3=4,IF(ISBLANK(Deltagarlista!$C15),"",IF(ISBLANK(Arrangörslista!P$143),"",IFERROR(VLOOKUP($F53,Arrangörslista!P$143:$AG$180,16,FALSE),IF(ISBLANK(Deltagarlista!$C15),"",IF(ISBLANK(Arrangörslista!P$143),"",IFERROR(VLOOKUP($F53,Arrangörslista!Q$143:$AG$180,16,FALSE),"DNS")))))),IF(Deltagarlista!$K$3=2,
IF(ISBLANK(Deltagarlista!$C15),"",IF(ISBLANK(Arrangörslista!Q$53),"",IF($GV53=AM$64," DNS ",IFERROR(VLOOKUP($F53,Arrangörslista!Q$53:$AG$90,16,FALSE),"DNS")))),IF(ISBLANK(Deltagarlista!$C15),"",IF(ISBLANK(Arrangörslista!Q$53),"",IFERROR(VLOOKUP($F53,Arrangörslista!Q$53:$AG$90,16,FALSE),"DNS")))))</f>
        <v/>
      </c>
      <c r="AN53" s="5" t="str">
        <f>IF(Deltagarlista!$K$3=2,
IF(ISBLANK(Deltagarlista!$C15),"",IF(ISBLANK(Arrangörslista!C$98),"",IF($GV53=AN$64," DNS ",IFERROR(VLOOKUP($F53,Arrangörslista!C$98:$AG$135,16,FALSE), "DNS")))), IF(Deltagarlista!$K$3=1,IF(ISBLANK(Deltagarlista!$C15),"",IF(ISBLANK(Arrangörslista!C$98),"",IFERROR(VLOOKUP($F53,Arrangörslista!C$98:$AG$135,16,FALSE), "DNS"))),""))</f>
        <v/>
      </c>
      <c r="AO53" s="5" t="str">
        <f>IF(Deltagarlista!$K$3=2,
IF(ISBLANK(Deltagarlista!$C15),"",IF(ISBLANK(Arrangörslista!D$98),"",IF($GV53=AO$64," DNS ",IFERROR(VLOOKUP($F53,Arrangörslista!D$98:$AG$135,16,FALSE), "DNS")))), IF(Deltagarlista!$K$3=1,IF(ISBLANK(Deltagarlista!$C15),"",IF(ISBLANK(Arrangörslista!D$98),"",IFERROR(VLOOKUP($F53,Arrangörslista!D$98:$AG$135,16,FALSE), "DNS"))),""))</f>
        <v/>
      </c>
      <c r="AP53" s="5" t="str">
        <f>IF(Deltagarlista!$K$3=2,
IF(ISBLANK(Deltagarlista!$C15),"",IF(ISBLANK(Arrangörslista!E$98),"",IF($GV53=AP$64," DNS ",IFERROR(VLOOKUP($F53,Arrangörslista!E$98:$AG$135,16,FALSE), "DNS")))), IF(Deltagarlista!$K$3=1,IF(ISBLANK(Deltagarlista!$C15),"",IF(ISBLANK(Arrangörslista!E$98),"",IFERROR(VLOOKUP($F53,Arrangörslista!E$98:$AG$135,16,FALSE), "DNS"))),""))</f>
        <v/>
      </c>
      <c r="AQ53" s="5" t="str">
        <f>IF(Deltagarlista!$K$3=2,
IF(ISBLANK(Deltagarlista!$C15),"",IF(ISBLANK(Arrangörslista!F$98),"",IF($GV53=AQ$64," DNS ",IFERROR(VLOOKUP($F53,Arrangörslista!F$98:$AG$135,16,FALSE), "DNS")))), IF(Deltagarlista!$K$3=1,IF(ISBLANK(Deltagarlista!$C15),"",IF(ISBLANK(Arrangörslista!F$98),"",IFERROR(VLOOKUP($F53,Arrangörslista!F$98:$AG$135,16,FALSE), "DNS"))),""))</f>
        <v/>
      </c>
      <c r="AR53" s="5" t="str">
        <f>IF(Deltagarlista!$K$3=2,
IF(ISBLANK(Deltagarlista!$C15),"",IF(ISBLANK(Arrangörslista!G$98),"",IF($GV53=AR$64," DNS ",IFERROR(VLOOKUP($F53,Arrangörslista!G$98:$AG$135,16,FALSE), "DNS")))), IF(Deltagarlista!$K$3=1,IF(ISBLANK(Deltagarlista!$C15),"",IF(ISBLANK(Arrangörslista!G$98),"",IFERROR(VLOOKUP($F53,Arrangörslista!G$98:$AG$135,16,FALSE), "DNS"))),""))</f>
        <v/>
      </c>
      <c r="AS53" s="5" t="str">
        <f>IF(Deltagarlista!$K$3=2,
IF(ISBLANK(Deltagarlista!$C15),"",IF(ISBLANK(Arrangörslista!H$98),"",IF($GV53=AS$64," DNS ",IFERROR(VLOOKUP($F53,Arrangörslista!H$98:$AG$135,16,FALSE), "DNS")))), IF(Deltagarlista!$K$3=1,IF(ISBLANK(Deltagarlista!$C15),"",IF(ISBLANK(Arrangörslista!H$98),"",IFERROR(VLOOKUP($F53,Arrangörslista!H$98:$AG$135,16,FALSE), "DNS"))),""))</f>
        <v/>
      </c>
      <c r="AT53" s="5" t="str">
        <f>IF(Deltagarlista!$K$3=2,
IF(ISBLANK(Deltagarlista!$C15),"",IF(ISBLANK(Arrangörslista!I$98),"",IF($GV53=AT$64," DNS ",IFERROR(VLOOKUP($F53,Arrangörslista!I$98:$AG$135,16,FALSE), "DNS")))), IF(Deltagarlista!$K$3=1,IF(ISBLANK(Deltagarlista!$C15),"",IF(ISBLANK(Arrangörslista!I$98),"",IFERROR(VLOOKUP($F53,Arrangörslista!I$98:$AG$135,16,FALSE), "DNS"))),""))</f>
        <v/>
      </c>
      <c r="AU53" s="5" t="str">
        <f>IF(Deltagarlista!$K$3=2,
IF(ISBLANK(Deltagarlista!$C15),"",IF(ISBLANK(Arrangörslista!J$98),"",IF($GV53=AU$64," DNS ",IFERROR(VLOOKUP($F53,Arrangörslista!J$98:$AG$135,16,FALSE), "DNS")))), IF(Deltagarlista!$K$3=1,IF(ISBLANK(Deltagarlista!$C15),"",IF(ISBLANK(Arrangörslista!J$98),"",IFERROR(VLOOKUP($F53,Arrangörslista!J$98:$AG$135,16,FALSE), "DNS"))),""))</f>
        <v/>
      </c>
      <c r="AV53" s="5" t="str">
        <f>IF(Deltagarlista!$K$3=2,
IF(ISBLANK(Deltagarlista!$C15),"",IF(ISBLANK(Arrangörslista!K$98),"",IF($GV53=AV$64," DNS ",IFERROR(VLOOKUP($F53,Arrangörslista!K$98:$AG$135,16,FALSE), "DNS")))), IF(Deltagarlista!$K$3=1,IF(ISBLANK(Deltagarlista!$C15),"",IF(ISBLANK(Arrangörslista!K$98),"",IFERROR(VLOOKUP($F53,Arrangörslista!K$98:$AG$135,16,FALSE), "DNS"))),""))</f>
        <v/>
      </c>
      <c r="AW53" s="5" t="str">
        <f>IF(Deltagarlista!$K$3=2,
IF(ISBLANK(Deltagarlista!$C15),"",IF(ISBLANK(Arrangörslista!L$98),"",IF($GV53=AW$64," DNS ",IFERROR(VLOOKUP($F53,Arrangörslista!L$98:$AG$135,16,FALSE), "DNS")))), IF(Deltagarlista!$K$3=1,IF(ISBLANK(Deltagarlista!$C15),"",IF(ISBLANK(Arrangörslista!L$98),"",IFERROR(VLOOKUP($F53,Arrangörslista!L$98:$AG$135,16,FALSE), "DNS"))),""))</f>
        <v/>
      </c>
      <c r="AX53" s="5" t="str">
        <f>IF(Deltagarlista!$K$3=2,
IF(ISBLANK(Deltagarlista!$C15),"",IF(ISBLANK(Arrangörslista!M$98),"",IF($GV53=AX$64," DNS ",IFERROR(VLOOKUP($F53,Arrangörslista!M$98:$AG$135,16,FALSE), "DNS")))), IF(Deltagarlista!$K$3=1,IF(ISBLANK(Deltagarlista!$C15),"",IF(ISBLANK(Arrangörslista!M$98),"",IFERROR(VLOOKUP($F53,Arrangörslista!M$98:$AG$135,16,FALSE), "DNS"))),""))</f>
        <v/>
      </c>
      <c r="AY53" s="5" t="str">
        <f>IF(Deltagarlista!$K$3=2,
IF(ISBLANK(Deltagarlista!$C15),"",IF(ISBLANK(Arrangörslista!N$98),"",IF($GV53=AY$64," DNS ",IFERROR(VLOOKUP($F53,Arrangörslista!N$98:$AG$135,16,FALSE), "DNS")))), IF(Deltagarlista!$K$3=1,IF(ISBLANK(Deltagarlista!$C15),"",IF(ISBLANK(Arrangörslista!N$98),"",IFERROR(VLOOKUP($F53,Arrangörslista!N$98:$AG$135,16,FALSE), "DNS"))),""))</f>
        <v/>
      </c>
      <c r="AZ53" s="5" t="str">
        <f>IF(Deltagarlista!$K$3=2,
IF(ISBLANK(Deltagarlista!$C15),"",IF(ISBLANK(Arrangörslista!O$98),"",IF($GV53=AZ$64," DNS ",IFERROR(VLOOKUP($F53,Arrangörslista!O$98:$AG$135,16,FALSE), "DNS")))), IF(Deltagarlista!$K$3=1,IF(ISBLANK(Deltagarlista!$C15),"",IF(ISBLANK(Arrangörslista!O$98),"",IFERROR(VLOOKUP($F53,Arrangörslista!O$98:$AG$135,16,FALSE), "DNS"))),""))</f>
        <v/>
      </c>
      <c r="BA53" s="5" t="str">
        <f>IF(Deltagarlista!$K$3=2,
IF(ISBLANK(Deltagarlista!$C15),"",IF(ISBLANK(Arrangörslista!P$98),"",IF($GV53=BA$64," DNS ",IFERROR(VLOOKUP($F53,Arrangörslista!P$98:$AG$135,16,FALSE), "DNS")))), IF(Deltagarlista!$K$3=1,IF(ISBLANK(Deltagarlista!$C15),"",IF(ISBLANK(Arrangörslista!P$98),"",IFERROR(VLOOKUP($F53,Arrangörslista!P$98:$AG$135,16,FALSE), "DNS"))),""))</f>
        <v/>
      </c>
      <c r="BB53" s="5" t="str">
        <f>IF(Deltagarlista!$K$3=2,
IF(ISBLANK(Deltagarlista!$C15),"",IF(ISBLANK(Arrangörslista!Q$98),"",IF($GV53=BB$64," DNS ",IFERROR(VLOOKUP($F53,Arrangörslista!Q$98:$AG$135,16,FALSE), "DNS")))), IF(Deltagarlista!$K$3=1,IF(ISBLANK(Deltagarlista!$C15),"",IF(ISBLANK(Arrangörslista!Q$98),"",IFERROR(VLOOKUP($F53,Arrangörslista!Q$98:$AG$135,16,FALSE), "DNS"))),""))</f>
        <v/>
      </c>
      <c r="BC53" s="5" t="str">
        <f>IF(Deltagarlista!$K$3=2,
IF(ISBLANK(Deltagarlista!$C15),"",IF(ISBLANK(Arrangörslista!C$143),"",IF($GV53=BC$64," DNS ",IFERROR(VLOOKUP($F53,Arrangörslista!C$143:$AG$180,16,FALSE), "DNS")))), IF(Deltagarlista!$K$3=1,IF(ISBLANK(Deltagarlista!$C15),"",IF(ISBLANK(Arrangörslista!C$143),"",IFERROR(VLOOKUP($F53,Arrangörslista!C$143:$AG$180,16,FALSE), "DNS"))),""))</f>
        <v/>
      </c>
      <c r="BD53" s="5" t="str">
        <f>IF(Deltagarlista!$K$3=2,
IF(ISBLANK(Deltagarlista!$C15),"",IF(ISBLANK(Arrangörslista!D$143),"",IF($GV53=BD$64," DNS ",IFERROR(VLOOKUP($F53,Arrangörslista!D$143:$AG$180,16,FALSE), "DNS")))), IF(Deltagarlista!$K$3=1,IF(ISBLANK(Deltagarlista!$C15),"",IF(ISBLANK(Arrangörslista!D$143),"",IFERROR(VLOOKUP($F53,Arrangörslista!D$143:$AG$180,16,FALSE), "DNS"))),""))</f>
        <v/>
      </c>
      <c r="BE53" s="5" t="str">
        <f>IF(Deltagarlista!$K$3=2,
IF(ISBLANK(Deltagarlista!$C15),"",IF(ISBLANK(Arrangörslista!E$143),"",IF($GV53=BE$64," DNS ",IFERROR(VLOOKUP($F53,Arrangörslista!E$143:$AG$180,16,FALSE), "DNS")))), IF(Deltagarlista!$K$3=1,IF(ISBLANK(Deltagarlista!$C15),"",IF(ISBLANK(Arrangörslista!E$143),"",IFERROR(VLOOKUP($F53,Arrangörslista!E$143:$AG$180,16,FALSE), "DNS"))),""))</f>
        <v/>
      </c>
      <c r="BF53" s="5" t="str">
        <f>IF(Deltagarlista!$K$3=2,
IF(ISBLANK(Deltagarlista!$C15),"",IF(ISBLANK(Arrangörslista!F$143),"",IF($GV53=BF$64," DNS ",IFERROR(VLOOKUP($F53,Arrangörslista!F$143:$AG$180,16,FALSE), "DNS")))), IF(Deltagarlista!$K$3=1,IF(ISBLANK(Deltagarlista!$C15),"",IF(ISBLANK(Arrangörslista!F$143),"",IFERROR(VLOOKUP($F53,Arrangörslista!F$143:$AG$180,16,FALSE), "DNS"))),""))</f>
        <v/>
      </c>
      <c r="BG53" s="5" t="str">
        <f>IF(Deltagarlista!$K$3=2,
IF(ISBLANK(Deltagarlista!$C15),"",IF(ISBLANK(Arrangörslista!G$143),"",IF($GV53=BG$64," DNS ",IFERROR(VLOOKUP($F53,Arrangörslista!G$143:$AG$180,16,FALSE), "DNS")))), IF(Deltagarlista!$K$3=1,IF(ISBLANK(Deltagarlista!$C15),"",IF(ISBLANK(Arrangörslista!G$143),"",IFERROR(VLOOKUP($F53,Arrangörslista!G$143:$AG$180,16,FALSE), "DNS"))),""))</f>
        <v/>
      </c>
      <c r="BH53" s="5" t="str">
        <f>IF(Deltagarlista!$K$3=2,
IF(ISBLANK(Deltagarlista!$C15),"",IF(ISBLANK(Arrangörslista!H$143),"",IF($GV53=BH$64," DNS ",IFERROR(VLOOKUP($F53,Arrangörslista!H$143:$AG$180,16,FALSE), "DNS")))), IF(Deltagarlista!$K$3=1,IF(ISBLANK(Deltagarlista!$C15),"",IF(ISBLANK(Arrangörslista!H$143),"",IFERROR(VLOOKUP($F53,Arrangörslista!H$143:$AG$180,16,FALSE), "DNS"))),""))</f>
        <v/>
      </c>
      <c r="BI53" s="5" t="str">
        <f>IF(Deltagarlista!$K$3=2,
IF(ISBLANK(Deltagarlista!$C15),"",IF(ISBLANK(Arrangörslista!I$143),"",IF($GV53=BI$64," DNS ",IFERROR(VLOOKUP($F53,Arrangörslista!I$143:$AG$180,16,FALSE), "DNS")))), IF(Deltagarlista!$K$3=1,IF(ISBLANK(Deltagarlista!$C15),"",IF(ISBLANK(Arrangörslista!I$143),"",IFERROR(VLOOKUP($F53,Arrangörslista!I$143:$AG$180,16,FALSE), "DNS"))),""))</f>
        <v/>
      </c>
      <c r="BJ53" s="5" t="str">
        <f>IF(Deltagarlista!$K$3=2,
IF(ISBLANK(Deltagarlista!$C15),"",IF(ISBLANK(Arrangörslista!J$143),"",IF($GV53=BJ$64," DNS ",IFERROR(VLOOKUP($F53,Arrangörslista!J$143:$AG$180,16,FALSE), "DNS")))), IF(Deltagarlista!$K$3=1,IF(ISBLANK(Deltagarlista!$C15),"",IF(ISBLANK(Arrangörslista!J$143),"",IFERROR(VLOOKUP($F53,Arrangörslista!J$143:$AG$180,16,FALSE), "DNS"))),""))</f>
        <v/>
      </c>
      <c r="BK53" s="5" t="str">
        <f>IF(Deltagarlista!$K$3=2,
IF(ISBLANK(Deltagarlista!$C15),"",IF(ISBLANK(Arrangörslista!K$143),"",IF($GV53=BK$64," DNS ",IFERROR(VLOOKUP($F53,Arrangörslista!K$143:$AG$180,16,FALSE), "DNS")))), IF(Deltagarlista!$K$3=1,IF(ISBLANK(Deltagarlista!$C15),"",IF(ISBLANK(Arrangörslista!K$143),"",IFERROR(VLOOKUP($F53,Arrangörslista!K$143:$AG$180,16,FALSE), "DNS"))),""))</f>
        <v/>
      </c>
      <c r="BL53" s="5" t="str">
        <f>IF(Deltagarlista!$K$3=2,
IF(ISBLANK(Deltagarlista!$C15),"",IF(ISBLANK(Arrangörslista!L$143),"",IF($GV53=BL$64," DNS ",IFERROR(VLOOKUP($F53,Arrangörslista!L$143:$AG$180,16,FALSE), "DNS")))), IF(Deltagarlista!$K$3=1,IF(ISBLANK(Deltagarlista!$C15),"",IF(ISBLANK(Arrangörslista!L$143),"",IFERROR(VLOOKUP($F53,Arrangörslista!L$143:$AG$180,16,FALSE), "DNS"))),""))</f>
        <v/>
      </c>
      <c r="BM53" s="5" t="str">
        <f>IF(Deltagarlista!$K$3=2,
IF(ISBLANK(Deltagarlista!$C15),"",IF(ISBLANK(Arrangörslista!M$143),"",IF($GV53=BM$64," DNS ",IFERROR(VLOOKUP($F53,Arrangörslista!M$143:$AG$180,16,FALSE), "DNS")))), IF(Deltagarlista!$K$3=1,IF(ISBLANK(Deltagarlista!$C15),"",IF(ISBLANK(Arrangörslista!M$143),"",IFERROR(VLOOKUP($F53,Arrangörslista!M$143:$AG$180,16,FALSE), "DNS"))),""))</f>
        <v/>
      </c>
      <c r="BN53" s="5" t="str">
        <f>IF(Deltagarlista!$K$3=2,
IF(ISBLANK(Deltagarlista!$C15),"",IF(ISBLANK(Arrangörslista!N$143),"",IF($GV53=BN$64," DNS ",IFERROR(VLOOKUP($F53,Arrangörslista!N$143:$AG$180,16,FALSE), "DNS")))), IF(Deltagarlista!$K$3=1,IF(ISBLANK(Deltagarlista!$C15),"",IF(ISBLANK(Arrangörslista!N$143),"",IFERROR(VLOOKUP($F53,Arrangörslista!N$143:$AG$180,16,FALSE), "DNS"))),""))</f>
        <v/>
      </c>
      <c r="BO53" s="5" t="str">
        <f>IF(Deltagarlista!$K$3=2,
IF(ISBLANK(Deltagarlista!$C15),"",IF(ISBLANK(Arrangörslista!O$143),"",IF($GV53=BO$64," DNS ",IFERROR(VLOOKUP($F53,Arrangörslista!O$143:$AG$180,16,FALSE), "DNS")))), IF(Deltagarlista!$K$3=1,IF(ISBLANK(Deltagarlista!$C15),"",IF(ISBLANK(Arrangörslista!O$143),"",IFERROR(VLOOKUP($F53,Arrangörslista!O$143:$AG$180,16,FALSE), "DNS"))),""))</f>
        <v/>
      </c>
      <c r="BP53" s="5" t="str">
        <f>IF(Deltagarlista!$K$3=2,
IF(ISBLANK(Deltagarlista!$C15),"",IF(ISBLANK(Arrangörslista!P$143),"",IF($GV53=BP$64," DNS ",IFERROR(VLOOKUP($F53,Arrangörslista!P$143:$AG$180,16,FALSE), "DNS")))), IF(Deltagarlista!$K$3=1,IF(ISBLANK(Deltagarlista!$C15),"",IF(ISBLANK(Arrangörslista!P$143),"",IFERROR(VLOOKUP($F53,Arrangörslista!P$143:$AG$180,16,FALSE), "DNS"))),""))</f>
        <v/>
      </c>
      <c r="BQ53" s="80" t="str">
        <f>IF(Deltagarlista!$K$3=2,
IF(ISBLANK(Deltagarlista!$C15),"",IF(ISBLANK(Arrangörslista!Q$143),"",IF($GV53=BQ$64," DNS ",IFERROR(VLOOKUP($F53,Arrangörslista!Q$143:$AG$180,16,FALSE), "DNS")))), IF(Deltagarlista!$K$3=1,IF(ISBLANK(Deltagarlista!$C15),"",IF(ISBLANK(Arrangörslista!Q$143),"",IFERROR(VLOOKUP($F53,Arrangörslista!Q$143:$AG$180,16,FALSE), "DNS"))),""))</f>
        <v/>
      </c>
      <c r="BR53" s="51"/>
      <c r="BS53" s="50" t="str">
        <f t="shared" si="125"/>
        <v>2</v>
      </c>
      <c r="BT53" s="51"/>
      <c r="BU53" s="71">
        <f t="shared" si="126"/>
        <v>0</v>
      </c>
      <c r="BV53" s="61">
        <f t="shared" si="127"/>
        <v>0</v>
      </c>
      <c r="BW53" s="61">
        <f t="shared" si="128"/>
        <v>0</v>
      </c>
      <c r="BX53" s="61">
        <f t="shared" si="129"/>
        <v>0</v>
      </c>
      <c r="BY53" s="61">
        <f t="shared" si="130"/>
        <v>0</v>
      </c>
      <c r="BZ53" s="61">
        <f t="shared" si="131"/>
        <v>0</v>
      </c>
      <c r="CA53" s="61">
        <f t="shared" si="132"/>
        <v>0</v>
      </c>
      <c r="CB53" s="61">
        <f t="shared" si="133"/>
        <v>0</v>
      </c>
      <c r="CC53" s="61">
        <f t="shared" si="134"/>
        <v>0</v>
      </c>
      <c r="CD53" s="61">
        <f t="shared" si="135"/>
        <v>0</v>
      </c>
      <c r="CE53" s="61">
        <f t="shared" si="136"/>
        <v>0</v>
      </c>
      <c r="CF53" s="61">
        <f t="shared" si="137"/>
        <v>0</v>
      </c>
      <c r="CG53" s="61">
        <f t="shared" si="138"/>
        <v>0</v>
      </c>
      <c r="CH53" s="61">
        <f t="shared" si="139"/>
        <v>0</v>
      </c>
      <c r="CI53" s="61">
        <f t="shared" si="140"/>
        <v>0</v>
      </c>
      <c r="CJ53" s="61">
        <f t="shared" si="141"/>
        <v>0</v>
      </c>
      <c r="CK53" s="61">
        <f t="shared" si="142"/>
        <v>0</v>
      </c>
      <c r="CL53" s="61">
        <f t="shared" si="143"/>
        <v>0</v>
      </c>
      <c r="CM53" s="61">
        <f t="shared" si="144"/>
        <v>0</v>
      </c>
      <c r="CN53" s="61">
        <f t="shared" si="145"/>
        <v>0</v>
      </c>
      <c r="CO53" s="61">
        <f t="shared" si="146"/>
        <v>0</v>
      </c>
      <c r="CP53" s="61">
        <f t="shared" si="147"/>
        <v>0</v>
      </c>
      <c r="CQ53" s="61">
        <f t="shared" si="148"/>
        <v>0</v>
      </c>
      <c r="CR53" s="61">
        <f t="shared" si="149"/>
        <v>0</v>
      </c>
      <c r="CS53" s="61">
        <f t="shared" si="150"/>
        <v>0</v>
      </c>
      <c r="CT53" s="61">
        <f t="shared" si="151"/>
        <v>0</v>
      </c>
      <c r="CU53" s="61">
        <f t="shared" si="152"/>
        <v>0</v>
      </c>
      <c r="CV53" s="61">
        <f t="shared" si="153"/>
        <v>0</v>
      </c>
      <c r="CW53" s="61">
        <f t="shared" si="154"/>
        <v>0</v>
      </c>
      <c r="CX53" s="61">
        <f t="shared" si="155"/>
        <v>0</v>
      </c>
      <c r="CY53" s="61">
        <f t="shared" si="156"/>
        <v>0</v>
      </c>
      <c r="CZ53" s="61">
        <f t="shared" si="157"/>
        <v>0</v>
      </c>
      <c r="DA53" s="61">
        <f t="shared" si="158"/>
        <v>0</v>
      </c>
      <c r="DB53" s="61">
        <f t="shared" si="159"/>
        <v>0</v>
      </c>
      <c r="DC53" s="61">
        <f t="shared" si="160"/>
        <v>0</v>
      </c>
      <c r="DD53" s="61">
        <f t="shared" si="161"/>
        <v>0</v>
      </c>
      <c r="DE53" s="61">
        <f t="shared" si="162"/>
        <v>0</v>
      </c>
      <c r="DF53" s="61">
        <f t="shared" si="163"/>
        <v>0</v>
      </c>
      <c r="DG53" s="61">
        <f t="shared" si="164"/>
        <v>0</v>
      </c>
      <c r="DH53" s="61">
        <f t="shared" si="165"/>
        <v>0</v>
      </c>
      <c r="DI53" s="61">
        <f t="shared" si="166"/>
        <v>0</v>
      </c>
      <c r="DJ53" s="61">
        <f t="shared" si="167"/>
        <v>0</v>
      </c>
      <c r="DK53" s="61">
        <f t="shared" si="168"/>
        <v>0</v>
      </c>
      <c r="DL53" s="61">
        <f t="shared" si="169"/>
        <v>0</v>
      </c>
      <c r="DM53" s="61">
        <f t="shared" si="170"/>
        <v>0</v>
      </c>
      <c r="DN53" s="61">
        <f t="shared" si="171"/>
        <v>0</v>
      </c>
      <c r="DO53" s="61">
        <f t="shared" si="172"/>
        <v>0</v>
      </c>
      <c r="DP53" s="61">
        <f t="shared" si="173"/>
        <v>0</v>
      </c>
      <c r="DQ53" s="61">
        <f t="shared" si="174"/>
        <v>0</v>
      </c>
      <c r="DR53" s="61">
        <f t="shared" si="175"/>
        <v>0</v>
      </c>
      <c r="DS53" s="61">
        <f t="shared" si="176"/>
        <v>0</v>
      </c>
      <c r="DT53" s="61">
        <f t="shared" si="177"/>
        <v>0</v>
      </c>
      <c r="DU53" s="61">
        <f t="shared" si="178"/>
        <v>0</v>
      </c>
      <c r="DV53" s="61">
        <f t="shared" si="179"/>
        <v>0</v>
      </c>
      <c r="DW53" s="61">
        <f t="shared" si="180"/>
        <v>0</v>
      </c>
      <c r="DX53" s="61">
        <f t="shared" si="181"/>
        <v>0</v>
      </c>
      <c r="DY53" s="61">
        <f t="shared" si="182"/>
        <v>0</v>
      </c>
      <c r="DZ53" s="61">
        <f t="shared" si="183"/>
        <v>0</v>
      </c>
      <c r="EA53" s="61">
        <f t="shared" si="184"/>
        <v>0</v>
      </c>
      <c r="EB53" s="61">
        <f t="shared" si="185"/>
        <v>0</v>
      </c>
      <c r="EC53" s="61">
        <f t="shared" si="186"/>
        <v>0</v>
      </c>
      <c r="EE53" s="61">
        <f xml:space="preserve">
IF(OR(Deltagarlista!$K$3=3,Deltagarlista!$K$3=4),
IF(Arrangörslista!$U$5&lt;8,0,
IF(Arrangörslista!$U$5&lt;16,SUM(LARGE(BV53:CJ53,1)),
IF(Arrangörslista!$U$5&lt;24,SUM(LARGE(BV53:CR53,{1;2})),
IF(Arrangörslista!$U$5&lt;32,SUM(LARGE(BV53:CZ53,{1;2;3})),
IF(Arrangörslista!$U$5&lt;40,SUM(LARGE(BV53:DH53,{1;2;3;4})),
IF(Arrangörslista!$U$5&lt;48,SUM(LARGE(BV53:DP53,{1;2;3;4;5})),
IF(Arrangörslista!$U$5&lt;56,SUM(LARGE(BV53:DX53,{1;2;3;4;5;6})),
IF(Arrangörslista!$U$5&lt;64,SUM(LARGE(BV53:EC53,{1;2;3;4;5;6;7})),0)))))))),
IF(Deltagarlista!$K$3=2,
IF(Arrangörslista!$U$5&lt;4,LARGE(BV53:BX53,1),
IF(Arrangörslista!$U$5&lt;7,SUM(LARGE(BV53:CA53,{1;2;3})),
IF(Arrangörslista!$U$5&lt;10,SUM(LARGE(BV53:CD53,{1;2;3;4})),
IF(Arrangörslista!$U$5&lt;13,SUM(LARGE(BV53:CG53,{1;2;3;4;5;6})),
IF(Arrangörslista!$U$5&lt;16,SUM(LARGE(BV53:CJ53,{1;2;3;4;5;6;7})),
IF(Arrangörslista!$U$5&lt;19,SUM(LARGE(BV53:CM53,{1;2;3;4;5;6;7;8;9})),
IF(Arrangörslista!$U$5&lt;22,SUM(LARGE(BV53:CP53,{1;2;3;4;5;6;7;8;9;10})),
IF(Arrangörslista!$U$5&lt;25,SUM(LARGE(BV53:CS53,{1;2;3;4;5;6;7;8;9;10;11;12})),
IF(Arrangörslista!$U$5&lt;28,SUM(LARGE(BV53:CV53,{1;2;3;4;5;6;7;8;9;10;11;12;13})),
IF(Arrangörslista!$U$5&lt;31,SUM(LARGE(BV53:CY53,{1;2;3;4;5;6;7;8;9;10;11;12;13;14;15})),
IF(Arrangörslista!$U$5&lt;34,SUM(LARGE(BV53:DB53,{1;2;3;4;5;6;7;8;9;10;11;12;13;14;15;16})),
IF(Arrangörslista!$U$5&lt;37,SUM(LARGE(BV53:DE53,{1;2;3;4;5;6;7;8;9;10;11;12;13;14;15;16;17;18})),
IF(Arrangörslista!$U$5&lt;40,SUM(LARGE(BV53:DH53,{1;2;3;4;5;6;7;8;9;10;11;12;13;14;15;16;17;18;19})),
IF(Arrangörslista!$U$5&lt;43,SUM(LARGE(BV53:DK53,{1;2;3;4;5;6;7;8;9;10;11;12;13;14;15;16;17;18;19;20;21})),
IF(Arrangörslista!$U$5&lt;46,SUM(LARGE(BV53:DN53,{1;2;3;4;5;6;7;8;9;10;11;12;13;14;15;16;17;18;19;20;21;22})),
IF(Arrangörslista!$U$5&lt;49,SUM(LARGE(BV53:DQ53,{1;2;3;4;5;6;7;8;9;10;11;12;13;14;15;16;17;18;19;20;21;22;23;24})),
IF(Arrangörslista!$U$5&lt;52,SUM(LARGE(BV53:DT53,{1;2;3;4;5;6;7;8;9;10;11;12;13;14;15;16;17;18;19;20;21;22;23;24;25})),
IF(Arrangörslista!$U$5&lt;55,SUM(LARGE(BV53:DW53,{1;2;3;4;5;6;7;8;9;10;11;12;13;14;15;16;17;18;19;20;21;22;23;24;25;26;27})),
IF(Arrangörslista!$U$5&lt;58,SUM(LARGE(BV53:DZ53,{1;2;3;4;5;6;7;8;9;10;11;12;13;14;15;16;17;18;19;20;21;22;23;24;25;26;27;28})),
IF(Arrangörslista!$U$5&lt;61,SUM(LARGE(BV53:EC53,{1;2;3;4;5;6;7;8;9;10;11;12;13;14;15;16;17;18;19;20;21;22;23;24;25;26;27;28;29;30})),0)))))))))))))))))))),
IF(Arrangörslista!$U$5&lt;4,0,
IF(Arrangörslista!$U$5&lt;8,SUM(LARGE(BV53:CB53,1)),
IF(Arrangörslista!$U$5&lt;12,SUM(LARGE(BV53:CF53,{1;2})),
IF(Arrangörslista!$U$5&lt;16,SUM(LARGE(BV53:CJ53,{1;2;3})),
IF(Arrangörslista!$U$5&lt;20,SUM(LARGE(BV53:CN53,{1;2;3;4})),
IF(Arrangörslista!$U$5&lt;24,SUM(LARGE(BV53:CR53,{1;2;3;4;5})),
IF(Arrangörslista!$U$5&lt;28,SUM(LARGE(BV53:CV53,{1;2;3;4;5;6})),
IF(Arrangörslista!$U$5&lt;32,SUM(LARGE(BV53:CZ53,{1;2;3;4;5;6;7})),
IF(Arrangörslista!$U$5&lt;36,SUM(LARGE(BV53:DD53,{1;2;3;4;5;6;7;8})),
IF(Arrangörslista!$U$5&lt;40,SUM(LARGE(BV53:DH53,{1;2;3;4;5;6;7;8;9})),
IF(Arrangörslista!$U$5&lt;44,SUM(LARGE(BV53:DL53,{1;2;3;4;5;6;7;8;9;10})),
IF(Arrangörslista!$U$5&lt;48,SUM(LARGE(BV53:DP53,{1;2;3;4;5;6;7;8;9;10;11})),
IF(Arrangörslista!$U$5&lt;52,SUM(LARGE(BV53:DT53,{1;2;3;4;5;6;7;8;9;10;11;12})),
IF(Arrangörslista!$U$5&lt;56,SUM(LARGE(BV53:DX53,{1;2;3;4;5;6;7;8;9;10;11;12;13})),
IF(Arrangörslista!$U$5&lt;60,SUM(LARGE(BV53:EB53,{1;2;3;4;5;6;7;8;9;10;11;12;13;14})),
IF(Arrangörslista!$U$5=60,SUM(LARGE(BV53:EC53,{1;2;3;4;5;6;7;8;9;10;11;12;13;14;15})),0))))))))))))))))))</f>
        <v>0</v>
      </c>
      <c r="EG53" s="67">
        <f t="shared" si="187"/>
        <v>0</v>
      </c>
      <c r="EH53" s="61"/>
      <c r="EI53" s="61"/>
      <c r="EK53" s="62">
        <f t="shared" si="188"/>
        <v>61</v>
      </c>
      <c r="EL53" s="62">
        <f t="shared" si="189"/>
        <v>61</v>
      </c>
      <c r="EM53" s="62">
        <f t="shared" si="190"/>
        <v>61</v>
      </c>
      <c r="EN53" s="62">
        <f t="shared" si="191"/>
        <v>61</v>
      </c>
      <c r="EO53" s="62">
        <f t="shared" si="192"/>
        <v>61</v>
      </c>
      <c r="EP53" s="62">
        <f t="shared" si="193"/>
        <v>61</v>
      </c>
      <c r="EQ53" s="62">
        <f t="shared" si="194"/>
        <v>61</v>
      </c>
      <c r="ER53" s="62">
        <f t="shared" si="195"/>
        <v>61</v>
      </c>
      <c r="ES53" s="62">
        <f t="shared" si="196"/>
        <v>61</v>
      </c>
      <c r="ET53" s="62">
        <f t="shared" si="197"/>
        <v>61</v>
      </c>
      <c r="EU53" s="62">
        <f t="shared" si="198"/>
        <v>61</v>
      </c>
      <c r="EV53" s="62">
        <f t="shared" si="199"/>
        <v>61</v>
      </c>
      <c r="EW53" s="62">
        <f t="shared" si="200"/>
        <v>61</v>
      </c>
      <c r="EX53" s="62">
        <f t="shared" si="201"/>
        <v>61</v>
      </c>
      <c r="EY53" s="62">
        <f t="shared" si="202"/>
        <v>61</v>
      </c>
      <c r="EZ53" s="62">
        <f t="shared" si="203"/>
        <v>61</v>
      </c>
      <c r="FA53" s="62">
        <f t="shared" si="204"/>
        <v>61</v>
      </c>
      <c r="FB53" s="62">
        <f t="shared" si="205"/>
        <v>61</v>
      </c>
      <c r="FC53" s="62">
        <f t="shared" si="206"/>
        <v>61</v>
      </c>
      <c r="FD53" s="62">
        <f t="shared" si="207"/>
        <v>61</v>
      </c>
      <c r="FE53" s="62">
        <f t="shared" si="208"/>
        <v>61</v>
      </c>
      <c r="FF53" s="62">
        <f t="shared" si="209"/>
        <v>61</v>
      </c>
      <c r="FG53" s="62">
        <f t="shared" si="210"/>
        <v>61</v>
      </c>
      <c r="FH53" s="62">
        <f t="shared" si="211"/>
        <v>61</v>
      </c>
      <c r="FI53" s="62">
        <f t="shared" si="212"/>
        <v>61</v>
      </c>
      <c r="FJ53" s="62">
        <f t="shared" si="213"/>
        <v>61</v>
      </c>
      <c r="FK53" s="62">
        <f t="shared" si="214"/>
        <v>61</v>
      </c>
      <c r="FL53" s="62">
        <f t="shared" si="215"/>
        <v>61</v>
      </c>
      <c r="FM53" s="62">
        <f t="shared" si="216"/>
        <v>61</v>
      </c>
      <c r="FN53" s="62">
        <f t="shared" si="217"/>
        <v>61</v>
      </c>
      <c r="FO53" s="62">
        <f t="shared" si="218"/>
        <v>61</v>
      </c>
      <c r="FP53" s="62">
        <f t="shared" si="219"/>
        <v>61</v>
      </c>
      <c r="FQ53" s="62">
        <f t="shared" si="220"/>
        <v>61</v>
      </c>
      <c r="FR53" s="62">
        <f t="shared" si="221"/>
        <v>61</v>
      </c>
      <c r="FS53" s="62">
        <f t="shared" si="222"/>
        <v>61</v>
      </c>
      <c r="FT53" s="62">
        <f t="shared" si="223"/>
        <v>61</v>
      </c>
      <c r="FU53" s="62">
        <f t="shared" si="224"/>
        <v>61</v>
      </c>
      <c r="FV53" s="62">
        <f t="shared" si="225"/>
        <v>61</v>
      </c>
      <c r="FW53" s="62">
        <f t="shared" si="226"/>
        <v>61</v>
      </c>
      <c r="FX53" s="62">
        <f t="shared" si="227"/>
        <v>61</v>
      </c>
      <c r="FY53" s="62">
        <f t="shared" si="228"/>
        <v>61</v>
      </c>
      <c r="FZ53" s="62">
        <f t="shared" si="229"/>
        <v>61</v>
      </c>
      <c r="GA53" s="62">
        <f t="shared" si="230"/>
        <v>61</v>
      </c>
      <c r="GB53" s="62">
        <f t="shared" si="231"/>
        <v>61</v>
      </c>
      <c r="GC53" s="62">
        <f t="shared" si="232"/>
        <v>61</v>
      </c>
      <c r="GD53" s="62">
        <f t="shared" si="233"/>
        <v>61</v>
      </c>
      <c r="GE53" s="62">
        <f t="shared" si="234"/>
        <v>61</v>
      </c>
      <c r="GF53" s="62">
        <f t="shared" si="235"/>
        <v>61</v>
      </c>
      <c r="GG53" s="62">
        <f t="shared" si="236"/>
        <v>61</v>
      </c>
      <c r="GH53" s="62">
        <f t="shared" si="237"/>
        <v>61</v>
      </c>
      <c r="GI53" s="62">
        <f t="shared" si="238"/>
        <v>61</v>
      </c>
      <c r="GJ53" s="62">
        <f t="shared" si="239"/>
        <v>61</v>
      </c>
      <c r="GK53" s="62">
        <f t="shared" si="240"/>
        <v>61</v>
      </c>
      <c r="GL53" s="62">
        <f t="shared" si="241"/>
        <v>61</v>
      </c>
      <c r="GM53" s="62">
        <f t="shared" si="242"/>
        <v>61</v>
      </c>
      <c r="GN53" s="62">
        <f t="shared" si="243"/>
        <v>61</v>
      </c>
      <c r="GO53" s="62">
        <f t="shared" si="244"/>
        <v>61</v>
      </c>
      <c r="GP53" s="62">
        <f t="shared" si="245"/>
        <v>61</v>
      </c>
      <c r="GQ53" s="62">
        <f t="shared" si="246"/>
        <v>61</v>
      </c>
      <c r="GR53" s="62">
        <f t="shared" si="247"/>
        <v>61</v>
      </c>
      <c r="GT53" s="62">
        <f>IF(Deltagarlista!$K$3=2,
IF(GW53="1",
      IF(Arrangörslista!$U$5=1,J116,
IF(Arrangörslista!$U$5=2,K116,
IF(Arrangörslista!$U$5=3,L116,
IF(Arrangörslista!$U$5=4,M116,
IF(Arrangörslista!$U$5=5,N116,
IF(Arrangörslista!$U$5=6,O116,
IF(Arrangörslista!$U$5=7,P116,
IF(Arrangörslista!$U$5=8,Q116,
IF(Arrangörslista!$U$5=9,R116,
IF(Arrangörslista!$U$5=10,S116,
IF(Arrangörslista!$U$5=11,T116,
IF(Arrangörslista!$U$5=12,U116,
IF(Arrangörslista!$U$5=13,V116,
IF(Arrangörslista!$U$5=14,W116,
IF(Arrangörslista!$U$5=15,X116,
IF(Arrangörslista!$U$5=16,Y116,IF(Arrangörslista!$U$5=17,Z116,IF(Arrangörslista!$U$5=18,AA116,IF(Arrangörslista!$U$5=19,AB116,IF(Arrangörslista!$U$5=20,AC116,IF(Arrangörslista!$U$5=21,AD116,IF(Arrangörslista!$U$5=22,AE116,IF(Arrangörslista!$U$5=23,AF116, IF(Arrangörslista!$U$5=24,AG116, IF(Arrangörslista!$U$5=25,AH116, IF(Arrangörslista!$U$5=26,AI116, IF(Arrangörslista!$U$5=27,AJ116, IF(Arrangörslista!$U$5=28,AK116, IF(Arrangörslista!$U$5=29,AL116, IF(Arrangörslista!$U$5=30,AM116, IF(Arrangörslista!$U$5=31,AN116, IF(Arrangörslista!$U$5=32,AO116, IF(Arrangörslista!$U$5=33,AP116, IF(Arrangörslista!$U$5=34,AQ116, IF(Arrangörslista!$U$5=35,AR116, IF(Arrangörslista!$U$5=36,AS116, IF(Arrangörslista!$U$5=37,AT116, IF(Arrangörslista!$U$5=38,AU116, IF(Arrangörslista!$U$5=39,AV116, IF(Arrangörslista!$U$5=40,AW116, IF(Arrangörslista!$U$5=41,AX116, IF(Arrangörslista!$U$5=42,AY116, IF(Arrangörslista!$U$5=43,AZ116, IF(Arrangörslista!$U$5=44,BA116, IF(Arrangörslista!$U$5=45,BB116, IF(Arrangörslista!$U$5=46,BC116, IF(Arrangörslista!$U$5=47,BD116, IF(Arrangörslista!$U$5=48,BE116, IF(Arrangörslista!$U$5=49,BF116, IF(Arrangörslista!$U$5=50,BG116, IF(Arrangörslista!$U$5=51,BH116, IF(Arrangörslista!$U$5=52,BI116, IF(Arrangörslista!$U$5=53,BJ116, IF(Arrangörslista!$U$5=54,BK116, IF(Arrangörslista!$U$5=55,BL116, IF(Arrangörslista!$U$5=56,BM116, IF(Arrangörslista!$U$5=57,BN116, IF(Arrangörslista!$U$5=58,BO116, IF(Arrangörslista!$U$5=59,BP116, IF(Arrangörslista!$U$5=60,BQ116,0))))))))))))))))))))))))))))))))))))))))))))))))))))))))))))),IF(Deltagarlista!$K$3=4, IF(Arrangörslista!$U$5=1,J116,
IF(Arrangörslista!$U$5=2,J116,
IF(Arrangörslista!$U$5=3,K116,
IF(Arrangörslista!$U$5=4,K116,
IF(Arrangörslista!$U$5=5,L116,
IF(Arrangörslista!$U$5=6,L116,
IF(Arrangörslista!$U$5=7,M116,
IF(Arrangörslista!$U$5=8,M116,
IF(Arrangörslista!$U$5=9,N116,
IF(Arrangörslista!$U$5=10,N116,
IF(Arrangörslista!$U$5=11,O116,
IF(Arrangörslista!$U$5=12,O116,
IF(Arrangörslista!$U$5=13,P116,
IF(Arrangörslista!$U$5=14,P116,
IF(Arrangörslista!$U$5=15,Q116,
IF(Arrangörslista!$U$5=16,Q116,
IF(Arrangörslista!$U$5=17,R116,
IF(Arrangörslista!$U$5=18,R116,
IF(Arrangörslista!$U$5=19,S116,
IF(Arrangörslista!$U$5=20,S116,
IF(Arrangörslista!$U$5=21,T116,
IF(Arrangörslista!$U$5=22,T116,IF(Arrangörslista!$U$5=23,U116, IF(Arrangörslista!$U$5=24,U116, IF(Arrangörslista!$U$5=25,V116, IF(Arrangörslista!$U$5=26,V116, IF(Arrangörslista!$U$5=27,W116, IF(Arrangörslista!$U$5=28,W116, IF(Arrangörslista!$U$5=29,X116, IF(Arrangörslista!$U$5=30,X116, IF(Arrangörslista!$U$5=31,X116, IF(Arrangörslista!$U$5=32,Y116, IF(Arrangörslista!$U$5=33,AO116, IF(Arrangörslista!$U$5=34,Y116, IF(Arrangörslista!$U$5=35,Z116, IF(Arrangörslista!$U$5=36,AR116, IF(Arrangörslista!$U$5=37,Z116, IF(Arrangörslista!$U$5=38,AA116, IF(Arrangörslista!$U$5=39,AU116, IF(Arrangörslista!$U$5=40,AA116, IF(Arrangörslista!$U$5=41,AB116, IF(Arrangörslista!$U$5=42,AX116, IF(Arrangörslista!$U$5=43,AB116, IF(Arrangörslista!$U$5=44,AC116, IF(Arrangörslista!$U$5=45,BA116, IF(Arrangörslista!$U$5=46,AC116, IF(Arrangörslista!$U$5=47,AD116, IF(Arrangörslista!$U$5=48,BD116, IF(Arrangörslista!$U$5=49,AD116, IF(Arrangörslista!$U$5=50,AE116, IF(Arrangörslista!$U$5=51,BG116, IF(Arrangörslista!$U$5=52,AE116, IF(Arrangörslista!$U$5=53,AF116, IF(Arrangörslista!$U$5=54,BJ116, IF(Arrangörslista!$U$5=55,AF116, IF(Arrangörslista!$U$5=56,AG116, IF(Arrangörslista!$U$5=57,BM116, IF(Arrangörslista!$U$5=58,AG116, IF(Arrangörslista!$U$5=59,AH116, IF(Arrangörslista!$U$5=60,AH116,0)))))))))))))))))))))))))))))))))))))))))))))))))))))))))))),IF(Arrangörslista!$U$5=1,J116,
IF(Arrangörslista!$U$5=2,K116,
IF(Arrangörslista!$U$5=3,L116,
IF(Arrangörslista!$U$5=4,M116,
IF(Arrangörslista!$U$5=5,N116,
IF(Arrangörslista!$U$5=6,O116,
IF(Arrangörslista!$U$5=7,P116,
IF(Arrangörslista!$U$5=8,Q116,
IF(Arrangörslista!$U$5=9,R116,
IF(Arrangörslista!$U$5=10,S116,
IF(Arrangörslista!$U$5=11,T116,
IF(Arrangörslista!$U$5=12,U116,
IF(Arrangörslista!$U$5=13,V116,
IF(Arrangörslista!$U$5=14,W116,
IF(Arrangörslista!$U$5=15,X116,
IF(Arrangörslista!$U$5=16,Y116,IF(Arrangörslista!$U$5=17,Z116,IF(Arrangörslista!$U$5=18,AA116,IF(Arrangörslista!$U$5=19,AB116,IF(Arrangörslista!$U$5=20,AC116,IF(Arrangörslista!$U$5=21,AD116,IF(Arrangörslista!$U$5=22,AE116,IF(Arrangörslista!$U$5=23,AF116, IF(Arrangörslista!$U$5=24,AG116, IF(Arrangörslista!$U$5=25,AH116, IF(Arrangörslista!$U$5=26,AI116, IF(Arrangörslista!$U$5=27,AJ116, IF(Arrangörslista!$U$5=28,AK116, IF(Arrangörslista!$U$5=29,AL116, IF(Arrangörslista!$U$5=30,AM116, IF(Arrangörslista!$U$5=31,AN116, IF(Arrangörslista!$U$5=32,AO116, IF(Arrangörslista!$U$5=33,AP116, IF(Arrangörslista!$U$5=34,AQ116, IF(Arrangörslista!$U$5=35,AR116, IF(Arrangörslista!$U$5=36,AS116, IF(Arrangörslista!$U$5=37,AT116, IF(Arrangörslista!$U$5=38,AU116, IF(Arrangörslista!$U$5=39,AV116, IF(Arrangörslista!$U$5=40,AW116, IF(Arrangörslista!$U$5=41,AX116, IF(Arrangörslista!$U$5=42,AY116, IF(Arrangörslista!$U$5=43,AZ116, IF(Arrangörslista!$U$5=44,BA116, IF(Arrangörslista!$U$5=45,BB116, IF(Arrangörslista!$U$5=46,BC116, IF(Arrangörslista!$U$5=47,BD116, IF(Arrangörslista!$U$5=48,BE116, IF(Arrangörslista!$U$5=49,BF116, IF(Arrangörslista!$U$5=50,BG116, IF(Arrangörslista!$U$5=51,BH116, IF(Arrangörslista!$U$5=52,BI116, IF(Arrangörslista!$U$5=53,BJ116, IF(Arrangörslista!$U$5=54,BK116, IF(Arrangörslista!$U$5=55,BL116, IF(Arrangörslista!$U$5=56,BM116, IF(Arrangörslista!$U$5=57,BN116, IF(Arrangörslista!$U$5=58,BO116, IF(Arrangörslista!$U$5=59,BP116, IF(Arrangörslista!$U$5=60,BQ116,0))))))))))))))))))))))))))))))))))))))))))))))))))))))))))))
))</f>
        <v>0</v>
      </c>
      <c r="GV53" s="65" t="str">
        <f>IFERROR(IF(VLOOKUP(F53,Deltagarlista!$E$5:$I$64,5,FALSE)="Grön","Gr",IF(VLOOKUP(F53,Deltagarlista!$E$5:$I$64,5,FALSE)="Röd","R",IF(VLOOKUP(F53,Deltagarlista!$E$5:$I$64,5,FALSE)="Blå","B","Gu"))),"")</f>
        <v/>
      </c>
      <c r="GW53" s="62" t="str">
        <f t="shared" si="124"/>
        <v/>
      </c>
    </row>
    <row r="54" spans="2:205" ht="15.75" customHeight="1" x14ac:dyDescent="0.3">
      <c r="B54" s="23" t="str">
        <f>IF((COUNTIF(Deltagarlista!$H$5:$H$64,"GM"))&gt;50,51,"")</f>
        <v/>
      </c>
      <c r="C54" s="92" t="str">
        <f>IF(ISBLANK(Deltagarlista!C9),"",Deltagarlista!C9)</f>
        <v/>
      </c>
      <c r="D54" s="109" t="str">
        <f>CONCATENATE(IF(Deltagarlista!H9="GM","GM   ",""), IF(OR(Deltagarlista!$K$3=4,Deltagarlista!$K$3=2),Deltagarlista!I9,""))</f>
        <v/>
      </c>
      <c r="E54" s="8" t="str">
        <f>IF(ISBLANK(Deltagarlista!D9),"",Deltagarlista!D9)</f>
        <v/>
      </c>
      <c r="F54" s="8" t="str">
        <f>IF(ISBLANK(Deltagarlista!E9),"",Deltagarlista!E9)</f>
        <v/>
      </c>
      <c r="G54" s="95" t="str">
        <f>IF(ISBLANK(Deltagarlista!F9),"",Deltagarlista!F9)</f>
        <v/>
      </c>
      <c r="H54" s="72" t="str">
        <f>IF(ISBLANK(Deltagarlista!C9),"",BU54-EE54)</f>
        <v/>
      </c>
      <c r="I54" s="13" t="str">
        <f>IF(ISBLANK(Deltagarlista!C9),"",IF(AND(Deltagarlista!$K$3=2,Deltagarlista!$L$3&lt;37),SUM(SUM(BV54:EC54)-(ROUNDDOWN(Arrangörslista!$U$5/3,1))*($BW$3+1)),SUM(BV54:EC54)))</f>
        <v/>
      </c>
      <c r="J54" s="79" t="str">
        <f>IF(Deltagarlista!$K$3=4,IF(ISBLANK(Deltagarlista!$C9),"",IF(ISBLANK(Arrangörslista!C$8),"",IFERROR(VLOOKUP($F54,Arrangörslista!C$8:$AG$45,16,FALSE),IF(ISBLANK(Deltagarlista!$C9),"",IF(ISBLANK(Arrangörslista!C$8),"",IFERROR(VLOOKUP($F54,Arrangörslista!D$8:$AG$45,16,FALSE),"DNS")))))),IF(Deltagarlista!$K$3=2,
IF(ISBLANK(Deltagarlista!$C9),"",IF(ISBLANK(Arrangörslista!C$8),"",IF($GV54=J$64," DNS ",IFERROR(VLOOKUP($F54,Arrangörslista!C$8:$AG$45,16,FALSE),"DNS")))),IF(ISBLANK(Deltagarlista!$C9),"",IF(ISBLANK(Arrangörslista!C$8),"",IFERROR(VLOOKUP($F54,Arrangörslista!C$8:$AG$45,16,FALSE),"DNS")))))</f>
        <v/>
      </c>
      <c r="K54" s="5" t="str">
        <f>IF(Deltagarlista!$K$3=4,IF(ISBLANK(Deltagarlista!$C9),"",IF(ISBLANK(Arrangörslista!E$8),"",IFERROR(VLOOKUP($F54,Arrangörslista!E$8:$AG$45,16,FALSE),IF(ISBLANK(Deltagarlista!$C9),"",IF(ISBLANK(Arrangörslista!E$8),"",IFERROR(VLOOKUP($F54,Arrangörslista!F$8:$AG$45,16,FALSE),"DNS")))))),IF(Deltagarlista!$K$3=2,
IF(ISBLANK(Deltagarlista!$C9),"",IF(ISBLANK(Arrangörslista!D$8),"",IF($GV54=K$64," DNS ",IFERROR(VLOOKUP($F54,Arrangörslista!D$8:$AG$45,16,FALSE),"DNS")))),IF(ISBLANK(Deltagarlista!$C9),"",IF(ISBLANK(Arrangörslista!D$8),"",IFERROR(VLOOKUP($F54,Arrangörslista!D$8:$AG$45,16,FALSE),"DNS")))))</f>
        <v/>
      </c>
      <c r="L54" s="5" t="str">
        <f>IF(Deltagarlista!$K$3=4,IF(ISBLANK(Deltagarlista!$C9),"",IF(ISBLANK(Arrangörslista!G$8),"",IFERROR(VLOOKUP($F54,Arrangörslista!G$8:$AG$45,16,FALSE),IF(ISBLANK(Deltagarlista!$C9),"",IF(ISBLANK(Arrangörslista!G$8),"",IFERROR(VLOOKUP($F54,Arrangörslista!H$8:$AG$45,16,FALSE),"DNS")))))),IF(Deltagarlista!$K$3=2,
IF(ISBLANK(Deltagarlista!$C9),"",IF(ISBLANK(Arrangörslista!E$8),"",IF($GV54=L$64," DNS ",IFERROR(VLOOKUP($F54,Arrangörslista!E$8:$AG$45,16,FALSE),"DNS")))),IF(ISBLANK(Deltagarlista!$C9),"",IF(ISBLANK(Arrangörslista!E$8),"",IFERROR(VLOOKUP($F54,Arrangörslista!E$8:$AG$45,16,FALSE),"DNS")))))</f>
        <v/>
      </c>
      <c r="M54" s="5" t="str">
        <f>IF(Deltagarlista!$K$3=4,IF(ISBLANK(Deltagarlista!$C9),"",IF(ISBLANK(Arrangörslista!I$8),"",IFERROR(VLOOKUP($F54,Arrangörslista!I$8:$AG$45,16,FALSE),IF(ISBLANK(Deltagarlista!$C9),"",IF(ISBLANK(Arrangörslista!I$8),"",IFERROR(VLOOKUP($F54,Arrangörslista!J$8:$AG$45,16,FALSE),"DNS")))))),IF(Deltagarlista!$K$3=2,
IF(ISBLANK(Deltagarlista!$C9),"",IF(ISBLANK(Arrangörslista!F$8),"",IF($GV54=M$64," DNS ",IFERROR(VLOOKUP($F54,Arrangörslista!F$8:$AG$45,16,FALSE),"DNS")))),IF(ISBLANK(Deltagarlista!$C9),"",IF(ISBLANK(Arrangörslista!F$8),"",IFERROR(VLOOKUP($F54,Arrangörslista!F$8:$AG$45,16,FALSE),"DNS")))))</f>
        <v/>
      </c>
      <c r="N54" s="5" t="str">
        <f>IF(Deltagarlista!$K$3=4,IF(ISBLANK(Deltagarlista!$C9),"",IF(ISBLANK(Arrangörslista!K$8),"",IFERROR(VLOOKUP($F54,Arrangörslista!K$8:$AG$45,16,FALSE),IF(ISBLANK(Deltagarlista!$C9),"",IF(ISBLANK(Arrangörslista!K$8),"",IFERROR(VLOOKUP($F54,Arrangörslista!L$8:$AG$45,16,FALSE),"DNS")))))),IF(Deltagarlista!$K$3=2,
IF(ISBLANK(Deltagarlista!$C9),"",IF(ISBLANK(Arrangörslista!G$8),"",IF($GV54=N$64," DNS ",IFERROR(VLOOKUP($F54,Arrangörslista!G$8:$AG$45,16,FALSE),"DNS")))),IF(ISBLANK(Deltagarlista!$C9),"",IF(ISBLANK(Arrangörslista!G$8),"",IFERROR(VLOOKUP($F54,Arrangörslista!G$8:$AG$45,16,FALSE),"DNS")))))</f>
        <v/>
      </c>
      <c r="O54" s="5" t="str">
        <f>IF(Deltagarlista!$K$3=4,IF(ISBLANK(Deltagarlista!$C9),"",IF(ISBLANK(Arrangörslista!M$8),"",IFERROR(VLOOKUP($F54,Arrangörslista!M$8:$AG$45,16,FALSE),IF(ISBLANK(Deltagarlista!$C9),"",IF(ISBLANK(Arrangörslista!M$8),"",IFERROR(VLOOKUP($F54,Arrangörslista!N$8:$AG$45,16,FALSE),"DNS")))))),IF(Deltagarlista!$K$3=2,
IF(ISBLANK(Deltagarlista!$C9),"",IF(ISBLANK(Arrangörslista!H$8),"",IF($GV54=O$64," DNS ",IFERROR(VLOOKUP($F54,Arrangörslista!H$8:$AG$45,16,FALSE),"DNS")))),IF(ISBLANK(Deltagarlista!$C9),"",IF(ISBLANK(Arrangörslista!H$8),"",IFERROR(VLOOKUP($F54,Arrangörslista!H$8:$AG$45,16,FALSE),"DNS")))))</f>
        <v/>
      </c>
      <c r="P54" s="5" t="str">
        <f>IF(Deltagarlista!$K$3=4,IF(ISBLANK(Deltagarlista!$C9),"",IF(ISBLANK(Arrangörslista!O$8),"",IFERROR(VLOOKUP($F54,Arrangörslista!O$8:$AG$45,16,FALSE),IF(ISBLANK(Deltagarlista!$C9),"",IF(ISBLANK(Arrangörslista!O$8),"",IFERROR(VLOOKUP($F54,Arrangörslista!P$8:$AG$45,16,FALSE),"DNS")))))),IF(Deltagarlista!$K$3=2,
IF(ISBLANK(Deltagarlista!$C9),"",IF(ISBLANK(Arrangörslista!I$8),"",IF($GV54=P$64," DNS ",IFERROR(VLOOKUP($F54,Arrangörslista!I$8:$AG$45,16,FALSE),"DNS")))),IF(ISBLANK(Deltagarlista!$C9),"",IF(ISBLANK(Arrangörslista!I$8),"",IFERROR(VLOOKUP($F54,Arrangörslista!I$8:$AG$45,16,FALSE),"DNS")))))</f>
        <v/>
      </c>
      <c r="Q54" s="5" t="str">
        <f>IF(Deltagarlista!$K$3=4,IF(ISBLANK(Deltagarlista!$C9),"",IF(ISBLANK(Arrangörslista!Q$8),"",IFERROR(VLOOKUP($F54,Arrangörslista!Q$8:$AG$45,16,FALSE),IF(ISBLANK(Deltagarlista!$C9),"",IF(ISBLANK(Arrangörslista!Q$8),"",IFERROR(VLOOKUP($F54,Arrangörslista!C$53:$AG$90,16,FALSE),"DNS")))))),IF(Deltagarlista!$K$3=2,
IF(ISBLANK(Deltagarlista!$C9),"",IF(ISBLANK(Arrangörslista!J$8),"",IF($GV54=Q$64," DNS ",IFERROR(VLOOKUP($F54,Arrangörslista!J$8:$AG$45,16,FALSE),"DNS")))),IF(ISBLANK(Deltagarlista!$C9),"",IF(ISBLANK(Arrangörslista!J$8),"",IFERROR(VLOOKUP($F54,Arrangörslista!J$8:$AG$45,16,FALSE),"DNS")))))</f>
        <v/>
      </c>
      <c r="R54" s="5" t="str">
        <f>IF(Deltagarlista!$K$3=4,IF(ISBLANK(Deltagarlista!$C9),"",IF(ISBLANK(Arrangörslista!D$53),"",IFERROR(VLOOKUP($F54,Arrangörslista!D$53:$AG$90,16,FALSE),IF(ISBLANK(Deltagarlista!$C9),"",IF(ISBLANK(Arrangörslista!D$53),"",IFERROR(VLOOKUP($F54,Arrangörslista!E$53:$AG$90,16,FALSE),"DNS")))))),IF(Deltagarlista!$K$3=2,
IF(ISBLANK(Deltagarlista!$C9),"",IF(ISBLANK(Arrangörslista!K$8),"",IF($GV54=R$64," DNS ",IFERROR(VLOOKUP($F54,Arrangörslista!K$8:$AG$45,16,FALSE),"DNS")))),IF(ISBLANK(Deltagarlista!$C9),"",IF(ISBLANK(Arrangörslista!K$8),"",IFERROR(VLOOKUP($F54,Arrangörslista!K$8:$AG$45,16,FALSE),"DNS")))))</f>
        <v/>
      </c>
      <c r="S54" s="5" t="str">
        <f>IF(Deltagarlista!$K$3=4,IF(ISBLANK(Deltagarlista!$C9),"",IF(ISBLANK(Arrangörslista!F$53),"",IFERROR(VLOOKUP($F54,Arrangörslista!F$53:$AG$90,16,FALSE),IF(ISBLANK(Deltagarlista!$C9),"",IF(ISBLANK(Arrangörslista!F$53),"",IFERROR(VLOOKUP($F54,Arrangörslista!G$53:$AG$90,16,FALSE),"DNS")))))),IF(Deltagarlista!$K$3=2,
IF(ISBLANK(Deltagarlista!$C9),"",IF(ISBLANK(Arrangörslista!L$8),"",IF($GV54=S$64," DNS ",IFERROR(VLOOKUP($F54,Arrangörslista!L$8:$AG$45,16,FALSE),"DNS")))),IF(ISBLANK(Deltagarlista!$C9),"",IF(ISBLANK(Arrangörslista!L$8),"",IFERROR(VLOOKUP($F54,Arrangörslista!L$8:$AG$45,16,FALSE),"DNS")))))</f>
        <v/>
      </c>
      <c r="T54" s="5" t="str">
        <f>IF(Deltagarlista!$K$3=4,IF(ISBLANK(Deltagarlista!$C9),"",IF(ISBLANK(Arrangörslista!H$53),"",IFERROR(VLOOKUP($F54,Arrangörslista!H$53:$AG$90,16,FALSE),IF(ISBLANK(Deltagarlista!$C9),"",IF(ISBLANK(Arrangörslista!H$53),"",IFERROR(VLOOKUP($F54,Arrangörslista!I$53:$AG$90,16,FALSE),"DNS")))))),IF(Deltagarlista!$K$3=2,
IF(ISBLANK(Deltagarlista!$C9),"",IF(ISBLANK(Arrangörslista!M$8),"",IF($GV54=T$64," DNS ",IFERROR(VLOOKUP($F54,Arrangörslista!M$8:$AG$45,16,FALSE),"DNS")))),IF(ISBLANK(Deltagarlista!$C9),"",IF(ISBLANK(Arrangörslista!M$8),"",IFERROR(VLOOKUP($F54,Arrangörslista!M$8:$AG$45,16,FALSE),"DNS")))))</f>
        <v/>
      </c>
      <c r="U54" s="5" t="str">
        <f>IF(Deltagarlista!$K$3=4,IF(ISBLANK(Deltagarlista!$C9),"",IF(ISBLANK(Arrangörslista!J$53),"",IFERROR(VLOOKUP($F54,Arrangörslista!J$53:$AG$90,16,FALSE),IF(ISBLANK(Deltagarlista!$C9),"",IF(ISBLANK(Arrangörslista!J$53),"",IFERROR(VLOOKUP($F54,Arrangörslista!K$53:$AG$90,16,FALSE),"DNS")))))),IF(Deltagarlista!$K$3=2,
IF(ISBLANK(Deltagarlista!$C9),"",IF(ISBLANK(Arrangörslista!N$8),"",IF($GV54=U$64," DNS ",IFERROR(VLOOKUP($F54,Arrangörslista!N$8:$AG$45,16,FALSE),"DNS")))),IF(ISBLANK(Deltagarlista!$C9),"",IF(ISBLANK(Arrangörslista!N$8),"",IFERROR(VLOOKUP($F54,Arrangörslista!N$8:$AG$45,16,FALSE),"DNS")))))</f>
        <v/>
      </c>
      <c r="V54" s="5" t="str">
        <f>IF(Deltagarlista!$K$3=4,IF(ISBLANK(Deltagarlista!$C9),"",IF(ISBLANK(Arrangörslista!L$53),"",IFERROR(VLOOKUP($F54,Arrangörslista!L$53:$AG$90,16,FALSE),IF(ISBLANK(Deltagarlista!$C9),"",IF(ISBLANK(Arrangörslista!L$53),"",IFERROR(VLOOKUP($F54,Arrangörslista!M$53:$AG$90,16,FALSE),"DNS")))))),IF(Deltagarlista!$K$3=2,
IF(ISBLANK(Deltagarlista!$C9),"",IF(ISBLANK(Arrangörslista!O$8),"",IF($GV54=V$64," DNS ",IFERROR(VLOOKUP($F54,Arrangörslista!O$8:$AG$45,16,FALSE),"DNS")))),IF(ISBLANK(Deltagarlista!$C9),"",IF(ISBLANK(Arrangörslista!O$8),"",IFERROR(VLOOKUP($F54,Arrangörslista!O$8:$AG$45,16,FALSE),"DNS")))))</f>
        <v/>
      </c>
      <c r="W54" s="5" t="str">
        <f>IF(Deltagarlista!$K$3=4,IF(ISBLANK(Deltagarlista!$C9),"",IF(ISBLANK(Arrangörslista!N$53),"",IFERROR(VLOOKUP($F54,Arrangörslista!N$53:$AG$90,16,FALSE),IF(ISBLANK(Deltagarlista!$C9),"",IF(ISBLANK(Arrangörslista!N$53),"",IFERROR(VLOOKUP($F54,Arrangörslista!O$53:$AG$90,16,FALSE),"DNS")))))),IF(Deltagarlista!$K$3=2,
IF(ISBLANK(Deltagarlista!$C9),"",IF(ISBLANK(Arrangörslista!P$8),"",IF($GV54=W$64," DNS ",IFERROR(VLOOKUP($F54,Arrangörslista!P$8:$AG$45,16,FALSE),"DNS")))),IF(ISBLANK(Deltagarlista!$C9),"",IF(ISBLANK(Arrangörslista!P$8),"",IFERROR(VLOOKUP($F54,Arrangörslista!P$8:$AG$45,16,FALSE),"DNS")))))</f>
        <v/>
      </c>
      <c r="X54" s="5" t="str">
        <f>IF(Deltagarlista!$K$3=4,IF(ISBLANK(Deltagarlista!$C9),"",IF(ISBLANK(Arrangörslista!P$53),"",IFERROR(VLOOKUP($F54,Arrangörslista!P$53:$AG$90,16,FALSE),IF(ISBLANK(Deltagarlista!$C9),"",IF(ISBLANK(Arrangörslista!P$53),"",IFERROR(VLOOKUP($F54,Arrangörslista!Q$53:$AG$90,16,FALSE),"DNS")))))),IF(Deltagarlista!$K$3=2,
IF(ISBLANK(Deltagarlista!$C9),"",IF(ISBLANK(Arrangörslista!Q$8),"",IF($GV54=X$64," DNS ",IFERROR(VLOOKUP($F54,Arrangörslista!Q$8:$AG$45,16,FALSE),"DNS")))),IF(ISBLANK(Deltagarlista!$C9),"",IF(ISBLANK(Arrangörslista!Q$8),"",IFERROR(VLOOKUP($F54,Arrangörslista!Q$8:$AG$45,16,FALSE),"DNS")))))</f>
        <v/>
      </c>
      <c r="Y54" s="5" t="str">
        <f>IF(Deltagarlista!$K$3=4,IF(ISBLANK(Deltagarlista!$C9),"",IF(ISBLANK(Arrangörslista!C$98),"",IFERROR(VLOOKUP($F54,Arrangörslista!C$98:$AG$135,16,FALSE),IF(ISBLANK(Deltagarlista!$C9),"",IF(ISBLANK(Arrangörslista!C$98),"",IFERROR(VLOOKUP($F54,Arrangörslista!D$98:$AG$135,16,FALSE),"DNS")))))),IF(Deltagarlista!$K$3=2,
IF(ISBLANK(Deltagarlista!$C9),"",IF(ISBLANK(Arrangörslista!C$53),"",IF($GV54=Y$64," DNS ",IFERROR(VLOOKUP($F54,Arrangörslista!C$53:$AG$90,16,FALSE),"DNS")))),IF(ISBLANK(Deltagarlista!$C9),"",IF(ISBLANK(Arrangörslista!C$53),"",IFERROR(VLOOKUP($F54,Arrangörslista!C$53:$AG$90,16,FALSE),"DNS")))))</f>
        <v/>
      </c>
      <c r="Z54" s="5" t="str">
        <f>IF(Deltagarlista!$K$3=4,IF(ISBLANK(Deltagarlista!$C9),"",IF(ISBLANK(Arrangörslista!E$98),"",IFERROR(VLOOKUP($F54,Arrangörslista!E$98:$AG$135,16,FALSE),IF(ISBLANK(Deltagarlista!$C9),"",IF(ISBLANK(Arrangörslista!E$98),"",IFERROR(VLOOKUP($F54,Arrangörslista!F$98:$AG$135,16,FALSE),"DNS")))))),IF(Deltagarlista!$K$3=2,
IF(ISBLANK(Deltagarlista!$C9),"",IF(ISBLANK(Arrangörslista!D$53),"",IF($GV54=Z$64," DNS ",IFERROR(VLOOKUP($F54,Arrangörslista!D$53:$AG$90,16,FALSE),"DNS")))),IF(ISBLANK(Deltagarlista!$C9),"",IF(ISBLANK(Arrangörslista!D$53),"",IFERROR(VLOOKUP($F54,Arrangörslista!D$53:$AG$90,16,FALSE),"DNS")))))</f>
        <v/>
      </c>
      <c r="AA54" s="5" t="str">
        <f>IF(Deltagarlista!$K$3=4,IF(ISBLANK(Deltagarlista!$C9),"",IF(ISBLANK(Arrangörslista!G$98),"",IFERROR(VLOOKUP($F54,Arrangörslista!G$98:$AG$135,16,FALSE),IF(ISBLANK(Deltagarlista!$C9),"",IF(ISBLANK(Arrangörslista!G$98),"",IFERROR(VLOOKUP($F54,Arrangörslista!H$98:$AG$135,16,FALSE),"DNS")))))),IF(Deltagarlista!$K$3=2,
IF(ISBLANK(Deltagarlista!$C9),"",IF(ISBLANK(Arrangörslista!E$53),"",IF($GV54=AA$64," DNS ",IFERROR(VLOOKUP($F54,Arrangörslista!E$53:$AG$90,16,FALSE),"DNS")))),IF(ISBLANK(Deltagarlista!$C9),"",IF(ISBLANK(Arrangörslista!E$53),"",IFERROR(VLOOKUP($F54,Arrangörslista!E$53:$AG$90,16,FALSE),"DNS")))))</f>
        <v/>
      </c>
      <c r="AB54" s="5" t="str">
        <f>IF(Deltagarlista!$K$3=4,IF(ISBLANK(Deltagarlista!$C9),"",IF(ISBLANK(Arrangörslista!I$98),"",IFERROR(VLOOKUP($F54,Arrangörslista!I$98:$AG$135,16,FALSE),IF(ISBLANK(Deltagarlista!$C9),"",IF(ISBLANK(Arrangörslista!I$98),"",IFERROR(VLOOKUP($F54,Arrangörslista!J$98:$AG$135,16,FALSE),"DNS")))))),IF(Deltagarlista!$K$3=2,
IF(ISBLANK(Deltagarlista!$C9),"",IF(ISBLANK(Arrangörslista!F$53),"",IF($GV54=AB$64," DNS ",IFERROR(VLOOKUP($F54,Arrangörslista!F$53:$AG$90,16,FALSE),"DNS")))),IF(ISBLANK(Deltagarlista!$C9),"",IF(ISBLANK(Arrangörslista!F$53),"",IFERROR(VLOOKUP($F54,Arrangörslista!F$53:$AG$90,16,FALSE),"DNS")))))</f>
        <v/>
      </c>
      <c r="AC54" s="5" t="str">
        <f>IF(Deltagarlista!$K$3=4,IF(ISBLANK(Deltagarlista!$C9),"",IF(ISBLANK(Arrangörslista!K$98),"",IFERROR(VLOOKUP($F54,Arrangörslista!K$98:$AG$135,16,FALSE),IF(ISBLANK(Deltagarlista!$C9),"",IF(ISBLANK(Arrangörslista!K$98),"",IFERROR(VLOOKUP($F54,Arrangörslista!L$98:$AG$135,16,FALSE),"DNS")))))),IF(Deltagarlista!$K$3=2,
IF(ISBLANK(Deltagarlista!$C9),"",IF(ISBLANK(Arrangörslista!G$53),"",IF($GV54=AC$64," DNS ",IFERROR(VLOOKUP($F54,Arrangörslista!G$53:$AG$90,16,FALSE),"DNS")))),IF(ISBLANK(Deltagarlista!$C9),"",IF(ISBLANK(Arrangörslista!G$53),"",IFERROR(VLOOKUP($F54,Arrangörslista!G$53:$AG$90,16,FALSE),"DNS")))))</f>
        <v/>
      </c>
      <c r="AD54" s="5" t="str">
        <f>IF(Deltagarlista!$K$3=4,IF(ISBLANK(Deltagarlista!$C9),"",IF(ISBLANK(Arrangörslista!M$98),"",IFERROR(VLOOKUP($F54,Arrangörslista!M$98:$AG$135,16,FALSE),IF(ISBLANK(Deltagarlista!$C9),"",IF(ISBLANK(Arrangörslista!M$98),"",IFERROR(VLOOKUP($F54,Arrangörslista!N$98:$AG$135,16,FALSE),"DNS")))))),IF(Deltagarlista!$K$3=2,
IF(ISBLANK(Deltagarlista!$C9),"",IF(ISBLANK(Arrangörslista!H$53),"",IF($GV54=AD$64," DNS ",IFERROR(VLOOKUP($F54,Arrangörslista!H$53:$AG$90,16,FALSE),"DNS")))),IF(ISBLANK(Deltagarlista!$C9),"",IF(ISBLANK(Arrangörslista!H$53),"",IFERROR(VLOOKUP($F54,Arrangörslista!H$53:$AG$90,16,FALSE),"DNS")))))</f>
        <v/>
      </c>
      <c r="AE54" s="5" t="str">
        <f>IF(Deltagarlista!$K$3=4,IF(ISBLANK(Deltagarlista!$C9),"",IF(ISBLANK(Arrangörslista!O$98),"",IFERROR(VLOOKUP($F54,Arrangörslista!O$98:$AG$135,16,FALSE),IF(ISBLANK(Deltagarlista!$C9),"",IF(ISBLANK(Arrangörslista!O$98),"",IFERROR(VLOOKUP($F54,Arrangörslista!P$98:$AG$135,16,FALSE),"DNS")))))),IF(Deltagarlista!$K$3=2,
IF(ISBLANK(Deltagarlista!$C9),"",IF(ISBLANK(Arrangörslista!I$53),"",IF($GV54=AE$64," DNS ",IFERROR(VLOOKUP($F54,Arrangörslista!I$53:$AG$90,16,FALSE),"DNS")))),IF(ISBLANK(Deltagarlista!$C9),"",IF(ISBLANK(Arrangörslista!I$53),"",IFERROR(VLOOKUP($F54,Arrangörslista!I$53:$AG$90,16,FALSE),"DNS")))))</f>
        <v/>
      </c>
      <c r="AF54" s="5" t="str">
        <f>IF(Deltagarlista!$K$3=4,IF(ISBLANK(Deltagarlista!$C9),"",IF(ISBLANK(Arrangörslista!Q$98),"",IFERROR(VLOOKUP($F54,Arrangörslista!Q$98:$AG$135,16,FALSE),IF(ISBLANK(Deltagarlista!$C9),"",IF(ISBLANK(Arrangörslista!Q$98),"",IFERROR(VLOOKUP($F54,Arrangörslista!C$143:$AG$180,16,FALSE),"DNS")))))),IF(Deltagarlista!$K$3=2,
IF(ISBLANK(Deltagarlista!$C9),"",IF(ISBLANK(Arrangörslista!J$53),"",IF($GV54=AF$64," DNS ",IFERROR(VLOOKUP($F54,Arrangörslista!J$53:$AG$90,16,FALSE),"DNS")))),IF(ISBLANK(Deltagarlista!$C9),"",IF(ISBLANK(Arrangörslista!J$53),"",IFERROR(VLOOKUP($F54,Arrangörslista!J$53:$AG$90,16,FALSE),"DNS")))))</f>
        <v/>
      </c>
      <c r="AG54" s="5" t="str">
        <f>IF(Deltagarlista!$K$3=4,IF(ISBLANK(Deltagarlista!$C9),"",IF(ISBLANK(Arrangörslista!D$143),"",IFERROR(VLOOKUP($F54,Arrangörslista!D$143:$AG$180,16,FALSE),IF(ISBLANK(Deltagarlista!$C9),"",IF(ISBLANK(Arrangörslista!D$143),"",IFERROR(VLOOKUP($F54,Arrangörslista!E$143:$AG$180,16,FALSE),"DNS")))))),IF(Deltagarlista!$K$3=2,
IF(ISBLANK(Deltagarlista!$C9),"",IF(ISBLANK(Arrangörslista!K$53),"",IF($GV54=AG$64," DNS ",IFERROR(VLOOKUP($F54,Arrangörslista!K$53:$AG$90,16,FALSE),"DNS")))),IF(ISBLANK(Deltagarlista!$C9),"",IF(ISBLANK(Arrangörslista!K$53),"",IFERROR(VLOOKUP($F54,Arrangörslista!K$53:$AG$90,16,FALSE),"DNS")))))</f>
        <v/>
      </c>
      <c r="AH54" s="5" t="str">
        <f>IF(Deltagarlista!$K$3=4,IF(ISBLANK(Deltagarlista!$C9),"",IF(ISBLANK(Arrangörslista!F$143),"",IFERROR(VLOOKUP($F54,Arrangörslista!F$143:$AG$180,16,FALSE),IF(ISBLANK(Deltagarlista!$C9),"",IF(ISBLANK(Arrangörslista!F$143),"",IFERROR(VLOOKUP($F54,Arrangörslista!G$143:$AG$180,16,FALSE),"DNS")))))),IF(Deltagarlista!$K$3=2,
IF(ISBLANK(Deltagarlista!$C9),"",IF(ISBLANK(Arrangörslista!L$53),"",IF($GV54=AH$64," DNS ",IFERROR(VLOOKUP($F54,Arrangörslista!L$53:$AG$90,16,FALSE),"DNS")))),IF(ISBLANK(Deltagarlista!$C9),"",IF(ISBLANK(Arrangörslista!L$53),"",IFERROR(VLOOKUP($F54,Arrangörslista!L$53:$AG$90,16,FALSE),"DNS")))))</f>
        <v/>
      </c>
      <c r="AI54" s="5" t="str">
        <f>IF(Deltagarlista!$K$3=4,IF(ISBLANK(Deltagarlista!$C9),"",IF(ISBLANK(Arrangörslista!H$143),"",IFERROR(VLOOKUP($F54,Arrangörslista!H$143:$AG$180,16,FALSE),IF(ISBLANK(Deltagarlista!$C9),"",IF(ISBLANK(Arrangörslista!H$143),"",IFERROR(VLOOKUP($F54,Arrangörslista!I$143:$AG$180,16,FALSE),"DNS")))))),IF(Deltagarlista!$K$3=2,
IF(ISBLANK(Deltagarlista!$C9),"",IF(ISBLANK(Arrangörslista!M$53),"",IF($GV54=AI$64," DNS ",IFERROR(VLOOKUP($F54,Arrangörslista!M$53:$AG$90,16,FALSE),"DNS")))),IF(ISBLANK(Deltagarlista!$C9),"",IF(ISBLANK(Arrangörslista!M$53),"",IFERROR(VLOOKUP($F54,Arrangörslista!M$53:$AG$90,16,FALSE),"DNS")))))</f>
        <v/>
      </c>
      <c r="AJ54" s="5" t="str">
        <f>IF(Deltagarlista!$K$3=4,IF(ISBLANK(Deltagarlista!$C9),"",IF(ISBLANK(Arrangörslista!J$143),"",IFERROR(VLOOKUP($F54,Arrangörslista!J$143:$AG$180,16,FALSE),IF(ISBLANK(Deltagarlista!$C9),"",IF(ISBLANK(Arrangörslista!J$143),"",IFERROR(VLOOKUP($F54,Arrangörslista!K$143:$AG$180,16,FALSE),"DNS")))))),IF(Deltagarlista!$K$3=2,
IF(ISBLANK(Deltagarlista!$C9),"",IF(ISBLANK(Arrangörslista!N$53),"",IF($GV54=AJ$64," DNS ",IFERROR(VLOOKUP($F54,Arrangörslista!N$53:$AG$90,16,FALSE),"DNS")))),IF(ISBLANK(Deltagarlista!$C9),"",IF(ISBLANK(Arrangörslista!N$53),"",IFERROR(VLOOKUP($F54,Arrangörslista!N$53:$AG$90,16,FALSE),"DNS")))))</f>
        <v/>
      </c>
      <c r="AK54" s="5" t="str">
        <f>IF(Deltagarlista!$K$3=4,IF(ISBLANK(Deltagarlista!$C9),"",IF(ISBLANK(Arrangörslista!L$143),"",IFERROR(VLOOKUP($F54,Arrangörslista!L$143:$AG$180,16,FALSE),IF(ISBLANK(Deltagarlista!$C9),"",IF(ISBLANK(Arrangörslista!L$143),"",IFERROR(VLOOKUP($F54,Arrangörslista!M$143:$AG$180,16,FALSE),"DNS")))))),IF(Deltagarlista!$K$3=2,
IF(ISBLANK(Deltagarlista!$C9),"",IF(ISBLANK(Arrangörslista!O$53),"",IF($GV54=AK$64," DNS ",IFERROR(VLOOKUP($F54,Arrangörslista!O$53:$AG$90,16,FALSE),"DNS")))),IF(ISBLANK(Deltagarlista!$C9),"",IF(ISBLANK(Arrangörslista!O$53),"",IFERROR(VLOOKUP($F54,Arrangörslista!O$53:$AG$90,16,FALSE),"DNS")))))</f>
        <v/>
      </c>
      <c r="AL54" s="5" t="str">
        <f>IF(Deltagarlista!$K$3=4,IF(ISBLANK(Deltagarlista!$C9),"",IF(ISBLANK(Arrangörslista!N$143),"",IFERROR(VLOOKUP($F54,Arrangörslista!N$143:$AG$180,16,FALSE),IF(ISBLANK(Deltagarlista!$C9),"",IF(ISBLANK(Arrangörslista!N$143),"",IFERROR(VLOOKUP($F54,Arrangörslista!O$143:$AG$180,16,FALSE),"DNS")))))),IF(Deltagarlista!$K$3=2,
IF(ISBLANK(Deltagarlista!$C9),"",IF(ISBLANK(Arrangörslista!P$53),"",IF($GV54=AL$64," DNS ",IFERROR(VLOOKUP($F54,Arrangörslista!P$53:$AG$90,16,FALSE),"DNS")))),IF(ISBLANK(Deltagarlista!$C9),"",IF(ISBLANK(Arrangörslista!P$53),"",IFERROR(VLOOKUP($F54,Arrangörslista!P$53:$AG$90,16,FALSE),"DNS")))))</f>
        <v/>
      </c>
      <c r="AM54" s="5" t="str">
        <f>IF(Deltagarlista!$K$3=4,IF(ISBLANK(Deltagarlista!$C9),"",IF(ISBLANK(Arrangörslista!P$143),"",IFERROR(VLOOKUP($F54,Arrangörslista!P$143:$AG$180,16,FALSE),IF(ISBLANK(Deltagarlista!$C9),"",IF(ISBLANK(Arrangörslista!P$143),"",IFERROR(VLOOKUP($F54,Arrangörslista!Q$143:$AG$180,16,FALSE),"DNS")))))),IF(Deltagarlista!$K$3=2,
IF(ISBLANK(Deltagarlista!$C9),"",IF(ISBLANK(Arrangörslista!Q$53),"",IF($GV54=AM$64," DNS ",IFERROR(VLOOKUP($F54,Arrangörslista!Q$53:$AG$90,16,FALSE),"DNS")))),IF(ISBLANK(Deltagarlista!$C9),"",IF(ISBLANK(Arrangörslista!Q$53),"",IFERROR(VLOOKUP($F54,Arrangörslista!Q$53:$AG$90,16,FALSE),"DNS")))))</f>
        <v/>
      </c>
      <c r="AN54" s="5" t="str">
        <f>IF(Deltagarlista!$K$3=2,
IF(ISBLANK(Deltagarlista!$C9),"",IF(ISBLANK(Arrangörslista!C$98),"",IF($GV54=AN$64," DNS ",IFERROR(VLOOKUP($F54,Arrangörslista!C$98:$AG$135,16,FALSE), "DNS")))), IF(Deltagarlista!$K$3=1,IF(ISBLANK(Deltagarlista!$C9),"",IF(ISBLANK(Arrangörslista!C$98),"",IFERROR(VLOOKUP($F54,Arrangörslista!C$98:$AG$135,16,FALSE), "DNS"))),""))</f>
        <v/>
      </c>
      <c r="AO54" s="5" t="str">
        <f>IF(Deltagarlista!$K$3=2,
IF(ISBLANK(Deltagarlista!$C9),"",IF(ISBLANK(Arrangörslista!D$98),"",IF($GV54=AO$64," DNS ",IFERROR(VLOOKUP($F54,Arrangörslista!D$98:$AG$135,16,FALSE), "DNS")))), IF(Deltagarlista!$K$3=1,IF(ISBLANK(Deltagarlista!$C9),"",IF(ISBLANK(Arrangörslista!D$98),"",IFERROR(VLOOKUP($F54,Arrangörslista!D$98:$AG$135,16,FALSE), "DNS"))),""))</f>
        <v/>
      </c>
      <c r="AP54" s="5" t="str">
        <f>IF(Deltagarlista!$K$3=2,
IF(ISBLANK(Deltagarlista!$C9),"",IF(ISBLANK(Arrangörslista!E$98),"",IF($GV54=AP$64," DNS ",IFERROR(VLOOKUP($F54,Arrangörslista!E$98:$AG$135,16,FALSE), "DNS")))), IF(Deltagarlista!$K$3=1,IF(ISBLANK(Deltagarlista!$C9),"",IF(ISBLANK(Arrangörslista!E$98),"",IFERROR(VLOOKUP($F54,Arrangörslista!E$98:$AG$135,16,FALSE), "DNS"))),""))</f>
        <v/>
      </c>
      <c r="AQ54" s="5" t="str">
        <f>IF(Deltagarlista!$K$3=2,
IF(ISBLANK(Deltagarlista!$C9),"",IF(ISBLANK(Arrangörslista!F$98),"",IF($GV54=AQ$64," DNS ",IFERROR(VLOOKUP($F54,Arrangörslista!F$98:$AG$135,16,FALSE), "DNS")))), IF(Deltagarlista!$K$3=1,IF(ISBLANK(Deltagarlista!$C9),"",IF(ISBLANK(Arrangörslista!F$98),"",IFERROR(VLOOKUP($F54,Arrangörslista!F$98:$AG$135,16,FALSE), "DNS"))),""))</f>
        <v/>
      </c>
      <c r="AR54" s="5" t="str">
        <f>IF(Deltagarlista!$K$3=2,
IF(ISBLANK(Deltagarlista!$C9),"",IF(ISBLANK(Arrangörslista!G$98),"",IF($GV54=AR$64," DNS ",IFERROR(VLOOKUP($F54,Arrangörslista!G$98:$AG$135,16,FALSE), "DNS")))), IF(Deltagarlista!$K$3=1,IF(ISBLANK(Deltagarlista!$C9),"",IF(ISBLANK(Arrangörslista!G$98),"",IFERROR(VLOOKUP($F54,Arrangörslista!G$98:$AG$135,16,FALSE), "DNS"))),""))</f>
        <v/>
      </c>
      <c r="AS54" s="5" t="str">
        <f>IF(Deltagarlista!$K$3=2,
IF(ISBLANK(Deltagarlista!$C9),"",IF(ISBLANK(Arrangörslista!H$98),"",IF($GV54=AS$64," DNS ",IFERROR(VLOOKUP($F54,Arrangörslista!H$98:$AG$135,16,FALSE), "DNS")))), IF(Deltagarlista!$K$3=1,IF(ISBLANK(Deltagarlista!$C9),"",IF(ISBLANK(Arrangörslista!H$98),"",IFERROR(VLOOKUP($F54,Arrangörslista!H$98:$AG$135,16,FALSE), "DNS"))),""))</f>
        <v/>
      </c>
      <c r="AT54" s="5" t="str">
        <f>IF(Deltagarlista!$K$3=2,
IF(ISBLANK(Deltagarlista!$C9),"",IF(ISBLANK(Arrangörslista!I$98),"",IF($GV54=AT$64," DNS ",IFERROR(VLOOKUP($F54,Arrangörslista!I$98:$AG$135,16,FALSE), "DNS")))), IF(Deltagarlista!$K$3=1,IF(ISBLANK(Deltagarlista!$C9),"",IF(ISBLANK(Arrangörslista!I$98),"",IFERROR(VLOOKUP($F54,Arrangörslista!I$98:$AG$135,16,FALSE), "DNS"))),""))</f>
        <v/>
      </c>
      <c r="AU54" s="5" t="str">
        <f>IF(Deltagarlista!$K$3=2,
IF(ISBLANK(Deltagarlista!$C9),"",IF(ISBLANK(Arrangörslista!J$98),"",IF($GV54=AU$64," DNS ",IFERROR(VLOOKUP($F54,Arrangörslista!J$98:$AG$135,16,FALSE), "DNS")))), IF(Deltagarlista!$K$3=1,IF(ISBLANK(Deltagarlista!$C9),"",IF(ISBLANK(Arrangörslista!J$98),"",IFERROR(VLOOKUP($F54,Arrangörslista!J$98:$AG$135,16,FALSE), "DNS"))),""))</f>
        <v/>
      </c>
      <c r="AV54" s="5" t="str">
        <f>IF(Deltagarlista!$K$3=2,
IF(ISBLANK(Deltagarlista!$C9),"",IF(ISBLANK(Arrangörslista!K$98),"",IF($GV54=AV$64," DNS ",IFERROR(VLOOKUP($F54,Arrangörslista!K$98:$AG$135,16,FALSE), "DNS")))), IF(Deltagarlista!$K$3=1,IF(ISBLANK(Deltagarlista!$C9),"",IF(ISBLANK(Arrangörslista!K$98),"",IFERROR(VLOOKUP($F54,Arrangörslista!K$98:$AG$135,16,FALSE), "DNS"))),""))</f>
        <v/>
      </c>
      <c r="AW54" s="5" t="str">
        <f>IF(Deltagarlista!$K$3=2,
IF(ISBLANK(Deltagarlista!$C9),"",IF(ISBLANK(Arrangörslista!L$98),"",IF($GV54=AW$64," DNS ",IFERROR(VLOOKUP($F54,Arrangörslista!L$98:$AG$135,16,FALSE), "DNS")))), IF(Deltagarlista!$K$3=1,IF(ISBLANK(Deltagarlista!$C9),"",IF(ISBLANK(Arrangörslista!L$98),"",IFERROR(VLOOKUP($F54,Arrangörslista!L$98:$AG$135,16,FALSE), "DNS"))),""))</f>
        <v/>
      </c>
      <c r="AX54" s="5" t="str">
        <f>IF(Deltagarlista!$K$3=2,
IF(ISBLANK(Deltagarlista!$C9),"",IF(ISBLANK(Arrangörslista!M$98),"",IF($GV54=AX$64," DNS ",IFERROR(VLOOKUP($F54,Arrangörslista!M$98:$AG$135,16,FALSE), "DNS")))), IF(Deltagarlista!$K$3=1,IF(ISBLANK(Deltagarlista!$C9),"",IF(ISBLANK(Arrangörslista!M$98),"",IFERROR(VLOOKUP($F54,Arrangörslista!M$98:$AG$135,16,FALSE), "DNS"))),""))</f>
        <v/>
      </c>
      <c r="AY54" s="5" t="str">
        <f>IF(Deltagarlista!$K$3=2,
IF(ISBLANK(Deltagarlista!$C9),"",IF(ISBLANK(Arrangörslista!N$98),"",IF($GV54=AY$64," DNS ",IFERROR(VLOOKUP($F54,Arrangörslista!N$98:$AG$135,16,FALSE), "DNS")))), IF(Deltagarlista!$K$3=1,IF(ISBLANK(Deltagarlista!$C9),"",IF(ISBLANK(Arrangörslista!N$98),"",IFERROR(VLOOKUP($F54,Arrangörslista!N$98:$AG$135,16,FALSE), "DNS"))),""))</f>
        <v/>
      </c>
      <c r="AZ54" s="5" t="str">
        <f>IF(Deltagarlista!$K$3=2,
IF(ISBLANK(Deltagarlista!$C9),"",IF(ISBLANK(Arrangörslista!O$98),"",IF($GV54=AZ$64," DNS ",IFERROR(VLOOKUP($F54,Arrangörslista!O$98:$AG$135,16,FALSE), "DNS")))), IF(Deltagarlista!$K$3=1,IF(ISBLANK(Deltagarlista!$C9),"",IF(ISBLANK(Arrangörslista!O$98),"",IFERROR(VLOOKUP($F54,Arrangörslista!O$98:$AG$135,16,FALSE), "DNS"))),""))</f>
        <v/>
      </c>
      <c r="BA54" s="5" t="str">
        <f>IF(Deltagarlista!$K$3=2,
IF(ISBLANK(Deltagarlista!$C9),"",IF(ISBLANK(Arrangörslista!P$98),"",IF($GV54=BA$64," DNS ",IFERROR(VLOOKUP($F54,Arrangörslista!P$98:$AG$135,16,FALSE), "DNS")))), IF(Deltagarlista!$K$3=1,IF(ISBLANK(Deltagarlista!$C9),"",IF(ISBLANK(Arrangörslista!P$98),"",IFERROR(VLOOKUP($F54,Arrangörslista!P$98:$AG$135,16,FALSE), "DNS"))),""))</f>
        <v/>
      </c>
      <c r="BB54" s="5" t="str">
        <f>IF(Deltagarlista!$K$3=2,
IF(ISBLANK(Deltagarlista!$C9),"",IF(ISBLANK(Arrangörslista!Q$98),"",IF($GV54=BB$64," DNS ",IFERROR(VLOOKUP($F54,Arrangörslista!Q$98:$AG$135,16,FALSE), "DNS")))), IF(Deltagarlista!$K$3=1,IF(ISBLANK(Deltagarlista!$C9),"",IF(ISBLANK(Arrangörslista!Q$98),"",IFERROR(VLOOKUP($F54,Arrangörslista!Q$98:$AG$135,16,FALSE), "DNS"))),""))</f>
        <v/>
      </c>
      <c r="BC54" s="5" t="str">
        <f>IF(Deltagarlista!$K$3=2,
IF(ISBLANK(Deltagarlista!$C9),"",IF(ISBLANK(Arrangörslista!C$143),"",IF($GV54=BC$64," DNS ",IFERROR(VLOOKUP($F54,Arrangörslista!C$143:$AG$180,16,FALSE), "DNS")))), IF(Deltagarlista!$K$3=1,IF(ISBLANK(Deltagarlista!$C9),"",IF(ISBLANK(Arrangörslista!C$143),"",IFERROR(VLOOKUP($F54,Arrangörslista!C$143:$AG$180,16,FALSE), "DNS"))),""))</f>
        <v/>
      </c>
      <c r="BD54" s="5" t="str">
        <f>IF(Deltagarlista!$K$3=2,
IF(ISBLANK(Deltagarlista!$C9),"",IF(ISBLANK(Arrangörslista!D$143),"",IF($GV54=BD$64," DNS ",IFERROR(VLOOKUP($F54,Arrangörslista!D$143:$AG$180,16,FALSE), "DNS")))), IF(Deltagarlista!$K$3=1,IF(ISBLANK(Deltagarlista!$C9),"",IF(ISBLANK(Arrangörslista!D$143),"",IFERROR(VLOOKUP($F54,Arrangörslista!D$143:$AG$180,16,FALSE), "DNS"))),""))</f>
        <v/>
      </c>
      <c r="BE54" s="5" t="str">
        <f>IF(Deltagarlista!$K$3=2,
IF(ISBLANK(Deltagarlista!$C9),"",IF(ISBLANK(Arrangörslista!E$143),"",IF($GV54=BE$64," DNS ",IFERROR(VLOOKUP($F54,Arrangörslista!E$143:$AG$180,16,FALSE), "DNS")))), IF(Deltagarlista!$K$3=1,IF(ISBLANK(Deltagarlista!$C9),"",IF(ISBLANK(Arrangörslista!E$143),"",IFERROR(VLOOKUP($F54,Arrangörslista!E$143:$AG$180,16,FALSE), "DNS"))),""))</f>
        <v/>
      </c>
      <c r="BF54" s="5" t="str">
        <f>IF(Deltagarlista!$K$3=2,
IF(ISBLANK(Deltagarlista!$C9),"",IF(ISBLANK(Arrangörslista!F$143),"",IF($GV54=BF$64," DNS ",IFERROR(VLOOKUP($F54,Arrangörslista!F$143:$AG$180,16,FALSE), "DNS")))), IF(Deltagarlista!$K$3=1,IF(ISBLANK(Deltagarlista!$C9),"",IF(ISBLANK(Arrangörslista!F$143),"",IFERROR(VLOOKUP($F54,Arrangörslista!F$143:$AG$180,16,FALSE), "DNS"))),""))</f>
        <v/>
      </c>
      <c r="BG54" s="5" t="str">
        <f>IF(Deltagarlista!$K$3=2,
IF(ISBLANK(Deltagarlista!$C9),"",IF(ISBLANK(Arrangörslista!G$143),"",IF($GV54=BG$64," DNS ",IFERROR(VLOOKUP($F54,Arrangörslista!G$143:$AG$180,16,FALSE), "DNS")))), IF(Deltagarlista!$K$3=1,IF(ISBLANK(Deltagarlista!$C9),"",IF(ISBLANK(Arrangörslista!G$143),"",IFERROR(VLOOKUP($F54,Arrangörslista!G$143:$AG$180,16,FALSE), "DNS"))),""))</f>
        <v/>
      </c>
      <c r="BH54" s="5" t="str">
        <f>IF(Deltagarlista!$K$3=2,
IF(ISBLANK(Deltagarlista!$C9),"",IF(ISBLANK(Arrangörslista!H$143),"",IF($GV54=BH$64," DNS ",IFERROR(VLOOKUP($F54,Arrangörslista!H$143:$AG$180,16,FALSE), "DNS")))), IF(Deltagarlista!$K$3=1,IF(ISBLANK(Deltagarlista!$C9),"",IF(ISBLANK(Arrangörslista!H$143),"",IFERROR(VLOOKUP($F54,Arrangörslista!H$143:$AG$180,16,FALSE), "DNS"))),""))</f>
        <v/>
      </c>
      <c r="BI54" s="5" t="str">
        <f>IF(Deltagarlista!$K$3=2,
IF(ISBLANK(Deltagarlista!$C9),"",IF(ISBLANK(Arrangörslista!I$143),"",IF($GV54=BI$64," DNS ",IFERROR(VLOOKUP($F54,Arrangörslista!I$143:$AG$180,16,FALSE), "DNS")))), IF(Deltagarlista!$K$3=1,IF(ISBLANK(Deltagarlista!$C9),"",IF(ISBLANK(Arrangörslista!I$143),"",IFERROR(VLOOKUP($F54,Arrangörslista!I$143:$AG$180,16,FALSE), "DNS"))),""))</f>
        <v/>
      </c>
      <c r="BJ54" s="5" t="str">
        <f>IF(Deltagarlista!$K$3=2,
IF(ISBLANK(Deltagarlista!$C9),"",IF(ISBLANK(Arrangörslista!J$143),"",IF($GV54=BJ$64," DNS ",IFERROR(VLOOKUP($F54,Arrangörslista!J$143:$AG$180,16,FALSE), "DNS")))), IF(Deltagarlista!$K$3=1,IF(ISBLANK(Deltagarlista!$C9),"",IF(ISBLANK(Arrangörslista!J$143),"",IFERROR(VLOOKUP($F54,Arrangörslista!J$143:$AG$180,16,FALSE), "DNS"))),""))</f>
        <v/>
      </c>
      <c r="BK54" s="5" t="str">
        <f>IF(Deltagarlista!$K$3=2,
IF(ISBLANK(Deltagarlista!$C9),"",IF(ISBLANK(Arrangörslista!K$143),"",IF($GV54=BK$64," DNS ",IFERROR(VLOOKUP($F54,Arrangörslista!K$143:$AG$180,16,FALSE), "DNS")))), IF(Deltagarlista!$K$3=1,IF(ISBLANK(Deltagarlista!$C9),"",IF(ISBLANK(Arrangörslista!K$143),"",IFERROR(VLOOKUP($F54,Arrangörslista!K$143:$AG$180,16,FALSE), "DNS"))),""))</f>
        <v/>
      </c>
      <c r="BL54" s="5" t="str">
        <f>IF(Deltagarlista!$K$3=2,
IF(ISBLANK(Deltagarlista!$C9),"",IF(ISBLANK(Arrangörslista!L$143),"",IF($GV54=BL$64," DNS ",IFERROR(VLOOKUP($F54,Arrangörslista!L$143:$AG$180,16,FALSE), "DNS")))), IF(Deltagarlista!$K$3=1,IF(ISBLANK(Deltagarlista!$C9),"",IF(ISBLANK(Arrangörslista!L$143),"",IFERROR(VLOOKUP($F54,Arrangörslista!L$143:$AG$180,16,FALSE), "DNS"))),""))</f>
        <v/>
      </c>
      <c r="BM54" s="5" t="str">
        <f>IF(Deltagarlista!$K$3=2,
IF(ISBLANK(Deltagarlista!$C9),"",IF(ISBLANK(Arrangörslista!M$143),"",IF($GV54=BM$64," DNS ",IFERROR(VLOOKUP($F54,Arrangörslista!M$143:$AG$180,16,FALSE), "DNS")))), IF(Deltagarlista!$K$3=1,IF(ISBLANK(Deltagarlista!$C9),"",IF(ISBLANK(Arrangörslista!M$143),"",IFERROR(VLOOKUP($F54,Arrangörslista!M$143:$AG$180,16,FALSE), "DNS"))),""))</f>
        <v/>
      </c>
      <c r="BN54" s="5" t="str">
        <f>IF(Deltagarlista!$K$3=2,
IF(ISBLANK(Deltagarlista!$C9),"",IF(ISBLANK(Arrangörslista!N$143),"",IF($GV54=BN$64," DNS ",IFERROR(VLOOKUP($F54,Arrangörslista!N$143:$AG$180,16,FALSE), "DNS")))), IF(Deltagarlista!$K$3=1,IF(ISBLANK(Deltagarlista!$C9),"",IF(ISBLANK(Arrangörslista!N$143),"",IFERROR(VLOOKUP($F54,Arrangörslista!N$143:$AG$180,16,FALSE), "DNS"))),""))</f>
        <v/>
      </c>
      <c r="BO54" s="5" t="str">
        <f>IF(Deltagarlista!$K$3=2,
IF(ISBLANK(Deltagarlista!$C9),"",IF(ISBLANK(Arrangörslista!O$143),"",IF($GV54=BO$64," DNS ",IFERROR(VLOOKUP($F54,Arrangörslista!O$143:$AG$180,16,FALSE), "DNS")))), IF(Deltagarlista!$K$3=1,IF(ISBLANK(Deltagarlista!$C9),"",IF(ISBLANK(Arrangörslista!O$143),"",IFERROR(VLOOKUP($F54,Arrangörslista!O$143:$AG$180,16,FALSE), "DNS"))),""))</f>
        <v/>
      </c>
      <c r="BP54" s="5" t="str">
        <f>IF(Deltagarlista!$K$3=2,
IF(ISBLANK(Deltagarlista!$C9),"",IF(ISBLANK(Arrangörslista!P$143),"",IF($GV54=BP$64," DNS ",IFERROR(VLOOKUP($F54,Arrangörslista!P$143:$AG$180,16,FALSE), "DNS")))), IF(Deltagarlista!$K$3=1,IF(ISBLANK(Deltagarlista!$C9),"",IF(ISBLANK(Arrangörslista!P$143),"",IFERROR(VLOOKUP($F54,Arrangörslista!P$143:$AG$180,16,FALSE), "DNS"))),""))</f>
        <v/>
      </c>
      <c r="BQ54" s="80" t="str">
        <f>IF(Deltagarlista!$K$3=2,
IF(ISBLANK(Deltagarlista!$C9),"",IF(ISBLANK(Arrangörslista!Q$143),"",IF($GV54=BQ$64," DNS ",IFERROR(VLOOKUP($F54,Arrangörslista!Q$143:$AG$180,16,FALSE), "DNS")))), IF(Deltagarlista!$K$3=1,IF(ISBLANK(Deltagarlista!$C9),"",IF(ISBLANK(Arrangörslista!Q$143),"",IFERROR(VLOOKUP($F54,Arrangörslista!Q$143:$AG$180,16,FALSE), "DNS"))),""))</f>
        <v/>
      </c>
      <c r="BR54" s="51"/>
      <c r="BS54" s="50" t="str">
        <f t="shared" si="125"/>
        <v>2</v>
      </c>
      <c r="BT54" s="51"/>
      <c r="BU54" s="71">
        <f t="shared" si="126"/>
        <v>0</v>
      </c>
      <c r="BV54" s="61">
        <f t="shared" si="127"/>
        <v>0</v>
      </c>
      <c r="BW54" s="61">
        <f t="shared" si="128"/>
        <v>0</v>
      </c>
      <c r="BX54" s="61">
        <f t="shared" si="129"/>
        <v>0</v>
      </c>
      <c r="BY54" s="61">
        <f t="shared" si="130"/>
        <v>0</v>
      </c>
      <c r="BZ54" s="61">
        <f t="shared" si="131"/>
        <v>0</v>
      </c>
      <c r="CA54" s="61">
        <f t="shared" si="132"/>
        <v>0</v>
      </c>
      <c r="CB54" s="61">
        <f t="shared" si="133"/>
        <v>0</v>
      </c>
      <c r="CC54" s="61">
        <f t="shared" si="134"/>
        <v>0</v>
      </c>
      <c r="CD54" s="61">
        <f t="shared" si="135"/>
        <v>0</v>
      </c>
      <c r="CE54" s="61">
        <f t="shared" si="136"/>
        <v>0</v>
      </c>
      <c r="CF54" s="61">
        <f t="shared" si="137"/>
        <v>0</v>
      </c>
      <c r="CG54" s="61">
        <f t="shared" si="138"/>
        <v>0</v>
      </c>
      <c r="CH54" s="61">
        <f t="shared" si="139"/>
        <v>0</v>
      </c>
      <c r="CI54" s="61">
        <f t="shared" si="140"/>
        <v>0</v>
      </c>
      <c r="CJ54" s="61">
        <f t="shared" si="141"/>
        <v>0</v>
      </c>
      <c r="CK54" s="61">
        <f t="shared" si="142"/>
        <v>0</v>
      </c>
      <c r="CL54" s="61">
        <f t="shared" si="143"/>
        <v>0</v>
      </c>
      <c r="CM54" s="61">
        <f t="shared" si="144"/>
        <v>0</v>
      </c>
      <c r="CN54" s="61">
        <f t="shared" si="145"/>
        <v>0</v>
      </c>
      <c r="CO54" s="61">
        <f t="shared" si="146"/>
        <v>0</v>
      </c>
      <c r="CP54" s="61">
        <f t="shared" si="147"/>
        <v>0</v>
      </c>
      <c r="CQ54" s="61">
        <f t="shared" si="148"/>
        <v>0</v>
      </c>
      <c r="CR54" s="61">
        <f t="shared" si="149"/>
        <v>0</v>
      </c>
      <c r="CS54" s="61">
        <f t="shared" si="150"/>
        <v>0</v>
      </c>
      <c r="CT54" s="61">
        <f t="shared" si="151"/>
        <v>0</v>
      </c>
      <c r="CU54" s="61">
        <f t="shared" si="152"/>
        <v>0</v>
      </c>
      <c r="CV54" s="61">
        <f t="shared" si="153"/>
        <v>0</v>
      </c>
      <c r="CW54" s="61">
        <f t="shared" si="154"/>
        <v>0</v>
      </c>
      <c r="CX54" s="61">
        <f t="shared" si="155"/>
        <v>0</v>
      </c>
      <c r="CY54" s="61">
        <f t="shared" si="156"/>
        <v>0</v>
      </c>
      <c r="CZ54" s="61">
        <f t="shared" si="157"/>
        <v>0</v>
      </c>
      <c r="DA54" s="61">
        <f t="shared" si="158"/>
        <v>0</v>
      </c>
      <c r="DB54" s="61">
        <f t="shared" si="159"/>
        <v>0</v>
      </c>
      <c r="DC54" s="61">
        <f t="shared" si="160"/>
        <v>0</v>
      </c>
      <c r="DD54" s="61">
        <f t="shared" si="161"/>
        <v>0</v>
      </c>
      <c r="DE54" s="61">
        <f t="shared" si="162"/>
        <v>0</v>
      </c>
      <c r="DF54" s="61">
        <f t="shared" si="163"/>
        <v>0</v>
      </c>
      <c r="DG54" s="61">
        <f t="shared" si="164"/>
        <v>0</v>
      </c>
      <c r="DH54" s="61">
        <f t="shared" si="165"/>
        <v>0</v>
      </c>
      <c r="DI54" s="61">
        <f t="shared" si="166"/>
        <v>0</v>
      </c>
      <c r="DJ54" s="61">
        <f t="shared" si="167"/>
        <v>0</v>
      </c>
      <c r="DK54" s="61">
        <f t="shared" si="168"/>
        <v>0</v>
      </c>
      <c r="DL54" s="61">
        <f t="shared" si="169"/>
        <v>0</v>
      </c>
      <c r="DM54" s="61">
        <f t="shared" si="170"/>
        <v>0</v>
      </c>
      <c r="DN54" s="61">
        <f t="shared" si="171"/>
        <v>0</v>
      </c>
      <c r="DO54" s="61">
        <f t="shared" si="172"/>
        <v>0</v>
      </c>
      <c r="DP54" s="61">
        <f t="shared" si="173"/>
        <v>0</v>
      </c>
      <c r="DQ54" s="61">
        <f t="shared" si="174"/>
        <v>0</v>
      </c>
      <c r="DR54" s="61">
        <f t="shared" si="175"/>
        <v>0</v>
      </c>
      <c r="DS54" s="61">
        <f t="shared" si="176"/>
        <v>0</v>
      </c>
      <c r="DT54" s="61">
        <f t="shared" si="177"/>
        <v>0</v>
      </c>
      <c r="DU54" s="61">
        <f t="shared" si="178"/>
        <v>0</v>
      </c>
      <c r="DV54" s="61">
        <f t="shared" si="179"/>
        <v>0</v>
      </c>
      <c r="DW54" s="61">
        <f t="shared" si="180"/>
        <v>0</v>
      </c>
      <c r="DX54" s="61">
        <f t="shared" si="181"/>
        <v>0</v>
      </c>
      <c r="DY54" s="61">
        <f t="shared" si="182"/>
        <v>0</v>
      </c>
      <c r="DZ54" s="61">
        <f t="shared" si="183"/>
        <v>0</v>
      </c>
      <c r="EA54" s="61">
        <f t="shared" si="184"/>
        <v>0</v>
      </c>
      <c r="EB54" s="61">
        <f t="shared" si="185"/>
        <v>0</v>
      </c>
      <c r="EC54" s="61">
        <f t="shared" si="186"/>
        <v>0</v>
      </c>
      <c r="EE54" s="61">
        <f xml:space="preserve">
IF(OR(Deltagarlista!$K$3=3,Deltagarlista!$K$3=4),
IF(Arrangörslista!$U$5&lt;8,0,
IF(Arrangörslista!$U$5&lt;16,SUM(LARGE(BV54:CJ54,1)),
IF(Arrangörslista!$U$5&lt;24,SUM(LARGE(BV54:CR54,{1;2})),
IF(Arrangörslista!$U$5&lt;32,SUM(LARGE(BV54:CZ54,{1;2;3})),
IF(Arrangörslista!$U$5&lt;40,SUM(LARGE(BV54:DH54,{1;2;3;4})),
IF(Arrangörslista!$U$5&lt;48,SUM(LARGE(BV54:DP54,{1;2;3;4;5})),
IF(Arrangörslista!$U$5&lt;56,SUM(LARGE(BV54:DX54,{1;2;3;4;5;6})),
IF(Arrangörslista!$U$5&lt;64,SUM(LARGE(BV54:EC54,{1;2;3;4;5;6;7})),0)))))))),
IF(Deltagarlista!$K$3=2,
IF(Arrangörslista!$U$5&lt;4,LARGE(BV54:BX54,1),
IF(Arrangörslista!$U$5&lt;7,SUM(LARGE(BV54:CA54,{1;2;3})),
IF(Arrangörslista!$U$5&lt;10,SUM(LARGE(BV54:CD54,{1;2;3;4})),
IF(Arrangörslista!$U$5&lt;13,SUM(LARGE(BV54:CG54,{1;2;3;4;5;6})),
IF(Arrangörslista!$U$5&lt;16,SUM(LARGE(BV54:CJ54,{1;2;3;4;5;6;7})),
IF(Arrangörslista!$U$5&lt;19,SUM(LARGE(BV54:CM54,{1;2;3;4;5;6;7;8;9})),
IF(Arrangörslista!$U$5&lt;22,SUM(LARGE(BV54:CP54,{1;2;3;4;5;6;7;8;9;10})),
IF(Arrangörslista!$U$5&lt;25,SUM(LARGE(BV54:CS54,{1;2;3;4;5;6;7;8;9;10;11;12})),
IF(Arrangörslista!$U$5&lt;28,SUM(LARGE(BV54:CV54,{1;2;3;4;5;6;7;8;9;10;11;12;13})),
IF(Arrangörslista!$U$5&lt;31,SUM(LARGE(BV54:CY54,{1;2;3;4;5;6;7;8;9;10;11;12;13;14;15})),
IF(Arrangörslista!$U$5&lt;34,SUM(LARGE(BV54:DB54,{1;2;3;4;5;6;7;8;9;10;11;12;13;14;15;16})),
IF(Arrangörslista!$U$5&lt;37,SUM(LARGE(BV54:DE54,{1;2;3;4;5;6;7;8;9;10;11;12;13;14;15;16;17;18})),
IF(Arrangörslista!$U$5&lt;40,SUM(LARGE(BV54:DH54,{1;2;3;4;5;6;7;8;9;10;11;12;13;14;15;16;17;18;19})),
IF(Arrangörslista!$U$5&lt;43,SUM(LARGE(BV54:DK54,{1;2;3;4;5;6;7;8;9;10;11;12;13;14;15;16;17;18;19;20;21})),
IF(Arrangörslista!$U$5&lt;46,SUM(LARGE(BV54:DN54,{1;2;3;4;5;6;7;8;9;10;11;12;13;14;15;16;17;18;19;20;21;22})),
IF(Arrangörslista!$U$5&lt;49,SUM(LARGE(BV54:DQ54,{1;2;3;4;5;6;7;8;9;10;11;12;13;14;15;16;17;18;19;20;21;22;23;24})),
IF(Arrangörslista!$U$5&lt;52,SUM(LARGE(BV54:DT54,{1;2;3;4;5;6;7;8;9;10;11;12;13;14;15;16;17;18;19;20;21;22;23;24;25})),
IF(Arrangörslista!$U$5&lt;55,SUM(LARGE(BV54:DW54,{1;2;3;4;5;6;7;8;9;10;11;12;13;14;15;16;17;18;19;20;21;22;23;24;25;26;27})),
IF(Arrangörslista!$U$5&lt;58,SUM(LARGE(BV54:DZ54,{1;2;3;4;5;6;7;8;9;10;11;12;13;14;15;16;17;18;19;20;21;22;23;24;25;26;27;28})),
IF(Arrangörslista!$U$5&lt;61,SUM(LARGE(BV54:EC54,{1;2;3;4;5;6;7;8;9;10;11;12;13;14;15;16;17;18;19;20;21;22;23;24;25;26;27;28;29;30})),0)))))))))))))))))))),
IF(Arrangörslista!$U$5&lt;4,0,
IF(Arrangörslista!$U$5&lt;8,SUM(LARGE(BV54:CB54,1)),
IF(Arrangörslista!$U$5&lt;12,SUM(LARGE(BV54:CF54,{1;2})),
IF(Arrangörslista!$U$5&lt;16,SUM(LARGE(BV54:CJ54,{1;2;3})),
IF(Arrangörslista!$U$5&lt;20,SUM(LARGE(BV54:CN54,{1;2;3;4})),
IF(Arrangörslista!$U$5&lt;24,SUM(LARGE(BV54:CR54,{1;2;3;4;5})),
IF(Arrangörslista!$U$5&lt;28,SUM(LARGE(BV54:CV54,{1;2;3;4;5;6})),
IF(Arrangörslista!$U$5&lt;32,SUM(LARGE(BV54:CZ54,{1;2;3;4;5;6;7})),
IF(Arrangörslista!$U$5&lt;36,SUM(LARGE(BV54:DD54,{1;2;3;4;5;6;7;8})),
IF(Arrangörslista!$U$5&lt;40,SUM(LARGE(BV54:DH54,{1;2;3;4;5;6;7;8;9})),
IF(Arrangörslista!$U$5&lt;44,SUM(LARGE(BV54:DL54,{1;2;3;4;5;6;7;8;9;10})),
IF(Arrangörslista!$U$5&lt;48,SUM(LARGE(BV54:DP54,{1;2;3;4;5;6;7;8;9;10;11})),
IF(Arrangörslista!$U$5&lt;52,SUM(LARGE(BV54:DT54,{1;2;3;4;5;6;7;8;9;10;11;12})),
IF(Arrangörslista!$U$5&lt;56,SUM(LARGE(BV54:DX54,{1;2;3;4;5;6;7;8;9;10;11;12;13})),
IF(Arrangörslista!$U$5&lt;60,SUM(LARGE(BV54:EB54,{1;2;3;4;5;6;7;8;9;10;11;12;13;14})),
IF(Arrangörslista!$U$5=60,SUM(LARGE(BV54:EC54,{1;2;3;4;5;6;7;8;9;10;11;12;13;14;15})),0))))))))))))))))))</f>
        <v>0</v>
      </c>
      <c r="EG54" s="67">
        <f t="shared" si="187"/>
        <v>0</v>
      </c>
      <c r="EH54" s="61"/>
      <c r="EI54" s="61"/>
      <c r="EK54" s="62">
        <f t="shared" si="188"/>
        <v>61</v>
      </c>
      <c r="EL54" s="62">
        <f t="shared" si="189"/>
        <v>61</v>
      </c>
      <c r="EM54" s="62">
        <f t="shared" si="190"/>
        <v>61</v>
      </c>
      <c r="EN54" s="62">
        <f t="shared" si="191"/>
        <v>61</v>
      </c>
      <c r="EO54" s="62">
        <f t="shared" si="192"/>
        <v>61</v>
      </c>
      <c r="EP54" s="62">
        <f t="shared" si="193"/>
        <v>61</v>
      </c>
      <c r="EQ54" s="62">
        <f t="shared" si="194"/>
        <v>61</v>
      </c>
      <c r="ER54" s="62">
        <f t="shared" si="195"/>
        <v>61</v>
      </c>
      <c r="ES54" s="62">
        <f t="shared" si="196"/>
        <v>61</v>
      </c>
      <c r="ET54" s="62">
        <f t="shared" si="197"/>
        <v>61</v>
      </c>
      <c r="EU54" s="62">
        <f t="shared" si="198"/>
        <v>61</v>
      </c>
      <c r="EV54" s="62">
        <f t="shared" si="199"/>
        <v>61</v>
      </c>
      <c r="EW54" s="62">
        <f t="shared" si="200"/>
        <v>61</v>
      </c>
      <c r="EX54" s="62">
        <f t="shared" si="201"/>
        <v>61</v>
      </c>
      <c r="EY54" s="62">
        <f t="shared" si="202"/>
        <v>61</v>
      </c>
      <c r="EZ54" s="62">
        <f t="shared" si="203"/>
        <v>61</v>
      </c>
      <c r="FA54" s="62">
        <f t="shared" si="204"/>
        <v>61</v>
      </c>
      <c r="FB54" s="62">
        <f t="shared" si="205"/>
        <v>61</v>
      </c>
      <c r="FC54" s="62">
        <f t="shared" si="206"/>
        <v>61</v>
      </c>
      <c r="FD54" s="62">
        <f t="shared" si="207"/>
        <v>61</v>
      </c>
      <c r="FE54" s="62">
        <f t="shared" si="208"/>
        <v>61</v>
      </c>
      <c r="FF54" s="62">
        <f t="shared" si="209"/>
        <v>61</v>
      </c>
      <c r="FG54" s="62">
        <f t="shared" si="210"/>
        <v>61</v>
      </c>
      <c r="FH54" s="62">
        <f t="shared" si="211"/>
        <v>61</v>
      </c>
      <c r="FI54" s="62">
        <f t="shared" si="212"/>
        <v>61</v>
      </c>
      <c r="FJ54" s="62">
        <f t="shared" si="213"/>
        <v>61</v>
      </c>
      <c r="FK54" s="62">
        <f t="shared" si="214"/>
        <v>61</v>
      </c>
      <c r="FL54" s="62">
        <f t="shared" si="215"/>
        <v>61</v>
      </c>
      <c r="FM54" s="62">
        <f t="shared" si="216"/>
        <v>61</v>
      </c>
      <c r="FN54" s="62">
        <f t="shared" si="217"/>
        <v>61</v>
      </c>
      <c r="FO54" s="62">
        <f t="shared" si="218"/>
        <v>61</v>
      </c>
      <c r="FP54" s="62">
        <f t="shared" si="219"/>
        <v>61</v>
      </c>
      <c r="FQ54" s="62">
        <f t="shared" si="220"/>
        <v>61</v>
      </c>
      <c r="FR54" s="62">
        <f t="shared" si="221"/>
        <v>61</v>
      </c>
      <c r="FS54" s="62">
        <f t="shared" si="222"/>
        <v>61</v>
      </c>
      <c r="FT54" s="62">
        <f t="shared" si="223"/>
        <v>61</v>
      </c>
      <c r="FU54" s="62">
        <f t="shared" si="224"/>
        <v>61</v>
      </c>
      <c r="FV54" s="62">
        <f t="shared" si="225"/>
        <v>61</v>
      </c>
      <c r="FW54" s="62">
        <f t="shared" si="226"/>
        <v>61</v>
      </c>
      <c r="FX54" s="62">
        <f t="shared" si="227"/>
        <v>61</v>
      </c>
      <c r="FY54" s="62">
        <f t="shared" si="228"/>
        <v>61</v>
      </c>
      <c r="FZ54" s="62">
        <f t="shared" si="229"/>
        <v>61</v>
      </c>
      <c r="GA54" s="62">
        <f t="shared" si="230"/>
        <v>61</v>
      </c>
      <c r="GB54" s="62">
        <f t="shared" si="231"/>
        <v>61</v>
      </c>
      <c r="GC54" s="62">
        <f t="shared" si="232"/>
        <v>61</v>
      </c>
      <c r="GD54" s="62">
        <f t="shared" si="233"/>
        <v>61</v>
      </c>
      <c r="GE54" s="62">
        <f t="shared" si="234"/>
        <v>61</v>
      </c>
      <c r="GF54" s="62">
        <f t="shared" si="235"/>
        <v>61</v>
      </c>
      <c r="GG54" s="62">
        <f t="shared" si="236"/>
        <v>61</v>
      </c>
      <c r="GH54" s="62">
        <f t="shared" si="237"/>
        <v>61</v>
      </c>
      <c r="GI54" s="62">
        <f t="shared" si="238"/>
        <v>61</v>
      </c>
      <c r="GJ54" s="62">
        <f t="shared" si="239"/>
        <v>61</v>
      </c>
      <c r="GK54" s="62">
        <f t="shared" si="240"/>
        <v>61</v>
      </c>
      <c r="GL54" s="62">
        <f t="shared" si="241"/>
        <v>61</v>
      </c>
      <c r="GM54" s="62">
        <f t="shared" si="242"/>
        <v>61</v>
      </c>
      <c r="GN54" s="62">
        <f t="shared" si="243"/>
        <v>61</v>
      </c>
      <c r="GO54" s="62">
        <f t="shared" si="244"/>
        <v>61</v>
      </c>
      <c r="GP54" s="62">
        <f t="shared" si="245"/>
        <v>61</v>
      </c>
      <c r="GQ54" s="62">
        <f t="shared" si="246"/>
        <v>61</v>
      </c>
      <c r="GR54" s="62">
        <f t="shared" si="247"/>
        <v>61</v>
      </c>
      <c r="GT54" s="62">
        <f>IF(Deltagarlista!$K$3=2,
IF(GW54="1",
      IF(Arrangörslista!$U$5=1,J117,
IF(Arrangörslista!$U$5=2,K117,
IF(Arrangörslista!$U$5=3,L117,
IF(Arrangörslista!$U$5=4,M117,
IF(Arrangörslista!$U$5=5,N117,
IF(Arrangörslista!$U$5=6,O117,
IF(Arrangörslista!$U$5=7,P117,
IF(Arrangörslista!$U$5=8,Q117,
IF(Arrangörslista!$U$5=9,R117,
IF(Arrangörslista!$U$5=10,S117,
IF(Arrangörslista!$U$5=11,T117,
IF(Arrangörslista!$U$5=12,U117,
IF(Arrangörslista!$U$5=13,V117,
IF(Arrangörslista!$U$5=14,W117,
IF(Arrangörslista!$U$5=15,X117,
IF(Arrangörslista!$U$5=16,Y117,IF(Arrangörslista!$U$5=17,Z117,IF(Arrangörslista!$U$5=18,AA117,IF(Arrangörslista!$U$5=19,AB117,IF(Arrangörslista!$U$5=20,AC117,IF(Arrangörslista!$U$5=21,AD117,IF(Arrangörslista!$U$5=22,AE117,IF(Arrangörslista!$U$5=23,AF117, IF(Arrangörslista!$U$5=24,AG117, IF(Arrangörslista!$U$5=25,AH117, IF(Arrangörslista!$U$5=26,AI117, IF(Arrangörslista!$U$5=27,AJ117, IF(Arrangörslista!$U$5=28,AK117, IF(Arrangörslista!$U$5=29,AL117, IF(Arrangörslista!$U$5=30,AM117, IF(Arrangörslista!$U$5=31,AN117, IF(Arrangörslista!$U$5=32,AO117, IF(Arrangörslista!$U$5=33,AP117, IF(Arrangörslista!$U$5=34,AQ117, IF(Arrangörslista!$U$5=35,AR117, IF(Arrangörslista!$U$5=36,AS117, IF(Arrangörslista!$U$5=37,AT117, IF(Arrangörslista!$U$5=38,AU117, IF(Arrangörslista!$U$5=39,AV117, IF(Arrangörslista!$U$5=40,AW117, IF(Arrangörslista!$U$5=41,AX117, IF(Arrangörslista!$U$5=42,AY117, IF(Arrangörslista!$U$5=43,AZ117, IF(Arrangörslista!$U$5=44,BA117, IF(Arrangörslista!$U$5=45,BB117, IF(Arrangörslista!$U$5=46,BC117, IF(Arrangörslista!$U$5=47,BD117, IF(Arrangörslista!$U$5=48,BE117, IF(Arrangörslista!$U$5=49,BF117, IF(Arrangörslista!$U$5=50,BG117, IF(Arrangörslista!$U$5=51,BH117, IF(Arrangörslista!$U$5=52,BI117, IF(Arrangörslista!$U$5=53,BJ117, IF(Arrangörslista!$U$5=54,BK117, IF(Arrangörslista!$U$5=55,BL117, IF(Arrangörslista!$U$5=56,BM117, IF(Arrangörslista!$U$5=57,BN117, IF(Arrangörslista!$U$5=58,BO117, IF(Arrangörslista!$U$5=59,BP117, IF(Arrangörslista!$U$5=60,BQ117,0))))))))))))))))))))))))))))))))))))))))))))))))))))))))))))),IF(Deltagarlista!$K$3=4, IF(Arrangörslista!$U$5=1,J117,
IF(Arrangörslista!$U$5=2,J117,
IF(Arrangörslista!$U$5=3,K117,
IF(Arrangörslista!$U$5=4,K117,
IF(Arrangörslista!$U$5=5,L117,
IF(Arrangörslista!$U$5=6,L117,
IF(Arrangörslista!$U$5=7,M117,
IF(Arrangörslista!$U$5=8,M117,
IF(Arrangörslista!$U$5=9,N117,
IF(Arrangörslista!$U$5=10,N117,
IF(Arrangörslista!$U$5=11,O117,
IF(Arrangörslista!$U$5=12,O117,
IF(Arrangörslista!$U$5=13,P117,
IF(Arrangörslista!$U$5=14,P117,
IF(Arrangörslista!$U$5=15,Q117,
IF(Arrangörslista!$U$5=16,Q117,
IF(Arrangörslista!$U$5=17,R117,
IF(Arrangörslista!$U$5=18,R117,
IF(Arrangörslista!$U$5=19,S117,
IF(Arrangörslista!$U$5=20,S117,
IF(Arrangörslista!$U$5=21,T117,
IF(Arrangörslista!$U$5=22,T117,IF(Arrangörslista!$U$5=23,U117, IF(Arrangörslista!$U$5=24,U117, IF(Arrangörslista!$U$5=25,V117, IF(Arrangörslista!$U$5=26,V117, IF(Arrangörslista!$U$5=27,W117, IF(Arrangörslista!$U$5=28,W117, IF(Arrangörslista!$U$5=29,X117, IF(Arrangörslista!$U$5=30,X117, IF(Arrangörslista!$U$5=31,X117, IF(Arrangörslista!$U$5=32,Y117, IF(Arrangörslista!$U$5=33,AO117, IF(Arrangörslista!$U$5=34,Y117, IF(Arrangörslista!$U$5=35,Z117, IF(Arrangörslista!$U$5=36,AR117, IF(Arrangörslista!$U$5=37,Z117, IF(Arrangörslista!$U$5=38,AA117, IF(Arrangörslista!$U$5=39,AU117, IF(Arrangörslista!$U$5=40,AA117, IF(Arrangörslista!$U$5=41,AB117, IF(Arrangörslista!$U$5=42,AX117, IF(Arrangörslista!$U$5=43,AB117, IF(Arrangörslista!$U$5=44,AC117, IF(Arrangörslista!$U$5=45,BA117, IF(Arrangörslista!$U$5=46,AC117, IF(Arrangörslista!$U$5=47,AD117, IF(Arrangörslista!$U$5=48,BD117, IF(Arrangörslista!$U$5=49,AD117, IF(Arrangörslista!$U$5=50,AE117, IF(Arrangörslista!$U$5=51,BG117, IF(Arrangörslista!$U$5=52,AE117, IF(Arrangörslista!$U$5=53,AF117, IF(Arrangörslista!$U$5=54,BJ117, IF(Arrangörslista!$U$5=55,AF117, IF(Arrangörslista!$U$5=56,AG117, IF(Arrangörslista!$U$5=57,BM117, IF(Arrangörslista!$U$5=58,AG117, IF(Arrangörslista!$U$5=59,AH117, IF(Arrangörslista!$U$5=60,AH117,0)))))))))))))))))))))))))))))))))))))))))))))))))))))))))))),IF(Arrangörslista!$U$5=1,J117,
IF(Arrangörslista!$U$5=2,K117,
IF(Arrangörslista!$U$5=3,L117,
IF(Arrangörslista!$U$5=4,M117,
IF(Arrangörslista!$U$5=5,N117,
IF(Arrangörslista!$U$5=6,O117,
IF(Arrangörslista!$U$5=7,P117,
IF(Arrangörslista!$U$5=8,Q117,
IF(Arrangörslista!$U$5=9,R117,
IF(Arrangörslista!$U$5=10,S117,
IF(Arrangörslista!$U$5=11,T117,
IF(Arrangörslista!$U$5=12,U117,
IF(Arrangörslista!$U$5=13,V117,
IF(Arrangörslista!$U$5=14,W117,
IF(Arrangörslista!$U$5=15,X117,
IF(Arrangörslista!$U$5=16,Y117,IF(Arrangörslista!$U$5=17,Z117,IF(Arrangörslista!$U$5=18,AA117,IF(Arrangörslista!$U$5=19,AB117,IF(Arrangörslista!$U$5=20,AC117,IF(Arrangörslista!$U$5=21,AD117,IF(Arrangörslista!$U$5=22,AE117,IF(Arrangörslista!$U$5=23,AF117, IF(Arrangörslista!$U$5=24,AG117, IF(Arrangörslista!$U$5=25,AH117, IF(Arrangörslista!$U$5=26,AI117, IF(Arrangörslista!$U$5=27,AJ117, IF(Arrangörslista!$U$5=28,AK117, IF(Arrangörslista!$U$5=29,AL117, IF(Arrangörslista!$U$5=30,AM117, IF(Arrangörslista!$U$5=31,AN117, IF(Arrangörslista!$U$5=32,AO117, IF(Arrangörslista!$U$5=33,AP117, IF(Arrangörslista!$U$5=34,AQ117, IF(Arrangörslista!$U$5=35,AR117, IF(Arrangörslista!$U$5=36,AS117, IF(Arrangörslista!$U$5=37,AT117, IF(Arrangörslista!$U$5=38,AU117, IF(Arrangörslista!$U$5=39,AV117, IF(Arrangörslista!$U$5=40,AW117, IF(Arrangörslista!$U$5=41,AX117, IF(Arrangörslista!$U$5=42,AY117, IF(Arrangörslista!$U$5=43,AZ117, IF(Arrangörslista!$U$5=44,BA117, IF(Arrangörslista!$U$5=45,BB117, IF(Arrangörslista!$U$5=46,BC117, IF(Arrangörslista!$U$5=47,BD117, IF(Arrangörslista!$U$5=48,BE117, IF(Arrangörslista!$U$5=49,BF117, IF(Arrangörslista!$U$5=50,BG117, IF(Arrangörslista!$U$5=51,BH117, IF(Arrangörslista!$U$5=52,BI117, IF(Arrangörslista!$U$5=53,BJ117, IF(Arrangörslista!$U$5=54,BK117, IF(Arrangörslista!$U$5=55,BL117, IF(Arrangörslista!$U$5=56,BM117, IF(Arrangörslista!$U$5=57,BN117, IF(Arrangörslista!$U$5=58,BO117, IF(Arrangörslista!$U$5=59,BP117, IF(Arrangörslista!$U$5=60,BQ117,0))))))))))))))))))))))))))))))))))))))))))))))))))))))))))))
))</f>
        <v>0</v>
      </c>
      <c r="GV54" s="65" t="str">
        <f>IFERROR(IF(VLOOKUP(F54,Deltagarlista!$E$5:$I$64,5,FALSE)="Grön","Gr",IF(VLOOKUP(F54,Deltagarlista!$E$5:$I$64,5,FALSE)="Röd","R",IF(VLOOKUP(F54,Deltagarlista!$E$5:$I$64,5,FALSE)="Blå","B","Gu"))),"")</f>
        <v/>
      </c>
      <c r="GW54" s="62" t="str">
        <f t="shared" si="124"/>
        <v/>
      </c>
    </row>
    <row r="55" spans="2:205" ht="15.75" customHeight="1" x14ac:dyDescent="0.3">
      <c r="B55" s="23" t="str">
        <f>IF((COUNTIF(Deltagarlista!$H$5:$H$64,"GM"))&gt;51,52,"")</f>
        <v/>
      </c>
      <c r="C55" s="92" t="str">
        <f>IF(ISBLANK(Deltagarlista!C10),"",Deltagarlista!C10)</f>
        <v/>
      </c>
      <c r="D55" s="109" t="str">
        <f>CONCATENATE(IF(Deltagarlista!H10="GM","GM   ",""), IF(OR(Deltagarlista!$K$3=4,Deltagarlista!$K$3=2),Deltagarlista!I10,""))</f>
        <v/>
      </c>
      <c r="E55" s="8" t="str">
        <f>IF(ISBLANK(Deltagarlista!D10),"",Deltagarlista!D10)</f>
        <v/>
      </c>
      <c r="F55" s="8" t="str">
        <f>IF(ISBLANK(Deltagarlista!E10),"",Deltagarlista!E10)</f>
        <v/>
      </c>
      <c r="G55" s="95" t="str">
        <f>IF(ISBLANK(Deltagarlista!F10),"",Deltagarlista!F10)</f>
        <v/>
      </c>
      <c r="H55" s="72" t="str">
        <f>IF(ISBLANK(Deltagarlista!C10),"",BU55-EE55)</f>
        <v/>
      </c>
      <c r="I55" s="13" t="str">
        <f>IF(ISBLANK(Deltagarlista!C10),"",IF(AND(Deltagarlista!$K$3=2,Deltagarlista!$L$3&lt;37),SUM(SUM(BV55:EC55)-(ROUNDDOWN(Arrangörslista!$U$5/3,1))*($BW$3+1)),SUM(BV55:EC55)))</f>
        <v/>
      </c>
      <c r="J55" s="79" t="str">
        <f>IF(Deltagarlista!$K$3=4,IF(ISBLANK(Deltagarlista!$C10),"",IF(ISBLANK(Arrangörslista!C$8),"",IFERROR(VLOOKUP($F55,Arrangörslista!C$8:$AG$45,16,FALSE),IF(ISBLANK(Deltagarlista!$C10),"",IF(ISBLANK(Arrangörslista!C$8),"",IFERROR(VLOOKUP($F55,Arrangörslista!D$8:$AG$45,16,FALSE),"DNS")))))),IF(Deltagarlista!$K$3=2,
IF(ISBLANK(Deltagarlista!$C10),"",IF(ISBLANK(Arrangörslista!C$8),"",IF($GV55=J$64," DNS ",IFERROR(VLOOKUP($F55,Arrangörslista!C$8:$AG$45,16,FALSE),"DNS")))),IF(ISBLANK(Deltagarlista!$C10),"",IF(ISBLANK(Arrangörslista!C$8),"",IFERROR(VLOOKUP($F55,Arrangörslista!C$8:$AG$45,16,FALSE),"DNS")))))</f>
        <v/>
      </c>
      <c r="K55" s="5" t="str">
        <f>IF(Deltagarlista!$K$3=4,IF(ISBLANK(Deltagarlista!$C10),"",IF(ISBLANK(Arrangörslista!E$8),"",IFERROR(VLOOKUP($F55,Arrangörslista!E$8:$AG$45,16,FALSE),IF(ISBLANK(Deltagarlista!$C10),"",IF(ISBLANK(Arrangörslista!E$8),"",IFERROR(VLOOKUP($F55,Arrangörslista!F$8:$AG$45,16,FALSE),"DNS")))))),IF(Deltagarlista!$K$3=2,
IF(ISBLANK(Deltagarlista!$C10),"",IF(ISBLANK(Arrangörslista!D$8),"",IF($GV55=K$64," DNS ",IFERROR(VLOOKUP($F55,Arrangörslista!D$8:$AG$45,16,FALSE),"DNS")))),IF(ISBLANK(Deltagarlista!$C10),"",IF(ISBLANK(Arrangörslista!D$8),"",IFERROR(VLOOKUP($F55,Arrangörslista!D$8:$AG$45,16,FALSE),"DNS")))))</f>
        <v/>
      </c>
      <c r="L55" s="5" t="str">
        <f>IF(Deltagarlista!$K$3=4,IF(ISBLANK(Deltagarlista!$C10),"",IF(ISBLANK(Arrangörslista!G$8),"",IFERROR(VLOOKUP($F55,Arrangörslista!G$8:$AG$45,16,FALSE),IF(ISBLANK(Deltagarlista!$C10),"",IF(ISBLANK(Arrangörslista!G$8),"",IFERROR(VLOOKUP($F55,Arrangörslista!H$8:$AG$45,16,FALSE),"DNS")))))),IF(Deltagarlista!$K$3=2,
IF(ISBLANK(Deltagarlista!$C10),"",IF(ISBLANK(Arrangörslista!E$8),"",IF($GV55=L$64," DNS ",IFERROR(VLOOKUP($F55,Arrangörslista!E$8:$AG$45,16,FALSE),"DNS")))),IF(ISBLANK(Deltagarlista!$C10),"",IF(ISBLANK(Arrangörslista!E$8),"",IFERROR(VLOOKUP($F55,Arrangörslista!E$8:$AG$45,16,FALSE),"DNS")))))</f>
        <v/>
      </c>
      <c r="M55" s="5" t="str">
        <f>IF(Deltagarlista!$K$3=4,IF(ISBLANK(Deltagarlista!$C10),"",IF(ISBLANK(Arrangörslista!I$8),"",IFERROR(VLOOKUP($F55,Arrangörslista!I$8:$AG$45,16,FALSE),IF(ISBLANK(Deltagarlista!$C10),"",IF(ISBLANK(Arrangörslista!I$8),"",IFERROR(VLOOKUP($F55,Arrangörslista!J$8:$AG$45,16,FALSE),"DNS")))))),IF(Deltagarlista!$K$3=2,
IF(ISBLANK(Deltagarlista!$C10),"",IF(ISBLANK(Arrangörslista!F$8),"",IF($GV55=M$64," DNS ",IFERROR(VLOOKUP($F55,Arrangörslista!F$8:$AG$45,16,FALSE),"DNS")))),IF(ISBLANK(Deltagarlista!$C10),"",IF(ISBLANK(Arrangörslista!F$8),"",IFERROR(VLOOKUP($F55,Arrangörslista!F$8:$AG$45,16,FALSE),"DNS")))))</f>
        <v/>
      </c>
      <c r="N55" s="5" t="str">
        <f>IF(Deltagarlista!$K$3=4,IF(ISBLANK(Deltagarlista!$C10),"",IF(ISBLANK(Arrangörslista!K$8),"",IFERROR(VLOOKUP($F55,Arrangörslista!K$8:$AG$45,16,FALSE),IF(ISBLANK(Deltagarlista!$C10),"",IF(ISBLANK(Arrangörslista!K$8),"",IFERROR(VLOOKUP($F55,Arrangörslista!L$8:$AG$45,16,FALSE),"DNS")))))),IF(Deltagarlista!$K$3=2,
IF(ISBLANK(Deltagarlista!$C10),"",IF(ISBLANK(Arrangörslista!G$8),"",IF($GV55=N$64," DNS ",IFERROR(VLOOKUP($F55,Arrangörslista!G$8:$AG$45,16,FALSE),"DNS")))),IF(ISBLANK(Deltagarlista!$C10),"",IF(ISBLANK(Arrangörslista!G$8),"",IFERROR(VLOOKUP($F55,Arrangörslista!G$8:$AG$45,16,FALSE),"DNS")))))</f>
        <v/>
      </c>
      <c r="O55" s="5" t="str">
        <f>IF(Deltagarlista!$K$3=4,IF(ISBLANK(Deltagarlista!$C10),"",IF(ISBLANK(Arrangörslista!M$8),"",IFERROR(VLOOKUP($F55,Arrangörslista!M$8:$AG$45,16,FALSE),IF(ISBLANK(Deltagarlista!$C10),"",IF(ISBLANK(Arrangörslista!M$8),"",IFERROR(VLOOKUP($F55,Arrangörslista!N$8:$AG$45,16,FALSE),"DNS")))))),IF(Deltagarlista!$K$3=2,
IF(ISBLANK(Deltagarlista!$C10),"",IF(ISBLANK(Arrangörslista!H$8),"",IF($GV55=O$64," DNS ",IFERROR(VLOOKUP($F55,Arrangörslista!H$8:$AG$45,16,FALSE),"DNS")))),IF(ISBLANK(Deltagarlista!$C10),"",IF(ISBLANK(Arrangörslista!H$8),"",IFERROR(VLOOKUP($F55,Arrangörslista!H$8:$AG$45,16,FALSE),"DNS")))))</f>
        <v/>
      </c>
      <c r="P55" s="5" t="str">
        <f>IF(Deltagarlista!$K$3=4,IF(ISBLANK(Deltagarlista!$C10),"",IF(ISBLANK(Arrangörslista!O$8),"",IFERROR(VLOOKUP($F55,Arrangörslista!O$8:$AG$45,16,FALSE),IF(ISBLANK(Deltagarlista!$C10),"",IF(ISBLANK(Arrangörslista!O$8),"",IFERROR(VLOOKUP($F55,Arrangörslista!P$8:$AG$45,16,FALSE),"DNS")))))),IF(Deltagarlista!$K$3=2,
IF(ISBLANK(Deltagarlista!$C10),"",IF(ISBLANK(Arrangörslista!I$8),"",IF($GV55=P$64," DNS ",IFERROR(VLOOKUP($F55,Arrangörslista!I$8:$AG$45,16,FALSE),"DNS")))),IF(ISBLANK(Deltagarlista!$C10),"",IF(ISBLANK(Arrangörslista!I$8),"",IFERROR(VLOOKUP($F55,Arrangörslista!I$8:$AG$45,16,FALSE),"DNS")))))</f>
        <v/>
      </c>
      <c r="Q55" s="5" t="str">
        <f>IF(Deltagarlista!$K$3=4,IF(ISBLANK(Deltagarlista!$C10),"",IF(ISBLANK(Arrangörslista!Q$8),"",IFERROR(VLOOKUP($F55,Arrangörslista!Q$8:$AG$45,16,FALSE),IF(ISBLANK(Deltagarlista!$C10),"",IF(ISBLANK(Arrangörslista!Q$8),"",IFERROR(VLOOKUP($F55,Arrangörslista!C$53:$AG$90,16,FALSE),"DNS")))))),IF(Deltagarlista!$K$3=2,
IF(ISBLANK(Deltagarlista!$C10),"",IF(ISBLANK(Arrangörslista!J$8),"",IF($GV55=Q$64," DNS ",IFERROR(VLOOKUP($F55,Arrangörslista!J$8:$AG$45,16,FALSE),"DNS")))),IF(ISBLANK(Deltagarlista!$C10),"",IF(ISBLANK(Arrangörslista!J$8),"",IFERROR(VLOOKUP($F55,Arrangörslista!J$8:$AG$45,16,FALSE),"DNS")))))</f>
        <v/>
      </c>
      <c r="R55" s="5" t="str">
        <f>IF(Deltagarlista!$K$3=4,IF(ISBLANK(Deltagarlista!$C10),"",IF(ISBLANK(Arrangörslista!D$53),"",IFERROR(VLOOKUP($F55,Arrangörslista!D$53:$AG$90,16,FALSE),IF(ISBLANK(Deltagarlista!$C10),"",IF(ISBLANK(Arrangörslista!D$53),"",IFERROR(VLOOKUP($F55,Arrangörslista!E$53:$AG$90,16,FALSE),"DNS")))))),IF(Deltagarlista!$K$3=2,
IF(ISBLANK(Deltagarlista!$C10),"",IF(ISBLANK(Arrangörslista!K$8),"",IF($GV55=R$64," DNS ",IFERROR(VLOOKUP($F55,Arrangörslista!K$8:$AG$45,16,FALSE),"DNS")))),IF(ISBLANK(Deltagarlista!$C10),"",IF(ISBLANK(Arrangörslista!K$8),"",IFERROR(VLOOKUP($F55,Arrangörslista!K$8:$AG$45,16,FALSE),"DNS")))))</f>
        <v/>
      </c>
      <c r="S55" s="5" t="str">
        <f>IF(Deltagarlista!$K$3=4,IF(ISBLANK(Deltagarlista!$C10),"",IF(ISBLANK(Arrangörslista!F$53),"",IFERROR(VLOOKUP($F55,Arrangörslista!F$53:$AG$90,16,FALSE),IF(ISBLANK(Deltagarlista!$C10),"",IF(ISBLANK(Arrangörslista!F$53),"",IFERROR(VLOOKUP($F55,Arrangörslista!G$53:$AG$90,16,FALSE),"DNS")))))),IF(Deltagarlista!$K$3=2,
IF(ISBLANK(Deltagarlista!$C10),"",IF(ISBLANK(Arrangörslista!L$8),"",IF($GV55=S$64," DNS ",IFERROR(VLOOKUP($F55,Arrangörslista!L$8:$AG$45,16,FALSE),"DNS")))),IF(ISBLANK(Deltagarlista!$C10),"",IF(ISBLANK(Arrangörslista!L$8),"",IFERROR(VLOOKUP($F55,Arrangörslista!L$8:$AG$45,16,FALSE),"DNS")))))</f>
        <v/>
      </c>
      <c r="T55" s="5" t="str">
        <f>IF(Deltagarlista!$K$3=4,IF(ISBLANK(Deltagarlista!$C10),"",IF(ISBLANK(Arrangörslista!H$53),"",IFERROR(VLOOKUP($F55,Arrangörslista!H$53:$AG$90,16,FALSE),IF(ISBLANK(Deltagarlista!$C10),"",IF(ISBLANK(Arrangörslista!H$53),"",IFERROR(VLOOKUP($F55,Arrangörslista!I$53:$AG$90,16,FALSE),"DNS")))))),IF(Deltagarlista!$K$3=2,
IF(ISBLANK(Deltagarlista!$C10),"",IF(ISBLANK(Arrangörslista!M$8),"",IF($GV55=T$64," DNS ",IFERROR(VLOOKUP($F55,Arrangörslista!M$8:$AG$45,16,FALSE),"DNS")))),IF(ISBLANK(Deltagarlista!$C10),"",IF(ISBLANK(Arrangörslista!M$8),"",IFERROR(VLOOKUP($F55,Arrangörslista!M$8:$AG$45,16,FALSE),"DNS")))))</f>
        <v/>
      </c>
      <c r="U55" s="5" t="str">
        <f>IF(Deltagarlista!$K$3=4,IF(ISBLANK(Deltagarlista!$C10),"",IF(ISBLANK(Arrangörslista!J$53),"",IFERROR(VLOOKUP($F55,Arrangörslista!J$53:$AG$90,16,FALSE),IF(ISBLANK(Deltagarlista!$C10),"",IF(ISBLANK(Arrangörslista!J$53),"",IFERROR(VLOOKUP($F55,Arrangörslista!K$53:$AG$90,16,FALSE),"DNS")))))),IF(Deltagarlista!$K$3=2,
IF(ISBLANK(Deltagarlista!$C10),"",IF(ISBLANK(Arrangörslista!N$8),"",IF($GV55=U$64," DNS ",IFERROR(VLOOKUP($F55,Arrangörslista!N$8:$AG$45,16,FALSE),"DNS")))),IF(ISBLANK(Deltagarlista!$C10),"",IF(ISBLANK(Arrangörslista!N$8),"",IFERROR(VLOOKUP($F55,Arrangörslista!N$8:$AG$45,16,FALSE),"DNS")))))</f>
        <v/>
      </c>
      <c r="V55" s="5" t="str">
        <f>IF(Deltagarlista!$K$3=4,IF(ISBLANK(Deltagarlista!$C10),"",IF(ISBLANK(Arrangörslista!L$53),"",IFERROR(VLOOKUP($F55,Arrangörslista!L$53:$AG$90,16,FALSE),IF(ISBLANK(Deltagarlista!$C10),"",IF(ISBLANK(Arrangörslista!L$53),"",IFERROR(VLOOKUP($F55,Arrangörslista!M$53:$AG$90,16,FALSE),"DNS")))))),IF(Deltagarlista!$K$3=2,
IF(ISBLANK(Deltagarlista!$C10),"",IF(ISBLANK(Arrangörslista!O$8),"",IF($GV55=V$64," DNS ",IFERROR(VLOOKUP($F55,Arrangörslista!O$8:$AG$45,16,FALSE),"DNS")))),IF(ISBLANK(Deltagarlista!$C10),"",IF(ISBLANK(Arrangörslista!O$8),"",IFERROR(VLOOKUP($F55,Arrangörslista!O$8:$AG$45,16,FALSE),"DNS")))))</f>
        <v/>
      </c>
      <c r="W55" s="5" t="str">
        <f>IF(Deltagarlista!$K$3=4,IF(ISBLANK(Deltagarlista!$C10),"",IF(ISBLANK(Arrangörslista!N$53),"",IFERROR(VLOOKUP($F55,Arrangörslista!N$53:$AG$90,16,FALSE),IF(ISBLANK(Deltagarlista!$C10),"",IF(ISBLANK(Arrangörslista!N$53),"",IFERROR(VLOOKUP($F55,Arrangörslista!O$53:$AG$90,16,FALSE),"DNS")))))),IF(Deltagarlista!$K$3=2,
IF(ISBLANK(Deltagarlista!$C10),"",IF(ISBLANK(Arrangörslista!P$8),"",IF($GV55=W$64," DNS ",IFERROR(VLOOKUP($F55,Arrangörslista!P$8:$AG$45,16,FALSE),"DNS")))),IF(ISBLANK(Deltagarlista!$C10),"",IF(ISBLANK(Arrangörslista!P$8),"",IFERROR(VLOOKUP($F55,Arrangörslista!P$8:$AG$45,16,FALSE),"DNS")))))</f>
        <v/>
      </c>
      <c r="X55" s="5" t="str">
        <f>IF(Deltagarlista!$K$3=4,IF(ISBLANK(Deltagarlista!$C10),"",IF(ISBLANK(Arrangörslista!P$53),"",IFERROR(VLOOKUP($F55,Arrangörslista!P$53:$AG$90,16,FALSE),IF(ISBLANK(Deltagarlista!$C10),"",IF(ISBLANK(Arrangörslista!P$53),"",IFERROR(VLOOKUP($F55,Arrangörslista!Q$53:$AG$90,16,FALSE),"DNS")))))),IF(Deltagarlista!$K$3=2,
IF(ISBLANK(Deltagarlista!$C10),"",IF(ISBLANK(Arrangörslista!Q$8),"",IF($GV55=X$64," DNS ",IFERROR(VLOOKUP($F55,Arrangörslista!Q$8:$AG$45,16,FALSE),"DNS")))),IF(ISBLANK(Deltagarlista!$C10),"",IF(ISBLANK(Arrangörslista!Q$8),"",IFERROR(VLOOKUP($F55,Arrangörslista!Q$8:$AG$45,16,FALSE),"DNS")))))</f>
        <v/>
      </c>
      <c r="Y55" s="5" t="str">
        <f>IF(Deltagarlista!$K$3=4,IF(ISBLANK(Deltagarlista!$C10),"",IF(ISBLANK(Arrangörslista!C$98),"",IFERROR(VLOOKUP($F55,Arrangörslista!C$98:$AG$135,16,FALSE),IF(ISBLANK(Deltagarlista!$C10),"",IF(ISBLANK(Arrangörslista!C$98),"",IFERROR(VLOOKUP($F55,Arrangörslista!D$98:$AG$135,16,FALSE),"DNS")))))),IF(Deltagarlista!$K$3=2,
IF(ISBLANK(Deltagarlista!$C10),"",IF(ISBLANK(Arrangörslista!C$53),"",IF($GV55=Y$64," DNS ",IFERROR(VLOOKUP($F55,Arrangörslista!C$53:$AG$90,16,FALSE),"DNS")))),IF(ISBLANK(Deltagarlista!$C10),"",IF(ISBLANK(Arrangörslista!C$53),"",IFERROR(VLOOKUP($F55,Arrangörslista!C$53:$AG$90,16,FALSE),"DNS")))))</f>
        <v/>
      </c>
      <c r="Z55" s="5" t="str">
        <f>IF(Deltagarlista!$K$3=4,IF(ISBLANK(Deltagarlista!$C10),"",IF(ISBLANK(Arrangörslista!E$98),"",IFERROR(VLOOKUP($F55,Arrangörslista!E$98:$AG$135,16,FALSE),IF(ISBLANK(Deltagarlista!$C10),"",IF(ISBLANK(Arrangörslista!E$98),"",IFERROR(VLOOKUP($F55,Arrangörslista!F$98:$AG$135,16,FALSE),"DNS")))))),IF(Deltagarlista!$K$3=2,
IF(ISBLANK(Deltagarlista!$C10),"",IF(ISBLANK(Arrangörslista!D$53),"",IF($GV55=Z$64," DNS ",IFERROR(VLOOKUP($F55,Arrangörslista!D$53:$AG$90,16,FALSE),"DNS")))),IF(ISBLANK(Deltagarlista!$C10),"",IF(ISBLANK(Arrangörslista!D$53),"",IFERROR(VLOOKUP($F55,Arrangörslista!D$53:$AG$90,16,FALSE),"DNS")))))</f>
        <v/>
      </c>
      <c r="AA55" s="5" t="str">
        <f>IF(Deltagarlista!$K$3=4,IF(ISBLANK(Deltagarlista!$C10),"",IF(ISBLANK(Arrangörslista!G$98),"",IFERROR(VLOOKUP($F55,Arrangörslista!G$98:$AG$135,16,FALSE),IF(ISBLANK(Deltagarlista!$C10),"",IF(ISBLANK(Arrangörslista!G$98),"",IFERROR(VLOOKUP($F55,Arrangörslista!H$98:$AG$135,16,FALSE),"DNS")))))),IF(Deltagarlista!$K$3=2,
IF(ISBLANK(Deltagarlista!$C10),"",IF(ISBLANK(Arrangörslista!E$53),"",IF($GV55=AA$64," DNS ",IFERROR(VLOOKUP($F55,Arrangörslista!E$53:$AG$90,16,FALSE),"DNS")))),IF(ISBLANK(Deltagarlista!$C10),"",IF(ISBLANK(Arrangörslista!E$53),"",IFERROR(VLOOKUP($F55,Arrangörslista!E$53:$AG$90,16,FALSE),"DNS")))))</f>
        <v/>
      </c>
      <c r="AB55" s="5" t="str">
        <f>IF(Deltagarlista!$K$3=4,IF(ISBLANK(Deltagarlista!$C10),"",IF(ISBLANK(Arrangörslista!I$98),"",IFERROR(VLOOKUP($F55,Arrangörslista!I$98:$AG$135,16,FALSE),IF(ISBLANK(Deltagarlista!$C10),"",IF(ISBLANK(Arrangörslista!I$98),"",IFERROR(VLOOKUP($F55,Arrangörslista!J$98:$AG$135,16,FALSE),"DNS")))))),IF(Deltagarlista!$K$3=2,
IF(ISBLANK(Deltagarlista!$C10),"",IF(ISBLANK(Arrangörslista!F$53),"",IF($GV55=AB$64," DNS ",IFERROR(VLOOKUP($F55,Arrangörslista!F$53:$AG$90,16,FALSE),"DNS")))),IF(ISBLANK(Deltagarlista!$C10),"",IF(ISBLANK(Arrangörslista!F$53),"",IFERROR(VLOOKUP($F55,Arrangörslista!F$53:$AG$90,16,FALSE),"DNS")))))</f>
        <v/>
      </c>
      <c r="AC55" s="5" t="str">
        <f>IF(Deltagarlista!$K$3=4,IF(ISBLANK(Deltagarlista!$C10),"",IF(ISBLANK(Arrangörslista!K$98),"",IFERROR(VLOOKUP($F55,Arrangörslista!K$98:$AG$135,16,FALSE),IF(ISBLANK(Deltagarlista!$C10),"",IF(ISBLANK(Arrangörslista!K$98),"",IFERROR(VLOOKUP($F55,Arrangörslista!L$98:$AG$135,16,FALSE),"DNS")))))),IF(Deltagarlista!$K$3=2,
IF(ISBLANK(Deltagarlista!$C10),"",IF(ISBLANK(Arrangörslista!G$53),"",IF($GV55=AC$64," DNS ",IFERROR(VLOOKUP($F55,Arrangörslista!G$53:$AG$90,16,FALSE),"DNS")))),IF(ISBLANK(Deltagarlista!$C10),"",IF(ISBLANK(Arrangörslista!G$53),"",IFERROR(VLOOKUP($F55,Arrangörslista!G$53:$AG$90,16,FALSE),"DNS")))))</f>
        <v/>
      </c>
      <c r="AD55" s="5" t="str">
        <f>IF(Deltagarlista!$K$3=4,IF(ISBLANK(Deltagarlista!$C10),"",IF(ISBLANK(Arrangörslista!M$98),"",IFERROR(VLOOKUP($F55,Arrangörslista!M$98:$AG$135,16,FALSE),IF(ISBLANK(Deltagarlista!$C10),"",IF(ISBLANK(Arrangörslista!M$98),"",IFERROR(VLOOKUP($F55,Arrangörslista!N$98:$AG$135,16,FALSE),"DNS")))))),IF(Deltagarlista!$K$3=2,
IF(ISBLANK(Deltagarlista!$C10),"",IF(ISBLANK(Arrangörslista!H$53),"",IF($GV55=AD$64," DNS ",IFERROR(VLOOKUP($F55,Arrangörslista!H$53:$AG$90,16,FALSE),"DNS")))),IF(ISBLANK(Deltagarlista!$C10),"",IF(ISBLANK(Arrangörslista!H$53),"",IFERROR(VLOOKUP($F55,Arrangörslista!H$53:$AG$90,16,FALSE),"DNS")))))</f>
        <v/>
      </c>
      <c r="AE55" s="5" t="str">
        <f>IF(Deltagarlista!$K$3=4,IF(ISBLANK(Deltagarlista!$C10),"",IF(ISBLANK(Arrangörslista!O$98),"",IFERROR(VLOOKUP($F55,Arrangörslista!O$98:$AG$135,16,FALSE),IF(ISBLANK(Deltagarlista!$C10),"",IF(ISBLANK(Arrangörslista!O$98),"",IFERROR(VLOOKUP($F55,Arrangörslista!P$98:$AG$135,16,FALSE),"DNS")))))),IF(Deltagarlista!$K$3=2,
IF(ISBLANK(Deltagarlista!$C10),"",IF(ISBLANK(Arrangörslista!I$53),"",IF($GV55=AE$64," DNS ",IFERROR(VLOOKUP($F55,Arrangörslista!I$53:$AG$90,16,FALSE),"DNS")))),IF(ISBLANK(Deltagarlista!$C10),"",IF(ISBLANK(Arrangörslista!I$53),"",IFERROR(VLOOKUP($F55,Arrangörslista!I$53:$AG$90,16,FALSE),"DNS")))))</f>
        <v/>
      </c>
      <c r="AF55" s="5" t="str">
        <f>IF(Deltagarlista!$K$3=4,IF(ISBLANK(Deltagarlista!$C10),"",IF(ISBLANK(Arrangörslista!Q$98),"",IFERROR(VLOOKUP($F55,Arrangörslista!Q$98:$AG$135,16,FALSE),IF(ISBLANK(Deltagarlista!$C10),"",IF(ISBLANK(Arrangörslista!Q$98),"",IFERROR(VLOOKUP($F55,Arrangörslista!C$143:$AG$180,16,FALSE),"DNS")))))),IF(Deltagarlista!$K$3=2,
IF(ISBLANK(Deltagarlista!$C10),"",IF(ISBLANK(Arrangörslista!J$53),"",IF($GV55=AF$64," DNS ",IFERROR(VLOOKUP($F55,Arrangörslista!J$53:$AG$90,16,FALSE),"DNS")))),IF(ISBLANK(Deltagarlista!$C10),"",IF(ISBLANK(Arrangörslista!J$53),"",IFERROR(VLOOKUP($F55,Arrangörslista!J$53:$AG$90,16,FALSE),"DNS")))))</f>
        <v/>
      </c>
      <c r="AG55" s="5" t="str">
        <f>IF(Deltagarlista!$K$3=4,IF(ISBLANK(Deltagarlista!$C10),"",IF(ISBLANK(Arrangörslista!D$143),"",IFERROR(VLOOKUP($F55,Arrangörslista!D$143:$AG$180,16,FALSE),IF(ISBLANK(Deltagarlista!$C10),"",IF(ISBLANK(Arrangörslista!D$143),"",IFERROR(VLOOKUP($F55,Arrangörslista!E$143:$AG$180,16,FALSE),"DNS")))))),IF(Deltagarlista!$K$3=2,
IF(ISBLANK(Deltagarlista!$C10),"",IF(ISBLANK(Arrangörslista!K$53),"",IF($GV55=AG$64," DNS ",IFERROR(VLOOKUP($F55,Arrangörslista!K$53:$AG$90,16,FALSE),"DNS")))),IF(ISBLANK(Deltagarlista!$C10),"",IF(ISBLANK(Arrangörslista!K$53),"",IFERROR(VLOOKUP($F55,Arrangörslista!K$53:$AG$90,16,FALSE),"DNS")))))</f>
        <v/>
      </c>
      <c r="AH55" s="5" t="str">
        <f>IF(Deltagarlista!$K$3=4,IF(ISBLANK(Deltagarlista!$C10),"",IF(ISBLANK(Arrangörslista!F$143),"",IFERROR(VLOOKUP($F55,Arrangörslista!F$143:$AG$180,16,FALSE),IF(ISBLANK(Deltagarlista!$C10),"",IF(ISBLANK(Arrangörslista!F$143),"",IFERROR(VLOOKUP($F55,Arrangörslista!G$143:$AG$180,16,FALSE),"DNS")))))),IF(Deltagarlista!$K$3=2,
IF(ISBLANK(Deltagarlista!$C10),"",IF(ISBLANK(Arrangörslista!L$53),"",IF($GV55=AH$64," DNS ",IFERROR(VLOOKUP($F55,Arrangörslista!L$53:$AG$90,16,FALSE),"DNS")))),IF(ISBLANK(Deltagarlista!$C10),"",IF(ISBLANK(Arrangörslista!L$53),"",IFERROR(VLOOKUP($F55,Arrangörslista!L$53:$AG$90,16,FALSE),"DNS")))))</f>
        <v/>
      </c>
      <c r="AI55" s="5" t="str">
        <f>IF(Deltagarlista!$K$3=4,IF(ISBLANK(Deltagarlista!$C10),"",IF(ISBLANK(Arrangörslista!H$143),"",IFERROR(VLOOKUP($F55,Arrangörslista!H$143:$AG$180,16,FALSE),IF(ISBLANK(Deltagarlista!$C10),"",IF(ISBLANK(Arrangörslista!H$143),"",IFERROR(VLOOKUP($F55,Arrangörslista!I$143:$AG$180,16,FALSE),"DNS")))))),IF(Deltagarlista!$K$3=2,
IF(ISBLANK(Deltagarlista!$C10),"",IF(ISBLANK(Arrangörslista!M$53),"",IF($GV55=AI$64," DNS ",IFERROR(VLOOKUP($F55,Arrangörslista!M$53:$AG$90,16,FALSE),"DNS")))),IF(ISBLANK(Deltagarlista!$C10),"",IF(ISBLANK(Arrangörslista!M$53),"",IFERROR(VLOOKUP($F55,Arrangörslista!M$53:$AG$90,16,FALSE),"DNS")))))</f>
        <v/>
      </c>
      <c r="AJ55" s="5" t="str">
        <f>IF(Deltagarlista!$K$3=4,IF(ISBLANK(Deltagarlista!$C10),"",IF(ISBLANK(Arrangörslista!J$143),"",IFERROR(VLOOKUP($F55,Arrangörslista!J$143:$AG$180,16,FALSE),IF(ISBLANK(Deltagarlista!$C10),"",IF(ISBLANK(Arrangörslista!J$143),"",IFERROR(VLOOKUP($F55,Arrangörslista!K$143:$AG$180,16,FALSE),"DNS")))))),IF(Deltagarlista!$K$3=2,
IF(ISBLANK(Deltagarlista!$C10),"",IF(ISBLANK(Arrangörslista!N$53),"",IF($GV55=AJ$64," DNS ",IFERROR(VLOOKUP($F55,Arrangörslista!N$53:$AG$90,16,FALSE),"DNS")))),IF(ISBLANK(Deltagarlista!$C10),"",IF(ISBLANK(Arrangörslista!N$53),"",IFERROR(VLOOKUP($F55,Arrangörslista!N$53:$AG$90,16,FALSE),"DNS")))))</f>
        <v/>
      </c>
      <c r="AK55" s="5" t="str">
        <f>IF(Deltagarlista!$K$3=4,IF(ISBLANK(Deltagarlista!$C10),"",IF(ISBLANK(Arrangörslista!L$143),"",IFERROR(VLOOKUP($F55,Arrangörslista!L$143:$AG$180,16,FALSE),IF(ISBLANK(Deltagarlista!$C10),"",IF(ISBLANK(Arrangörslista!L$143),"",IFERROR(VLOOKUP($F55,Arrangörslista!M$143:$AG$180,16,FALSE),"DNS")))))),IF(Deltagarlista!$K$3=2,
IF(ISBLANK(Deltagarlista!$C10),"",IF(ISBLANK(Arrangörslista!O$53),"",IF($GV55=AK$64," DNS ",IFERROR(VLOOKUP($F55,Arrangörslista!O$53:$AG$90,16,FALSE),"DNS")))),IF(ISBLANK(Deltagarlista!$C10),"",IF(ISBLANK(Arrangörslista!O$53),"",IFERROR(VLOOKUP($F55,Arrangörslista!O$53:$AG$90,16,FALSE),"DNS")))))</f>
        <v/>
      </c>
      <c r="AL55" s="5" t="str">
        <f>IF(Deltagarlista!$K$3=4,IF(ISBLANK(Deltagarlista!$C10),"",IF(ISBLANK(Arrangörslista!N$143),"",IFERROR(VLOOKUP($F55,Arrangörslista!N$143:$AG$180,16,FALSE),IF(ISBLANK(Deltagarlista!$C10),"",IF(ISBLANK(Arrangörslista!N$143),"",IFERROR(VLOOKUP($F55,Arrangörslista!O$143:$AG$180,16,FALSE),"DNS")))))),IF(Deltagarlista!$K$3=2,
IF(ISBLANK(Deltagarlista!$C10),"",IF(ISBLANK(Arrangörslista!P$53),"",IF($GV55=AL$64," DNS ",IFERROR(VLOOKUP($F55,Arrangörslista!P$53:$AG$90,16,FALSE),"DNS")))),IF(ISBLANK(Deltagarlista!$C10),"",IF(ISBLANK(Arrangörslista!P$53),"",IFERROR(VLOOKUP($F55,Arrangörslista!P$53:$AG$90,16,FALSE),"DNS")))))</f>
        <v/>
      </c>
      <c r="AM55" s="5" t="str">
        <f>IF(Deltagarlista!$K$3=4,IF(ISBLANK(Deltagarlista!$C10),"",IF(ISBLANK(Arrangörslista!P$143),"",IFERROR(VLOOKUP($F55,Arrangörslista!P$143:$AG$180,16,FALSE),IF(ISBLANK(Deltagarlista!$C10),"",IF(ISBLANK(Arrangörslista!P$143),"",IFERROR(VLOOKUP($F55,Arrangörslista!Q$143:$AG$180,16,FALSE),"DNS")))))),IF(Deltagarlista!$K$3=2,
IF(ISBLANK(Deltagarlista!$C10),"",IF(ISBLANK(Arrangörslista!Q$53),"",IF($GV55=AM$64," DNS ",IFERROR(VLOOKUP($F55,Arrangörslista!Q$53:$AG$90,16,FALSE),"DNS")))),IF(ISBLANK(Deltagarlista!$C10),"",IF(ISBLANK(Arrangörslista!Q$53),"",IFERROR(VLOOKUP($F55,Arrangörslista!Q$53:$AG$90,16,FALSE),"DNS")))))</f>
        <v/>
      </c>
      <c r="AN55" s="5" t="str">
        <f>IF(Deltagarlista!$K$3=2,
IF(ISBLANK(Deltagarlista!$C10),"",IF(ISBLANK(Arrangörslista!C$98),"",IF($GV55=AN$64," DNS ",IFERROR(VLOOKUP($F55,Arrangörslista!C$98:$AG$135,16,FALSE), "DNS")))), IF(Deltagarlista!$K$3=1,IF(ISBLANK(Deltagarlista!$C10),"",IF(ISBLANK(Arrangörslista!C$98),"",IFERROR(VLOOKUP($F55,Arrangörslista!C$98:$AG$135,16,FALSE), "DNS"))),""))</f>
        <v/>
      </c>
      <c r="AO55" s="5" t="str">
        <f>IF(Deltagarlista!$K$3=2,
IF(ISBLANK(Deltagarlista!$C10),"",IF(ISBLANK(Arrangörslista!D$98),"",IF($GV55=AO$64," DNS ",IFERROR(VLOOKUP($F55,Arrangörslista!D$98:$AG$135,16,FALSE), "DNS")))), IF(Deltagarlista!$K$3=1,IF(ISBLANK(Deltagarlista!$C10),"",IF(ISBLANK(Arrangörslista!D$98),"",IFERROR(VLOOKUP($F55,Arrangörslista!D$98:$AG$135,16,FALSE), "DNS"))),""))</f>
        <v/>
      </c>
      <c r="AP55" s="5" t="str">
        <f>IF(Deltagarlista!$K$3=2,
IF(ISBLANK(Deltagarlista!$C10),"",IF(ISBLANK(Arrangörslista!E$98),"",IF($GV55=AP$64," DNS ",IFERROR(VLOOKUP($F55,Arrangörslista!E$98:$AG$135,16,FALSE), "DNS")))), IF(Deltagarlista!$K$3=1,IF(ISBLANK(Deltagarlista!$C10),"",IF(ISBLANK(Arrangörslista!E$98),"",IFERROR(VLOOKUP($F55,Arrangörslista!E$98:$AG$135,16,FALSE), "DNS"))),""))</f>
        <v/>
      </c>
      <c r="AQ55" s="5" t="str">
        <f>IF(Deltagarlista!$K$3=2,
IF(ISBLANK(Deltagarlista!$C10),"",IF(ISBLANK(Arrangörslista!F$98),"",IF($GV55=AQ$64," DNS ",IFERROR(VLOOKUP($F55,Arrangörslista!F$98:$AG$135,16,FALSE), "DNS")))), IF(Deltagarlista!$K$3=1,IF(ISBLANK(Deltagarlista!$C10),"",IF(ISBLANK(Arrangörslista!F$98),"",IFERROR(VLOOKUP($F55,Arrangörslista!F$98:$AG$135,16,FALSE), "DNS"))),""))</f>
        <v/>
      </c>
      <c r="AR55" s="5" t="str">
        <f>IF(Deltagarlista!$K$3=2,
IF(ISBLANK(Deltagarlista!$C10),"",IF(ISBLANK(Arrangörslista!G$98),"",IF($GV55=AR$64," DNS ",IFERROR(VLOOKUP($F55,Arrangörslista!G$98:$AG$135,16,FALSE), "DNS")))), IF(Deltagarlista!$K$3=1,IF(ISBLANK(Deltagarlista!$C10),"",IF(ISBLANK(Arrangörslista!G$98),"",IFERROR(VLOOKUP($F55,Arrangörslista!G$98:$AG$135,16,FALSE), "DNS"))),""))</f>
        <v/>
      </c>
      <c r="AS55" s="5" t="str">
        <f>IF(Deltagarlista!$K$3=2,
IF(ISBLANK(Deltagarlista!$C10),"",IF(ISBLANK(Arrangörslista!H$98),"",IF($GV55=AS$64," DNS ",IFERROR(VLOOKUP($F55,Arrangörslista!H$98:$AG$135,16,FALSE), "DNS")))), IF(Deltagarlista!$K$3=1,IF(ISBLANK(Deltagarlista!$C10),"",IF(ISBLANK(Arrangörslista!H$98),"",IFERROR(VLOOKUP($F55,Arrangörslista!H$98:$AG$135,16,FALSE), "DNS"))),""))</f>
        <v/>
      </c>
      <c r="AT55" s="5" t="str">
        <f>IF(Deltagarlista!$K$3=2,
IF(ISBLANK(Deltagarlista!$C10),"",IF(ISBLANK(Arrangörslista!I$98),"",IF($GV55=AT$64," DNS ",IFERROR(VLOOKUP($F55,Arrangörslista!I$98:$AG$135,16,FALSE), "DNS")))), IF(Deltagarlista!$K$3=1,IF(ISBLANK(Deltagarlista!$C10),"",IF(ISBLANK(Arrangörslista!I$98),"",IFERROR(VLOOKUP($F55,Arrangörslista!I$98:$AG$135,16,FALSE), "DNS"))),""))</f>
        <v/>
      </c>
      <c r="AU55" s="5" t="str">
        <f>IF(Deltagarlista!$K$3=2,
IF(ISBLANK(Deltagarlista!$C10),"",IF(ISBLANK(Arrangörslista!J$98),"",IF($GV55=AU$64," DNS ",IFERROR(VLOOKUP($F55,Arrangörslista!J$98:$AG$135,16,FALSE), "DNS")))), IF(Deltagarlista!$K$3=1,IF(ISBLANK(Deltagarlista!$C10),"",IF(ISBLANK(Arrangörslista!J$98),"",IFERROR(VLOOKUP($F55,Arrangörslista!J$98:$AG$135,16,FALSE), "DNS"))),""))</f>
        <v/>
      </c>
      <c r="AV55" s="5" t="str">
        <f>IF(Deltagarlista!$K$3=2,
IF(ISBLANK(Deltagarlista!$C10),"",IF(ISBLANK(Arrangörslista!K$98),"",IF($GV55=AV$64," DNS ",IFERROR(VLOOKUP($F55,Arrangörslista!K$98:$AG$135,16,FALSE), "DNS")))), IF(Deltagarlista!$K$3=1,IF(ISBLANK(Deltagarlista!$C10),"",IF(ISBLANK(Arrangörslista!K$98),"",IFERROR(VLOOKUP($F55,Arrangörslista!K$98:$AG$135,16,FALSE), "DNS"))),""))</f>
        <v/>
      </c>
      <c r="AW55" s="5" t="str">
        <f>IF(Deltagarlista!$K$3=2,
IF(ISBLANK(Deltagarlista!$C10),"",IF(ISBLANK(Arrangörslista!L$98),"",IF($GV55=AW$64," DNS ",IFERROR(VLOOKUP($F55,Arrangörslista!L$98:$AG$135,16,FALSE), "DNS")))), IF(Deltagarlista!$K$3=1,IF(ISBLANK(Deltagarlista!$C10),"",IF(ISBLANK(Arrangörslista!L$98),"",IFERROR(VLOOKUP($F55,Arrangörslista!L$98:$AG$135,16,FALSE), "DNS"))),""))</f>
        <v/>
      </c>
      <c r="AX55" s="5" t="str">
        <f>IF(Deltagarlista!$K$3=2,
IF(ISBLANK(Deltagarlista!$C10),"",IF(ISBLANK(Arrangörslista!M$98),"",IF($GV55=AX$64," DNS ",IFERROR(VLOOKUP($F55,Arrangörslista!M$98:$AG$135,16,FALSE), "DNS")))), IF(Deltagarlista!$K$3=1,IF(ISBLANK(Deltagarlista!$C10),"",IF(ISBLANK(Arrangörslista!M$98),"",IFERROR(VLOOKUP($F55,Arrangörslista!M$98:$AG$135,16,FALSE), "DNS"))),""))</f>
        <v/>
      </c>
      <c r="AY55" s="5" t="str">
        <f>IF(Deltagarlista!$K$3=2,
IF(ISBLANK(Deltagarlista!$C10),"",IF(ISBLANK(Arrangörslista!N$98),"",IF($GV55=AY$64," DNS ",IFERROR(VLOOKUP($F55,Arrangörslista!N$98:$AG$135,16,FALSE), "DNS")))), IF(Deltagarlista!$K$3=1,IF(ISBLANK(Deltagarlista!$C10),"",IF(ISBLANK(Arrangörslista!N$98),"",IFERROR(VLOOKUP($F55,Arrangörslista!N$98:$AG$135,16,FALSE), "DNS"))),""))</f>
        <v/>
      </c>
      <c r="AZ55" s="5" t="str">
        <f>IF(Deltagarlista!$K$3=2,
IF(ISBLANK(Deltagarlista!$C10),"",IF(ISBLANK(Arrangörslista!O$98),"",IF($GV55=AZ$64," DNS ",IFERROR(VLOOKUP($F55,Arrangörslista!O$98:$AG$135,16,FALSE), "DNS")))), IF(Deltagarlista!$K$3=1,IF(ISBLANK(Deltagarlista!$C10),"",IF(ISBLANK(Arrangörslista!O$98),"",IFERROR(VLOOKUP($F55,Arrangörslista!O$98:$AG$135,16,FALSE), "DNS"))),""))</f>
        <v/>
      </c>
      <c r="BA55" s="5" t="str">
        <f>IF(Deltagarlista!$K$3=2,
IF(ISBLANK(Deltagarlista!$C10),"",IF(ISBLANK(Arrangörslista!P$98),"",IF($GV55=BA$64," DNS ",IFERROR(VLOOKUP($F55,Arrangörslista!P$98:$AG$135,16,FALSE), "DNS")))), IF(Deltagarlista!$K$3=1,IF(ISBLANK(Deltagarlista!$C10),"",IF(ISBLANK(Arrangörslista!P$98),"",IFERROR(VLOOKUP($F55,Arrangörslista!P$98:$AG$135,16,FALSE), "DNS"))),""))</f>
        <v/>
      </c>
      <c r="BB55" s="5" t="str">
        <f>IF(Deltagarlista!$K$3=2,
IF(ISBLANK(Deltagarlista!$C10),"",IF(ISBLANK(Arrangörslista!Q$98),"",IF($GV55=BB$64," DNS ",IFERROR(VLOOKUP($F55,Arrangörslista!Q$98:$AG$135,16,FALSE), "DNS")))), IF(Deltagarlista!$K$3=1,IF(ISBLANK(Deltagarlista!$C10),"",IF(ISBLANK(Arrangörslista!Q$98),"",IFERROR(VLOOKUP($F55,Arrangörslista!Q$98:$AG$135,16,FALSE), "DNS"))),""))</f>
        <v/>
      </c>
      <c r="BC55" s="5" t="str">
        <f>IF(Deltagarlista!$K$3=2,
IF(ISBLANK(Deltagarlista!$C10),"",IF(ISBLANK(Arrangörslista!C$143),"",IF($GV55=BC$64," DNS ",IFERROR(VLOOKUP($F55,Arrangörslista!C$143:$AG$180,16,FALSE), "DNS")))), IF(Deltagarlista!$K$3=1,IF(ISBLANK(Deltagarlista!$C10),"",IF(ISBLANK(Arrangörslista!C$143),"",IFERROR(VLOOKUP($F55,Arrangörslista!C$143:$AG$180,16,FALSE), "DNS"))),""))</f>
        <v/>
      </c>
      <c r="BD55" s="5" t="str">
        <f>IF(Deltagarlista!$K$3=2,
IF(ISBLANK(Deltagarlista!$C10),"",IF(ISBLANK(Arrangörslista!D$143),"",IF($GV55=BD$64," DNS ",IFERROR(VLOOKUP($F55,Arrangörslista!D$143:$AG$180,16,FALSE), "DNS")))), IF(Deltagarlista!$K$3=1,IF(ISBLANK(Deltagarlista!$C10),"",IF(ISBLANK(Arrangörslista!D$143),"",IFERROR(VLOOKUP($F55,Arrangörslista!D$143:$AG$180,16,FALSE), "DNS"))),""))</f>
        <v/>
      </c>
      <c r="BE55" s="5" t="str">
        <f>IF(Deltagarlista!$K$3=2,
IF(ISBLANK(Deltagarlista!$C10),"",IF(ISBLANK(Arrangörslista!E$143),"",IF($GV55=BE$64," DNS ",IFERROR(VLOOKUP($F55,Arrangörslista!E$143:$AG$180,16,FALSE), "DNS")))), IF(Deltagarlista!$K$3=1,IF(ISBLANK(Deltagarlista!$C10),"",IF(ISBLANK(Arrangörslista!E$143),"",IFERROR(VLOOKUP($F55,Arrangörslista!E$143:$AG$180,16,FALSE), "DNS"))),""))</f>
        <v/>
      </c>
      <c r="BF55" s="5" t="str">
        <f>IF(Deltagarlista!$K$3=2,
IF(ISBLANK(Deltagarlista!$C10),"",IF(ISBLANK(Arrangörslista!F$143),"",IF($GV55=BF$64," DNS ",IFERROR(VLOOKUP($F55,Arrangörslista!F$143:$AG$180,16,FALSE), "DNS")))), IF(Deltagarlista!$K$3=1,IF(ISBLANK(Deltagarlista!$C10),"",IF(ISBLANK(Arrangörslista!F$143),"",IFERROR(VLOOKUP($F55,Arrangörslista!F$143:$AG$180,16,FALSE), "DNS"))),""))</f>
        <v/>
      </c>
      <c r="BG55" s="5" t="str">
        <f>IF(Deltagarlista!$K$3=2,
IF(ISBLANK(Deltagarlista!$C10),"",IF(ISBLANK(Arrangörslista!G$143),"",IF($GV55=BG$64," DNS ",IFERROR(VLOOKUP($F55,Arrangörslista!G$143:$AG$180,16,FALSE), "DNS")))), IF(Deltagarlista!$K$3=1,IF(ISBLANK(Deltagarlista!$C10),"",IF(ISBLANK(Arrangörslista!G$143),"",IFERROR(VLOOKUP($F55,Arrangörslista!G$143:$AG$180,16,FALSE), "DNS"))),""))</f>
        <v/>
      </c>
      <c r="BH55" s="5" t="str">
        <f>IF(Deltagarlista!$K$3=2,
IF(ISBLANK(Deltagarlista!$C10),"",IF(ISBLANK(Arrangörslista!H$143),"",IF($GV55=BH$64," DNS ",IFERROR(VLOOKUP($F55,Arrangörslista!H$143:$AG$180,16,FALSE), "DNS")))), IF(Deltagarlista!$K$3=1,IF(ISBLANK(Deltagarlista!$C10),"",IF(ISBLANK(Arrangörslista!H$143),"",IFERROR(VLOOKUP($F55,Arrangörslista!H$143:$AG$180,16,FALSE), "DNS"))),""))</f>
        <v/>
      </c>
      <c r="BI55" s="5" t="str">
        <f>IF(Deltagarlista!$K$3=2,
IF(ISBLANK(Deltagarlista!$C10),"",IF(ISBLANK(Arrangörslista!I$143),"",IF($GV55=BI$64," DNS ",IFERROR(VLOOKUP($F55,Arrangörslista!I$143:$AG$180,16,FALSE), "DNS")))), IF(Deltagarlista!$K$3=1,IF(ISBLANK(Deltagarlista!$C10),"",IF(ISBLANK(Arrangörslista!I$143),"",IFERROR(VLOOKUP($F55,Arrangörslista!I$143:$AG$180,16,FALSE), "DNS"))),""))</f>
        <v/>
      </c>
      <c r="BJ55" s="5" t="str">
        <f>IF(Deltagarlista!$K$3=2,
IF(ISBLANK(Deltagarlista!$C10),"",IF(ISBLANK(Arrangörslista!J$143),"",IF($GV55=BJ$64," DNS ",IFERROR(VLOOKUP($F55,Arrangörslista!J$143:$AG$180,16,FALSE), "DNS")))), IF(Deltagarlista!$K$3=1,IF(ISBLANK(Deltagarlista!$C10),"",IF(ISBLANK(Arrangörslista!J$143),"",IFERROR(VLOOKUP($F55,Arrangörslista!J$143:$AG$180,16,FALSE), "DNS"))),""))</f>
        <v/>
      </c>
      <c r="BK55" s="5" t="str">
        <f>IF(Deltagarlista!$K$3=2,
IF(ISBLANK(Deltagarlista!$C10),"",IF(ISBLANK(Arrangörslista!K$143),"",IF($GV55=BK$64," DNS ",IFERROR(VLOOKUP($F55,Arrangörslista!K$143:$AG$180,16,FALSE), "DNS")))), IF(Deltagarlista!$K$3=1,IF(ISBLANK(Deltagarlista!$C10),"",IF(ISBLANK(Arrangörslista!K$143),"",IFERROR(VLOOKUP($F55,Arrangörslista!K$143:$AG$180,16,FALSE), "DNS"))),""))</f>
        <v/>
      </c>
      <c r="BL55" s="5" t="str">
        <f>IF(Deltagarlista!$K$3=2,
IF(ISBLANK(Deltagarlista!$C10),"",IF(ISBLANK(Arrangörslista!L$143),"",IF($GV55=BL$64," DNS ",IFERROR(VLOOKUP($F55,Arrangörslista!L$143:$AG$180,16,FALSE), "DNS")))), IF(Deltagarlista!$K$3=1,IF(ISBLANK(Deltagarlista!$C10),"",IF(ISBLANK(Arrangörslista!L$143),"",IFERROR(VLOOKUP($F55,Arrangörslista!L$143:$AG$180,16,FALSE), "DNS"))),""))</f>
        <v/>
      </c>
      <c r="BM55" s="5" t="str">
        <f>IF(Deltagarlista!$K$3=2,
IF(ISBLANK(Deltagarlista!$C10),"",IF(ISBLANK(Arrangörslista!M$143),"",IF($GV55=BM$64," DNS ",IFERROR(VLOOKUP($F55,Arrangörslista!M$143:$AG$180,16,FALSE), "DNS")))), IF(Deltagarlista!$K$3=1,IF(ISBLANK(Deltagarlista!$C10),"",IF(ISBLANK(Arrangörslista!M$143),"",IFERROR(VLOOKUP($F55,Arrangörslista!M$143:$AG$180,16,FALSE), "DNS"))),""))</f>
        <v/>
      </c>
      <c r="BN55" s="5" t="str">
        <f>IF(Deltagarlista!$K$3=2,
IF(ISBLANK(Deltagarlista!$C10),"",IF(ISBLANK(Arrangörslista!N$143),"",IF($GV55=BN$64," DNS ",IFERROR(VLOOKUP($F55,Arrangörslista!N$143:$AG$180,16,FALSE), "DNS")))), IF(Deltagarlista!$K$3=1,IF(ISBLANK(Deltagarlista!$C10),"",IF(ISBLANK(Arrangörslista!N$143),"",IFERROR(VLOOKUP($F55,Arrangörslista!N$143:$AG$180,16,FALSE), "DNS"))),""))</f>
        <v/>
      </c>
      <c r="BO55" s="5" t="str">
        <f>IF(Deltagarlista!$K$3=2,
IF(ISBLANK(Deltagarlista!$C10),"",IF(ISBLANK(Arrangörslista!O$143),"",IF($GV55=BO$64," DNS ",IFERROR(VLOOKUP($F55,Arrangörslista!O$143:$AG$180,16,FALSE), "DNS")))), IF(Deltagarlista!$K$3=1,IF(ISBLANK(Deltagarlista!$C10),"",IF(ISBLANK(Arrangörslista!O$143),"",IFERROR(VLOOKUP($F55,Arrangörslista!O$143:$AG$180,16,FALSE), "DNS"))),""))</f>
        <v/>
      </c>
      <c r="BP55" s="5" t="str">
        <f>IF(Deltagarlista!$K$3=2,
IF(ISBLANK(Deltagarlista!$C10),"",IF(ISBLANK(Arrangörslista!P$143),"",IF($GV55=BP$64," DNS ",IFERROR(VLOOKUP($F55,Arrangörslista!P$143:$AG$180,16,FALSE), "DNS")))), IF(Deltagarlista!$K$3=1,IF(ISBLANK(Deltagarlista!$C10),"",IF(ISBLANK(Arrangörslista!P$143),"",IFERROR(VLOOKUP($F55,Arrangörslista!P$143:$AG$180,16,FALSE), "DNS"))),""))</f>
        <v/>
      </c>
      <c r="BQ55" s="80" t="str">
        <f>IF(Deltagarlista!$K$3=2,
IF(ISBLANK(Deltagarlista!$C10),"",IF(ISBLANK(Arrangörslista!Q$143),"",IF($GV55=BQ$64," DNS ",IFERROR(VLOOKUP($F55,Arrangörslista!Q$143:$AG$180,16,FALSE), "DNS")))), IF(Deltagarlista!$K$3=1,IF(ISBLANK(Deltagarlista!$C10),"",IF(ISBLANK(Arrangörslista!Q$143),"",IFERROR(VLOOKUP($F55,Arrangörslista!Q$143:$AG$180,16,FALSE), "DNS"))),""))</f>
        <v/>
      </c>
      <c r="BR55" s="51"/>
      <c r="BS55" s="50" t="str">
        <f t="shared" si="125"/>
        <v>2</v>
      </c>
      <c r="BT55" s="51"/>
      <c r="BU55" s="71">
        <f t="shared" si="126"/>
        <v>0</v>
      </c>
      <c r="BV55" s="61">
        <f t="shared" si="127"/>
        <v>0</v>
      </c>
      <c r="BW55" s="61">
        <f t="shared" si="128"/>
        <v>0</v>
      </c>
      <c r="BX55" s="61">
        <f t="shared" si="129"/>
        <v>0</v>
      </c>
      <c r="BY55" s="61">
        <f t="shared" si="130"/>
        <v>0</v>
      </c>
      <c r="BZ55" s="61">
        <f t="shared" si="131"/>
        <v>0</v>
      </c>
      <c r="CA55" s="61">
        <f t="shared" si="132"/>
        <v>0</v>
      </c>
      <c r="CB55" s="61">
        <f t="shared" si="133"/>
        <v>0</v>
      </c>
      <c r="CC55" s="61">
        <f t="shared" si="134"/>
        <v>0</v>
      </c>
      <c r="CD55" s="61">
        <f t="shared" si="135"/>
        <v>0</v>
      </c>
      <c r="CE55" s="61">
        <f t="shared" si="136"/>
        <v>0</v>
      </c>
      <c r="CF55" s="61">
        <f t="shared" si="137"/>
        <v>0</v>
      </c>
      <c r="CG55" s="61">
        <f t="shared" si="138"/>
        <v>0</v>
      </c>
      <c r="CH55" s="61">
        <f t="shared" si="139"/>
        <v>0</v>
      </c>
      <c r="CI55" s="61">
        <f t="shared" si="140"/>
        <v>0</v>
      </c>
      <c r="CJ55" s="61">
        <f t="shared" si="141"/>
        <v>0</v>
      </c>
      <c r="CK55" s="61">
        <f t="shared" si="142"/>
        <v>0</v>
      </c>
      <c r="CL55" s="61">
        <f t="shared" si="143"/>
        <v>0</v>
      </c>
      <c r="CM55" s="61">
        <f t="shared" si="144"/>
        <v>0</v>
      </c>
      <c r="CN55" s="61">
        <f t="shared" si="145"/>
        <v>0</v>
      </c>
      <c r="CO55" s="61">
        <f t="shared" si="146"/>
        <v>0</v>
      </c>
      <c r="CP55" s="61">
        <f t="shared" si="147"/>
        <v>0</v>
      </c>
      <c r="CQ55" s="61">
        <f t="shared" si="148"/>
        <v>0</v>
      </c>
      <c r="CR55" s="61">
        <f t="shared" si="149"/>
        <v>0</v>
      </c>
      <c r="CS55" s="61">
        <f t="shared" si="150"/>
        <v>0</v>
      </c>
      <c r="CT55" s="61">
        <f t="shared" si="151"/>
        <v>0</v>
      </c>
      <c r="CU55" s="61">
        <f t="shared" si="152"/>
        <v>0</v>
      </c>
      <c r="CV55" s="61">
        <f t="shared" si="153"/>
        <v>0</v>
      </c>
      <c r="CW55" s="61">
        <f t="shared" si="154"/>
        <v>0</v>
      </c>
      <c r="CX55" s="61">
        <f t="shared" si="155"/>
        <v>0</v>
      </c>
      <c r="CY55" s="61">
        <f t="shared" si="156"/>
        <v>0</v>
      </c>
      <c r="CZ55" s="61">
        <f t="shared" si="157"/>
        <v>0</v>
      </c>
      <c r="DA55" s="61">
        <f t="shared" si="158"/>
        <v>0</v>
      </c>
      <c r="DB55" s="61">
        <f t="shared" si="159"/>
        <v>0</v>
      </c>
      <c r="DC55" s="61">
        <f t="shared" si="160"/>
        <v>0</v>
      </c>
      <c r="DD55" s="61">
        <f t="shared" si="161"/>
        <v>0</v>
      </c>
      <c r="DE55" s="61">
        <f t="shared" si="162"/>
        <v>0</v>
      </c>
      <c r="DF55" s="61">
        <f t="shared" si="163"/>
        <v>0</v>
      </c>
      <c r="DG55" s="61">
        <f t="shared" si="164"/>
        <v>0</v>
      </c>
      <c r="DH55" s="61">
        <f t="shared" si="165"/>
        <v>0</v>
      </c>
      <c r="DI55" s="61">
        <f t="shared" si="166"/>
        <v>0</v>
      </c>
      <c r="DJ55" s="61">
        <f t="shared" si="167"/>
        <v>0</v>
      </c>
      <c r="DK55" s="61">
        <f t="shared" si="168"/>
        <v>0</v>
      </c>
      <c r="DL55" s="61">
        <f t="shared" si="169"/>
        <v>0</v>
      </c>
      <c r="DM55" s="61">
        <f t="shared" si="170"/>
        <v>0</v>
      </c>
      <c r="DN55" s="61">
        <f t="shared" si="171"/>
        <v>0</v>
      </c>
      <c r="DO55" s="61">
        <f t="shared" si="172"/>
        <v>0</v>
      </c>
      <c r="DP55" s="61">
        <f t="shared" si="173"/>
        <v>0</v>
      </c>
      <c r="DQ55" s="61">
        <f t="shared" si="174"/>
        <v>0</v>
      </c>
      <c r="DR55" s="61">
        <f t="shared" si="175"/>
        <v>0</v>
      </c>
      <c r="DS55" s="61">
        <f t="shared" si="176"/>
        <v>0</v>
      </c>
      <c r="DT55" s="61">
        <f t="shared" si="177"/>
        <v>0</v>
      </c>
      <c r="DU55" s="61">
        <f t="shared" si="178"/>
        <v>0</v>
      </c>
      <c r="DV55" s="61">
        <f t="shared" si="179"/>
        <v>0</v>
      </c>
      <c r="DW55" s="61">
        <f t="shared" si="180"/>
        <v>0</v>
      </c>
      <c r="DX55" s="61">
        <f t="shared" si="181"/>
        <v>0</v>
      </c>
      <c r="DY55" s="61">
        <f t="shared" si="182"/>
        <v>0</v>
      </c>
      <c r="DZ55" s="61">
        <f t="shared" si="183"/>
        <v>0</v>
      </c>
      <c r="EA55" s="61">
        <f t="shared" si="184"/>
        <v>0</v>
      </c>
      <c r="EB55" s="61">
        <f t="shared" si="185"/>
        <v>0</v>
      </c>
      <c r="EC55" s="61">
        <f t="shared" si="186"/>
        <v>0</v>
      </c>
      <c r="EE55" s="61">
        <f xml:space="preserve">
IF(OR(Deltagarlista!$K$3=3,Deltagarlista!$K$3=4),
IF(Arrangörslista!$U$5&lt;8,0,
IF(Arrangörslista!$U$5&lt;16,SUM(LARGE(BV55:CJ55,1)),
IF(Arrangörslista!$U$5&lt;24,SUM(LARGE(BV55:CR55,{1;2})),
IF(Arrangörslista!$U$5&lt;32,SUM(LARGE(BV55:CZ55,{1;2;3})),
IF(Arrangörslista!$U$5&lt;40,SUM(LARGE(BV55:DH55,{1;2;3;4})),
IF(Arrangörslista!$U$5&lt;48,SUM(LARGE(BV55:DP55,{1;2;3;4;5})),
IF(Arrangörslista!$U$5&lt;56,SUM(LARGE(BV55:DX55,{1;2;3;4;5;6})),
IF(Arrangörslista!$U$5&lt;64,SUM(LARGE(BV55:EC55,{1;2;3;4;5;6;7})),0)))))))),
IF(Deltagarlista!$K$3=2,
IF(Arrangörslista!$U$5&lt;4,LARGE(BV55:BX55,1),
IF(Arrangörslista!$U$5&lt;7,SUM(LARGE(BV55:CA55,{1;2;3})),
IF(Arrangörslista!$U$5&lt;10,SUM(LARGE(BV55:CD55,{1;2;3;4})),
IF(Arrangörslista!$U$5&lt;13,SUM(LARGE(BV55:CG55,{1;2;3;4;5;6})),
IF(Arrangörslista!$U$5&lt;16,SUM(LARGE(BV55:CJ55,{1;2;3;4;5;6;7})),
IF(Arrangörslista!$U$5&lt;19,SUM(LARGE(BV55:CM55,{1;2;3;4;5;6;7;8;9})),
IF(Arrangörslista!$U$5&lt;22,SUM(LARGE(BV55:CP55,{1;2;3;4;5;6;7;8;9;10})),
IF(Arrangörslista!$U$5&lt;25,SUM(LARGE(BV55:CS55,{1;2;3;4;5;6;7;8;9;10;11;12})),
IF(Arrangörslista!$U$5&lt;28,SUM(LARGE(BV55:CV55,{1;2;3;4;5;6;7;8;9;10;11;12;13})),
IF(Arrangörslista!$U$5&lt;31,SUM(LARGE(BV55:CY55,{1;2;3;4;5;6;7;8;9;10;11;12;13;14;15})),
IF(Arrangörslista!$U$5&lt;34,SUM(LARGE(BV55:DB55,{1;2;3;4;5;6;7;8;9;10;11;12;13;14;15;16})),
IF(Arrangörslista!$U$5&lt;37,SUM(LARGE(BV55:DE55,{1;2;3;4;5;6;7;8;9;10;11;12;13;14;15;16;17;18})),
IF(Arrangörslista!$U$5&lt;40,SUM(LARGE(BV55:DH55,{1;2;3;4;5;6;7;8;9;10;11;12;13;14;15;16;17;18;19})),
IF(Arrangörslista!$U$5&lt;43,SUM(LARGE(BV55:DK55,{1;2;3;4;5;6;7;8;9;10;11;12;13;14;15;16;17;18;19;20;21})),
IF(Arrangörslista!$U$5&lt;46,SUM(LARGE(BV55:DN55,{1;2;3;4;5;6;7;8;9;10;11;12;13;14;15;16;17;18;19;20;21;22})),
IF(Arrangörslista!$U$5&lt;49,SUM(LARGE(BV55:DQ55,{1;2;3;4;5;6;7;8;9;10;11;12;13;14;15;16;17;18;19;20;21;22;23;24})),
IF(Arrangörslista!$U$5&lt;52,SUM(LARGE(BV55:DT55,{1;2;3;4;5;6;7;8;9;10;11;12;13;14;15;16;17;18;19;20;21;22;23;24;25})),
IF(Arrangörslista!$U$5&lt;55,SUM(LARGE(BV55:DW55,{1;2;3;4;5;6;7;8;9;10;11;12;13;14;15;16;17;18;19;20;21;22;23;24;25;26;27})),
IF(Arrangörslista!$U$5&lt;58,SUM(LARGE(BV55:DZ55,{1;2;3;4;5;6;7;8;9;10;11;12;13;14;15;16;17;18;19;20;21;22;23;24;25;26;27;28})),
IF(Arrangörslista!$U$5&lt;61,SUM(LARGE(BV55:EC55,{1;2;3;4;5;6;7;8;9;10;11;12;13;14;15;16;17;18;19;20;21;22;23;24;25;26;27;28;29;30})),0)))))))))))))))))))),
IF(Arrangörslista!$U$5&lt;4,0,
IF(Arrangörslista!$U$5&lt;8,SUM(LARGE(BV55:CB55,1)),
IF(Arrangörslista!$U$5&lt;12,SUM(LARGE(BV55:CF55,{1;2})),
IF(Arrangörslista!$U$5&lt;16,SUM(LARGE(BV55:CJ55,{1;2;3})),
IF(Arrangörslista!$U$5&lt;20,SUM(LARGE(BV55:CN55,{1;2;3;4})),
IF(Arrangörslista!$U$5&lt;24,SUM(LARGE(BV55:CR55,{1;2;3;4;5})),
IF(Arrangörslista!$U$5&lt;28,SUM(LARGE(BV55:CV55,{1;2;3;4;5;6})),
IF(Arrangörslista!$U$5&lt;32,SUM(LARGE(BV55:CZ55,{1;2;3;4;5;6;7})),
IF(Arrangörslista!$U$5&lt;36,SUM(LARGE(BV55:DD55,{1;2;3;4;5;6;7;8})),
IF(Arrangörslista!$U$5&lt;40,SUM(LARGE(BV55:DH55,{1;2;3;4;5;6;7;8;9})),
IF(Arrangörslista!$U$5&lt;44,SUM(LARGE(BV55:DL55,{1;2;3;4;5;6;7;8;9;10})),
IF(Arrangörslista!$U$5&lt;48,SUM(LARGE(BV55:DP55,{1;2;3;4;5;6;7;8;9;10;11})),
IF(Arrangörslista!$U$5&lt;52,SUM(LARGE(BV55:DT55,{1;2;3;4;5;6;7;8;9;10;11;12})),
IF(Arrangörslista!$U$5&lt;56,SUM(LARGE(BV55:DX55,{1;2;3;4;5;6;7;8;9;10;11;12;13})),
IF(Arrangörslista!$U$5&lt;60,SUM(LARGE(BV55:EB55,{1;2;3;4;5;6;7;8;9;10;11;12;13;14})),
IF(Arrangörslista!$U$5=60,SUM(LARGE(BV55:EC55,{1;2;3;4;5;6;7;8;9;10;11;12;13;14;15})),0))))))))))))))))))</f>
        <v>0</v>
      </c>
      <c r="EG55" s="67">
        <f t="shared" si="187"/>
        <v>0</v>
      </c>
      <c r="EH55" s="61"/>
      <c r="EI55" s="61"/>
      <c r="EK55" s="62">
        <f t="shared" si="188"/>
        <v>61</v>
      </c>
      <c r="EL55" s="62">
        <f t="shared" si="189"/>
        <v>61</v>
      </c>
      <c r="EM55" s="62">
        <f t="shared" si="190"/>
        <v>61</v>
      </c>
      <c r="EN55" s="62">
        <f t="shared" si="191"/>
        <v>61</v>
      </c>
      <c r="EO55" s="62">
        <f t="shared" si="192"/>
        <v>61</v>
      </c>
      <c r="EP55" s="62">
        <f t="shared" si="193"/>
        <v>61</v>
      </c>
      <c r="EQ55" s="62">
        <f t="shared" si="194"/>
        <v>61</v>
      </c>
      <c r="ER55" s="62">
        <f t="shared" si="195"/>
        <v>61</v>
      </c>
      <c r="ES55" s="62">
        <f t="shared" si="196"/>
        <v>61</v>
      </c>
      <c r="ET55" s="62">
        <f t="shared" si="197"/>
        <v>61</v>
      </c>
      <c r="EU55" s="62">
        <f t="shared" si="198"/>
        <v>61</v>
      </c>
      <c r="EV55" s="62">
        <f t="shared" si="199"/>
        <v>61</v>
      </c>
      <c r="EW55" s="62">
        <f t="shared" si="200"/>
        <v>61</v>
      </c>
      <c r="EX55" s="62">
        <f t="shared" si="201"/>
        <v>61</v>
      </c>
      <c r="EY55" s="62">
        <f t="shared" si="202"/>
        <v>61</v>
      </c>
      <c r="EZ55" s="62">
        <f t="shared" si="203"/>
        <v>61</v>
      </c>
      <c r="FA55" s="62">
        <f t="shared" si="204"/>
        <v>61</v>
      </c>
      <c r="FB55" s="62">
        <f t="shared" si="205"/>
        <v>61</v>
      </c>
      <c r="FC55" s="62">
        <f t="shared" si="206"/>
        <v>61</v>
      </c>
      <c r="FD55" s="62">
        <f t="shared" si="207"/>
        <v>61</v>
      </c>
      <c r="FE55" s="62">
        <f t="shared" si="208"/>
        <v>61</v>
      </c>
      <c r="FF55" s="62">
        <f t="shared" si="209"/>
        <v>61</v>
      </c>
      <c r="FG55" s="62">
        <f t="shared" si="210"/>
        <v>61</v>
      </c>
      <c r="FH55" s="62">
        <f t="shared" si="211"/>
        <v>61</v>
      </c>
      <c r="FI55" s="62">
        <f t="shared" si="212"/>
        <v>61</v>
      </c>
      <c r="FJ55" s="62">
        <f t="shared" si="213"/>
        <v>61</v>
      </c>
      <c r="FK55" s="62">
        <f t="shared" si="214"/>
        <v>61</v>
      </c>
      <c r="FL55" s="62">
        <f t="shared" si="215"/>
        <v>61</v>
      </c>
      <c r="FM55" s="62">
        <f t="shared" si="216"/>
        <v>61</v>
      </c>
      <c r="FN55" s="62">
        <f t="shared" si="217"/>
        <v>61</v>
      </c>
      <c r="FO55" s="62">
        <f t="shared" si="218"/>
        <v>61</v>
      </c>
      <c r="FP55" s="62">
        <f t="shared" si="219"/>
        <v>61</v>
      </c>
      <c r="FQ55" s="62">
        <f t="shared" si="220"/>
        <v>61</v>
      </c>
      <c r="FR55" s="62">
        <f t="shared" si="221"/>
        <v>61</v>
      </c>
      <c r="FS55" s="62">
        <f t="shared" si="222"/>
        <v>61</v>
      </c>
      <c r="FT55" s="62">
        <f t="shared" si="223"/>
        <v>61</v>
      </c>
      <c r="FU55" s="62">
        <f t="shared" si="224"/>
        <v>61</v>
      </c>
      <c r="FV55" s="62">
        <f t="shared" si="225"/>
        <v>61</v>
      </c>
      <c r="FW55" s="62">
        <f t="shared" si="226"/>
        <v>61</v>
      </c>
      <c r="FX55" s="62">
        <f t="shared" si="227"/>
        <v>61</v>
      </c>
      <c r="FY55" s="62">
        <f t="shared" si="228"/>
        <v>61</v>
      </c>
      <c r="FZ55" s="62">
        <f t="shared" si="229"/>
        <v>61</v>
      </c>
      <c r="GA55" s="62">
        <f t="shared" si="230"/>
        <v>61</v>
      </c>
      <c r="GB55" s="62">
        <f t="shared" si="231"/>
        <v>61</v>
      </c>
      <c r="GC55" s="62">
        <f t="shared" si="232"/>
        <v>61</v>
      </c>
      <c r="GD55" s="62">
        <f t="shared" si="233"/>
        <v>61</v>
      </c>
      <c r="GE55" s="62">
        <f t="shared" si="234"/>
        <v>61</v>
      </c>
      <c r="GF55" s="62">
        <f t="shared" si="235"/>
        <v>61</v>
      </c>
      <c r="GG55" s="62">
        <f t="shared" si="236"/>
        <v>61</v>
      </c>
      <c r="GH55" s="62">
        <f t="shared" si="237"/>
        <v>61</v>
      </c>
      <c r="GI55" s="62">
        <f t="shared" si="238"/>
        <v>61</v>
      </c>
      <c r="GJ55" s="62">
        <f t="shared" si="239"/>
        <v>61</v>
      </c>
      <c r="GK55" s="62">
        <f t="shared" si="240"/>
        <v>61</v>
      </c>
      <c r="GL55" s="62">
        <f t="shared" si="241"/>
        <v>61</v>
      </c>
      <c r="GM55" s="62">
        <f t="shared" si="242"/>
        <v>61</v>
      </c>
      <c r="GN55" s="62">
        <f t="shared" si="243"/>
        <v>61</v>
      </c>
      <c r="GO55" s="62">
        <f t="shared" si="244"/>
        <v>61</v>
      </c>
      <c r="GP55" s="62">
        <f t="shared" si="245"/>
        <v>61</v>
      </c>
      <c r="GQ55" s="62">
        <f t="shared" si="246"/>
        <v>61</v>
      </c>
      <c r="GR55" s="62">
        <f t="shared" si="247"/>
        <v>61</v>
      </c>
      <c r="GT55" s="62">
        <f>IF(Deltagarlista!$K$3=2,
IF(GW55="1",
      IF(Arrangörslista!$U$5=1,J118,
IF(Arrangörslista!$U$5=2,K118,
IF(Arrangörslista!$U$5=3,L118,
IF(Arrangörslista!$U$5=4,M118,
IF(Arrangörslista!$U$5=5,N118,
IF(Arrangörslista!$U$5=6,O118,
IF(Arrangörslista!$U$5=7,P118,
IF(Arrangörslista!$U$5=8,Q118,
IF(Arrangörslista!$U$5=9,R118,
IF(Arrangörslista!$U$5=10,S118,
IF(Arrangörslista!$U$5=11,T118,
IF(Arrangörslista!$U$5=12,U118,
IF(Arrangörslista!$U$5=13,V118,
IF(Arrangörslista!$U$5=14,W118,
IF(Arrangörslista!$U$5=15,X118,
IF(Arrangörslista!$U$5=16,Y118,IF(Arrangörslista!$U$5=17,Z118,IF(Arrangörslista!$U$5=18,AA118,IF(Arrangörslista!$U$5=19,AB118,IF(Arrangörslista!$U$5=20,AC118,IF(Arrangörslista!$U$5=21,AD118,IF(Arrangörslista!$U$5=22,AE118,IF(Arrangörslista!$U$5=23,AF118, IF(Arrangörslista!$U$5=24,AG118, IF(Arrangörslista!$U$5=25,AH118, IF(Arrangörslista!$U$5=26,AI118, IF(Arrangörslista!$U$5=27,AJ118, IF(Arrangörslista!$U$5=28,AK118, IF(Arrangörslista!$U$5=29,AL118, IF(Arrangörslista!$U$5=30,AM118, IF(Arrangörslista!$U$5=31,AN118, IF(Arrangörslista!$U$5=32,AO118, IF(Arrangörslista!$U$5=33,AP118, IF(Arrangörslista!$U$5=34,AQ118, IF(Arrangörslista!$U$5=35,AR118, IF(Arrangörslista!$U$5=36,AS118, IF(Arrangörslista!$U$5=37,AT118, IF(Arrangörslista!$U$5=38,AU118, IF(Arrangörslista!$U$5=39,AV118, IF(Arrangörslista!$U$5=40,AW118, IF(Arrangörslista!$U$5=41,AX118, IF(Arrangörslista!$U$5=42,AY118, IF(Arrangörslista!$U$5=43,AZ118, IF(Arrangörslista!$U$5=44,BA118, IF(Arrangörslista!$U$5=45,BB118, IF(Arrangörslista!$U$5=46,BC118, IF(Arrangörslista!$U$5=47,BD118, IF(Arrangörslista!$U$5=48,BE118, IF(Arrangörslista!$U$5=49,BF118, IF(Arrangörslista!$U$5=50,BG118, IF(Arrangörslista!$U$5=51,BH118, IF(Arrangörslista!$U$5=52,BI118, IF(Arrangörslista!$U$5=53,BJ118, IF(Arrangörslista!$U$5=54,BK118, IF(Arrangörslista!$U$5=55,BL118, IF(Arrangörslista!$U$5=56,BM118, IF(Arrangörslista!$U$5=57,BN118, IF(Arrangörslista!$U$5=58,BO118, IF(Arrangörslista!$U$5=59,BP118, IF(Arrangörslista!$U$5=60,BQ118,0))))))))))))))))))))))))))))))))))))))))))))))))))))))))))))),IF(Deltagarlista!$K$3=4, IF(Arrangörslista!$U$5=1,J118,
IF(Arrangörslista!$U$5=2,J118,
IF(Arrangörslista!$U$5=3,K118,
IF(Arrangörslista!$U$5=4,K118,
IF(Arrangörslista!$U$5=5,L118,
IF(Arrangörslista!$U$5=6,L118,
IF(Arrangörslista!$U$5=7,M118,
IF(Arrangörslista!$U$5=8,M118,
IF(Arrangörslista!$U$5=9,N118,
IF(Arrangörslista!$U$5=10,N118,
IF(Arrangörslista!$U$5=11,O118,
IF(Arrangörslista!$U$5=12,O118,
IF(Arrangörslista!$U$5=13,P118,
IF(Arrangörslista!$U$5=14,P118,
IF(Arrangörslista!$U$5=15,Q118,
IF(Arrangörslista!$U$5=16,Q118,
IF(Arrangörslista!$U$5=17,R118,
IF(Arrangörslista!$U$5=18,R118,
IF(Arrangörslista!$U$5=19,S118,
IF(Arrangörslista!$U$5=20,S118,
IF(Arrangörslista!$U$5=21,T118,
IF(Arrangörslista!$U$5=22,T118,IF(Arrangörslista!$U$5=23,U118, IF(Arrangörslista!$U$5=24,U118, IF(Arrangörslista!$U$5=25,V118, IF(Arrangörslista!$U$5=26,V118, IF(Arrangörslista!$U$5=27,W118, IF(Arrangörslista!$U$5=28,W118, IF(Arrangörslista!$U$5=29,X118, IF(Arrangörslista!$U$5=30,X118, IF(Arrangörslista!$U$5=31,X118, IF(Arrangörslista!$U$5=32,Y118, IF(Arrangörslista!$U$5=33,AO118, IF(Arrangörslista!$U$5=34,Y118, IF(Arrangörslista!$U$5=35,Z118, IF(Arrangörslista!$U$5=36,AR118, IF(Arrangörslista!$U$5=37,Z118, IF(Arrangörslista!$U$5=38,AA118, IF(Arrangörslista!$U$5=39,AU118, IF(Arrangörslista!$U$5=40,AA118, IF(Arrangörslista!$U$5=41,AB118, IF(Arrangörslista!$U$5=42,AX118, IF(Arrangörslista!$U$5=43,AB118, IF(Arrangörslista!$U$5=44,AC118, IF(Arrangörslista!$U$5=45,BA118, IF(Arrangörslista!$U$5=46,AC118, IF(Arrangörslista!$U$5=47,AD118, IF(Arrangörslista!$U$5=48,BD118, IF(Arrangörslista!$U$5=49,AD118, IF(Arrangörslista!$U$5=50,AE118, IF(Arrangörslista!$U$5=51,BG118, IF(Arrangörslista!$U$5=52,AE118, IF(Arrangörslista!$U$5=53,AF118, IF(Arrangörslista!$U$5=54,BJ118, IF(Arrangörslista!$U$5=55,AF118, IF(Arrangörslista!$U$5=56,AG118, IF(Arrangörslista!$U$5=57,BM118, IF(Arrangörslista!$U$5=58,AG118, IF(Arrangörslista!$U$5=59,AH118, IF(Arrangörslista!$U$5=60,AH118,0)))))))))))))))))))))))))))))))))))))))))))))))))))))))))))),IF(Arrangörslista!$U$5=1,J118,
IF(Arrangörslista!$U$5=2,K118,
IF(Arrangörslista!$U$5=3,L118,
IF(Arrangörslista!$U$5=4,M118,
IF(Arrangörslista!$U$5=5,N118,
IF(Arrangörslista!$U$5=6,O118,
IF(Arrangörslista!$U$5=7,P118,
IF(Arrangörslista!$U$5=8,Q118,
IF(Arrangörslista!$U$5=9,R118,
IF(Arrangörslista!$U$5=10,S118,
IF(Arrangörslista!$U$5=11,T118,
IF(Arrangörslista!$U$5=12,U118,
IF(Arrangörslista!$U$5=13,V118,
IF(Arrangörslista!$U$5=14,W118,
IF(Arrangörslista!$U$5=15,X118,
IF(Arrangörslista!$U$5=16,Y118,IF(Arrangörslista!$U$5=17,Z118,IF(Arrangörslista!$U$5=18,AA118,IF(Arrangörslista!$U$5=19,AB118,IF(Arrangörslista!$U$5=20,AC118,IF(Arrangörslista!$U$5=21,AD118,IF(Arrangörslista!$U$5=22,AE118,IF(Arrangörslista!$U$5=23,AF118, IF(Arrangörslista!$U$5=24,AG118, IF(Arrangörslista!$U$5=25,AH118, IF(Arrangörslista!$U$5=26,AI118, IF(Arrangörslista!$U$5=27,AJ118, IF(Arrangörslista!$U$5=28,AK118, IF(Arrangörslista!$U$5=29,AL118, IF(Arrangörslista!$U$5=30,AM118, IF(Arrangörslista!$U$5=31,AN118, IF(Arrangörslista!$U$5=32,AO118, IF(Arrangörslista!$U$5=33,AP118, IF(Arrangörslista!$U$5=34,AQ118, IF(Arrangörslista!$U$5=35,AR118, IF(Arrangörslista!$U$5=36,AS118, IF(Arrangörslista!$U$5=37,AT118, IF(Arrangörslista!$U$5=38,AU118, IF(Arrangörslista!$U$5=39,AV118, IF(Arrangörslista!$U$5=40,AW118, IF(Arrangörslista!$U$5=41,AX118, IF(Arrangörslista!$U$5=42,AY118, IF(Arrangörslista!$U$5=43,AZ118, IF(Arrangörslista!$U$5=44,BA118, IF(Arrangörslista!$U$5=45,BB118, IF(Arrangörslista!$U$5=46,BC118, IF(Arrangörslista!$U$5=47,BD118, IF(Arrangörslista!$U$5=48,BE118, IF(Arrangörslista!$U$5=49,BF118, IF(Arrangörslista!$U$5=50,BG118, IF(Arrangörslista!$U$5=51,BH118, IF(Arrangörslista!$U$5=52,BI118, IF(Arrangörslista!$U$5=53,BJ118, IF(Arrangörslista!$U$5=54,BK118, IF(Arrangörslista!$U$5=55,BL118, IF(Arrangörslista!$U$5=56,BM118, IF(Arrangörslista!$U$5=57,BN118, IF(Arrangörslista!$U$5=58,BO118, IF(Arrangörslista!$U$5=59,BP118, IF(Arrangörslista!$U$5=60,BQ118,0))))))))))))))))))))))))))))))))))))))))))))))))))))))))))))
))</f>
        <v>0</v>
      </c>
      <c r="GV55" s="65" t="str">
        <f>IFERROR(IF(VLOOKUP(F55,Deltagarlista!$E$5:$I$64,5,FALSE)="Grön","Gr",IF(VLOOKUP(F55,Deltagarlista!$E$5:$I$64,5,FALSE)="Röd","R",IF(VLOOKUP(F55,Deltagarlista!$E$5:$I$64,5,FALSE)="Blå","B","Gu"))),"")</f>
        <v/>
      </c>
      <c r="GW55" s="62" t="str">
        <f t="shared" si="124"/>
        <v/>
      </c>
    </row>
    <row r="56" spans="2:205" ht="15.75" customHeight="1" x14ac:dyDescent="0.3">
      <c r="B56" s="23" t="str">
        <f>IF((COUNTIF(Deltagarlista!$H$5:$H$64,"GM"))&gt;52,53,"")</f>
        <v/>
      </c>
      <c r="C56" s="92" t="str">
        <f>IF(ISBLANK(Deltagarlista!C6),"",Deltagarlista!C6)</f>
        <v/>
      </c>
      <c r="D56" s="109" t="str">
        <f>CONCATENATE(IF(Deltagarlista!H6="GM","GM   ",""), IF(OR(Deltagarlista!$K$3=4,Deltagarlista!$K$3=2),Deltagarlista!I6,""))</f>
        <v/>
      </c>
      <c r="E56" s="8" t="str">
        <f>IF(ISBLANK(Deltagarlista!D6),"",Deltagarlista!D6)</f>
        <v/>
      </c>
      <c r="F56" s="8" t="str">
        <f>IF(ISBLANK(Deltagarlista!E6),"",Deltagarlista!E6)</f>
        <v/>
      </c>
      <c r="G56" s="95" t="str">
        <f>IF(ISBLANK(Deltagarlista!F6),"",Deltagarlista!F6)</f>
        <v/>
      </c>
      <c r="H56" s="72" t="str">
        <f>IF(ISBLANK(Deltagarlista!C6),"",BU56-EE56)</f>
        <v/>
      </c>
      <c r="I56" s="13" t="str">
        <f>IF(ISBLANK(Deltagarlista!C6),"",IF(AND(Deltagarlista!$K$3=2,Deltagarlista!$L$3&lt;37),SUM(SUM(BV56:EC56)-(ROUNDDOWN(Arrangörslista!$U$5/3,1))*($BW$3+1)),SUM(BV56:EC56)))</f>
        <v/>
      </c>
      <c r="J56" s="79" t="str">
        <f>IF(Deltagarlista!$K$3=4,IF(ISBLANK(Deltagarlista!$C6),"",IF(ISBLANK(Arrangörslista!C$8),"",IFERROR(VLOOKUP($F56,Arrangörslista!C$8:$AG$45,16,FALSE),IF(ISBLANK(Deltagarlista!$C6),"",IF(ISBLANK(Arrangörslista!C$8),"",IFERROR(VLOOKUP($F56,Arrangörslista!D$8:$AG$45,16,FALSE),"DNS")))))),IF(Deltagarlista!$K$3=2,
IF(ISBLANK(Deltagarlista!$C6),"",IF(ISBLANK(Arrangörslista!C$8),"",IF($GV56=J$64," DNS ",IFERROR(VLOOKUP($F56,Arrangörslista!C$8:$AG$45,16,FALSE),"DNS")))),IF(ISBLANK(Deltagarlista!$C6),"",IF(ISBLANK(Arrangörslista!C$8),"",IFERROR(VLOOKUP($F56,Arrangörslista!C$8:$AG$45,16,FALSE),"DNS")))))</f>
        <v/>
      </c>
      <c r="K56" s="5" t="str">
        <f>IF(Deltagarlista!$K$3=4,IF(ISBLANK(Deltagarlista!$C6),"",IF(ISBLANK(Arrangörslista!E$8),"",IFERROR(VLOOKUP($F56,Arrangörslista!E$8:$AG$45,16,FALSE),IF(ISBLANK(Deltagarlista!$C6),"",IF(ISBLANK(Arrangörslista!E$8),"",IFERROR(VLOOKUP($F56,Arrangörslista!F$8:$AG$45,16,FALSE),"DNS")))))),IF(Deltagarlista!$K$3=2,
IF(ISBLANK(Deltagarlista!$C6),"",IF(ISBLANK(Arrangörslista!D$8),"",IF($GV56=K$64," DNS ",IFERROR(VLOOKUP($F56,Arrangörslista!D$8:$AG$45,16,FALSE),"DNS")))),IF(ISBLANK(Deltagarlista!$C6),"",IF(ISBLANK(Arrangörslista!D$8),"",IFERROR(VLOOKUP($F56,Arrangörslista!D$8:$AG$45,16,FALSE),"DNS")))))</f>
        <v/>
      </c>
      <c r="L56" s="5" t="str">
        <f>IF(Deltagarlista!$K$3=4,IF(ISBLANK(Deltagarlista!$C6),"",IF(ISBLANK(Arrangörslista!G$8),"",IFERROR(VLOOKUP($F56,Arrangörslista!G$8:$AG$45,16,FALSE),IF(ISBLANK(Deltagarlista!$C6),"",IF(ISBLANK(Arrangörslista!G$8),"",IFERROR(VLOOKUP($F56,Arrangörslista!H$8:$AG$45,16,FALSE),"DNS")))))),IF(Deltagarlista!$K$3=2,
IF(ISBLANK(Deltagarlista!$C6),"",IF(ISBLANK(Arrangörslista!E$8),"",IF($GV56=L$64," DNS ",IFERROR(VLOOKUP($F56,Arrangörslista!E$8:$AG$45,16,FALSE),"DNS")))),IF(ISBLANK(Deltagarlista!$C6),"",IF(ISBLANK(Arrangörslista!E$8),"",IFERROR(VLOOKUP($F56,Arrangörslista!E$8:$AG$45,16,FALSE),"DNS")))))</f>
        <v/>
      </c>
      <c r="M56" s="5" t="str">
        <f>IF(Deltagarlista!$K$3=4,IF(ISBLANK(Deltagarlista!$C6),"",IF(ISBLANK(Arrangörslista!I$8),"",IFERROR(VLOOKUP($F56,Arrangörslista!I$8:$AG$45,16,FALSE),IF(ISBLANK(Deltagarlista!$C6),"",IF(ISBLANK(Arrangörslista!I$8),"",IFERROR(VLOOKUP($F56,Arrangörslista!J$8:$AG$45,16,FALSE),"DNS")))))),IF(Deltagarlista!$K$3=2,
IF(ISBLANK(Deltagarlista!$C6),"",IF(ISBLANK(Arrangörslista!F$8),"",IF($GV56=M$64," DNS ",IFERROR(VLOOKUP($F56,Arrangörslista!F$8:$AG$45,16,FALSE),"DNS")))),IF(ISBLANK(Deltagarlista!$C6),"",IF(ISBLANK(Arrangörslista!F$8),"",IFERROR(VLOOKUP($F56,Arrangörslista!F$8:$AG$45,16,FALSE),"DNS")))))</f>
        <v/>
      </c>
      <c r="N56" s="5" t="str">
        <f>IF(Deltagarlista!$K$3=4,IF(ISBLANK(Deltagarlista!$C6),"",IF(ISBLANK(Arrangörslista!K$8),"",IFERROR(VLOOKUP($F56,Arrangörslista!K$8:$AG$45,16,FALSE),IF(ISBLANK(Deltagarlista!$C6),"",IF(ISBLANK(Arrangörslista!K$8),"",IFERROR(VLOOKUP($F56,Arrangörslista!L$8:$AG$45,16,FALSE),"DNS")))))),IF(Deltagarlista!$K$3=2,
IF(ISBLANK(Deltagarlista!$C6),"",IF(ISBLANK(Arrangörslista!G$8),"",IF($GV56=N$64," DNS ",IFERROR(VLOOKUP($F56,Arrangörslista!G$8:$AG$45,16,FALSE),"DNS")))),IF(ISBLANK(Deltagarlista!$C6),"",IF(ISBLANK(Arrangörslista!G$8),"",IFERROR(VLOOKUP($F56,Arrangörslista!G$8:$AG$45,16,FALSE),"DNS")))))</f>
        <v/>
      </c>
      <c r="O56" s="5" t="str">
        <f>IF(Deltagarlista!$K$3=4,IF(ISBLANK(Deltagarlista!$C6),"",IF(ISBLANK(Arrangörslista!M$8),"",IFERROR(VLOOKUP($F56,Arrangörslista!M$8:$AG$45,16,FALSE),IF(ISBLANK(Deltagarlista!$C6),"",IF(ISBLANK(Arrangörslista!M$8),"",IFERROR(VLOOKUP($F56,Arrangörslista!N$8:$AG$45,16,FALSE),"DNS")))))),IF(Deltagarlista!$K$3=2,
IF(ISBLANK(Deltagarlista!$C6),"",IF(ISBLANK(Arrangörslista!H$8),"",IF($GV56=O$64," DNS ",IFERROR(VLOOKUP($F56,Arrangörslista!H$8:$AG$45,16,FALSE),"DNS")))),IF(ISBLANK(Deltagarlista!$C6),"",IF(ISBLANK(Arrangörslista!H$8),"",IFERROR(VLOOKUP($F56,Arrangörslista!H$8:$AG$45,16,FALSE),"DNS")))))</f>
        <v/>
      </c>
      <c r="P56" s="5" t="str">
        <f>IF(Deltagarlista!$K$3=4,IF(ISBLANK(Deltagarlista!$C6),"",IF(ISBLANK(Arrangörslista!O$8),"",IFERROR(VLOOKUP($F56,Arrangörslista!O$8:$AG$45,16,FALSE),IF(ISBLANK(Deltagarlista!$C6),"",IF(ISBLANK(Arrangörslista!O$8),"",IFERROR(VLOOKUP($F56,Arrangörslista!P$8:$AG$45,16,FALSE),"DNS")))))),IF(Deltagarlista!$K$3=2,
IF(ISBLANK(Deltagarlista!$C6),"",IF(ISBLANK(Arrangörslista!I$8),"",IF($GV56=P$64," DNS ",IFERROR(VLOOKUP($F56,Arrangörslista!I$8:$AG$45,16,FALSE),"DNS")))),IF(ISBLANK(Deltagarlista!$C6),"",IF(ISBLANK(Arrangörslista!I$8),"",IFERROR(VLOOKUP($F56,Arrangörslista!I$8:$AG$45,16,FALSE),"DNS")))))</f>
        <v/>
      </c>
      <c r="Q56" s="5" t="str">
        <f>IF(Deltagarlista!$K$3=4,IF(ISBLANK(Deltagarlista!$C6),"",IF(ISBLANK(Arrangörslista!Q$8),"",IFERROR(VLOOKUP($F56,Arrangörslista!Q$8:$AG$45,16,FALSE),IF(ISBLANK(Deltagarlista!$C6),"",IF(ISBLANK(Arrangörslista!Q$8),"",IFERROR(VLOOKUP($F56,Arrangörslista!C$53:$AG$90,16,FALSE),"DNS")))))),IF(Deltagarlista!$K$3=2,
IF(ISBLANK(Deltagarlista!$C6),"",IF(ISBLANK(Arrangörslista!J$8),"",IF($GV56=Q$64," DNS ",IFERROR(VLOOKUP($F56,Arrangörslista!J$8:$AG$45,16,FALSE),"DNS")))),IF(ISBLANK(Deltagarlista!$C6),"",IF(ISBLANK(Arrangörslista!J$8),"",IFERROR(VLOOKUP($F56,Arrangörslista!J$8:$AG$45,16,FALSE),"DNS")))))</f>
        <v/>
      </c>
      <c r="R56" s="5" t="str">
        <f>IF(Deltagarlista!$K$3=4,IF(ISBLANK(Deltagarlista!$C6),"",IF(ISBLANK(Arrangörslista!D$53),"",IFERROR(VLOOKUP($F56,Arrangörslista!D$53:$AG$90,16,FALSE),IF(ISBLANK(Deltagarlista!$C6),"",IF(ISBLANK(Arrangörslista!D$53),"",IFERROR(VLOOKUP($F56,Arrangörslista!E$53:$AG$90,16,FALSE),"DNS")))))),IF(Deltagarlista!$K$3=2,
IF(ISBLANK(Deltagarlista!$C6),"",IF(ISBLANK(Arrangörslista!K$8),"",IF($GV56=R$64," DNS ",IFERROR(VLOOKUP($F56,Arrangörslista!K$8:$AG$45,16,FALSE),"DNS")))),IF(ISBLANK(Deltagarlista!$C6),"",IF(ISBLANK(Arrangörslista!K$8),"",IFERROR(VLOOKUP($F56,Arrangörslista!K$8:$AG$45,16,FALSE),"DNS")))))</f>
        <v/>
      </c>
      <c r="S56" s="5" t="str">
        <f>IF(Deltagarlista!$K$3=4,IF(ISBLANK(Deltagarlista!$C6),"",IF(ISBLANK(Arrangörslista!F$53),"",IFERROR(VLOOKUP($F56,Arrangörslista!F$53:$AG$90,16,FALSE),IF(ISBLANK(Deltagarlista!$C6),"",IF(ISBLANK(Arrangörslista!F$53),"",IFERROR(VLOOKUP($F56,Arrangörslista!G$53:$AG$90,16,FALSE),"DNS")))))),IF(Deltagarlista!$K$3=2,
IF(ISBLANK(Deltagarlista!$C6),"",IF(ISBLANK(Arrangörslista!L$8),"",IF($GV56=S$64," DNS ",IFERROR(VLOOKUP($F56,Arrangörslista!L$8:$AG$45,16,FALSE),"DNS")))),IF(ISBLANK(Deltagarlista!$C6),"",IF(ISBLANK(Arrangörslista!L$8),"",IFERROR(VLOOKUP($F56,Arrangörslista!L$8:$AG$45,16,FALSE),"DNS")))))</f>
        <v/>
      </c>
      <c r="T56" s="5" t="str">
        <f>IF(Deltagarlista!$K$3=4,IF(ISBLANK(Deltagarlista!$C6),"",IF(ISBLANK(Arrangörslista!H$53),"",IFERROR(VLOOKUP($F56,Arrangörslista!H$53:$AG$90,16,FALSE),IF(ISBLANK(Deltagarlista!$C6),"",IF(ISBLANK(Arrangörslista!H$53),"",IFERROR(VLOOKUP($F56,Arrangörslista!I$53:$AG$90,16,FALSE),"DNS")))))),IF(Deltagarlista!$K$3=2,
IF(ISBLANK(Deltagarlista!$C6),"",IF(ISBLANK(Arrangörslista!M$8),"",IF($GV56=T$64," DNS ",IFERROR(VLOOKUP($F56,Arrangörslista!M$8:$AG$45,16,FALSE),"DNS")))),IF(ISBLANK(Deltagarlista!$C6),"",IF(ISBLANK(Arrangörslista!M$8),"",IFERROR(VLOOKUP($F56,Arrangörslista!M$8:$AG$45,16,FALSE),"DNS")))))</f>
        <v/>
      </c>
      <c r="U56" s="5" t="str">
        <f>IF(Deltagarlista!$K$3=4,IF(ISBLANK(Deltagarlista!$C6),"",IF(ISBLANK(Arrangörslista!J$53),"",IFERROR(VLOOKUP($F56,Arrangörslista!J$53:$AG$90,16,FALSE),IF(ISBLANK(Deltagarlista!$C6),"",IF(ISBLANK(Arrangörslista!J$53),"",IFERROR(VLOOKUP($F56,Arrangörslista!K$53:$AG$90,16,FALSE),"DNS")))))),IF(Deltagarlista!$K$3=2,
IF(ISBLANK(Deltagarlista!$C6),"",IF(ISBLANK(Arrangörslista!N$8),"",IF($GV56=U$64," DNS ",IFERROR(VLOOKUP($F56,Arrangörslista!N$8:$AG$45,16,FALSE),"DNS")))),IF(ISBLANK(Deltagarlista!$C6),"",IF(ISBLANK(Arrangörslista!N$8),"",IFERROR(VLOOKUP($F56,Arrangörslista!N$8:$AG$45,16,FALSE),"DNS")))))</f>
        <v/>
      </c>
      <c r="V56" s="5" t="str">
        <f>IF(Deltagarlista!$K$3=4,IF(ISBLANK(Deltagarlista!$C6),"",IF(ISBLANK(Arrangörslista!L$53),"",IFERROR(VLOOKUP($F56,Arrangörslista!L$53:$AG$90,16,FALSE),IF(ISBLANK(Deltagarlista!$C6),"",IF(ISBLANK(Arrangörslista!L$53),"",IFERROR(VLOOKUP($F56,Arrangörslista!M$53:$AG$90,16,FALSE),"DNS")))))),IF(Deltagarlista!$K$3=2,
IF(ISBLANK(Deltagarlista!$C6),"",IF(ISBLANK(Arrangörslista!O$8),"",IF($GV56=V$64," DNS ",IFERROR(VLOOKUP($F56,Arrangörslista!O$8:$AG$45,16,FALSE),"DNS")))),IF(ISBLANK(Deltagarlista!$C6),"",IF(ISBLANK(Arrangörslista!O$8),"",IFERROR(VLOOKUP($F56,Arrangörslista!O$8:$AG$45,16,FALSE),"DNS")))))</f>
        <v/>
      </c>
      <c r="W56" s="5" t="str">
        <f>IF(Deltagarlista!$K$3=4,IF(ISBLANK(Deltagarlista!$C6),"",IF(ISBLANK(Arrangörslista!N$53),"",IFERROR(VLOOKUP($F56,Arrangörslista!N$53:$AG$90,16,FALSE),IF(ISBLANK(Deltagarlista!$C6),"",IF(ISBLANK(Arrangörslista!N$53),"",IFERROR(VLOOKUP($F56,Arrangörslista!O$53:$AG$90,16,FALSE),"DNS")))))),IF(Deltagarlista!$K$3=2,
IF(ISBLANK(Deltagarlista!$C6),"",IF(ISBLANK(Arrangörslista!P$8),"",IF($GV56=W$64," DNS ",IFERROR(VLOOKUP($F56,Arrangörslista!P$8:$AG$45,16,FALSE),"DNS")))),IF(ISBLANK(Deltagarlista!$C6),"",IF(ISBLANK(Arrangörslista!P$8),"",IFERROR(VLOOKUP($F56,Arrangörslista!P$8:$AG$45,16,FALSE),"DNS")))))</f>
        <v/>
      </c>
      <c r="X56" s="5" t="str">
        <f>IF(Deltagarlista!$K$3=4,IF(ISBLANK(Deltagarlista!$C6),"",IF(ISBLANK(Arrangörslista!P$53),"",IFERROR(VLOOKUP($F56,Arrangörslista!P$53:$AG$90,16,FALSE),IF(ISBLANK(Deltagarlista!$C6),"",IF(ISBLANK(Arrangörslista!P$53),"",IFERROR(VLOOKUP($F56,Arrangörslista!Q$53:$AG$90,16,FALSE),"DNS")))))),IF(Deltagarlista!$K$3=2,
IF(ISBLANK(Deltagarlista!$C6),"",IF(ISBLANK(Arrangörslista!Q$8),"",IF($GV56=X$64," DNS ",IFERROR(VLOOKUP($F56,Arrangörslista!Q$8:$AG$45,16,FALSE),"DNS")))),IF(ISBLANK(Deltagarlista!$C6),"",IF(ISBLANK(Arrangörslista!Q$8),"",IFERROR(VLOOKUP($F56,Arrangörslista!Q$8:$AG$45,16,FALSE),"DNS")))))</f>
        <v/>
      </c>
      <c r="Y56" s="5" t="str">
        <f>IF(Deltagarlista!$K$3=4,IF(ISBLANK(Deltagarlista!$C6),"",IF(ISBLANK(Arrangörslista!C$98),"",IFERROR(VLOOKUP($F56,Arrangörslista!C$98:$AG$135,16,FALSE),IF(ISBLANK(Deltagarlista!$C6),"",IF(ISBLANK(Arrangörslista!C$98),"",IFERROR(VLOOKUP($F56,Arrangörslista!D$98:$AG$135,16,FALSE),"DNS")))))),IF(Deltagarlista!$K$3=2,
IF(ISBLANK(Deltagarlista!$C6),"",IF(ISBLANK(Arrangörslista!C$53),"",IF($GV56=Y$64," DNS ",IFERROR(VLOOKUP($F56,Arrangörslista!C$53:$AG$90,16,FALSE),"DNS")))),IF(ISBLANK(Deltagarlista!$C6),"",IF(ISBLANK(Arrangörslista!C$53),"",IFERROR(VLOOKUP($F56,Arrangörslista!C$53:$AG$90,16,FALSE),"DNS")))))</f>
        <v/>
      </c>
      <c r="Z56" s="5" t="str">
        <f>IF(Deltagarlista!$K$3=4,IF(ISBLANK(Deltagarlista!$C6),"",IF(ISBLANK(Arrangörslista!E$98),"",IFERROR(VLOOKUP($F56,Arrangörslista!E$98:$AG$135,16,FALSE),IF(ISBLANK(Deltagarlista!$C6),"",IF(ISBLANK(Arrangörslista!E$98),"",IFERROR(VLOOKUP($F56,Arrangörslista!F$98:$AG$135,16,FALSE),"DNS")))))),IF(Deltagarlista!$K$3=2,
IF(ISBLANK(Deltagarlista!$C6),"",IF(ISBLANK(Arrangörslista!D$53),"",IF($GV56=Z$64," DNS ",IFERROR(VLOOKUP($F56,Arrangörslista!D$53:$AG$90,16,FALSE),"DNS")))),IF(ISBLANK(Deltagarlista!$C6),"",IF(ISBLANK(Arrangörslista!D$53),"",IFERROR(VLOOKUP($F56,Arrangörslista!D$53:$AG$90,16,FALSE),"DNS")))))</f>
        <v/>
      </c>
      <c r="AA56" s="5" t="str">
        <f>IF(Deltagarlista!$K$3=4,IF(ISBLANK(Deltagarlista!$C6),"",IF(ISBLANK(Arrangörslista!G$98),"",IFERROR(VLOOKUP($F56,Arrangörslista!G$98:$AG$135,16,FALSE),IF(ISBLANK(Deltagarlista!$C6),"",IF(ISBLANK(Arrangörslista!G$98),"",IFERROR(VLOOKUP($F56,Arrangörslista!H$98:$AG$135,16,FALSE),"DNS")))))),IF(Deltagarlista!$K$3=2,
IF(ISBLANK(Deltagarlista!$C6),"",IF(ISBLANK(Arrangörslista!E$53),"",IF($GV56=AA$64," DNS ",IFERROR(VLOOKUP($F56,Arrangörslista!E$53:$AG$90,16,FALSE),"DNS")))),IF(ISBLANK(Deltagarlista!$C6),"",IF(ISBLANK(Arrangörslista!E$53),"",IFERROR(VLOOKUP($F56,Arrangörslista!E$53:$AG$90,16,FALSE),"DNS")))))</f>
        <v/>
      </c>
      <c r="AB56" s="5" t="str">
        <f>IF(Deltagarlista!$K$3=4,IF(ISBLANK(Deltagarlista!$C6),"",IF(ISBLANK(Arrangörslista!I$98),"",IFERROR(VLOOKUP($F56,Arrangörslista!I$98:$AG$135,16,FALSE),IF(ISBLANK(Deltagarlista!$C6),"",IF(ISBLANK(Arrangörslista!I$98),"",IFERROR(VLOOKUP($F56,Arrangörslista!J$98:$AG$135,16,FALSE),"DNS")))))),IF(Deltagarlista!$K$3=2,
IF(ISBLANK(Deltagarlista!$C6),"",IF(ISBLANK(Arrangörslista!F$53),"",IF($GV56=AB$64," DNS ",IFERROR(VLOOKUP($F56,Arrangörslista!F$53:$AG$90,16,FALSE),"DNS")))),IF(ISBLANK(Deltagarlista!$C6),"",IF(ISBLANK(Arrangörslista!F$53),"",IFERROR(VLOOKUP($F56,Arrangörslista!F$53:$AG$90,16,FALSE),"DNS")))))</f>
        <v/>
      </c>
      <c r="AC56" s="5" t="str">
        <f>IF(Deltagarlista!$K$3=4,IF(ISBLANK(Deltagarlista!$C6),"",IF(ISBLANK(Arrangörslista!K$98),"",IFERROR(VLOOKUP($F56,Arrangörslista!K$98:$AG$135,16,FALSE),IF(ISBLANK(Deltagarlista!$C6),"",IF(ISBLANK(Arrangörslista!K$98),"",IFERROR(VLOOKUP($F56,Arrangörslista!L$98:$AG$135,16,FALSE),"DNS")))))),IF(Deltagarlista!$K$3=2,
IF(ISBLANK(Deltagarlista!$C6),"",IF(ISBLANK(Arrangörslista!G$53),"",IF($GV56=AC$64," DNS ",IFERROR(VLOOKUP($F56,Arrangörslista!G$53:$AG$90,16,FALSE),"DNS")))),IF(ISBLANK(Deltagarlista!$C6),"",IF(ISBLANK(Arrangörslista!G$53),"",IFERROR(VLOOKUP($F56,Arrangörslista!G$53:$AG$90,16,FALSE),"DNS")))))</f>
        <v/>
      </c>
      <c r="AD56" s="5" t="str">
        <f>IF(Deltagarlista!$K$3=4,IF(ISBLANK(Deltagarlista!$C6),"",IF(ISBLANK(Arrangörslista!M$98),"",IFERROR(VLOOKUP($F56,Arrangörslista!M$98:$AG$135,16,FALSE),IF(ISBLANK(Deltagarlista!$C6),"",IF(ISBLANK(Arrangörslista!M$98),"",IFERROR(VLOOKUP($F56,Arrangörslista!N$98:$AG$135,16,FALSE),"DNS")))))),IF(Deltagarlista!$K$3=2,
IF(ISBLANK(Deltagarlista!$C6),"",IF(ISBLANK(Arrangörslista!H$53),"",IF($GV56=AD$64," DNS ",IFERROR(VLOOKUP($F56,Arrangörslista!H$53:$AG$90,16,FALSE),"DNS")))),IF(ISBLANK(Deltagarlista!$C6),"",IF(ISBLANK(Arrangörslista!H$53),"",IFERROR(VLOOKUP($F56,Arrangörslista!H$53:$AG$90,16,FALSE),"DNS")))))</f>
        <v/>
      </c>
      <c r="AE56" s="5" t="str">
        <f>IF(Deltagarlista!$K$3=4,IF(ISBLANK(Deltagarlista!$C6),"",IF(ISBLANK(Arrangörslista!O$98),"",IFERROR(VLOOKUP($F56,Arrangörslista!O$98:$AG$135,16,FALSE),IF(ISBLANK(Deltagarlista!$C6),"",IF(ISBLANK(Arrangörslista!O$98),"",IFERROR(VLOOKUP($F56,Arrangörslista!P$98:$AG$135,16,FALSE),"DNS")))))),IF(Deltagarlista!$K$3=2,
IF(ISBLANK(Deltagarlista!$C6),"",IF(ISBLANK(Arrangörslista!I$53),"",IF($GV56=AE$64," DNS ",IFERROR(VLOOKUP($F56,Arrangörslista!I$53:$AG$90,16,FALSE),"DNS")))),IF(ISBLANK(Deltagarlista!$C6),"",IF(ISBLANK(Arrangörslista!I$53),"",IFERROR(VLOOKUP($F56,Arrangörslista!I$53:$AG$90,16,FALSE),"DNS")))))</f>
        <v/>
      </c>
      <c r="AF56" s="5" t="str">
        <f>IF(Deltagarlista!$K$3=4,IF(ISBLANK(Deltagarlista!$C6),"",IF(ISBLANK(Arrangörslista!Q$98),"",IFERROR(VLOOKUP($F56,Arrangörslista!Q$98:$AG$135,16,FALSE),IF(ISBLANK(Deltagarlista!$C6),"",IF(ISBLANK(Arrangörslista!Q$98),"",IFERROR(VLOOKUP($F56,Arrangörslista!C$143:$AG$180,16,FALSE),"DNS")))))),IF(Deltagarlista!$K$3=2,
IF(ISBLANK(Deltagarlista!$C6),"",IF(ISBLANK(Arrangörslista!J$53),"",IF($GV56=AF$64," DNS ",IFERROR(VLOOKUP($F56,Arrangörslista!J$53:$AG$90,16,FALSE),"DNS")))),IF(ISBLANK(Deltagarlista!$C6),"",IF(ISBLANK(Arrangörslista!J$53),"",IFERROR(VLOOKUP($F56,Arrangörslista!J$53:$AG$90,16,FALSE),"DNS")))))</f>
        <v/>
      </c>
      <c r="AG56" s="5" t="str">
        <f>IF(Deltagarlista!$K$3=4,IF(ISBLANK(Deltagarlista!$C6),"",IF(ISBLANK(Arrangörslista!D$143),"",IFERROR(VLOOKUP($F56,Arrangörslista!D$143:$AG$180,16,FALSE),IF(ISBLANK(Deltagarlista!$C6),"",IF(ISBLANK(Arrangörslista!D$143),"",IFERROR(VLOOKUP($F56,Arrangörslista!E$143:$AG$180,16,FALSE),"DNS")))))),IF(Deltagarlista!$K$3=2,
IF(ISBLANK(Deltagarlista!$C6),"",IF(ISBLANK(Arrangörslista!K$53),"",IF($GV56=AG$64," DNS ",IFERROR(VLOOKUP($F56,Arrangörslista!K$53:$AG$90,16,FALSE),"DNS")))),IF(ISBLANK(Deltagarlista!$C6),"",IF(ISBLANK(Arrangörslista!K$53),"",IFERROR(VLOOKUP($F56,Arrangörslista!K$53:$AG$90,16,FALSE),"DNS")))))</f>
        <v/>
      </c>
      <c r="AH56" s="5" t="str">
        <f>IF(Deltagarlista!$K$3=4,IF(ISBLANK(Deltagarlista!$C6),"",IF(ISBLANK(Arrangörslista!F$143),"",IFERROR(VLOOKUP($F56,Arrangörslista!F$143:$AG$180,16,FALSE),IF(ISBLANK(Deltagarlista!$C6),"",IF(ISBLANK(Arrangörslista!F$143),"",IFERROR(VLOOKUP($F56,Arrangörslista!G$143:$AG$180,16,FALSE),"DNS")))))),IF(Deltagarlista!$K$3=2,
IF(ISBLANK(Deltagarlista!$C6),"",IF(ISBLANK(Arrangörslista!L$53),"",IF($GV56=AH$64," DNS ",IFERROR(VLOOKUP($F56,Arrangörslista!L$53:$AG$90,16,FALSE),"DNS")))),IF(ISBLANK(Deltagarlista!$C6),"",IF(ISBLANK(Arrangörslista!L$53),"",IFERROR(VLOOKUP($F56,Arrangörslista!L$53:$AG$90,16,FALSE),"DNS")))))</f>
        <v/>
      </c>
      <c r="AI56" s="5" t="str">
        <f>IF(Deltagarlista!$K$3=4,IF(ISBLANK(Deltagarlista!$C6),"",IF(ISBLANK(Arrangörslista!H$143),"",IFERROR(VLOOKUP($F56,Arrangörslista!H$143:$AG$180,16,FALSE),IF(ISBLANK(Deltagarlista!$C6),"",IF(ISBLANK(Arrangörslista!H$143),"",IFERROR(VLOOKUP($F56,Arrangörslista!I$143:$AG$180,16,FALSE),"DNS")))))),IF(Deltagarlista!$K$3=2,
IF(ISBLANK(Deltagarlista!$C6),"",IF(ISBLANK(Arrangörslista!M$53),"",IF($GV56=AI$64," DNS ",IFERROR(VLOOKUP($F56,Arrangörslista!M$53:$AG$90,16,FALSE),"DNS")))),IF(ISBLANK(Deltagarlista!$C6),"",IF(ISBLANK(Arrangörslista!M$53),"",IFERROR(VLOOKUP($F56,Arrangörslista!M$53:$AG$90,16,FALSE),"DNS")))))</f>
        <v/>
      </c>
      <c r="AJ56" s="5" t="str">
        <f>IF(Deltagarlista!$K$3=4,IF(ISBLANK(Deltagarlista!$C6),"",IF(ISBLANK(Arrangörslista!J$143),"",IFERROR(VLOOKUP($F56,Arrangörslista!J$143:$AG$180,16,FALSE),IF(ISBLANK(Deltagarlista!$C6),"",IF(ISBLANK(Arrangörslista!J$143),"",IFERROR(VLOOKUP($F56,Arrangörslista!K$143:$AG$180,16,FALSE),"DNS")))))),IF(Deltagarlista!$K$3=2,
IF(ISBLANK(Deltagarlista!$C6),"",IF(ISBLANK(Arrangörslista!N$53),"",IF($GV56=AJ$64," DNS ",IFERROR(VLOOKUP($F56,Arrangörslista!N$53:$AG$90,16,FALSE),"DNS")))),IF(ISBLANK(Deltagarlista!$C6),"",IF(ISBLANK(Arrangörslista!N$53),"",IFERROR(VLOOKUP($F56,Arrangörslista!N$53:$AG$90,16,FALSE),"DNS")))))</f>
        <v/>
      </c>
      <c r="AK56" s="5" t="str">
        <f>IF(Deltagarlista!$K$3=4,IF(ISBLANK(Deltagarlista!$C6),"",IF(ISBLANK(Arrangörslista!L$143),"",IFERROR(VLOOKUP($F56,Arrangörslista!L$143:$AG$180,16,FALSE),IF(ISBLANK(Deltagarlista!$C6),"",IF(ISBLANK(Arrangörslista!L$143),"",IFERROR(VLOOKUP($F56,Arrangörslista!M$143:$AG$180,16,FALSE),"DNS")))))),IF(Deltagarlista!$K$3=2,
IF(ISBLANK(Deltagarlista!$C6),"",IF(ISBLANK(Arrangörslista!O$53),"",IF($GV56=AK$64," DNS ",IFERROR(VLOOKUP($F56,Arrangörslista!O$53:$AG$90,16,FALSE),"DNS")))),IF(ISBLANK(Deltagarlista!$C6),"",IF(ISBLANK(Arrangörslista!O$53),"",IFERROR(VLOOKUP($F56,Arrangörslista!O$53:$AG$90,16,FALSE),"DNS")))))</f>
        <v/>
      </c>
      <c r="AL56" s="5" t="str">
        <f>IF(Deltagarlista!$K$3=4,IF(ISBLANK(Deltagarlista!$C6),"",IF(ISBLANK(Arrangörslista!N$143),"",IFERROR(VLOOKUP($F56,Arrangörslista!N$143:$AG$180,16,FALSE),IF(ISBLANK(Deltagarlista!$C6),"",IF(ISBLANK(Arrangörslista!N$143),"",IFERROR(VLOOKUP($F56,Arrangörslista!O$143:$AG$180,16,FALSE),"DNS")))))),IF(Deltagarlista!$K$3=2,
IF(ISBLANK(Deltagarlista!$C6),"",IF(ISBLANK(Arrangörslista!P$53),"",IF($GV56=AL$64," DNS ",IFERROR(VLOOKUP($F56,Arrangörslista!P$53:$AG$90,16,FALSE),"DNS")))),IF(ISBLANK(Deltagarlista!$C6),"",IF(ISBLANK(Arrangörslista!P$53),"",IFERROR(VLOOKUP($F56,Arrangörslista!P$53:$AG$90,16,FALSE),"DNS")))))</f>
        <v/>
      </c>
      <c r="AM56" s="5" t="str">
        <f>IF(Deltagarlista!$K$3=4,IF(ISBLANK(Deltagarlista!$C6),"",IF(ISBLANK(Arrangörslista!P$143),"",IFERROR(VLOOKUP($F56,Arrangörslista!P$143:$AG$180,16,FALSE),IF(ISBLANK(Deltagarlista!$C6),"",IF(ISBLANK(Arrangörslista!P$143),"",IFERROR(VLOOKUP($F56,Arrangörslista!Q$143:$AG$180,16,FALSE),"DNS")))))),IF(Deltagarlista!$K$3=2,
IF(ISBLANK(Deltagarlista!$C6),"",IF(ISBLANK(Arrangörslista!Q$53),"",IF($GV56=AM$64," DNS ",IFERROR(VLOOKUP($F56,Arrangörslista!Q$53:$AG$90,16,FALSE),"DNS")))),IF(ISBLANK(Deltagarlista!$C6),"",IF(ISBLANK(Arrangörslista!Q$53),"",IFERROR(VLOOKUP($F56,Arrangörslista!Q$53:$AG$90,16,FALSE),"DNS")))))</f>
        <v/>
      </c>
      <c r="AN56" s="5" t="str">
        <f>IF(Deltagarlista!$K$3=2,
IF(ISBLANK(Deltagarlista!$C6),"",IF(ISBLANK(Arrangörslista!C$98),"",IF($GV56=AN$64," DNS ",IFERROR(VLOOKUP($F56,Arrangörslista!C$98:$AG$135,16,FALSE), "DNS")))), IF(Deltagarlista!$K$3=1,IF(ISBLANK(Deltagarlista!$C6),"",IF(ISBLANK(Arrangörslista!C$98),"",IFERROR(VLOOKUP($F56,Arrangörslista!C$98:$AG$135,16,FALSE), "DNS"))),""))</f>
        <v/>
      </c>
      <c r="AO56" s="5" t="str">
        <f>IF(Deltagarlista!$K$3=2,
IF(ISBLANK(Deltagarlista!$C6),"",IF(ISBLANK(Arrangörslista!D$98),"",IF($GV56=AO$64," DNS ",IFERROR(VLOOKUP($F56,Arrangörslista!D$98:$AG$135,16,FALSE), "DNS")))), IF(Deltagarlista!$K$3=1,IF(ISBLANK(Deltagarlista!$C6),"",IF(ISBLANK(Arrangörslista!D$98),"",IFERROR(VLOOKUP($F56,Arrangörslista!D$98:$AG$135,16,FALSE), "DNS"))),""))</f>
        <v/>
      </c>
      <c r="AP56" s="5" t="str">
        <f>IF(Deltagarlista!$K$3=2,
IF(ISBLANK(Deltagarlista!$C6),"",IF(ISBLANK(Arrangörslista!E$98),"",IF($GV56=AP$64," DNS ",IFERROR(VLOOKUP($F56,Arrangörslista!E$98:$AG$135,16,FALSE), "DNS")))), IF(Deltagarlista!$K$3=1,IF(ISBLANK(Deltagarlista!$C6),"",IF(ISBLANK(Arrangörslista!E$98),"",IFERROR(VLOOKUP($F56,Arrangörslista!E$98:$AG$135,16,FALSE), "DNS"))),""))</f>
        <v/>
      </c>
      <c r="AQ56" s="5" t="str">
        <f>IF(Deltagarlista!$K$3=2,
IF(ISBLANK(Deltagarlista!$C6),"",IF(ISBLANK(Arrangörslista!F$98),"",IF($GV56=AQ$64," DNS ",IFERROR(VLOOKUP($F56,Arrangörslista!F$98:$AG$135,16,FALSE), "DNS")))), IF(Deltagarlista!$K$3=1,IF(ISBLANK(Deltagarlista!$C6),"",IF(ISBLANK(Arrangörslista!F$98),"",IFERROR(VLOOKUP($F56,Arrangörslista!F$98:$AG$135,16,FALSE), "DNS"))),""))</f>
        <v/>
      </c>
      <c r="AR56" s="5" t="str">
        <f>IF(Deltagarlista!$K$3=2,
IF(ISBLANK(Deltagarlista!$C6),"",IF(ISBLANK(Arrangörslista!G$98),"",IF($GV56=AR$64," DNS ",IFERROR(VLOOKUP($F56,Arrangörslista!G$98:$AG$135,16,FALSE), "DNS")))), IF(Deltagarlista!$K$3=1,IF(ISBLANK(Deltagarlista!$C6),"",IF(ISBLANK(Arrangörslista!G$98),"",IFERROR(VLOOKUP($F56,Arrangörslista!G$98:$AG$135,16,FALSE), "DNS"))),""))</f>
        <v/>
      </c>
      <c r="AS56" s="5" t="str">
        <f>IF(Deltagarlista!$K$3=2,
IF(ISBLANK(Deltagarlista!$C6),"",IF(ISBLANK(Arrangörslista!H$98),"",IF($GV56=AS$64," DNS ",IFERROR(VLOOKUP($F56,Arrangörslista!H$98:$AG$135,16,FALSE), "DNS")))), IF(Deltagarlista!$K$3=1,IF(ISBLANK(Deltagarlista!$C6),"",IF(ISBLANK(Arrangörslista!H$98),"",IFERROR(VLOOKUP($F56,Arrangörslista!H$98:$AG$135,16,FALSE), "DNS"))),""))</f>
        <v/>
      </c>
      <c r="AT56" s="5" t="str">
        <f>IF(Deltagarlista!$K$3=2,
IF(ISBLANK(Deltagarlista!$C6),"",IF(ISBLANK(Arrangörslista!I$98),"",IF($GV56=AT$64," DNS ",IFERROR(VLOOKUP($F56,Arrangörslista!I$98:$AG$135,16,FALSE), "DNS")))), IF(Deltagarlista!$K$3=1,IF(ISBLANK(Deltagarlista!$C6),"",IF(ISBLANK(Arrangörslista!I$98),"",IFERROR(VLOOKUP($F56,Arrangörslista!I$98:$AG$135,16,FALSE), "DNS"))),""))</f>
        <v/>
      </c>
      <c r="AU56" s="5" t="str">
        <f>IF(Deltagarlista!$K$3=2,
IF(ISBLANK(Deltagarlista!$C6),"",IF(ISBLANK(Arrangörslista!J$98),"",IF($GV56=AU$64," DNS ",IFERROR(VLOOKUP($F56,Arrangörslista!J$98:$AG$135,16,FALSE), "DNS")))), IF(Deltagarlista!$K$3=1,IF(ISBLANK(Deltagarlista!$C6),"",IF(ISBLANK(Arrangörslista!J$98),"",IFERROR(VLOOKUP($F56,Arrangörslista!J$98:$AG$135,16,FALSE), "DNS"))),""))</f>
        <v/>
      </c>
      <c r="AV56" s="5" t="str">
        <f>IF(Deltagarlista!$K$3=2,
IF(ISBLANK(Deltagarlista!$C6),"",IF(ISBLANK(Arrangörslista!K$98),"",IF($GV56=AV$64," DNS ",IFERROR(VLOOKUP($F56,Arrangörslista!K$98:$AG$135,16,FALSE), "DNS")))), IF(Deltagarlista!$K$3=1,IF(ISBLANK(Deltagarlista!$C6),"",IF(ISBLANK(Arrangörslista!K$98),"",IFERROR(VLOOKUP($F56,Arrangörslista!K$98:$AG$135,16,FALSE), "DNS"))),""))</f>
        <v/>
      </c>
      <c r="AW56" s="5" t="str">
        <f>IF(Deltagarlista!$K$3=2,
IF(ISBLANK(Deltagarlista!$C6),"",IF(ISBLANK(Arrangörslista!L$98),"",IF($GV56=AW$64," DNS ",IFERROR(VLOOKUP($F56,Arrangörslista!L$98:$AG$135,16,FALSE), "DNS")))), IF(Deltagarlista!$K$3=1,IF(ISBLANK(Deltagarlista!$C6),"",IF(ISBLANK(Arrangörslista!L$98),"",IFERROR(VLOOKUP($F56,Arrangörslista!L$98:$AG$135,16,FALSE), "DNS"))),""))</f>
        <v/>
      </c>
      <c r="AX56" s="5" t="str">
        <f>IF(Deltagarlista!$K$3=2,
IF(ISBLANK(Deltagarlista!$C6),"",IF(ISBLANK(Arrangörslista!M$98),"",IF($GV56=AX$64," DNS ",IFERROR(VLOOKUP($F56,Arrangörslista!M$98:$AG$135,16,FALSE), "DNS")))), IF(Deltagarlista!$K$3=1,IF(ISBLANK(Deltagarlista!$C6),"",IF(ISBLANK(Arrangörslista!M$98),"",IFERROR(VLOOKUP($F56,Arrangörslista!M$98:$AG$135,16,FALSE), "DNS"))),""))</f>
        <v/>
      </c>
      <c r="AY56" s="5" t="str">
        <f>IF(Deltagarlista!$K$3=2,
IF(ISBLANK(Deltagarlista!$C6),"",IF(ISBLANK(Arrangörslista!N$98),"",IF($GV56=AY$64," DNS ",IFERROR(VLOOKUP($F56,Arrangörslista!N$98:$AG$135,16,FALSE), "DNS")))), IF(Deltagarlista!$K$3=1,IF(ISBLANK(Deltagarlista!$C6),"",IF(ISBLANK(Arrangörslista!N$98),"",IFERROR(VLOOKUP($F56,Arrangörslista!N$98:$AG$135,16,FALSE), "DNS"))),""))</f>
        <v/>
      </c>
      <c r="AZ56" s="5" t="str">
        <f>IF(Deltagarlista!$K$3=2,
IF(ISBLANK(Deltagarlista!$C6),"",IF(ISBLANK(Arrangörslista!O$98),"",IF($GV56=AZ$64," DNS ",IFERROR(VLOOKUP($F56,Arrangörslista!O$98:$AG$135,16,FALSE), "DNS")))), IF(Deltagarlista!$K$3=1,IF(ISBLANK(Deltagarlista!$C6),"",IF(ISBLANK(Arrangörslista!O$98),"",IFERROR(VLOOKUP($F56,Arrangörslista!O$98:$AG$135,16,FALSE), "DNS"))),""))</f>
        <v/>
      </c>
      <c r="BA56" s="5" t="str">
        <f>IF(Deltagarlista!$K$3=2,
IF(ISBLANK(Deltagarlista!$C6),"",IF(ISBLANK(Arrangörslista!P$98),"",IF($GV56=BA$64," DNS ",IFERROR(VLOOKUP($F56,Arrangörslista!P$98:$AG$135,16,FALSE), "DNS")))), IF(Deltagarlista!$K$3=1,IF(ISBLANK(Deltagarlista!$C6),"",IF(ISBLANK(Arrangörslista!P$98),"",IFERROR(VLOOKUP($F56,Arrangörslista!P$98:$AG$135,16,FALSE), "DNS"))),""))</f>
        <v/>
      </c>
      <c r="BB56" s="5" t="str">
        <f>IF(Deltagarlista!$K$3=2,
IF(ISBLANK(Deltagarlista!$C6),"",IF(ISBLANK(Arrangörslista!Q$98),"",IF($GV56=BB$64," DNS ",IFERROR(VLOOKUP($F56,Arrangörslista!Q$98:$AG$135,16,FALSE), "DNS")))), IF(Deltagarlista!$K$3=1,IF(ISBLANK(Deltagarlista!$C6),"",IF(ISBLANK(Arrangörslista!Q$98),"",IFERROR(VLOOKUP($F56,Arrangörslista!Q$98:$AG$135,16,FALSE), "DNS"))),""))</f>
        <v/>
      </c>
      <c r="BC56" s="5" t="str">
        <f>IF(Deltagarlista!$K$3=2,
IF(ISBLANK(Deltagarlista!$C6),"",IF(ISBLANK(Arrangörslista!C$143),"",IF($GV56=BC$64," DNS ",IFERROR(VLOOKUP($F56,Arrangörslista!C$143:$AG$180,16,FALSE), "DNS")))), IF(Deltagarlista!$K$3=1,IF(ISBLANK(Deltagarlista!$C6),"",IF(ISBLANK(Arrangörslista!C$143),"",IFERROR(VLOOKUP($F56,Arrangörslista!C$143:$AG$180,16,FALSE), "DNS"))),""))</f>
        <v/>
      </c>
      <c r="BD56" s="5" t="str">
        <f>IF(Deltagarlista!$K$3=2,
IF(ISBLANK(Deltagarlista!$C6),"",IF(ISBLANK(Arrangörslista!D$143),"",IF($GV56=BD$64," DNS ",IFERROR(VLOOKUP($F56,Arrangörslista!D$143:$AG$180,16,FALSE), "DNS")))), IF(Deltagarlista!$K$3=1,IF(ISBLANK(Deltagarlista!$C6),"",IF(ISBLANK(Arrangörslista!D$143),"",IFERROR(VLOOKUP($F56,Arrangörslista!D$143:$AG$180,16,FALSE), "DNS"))),""))</f>
        <v/>
      </c>
      <c r="BE56" s="5" t="str">
        <f>IF(Deltagarlista!$K$3=2,
IF(ISBLANK(Deltagarlista!$C6),"",IF(ISBLANK(Arrangörslista!E$143),"",IF($GV56=BE$64," DNS ",IFERROR(VLOOKUP($F56,Arrangörslista!E$143:$AG$180,16,FALSE), "DNS")))), IF(Deltagarlista!$K$3=1,IF(ISBLANK(Deltagarlista!$C6),"",IF(ISBLANK(Arrangörslista!E$143),"",IFERROR(VLOOKUP($F56,Arrangörslista!E$143:$AG$180,16,FALSE), "DNS"))),""))</f>
        <v/>
      </c>
      <c r="BF56" s="5" t="str">
        <f>IF(Deltagarlista!$K$3=2,
IF(ISBLANK(Deltagarlista!$C6),"",IF(ISBLANK(Arrangörslista!F$143),"",IF($GV56=BF$64," DNS ",IFERROR(VLOOKUP($F56,Arrangörslista!F$143:$AG$180,16,FALSE), "DNS")))), IF(Deltagarlista!$K$3=1,IF(ISBLANK(Deltagarlista!$C6),"",IF(ISBLANK(Arrangörslista!F$143),"",IFERROR(VLOOKUP($F56,Arrangörslista!F$143:$AG$180,16,FALSE), "DNS"))),""))</f>
        <v/>
      </c>
      <c r="BG56" s="5" t="str">
        <f>IF(Deltagarlista!$K$3=2,
IF(ISBLANK(Deltagarlista!$C6),"",IF(ISBLANK(Arrangörslista!G$143),"",IF($GV56=BG$64," DNS ",IFERROR(VLOOKUP($F56,Arrangörslista!G$143:$AG$180,16,FALSE), "DNS")))), IF(Deltagarlista!$K$3=1,IF(ISBLANK(Deltagarlista!$C6),"",IF(ISBLANK(Arrangörslista!G$143),"",IFERROR(VLOOKUP($F56,Arrangörslista!G$143:$AG$180,16,FALSE), "DNS"))),""))</f>
        <v/>
      </c>
      <c r="BH56" s="5" t="str">
        <f>IF(Deltagarlista!$K$3=2,
IF(ISBLANK(Deltagarlista!$C6),"",IF(ISBLANK(Arrangörslista!H$143),"",IF($GV56=BH$64," DNS ",IFERROR(VLOOKUP($F56,Arrangörslista!H$143:$AG$180,16,FALSE), "DNS")))), IF(Deltagarlista!$K$3=1,IF(ISBLANK(Deltagarlista!$C6),"",IF(ISBLANK(Arrangörslista!H$143),"",IFERROR(VLOOKUP($F56,Arrangörslista!H$143:$AG$180,16,FALSE), "DNS"))),""))</f>
        <v/>
      </c>
      <c r="BI56" s="5" t="str">
        <f>IF(Deltagarlista!$K$3=2,
IF(ISBLANK(Deltagarlista!$C6),"",IF(ISBLANK(Arrangörslista!I$143),"",IF($GV56=BI$64," DNS ",IFERROR(VLOOKUP($F56,Arrangörslista!I$143:$AG$180,16,FALSE), "DNS")))), IF(Deltagarlista!$K$3=1,IF(ISBLANK(Deltagarlista!$C6),"",IF(ISBLANK(Arrangörslista!I$143),"",IFERROR(VLOOKUP($F56,Arrangörslista!I$143:$AG$180,16,FALSE), "DNS"))),""))</f>
        <v/>
      </c>
      <c r="BJ56" s="5" t="str">
        <f>IF(Deltagarlista!$K$3=2,
IF(ISBLANK(Deltagarlista!$C6),"",IF(ISBLANK(Arrangörslista!J$143),"",IF($GV56=BJ$64," DNS ",IFERROR(VLOOKUP($F56,Arrangörslista!J$143:$AG$180,16,FALSE), "DNS")))), IF(Deltagarlista!$K$3=1,IF(ISBLANK(Deltagarlista!$C6),"",IF(ISBLANK(Arrangörslista!J$143),"",IFERROR(VLOOKUP($F56,Arrangörslista!J$143:$AG$180,16,FALSE), "DNS"))),""))</f>
        <v/>
      </c>
      <c r="BK56" s="5" t="str">
        <f>IF(Deltagarlista!$K$3=2,
IF(ISBLANK(Deltagarlista!$C6),"",IF(ISBLANK(Arrangörslista!K$143),"",IF($GV56=BK$64," DNS ",IFERROR(VLOOKUP($F56,Arrangörslista!K$143:$AG$180,16,FALSE), "DNS")))), IF(Deltagarlista!$K$3=1,IF(ISBLANK(Deltagarlista!$C6),"",IF(ISBLANK(Arrangörslista!K$143),"",IFERROR(VLOOKUP($F56,Arrangörslista!K$143:$AG$180,16,FALSE), "DNS"))),""))</f>
        <v/>
      </c>
      <c r="BL56" s="5" t="str">
        <f>IF(Deltagarlista!$K$3=2,
IF(ISBLANK(Deltagarlista!$C6),"",IF(ISBLANK(Arrangörslista!L$143),"",IF($GV56=BL$64," DNS ",IFERROR(VLOOKUP($F56,Arrangörslista!L$143:$AG$180,16,FALSE), "DNS")))), IF(Deltagarlista!$K$3=1,IF(ISBLANK(Deltagarlista!$C6),"",IF(ISBLANK(Arrangörslista!L$143),"",IFERROR(VLOOKUP($F56,Arrangörslista!L$143:$AG$180,16,FALSE), "DNS"))),""))</f>
        <v/>
      </c>
      <c r="BM56" s="5" t="str">
        <f>IF(Deltagarlista!$K$3=2,
IF(ISBLANK(Deltagarlista!$C6),"",IF(ISBLANK(Arrangörslista!M$143),"",IF($GV56=BM$64," DNS ",IFERROR(VLOOKUP($F56,Arrangörslista!M$143:$AG$180,16,FALSE), "DNS")))), IF(Deltagarlista!$K$3=1,IF(ISBLANK(Deltagarlista!$C6),"",IF(ISBLANK(Arrangörslista!M$143),"",IFERROR(VLOOKUP($F56,Arrangörslista!M$143:$AG$180,16,FALSE), "DNS"))),""))</f>
        <v/>
      </c>
      <c r="BN56" s="5" t="str">
        <f>IF(Deltagarlista!$K$3=2,
IF(ISBLANK(Deltagarlista!$C6),"",IF(ISBLANK(Arrangörslista!N$143),"",IF($GV56=BN$64," DNS ",IFERROR(VLOOKUP($F56,Arrangörslista!N$143:$AG$180,16,FALSE), "DNS")))), IF(Deltagarlista!$K$3=1,IF(ISBLANK(Deltagarlista!$C6),"",IF(ISBLANK(Arrangörslista!N$143),"",IFERROR(VLOOKUP($F56,Arrangörslista!N$143:$AG$180,16,FALSE), "DNS"))),""))</f>
        <v/>
      </c>
      <c r="BO56" s="5" t="str">
        <f>IF(Deltagarlista!$K$3=2,
IF(ISBLANK(Deltagarlista!$C6),"",IF(ISBLANK(Arrangörslista!O$143),"",IF($GV56=BO$64," DNS ",IFERROR(VLOOKUP($F56,Arrangörslista!O$143:$AG$180,16,FALSE), "DNS")))), IF(Deltagarlista!$K$3=1,IF(ISBLANK(Deltagarlista!$C6),"",IF(ISBLANK(Arrangörslista!O$143),"",IFERROR(VLOOKUP($F56,Arrangörslista!O$143:$AG$180,16,FALSE), "DNS"))),""))</f>
        <v/>
      </c>
      <c r="BP56" s="5" t="str">
        <f>IF(Deltagarlista!$K$3=2,
IF(ISBLANK(Deltagarlista!$C6),"",IF(ISBLANK(Arrangörslista!P$143),"",IF($GV56=BP$64," DNS ",IFERROR(VLOOKUP($F56,Arrangörslista!P$143:$AG$180,16,FALSE), "DNS")))), IF(Deltagarlista!$K$3=1,IF(ISBLANK(Deltagarlista!$C6),"",IF(ISBLANK(Arrangörslista!P$143),"",IFERROR(VLOOKUP($F56,Arrangörslista!P$143:$AG$180,16,FALSE), "DNS"))),""))</f>
        <v/>
      </c>
      <c r="BQ56" s="80" t="str">
        <f>IF(Deltagarlista!$K$3=2,
IF(ISBLANK(Deltagarlista!$C6),"",IF(ISBLANK(Arrangörslista!Q$143),"",IF($GV56=BQ$64," DNS ",IFERROR(VLOOKUP($F56,Arrangörslista!Q$143:$AG$180,16,FALSE), "DNS")))), IF(Deltagarlista!$K$3=1,IF(ISBLANK(Deltagarlista!$C6),"",IF(ISBLANK(Arrangörslista!Q$143),"",IFERROR(VLOOKUP($F56,Arrangörslista!Q$143:$AG$180,16,FALSE), "DNS"))),""))</f>
        <v/>
      </c>
      <c r="BR56" s="51"/>
      <c r="BS56" s="50" t="str">
        <f t="shared" si="125"/>
        <v>2</v>
      </c>
      <c r="BT56" s="51"/>
      <c r="BU56" s="71">
        <f t="shared" si="126"/>
        <v>0</v>
      </c>
      <c r="BV56" s="61">
        <f t="shared" si="127"/>
        <v>0</v>
      </c>
      <c r="BW56" s="61">
        <f t="shared" si="128"/>
        <v>0</v>
      </c>
      <c r="BX56" s="61">
        <f t="shared" si="129"/>
        <v>0</v>
      </c>
      <c r="BY56" s="61">
        <f t="shared" si="130"/>
        <v>0</v>
      </c>
      <c r="BZ56" s="61">
        <f t="shared" si="131"/>
        <v>0</v>
      </c>
      <c r="CA56" s="61">
        <f t="shared" si="132"/>
        <v>0</v>
      </c>
      <c r="CB56" s="61">
        <f t="shared" si="133"/>
        <v>0</v>
      </c>
      <c r="CC56" s="61">
        <f t="shared" si="134"/>
        <v>0</v>
      </c>
      <c r="CD56" s="61">
        <f t="shared" si="135"/>
        <v>0</v>
      </c>
      <c r="CE56" s="61">
        <f t="shared" si="136"/>
        <v>0</v>
      </c>
      <c r="CF56" s="61">
        <f t="shared" si="137"/>
        <v>0</v>
      </c>
      <c r="CG56" s="61">
        <f t="shared" si="138"/>
        <v>0</v>
      </c>
      <c r="CH56" s="61">
        <f t="shared" si="139"/>
        <v>0</v>
      </c>
      <c r="CI56" s="61">
        <f t="shared" si="140"/>
        <v>0</v>
      </c>
      <c r="CJ56" s="61">
        <f t="shared" si="141"/>
        <v>0</v>
      </c>
      <c r="CK56" s="61">
        <f t="shared" si="142"/>
        <v>0</v>
      </c>
      <c r="CL56" s="61">
        <f t="shared" si="143"/>
        <v>0</v>
      </c>
      <c r="CM56" s="61">
        <f t="shared" si="144"/>
        <v>0</v>
      </c>
      <c r="CN56" s="61">
        <f t="shared" si="145"/>
        <v>0</v>
      </c>
      <c r="CO56" s="61">
        <f t="shared" si="146"/>
        <v>0</v>
      </c>
      <c r="CP56" s="61">
        <f t="shared" si="147"/>
        <v>0</v>
      </c>
      <c r="CQ56" s="61">
        <f t="shared" si="148"/>
        <v>0</v>
      </c>
      <c r="CR56" s="61">
        <f t="shared" si="149"/>
        <v>0</v>
      </c>
      <c r="CS56" s="61">
        <f t="shared" si="150"/>
        <v>0</v>
      </c>
      <c r="CT56" s="61">
        <f t="shared" si="151"/>
        <v>0</v>
      </c>
      <c r="CU56" s="61">
        <f t="shared" si="152"/>
        <v>0</v>
      </c>
      <c r="CV56" s="61">
        <f t="shared" si="153"/>
        <v>0</v>
      </c>
      <c r="CW56" s="61">
        <f t="shared" si="154"/>
        <v>0</v>
      </c>
      <c r="CX56" s="61">
        <f t="shared" si="155"/>
        <v>0</v>
      </c>
      <c r="CY56" s="61">
        <f t="shared" si="156"/>
        <v>0</v>
      </c>
      <c r="CZ56" s="61">
        <f t="shared" si="157"/>
        <v>0</v>
      </c>
      <c r="DA56" s="61">
        <f t="shared" si="158"/>
        <v>0</v>
      </c>
      <c r="DB56" s="61">
        <f t="shared" si="159"/>
        <v>0</v>
      </c>
      <c r="DC56" s="61">
        <f t="shared" si="160"/>
        <v>0</v>
      </c>
      <c r="DD56" s="61">
        <f t="shared" si="161"/>
        <v>0</v>
      </c>
      <c r="DE56" s="61">
        <f t="shared" si="162"/>
        <v>0</v>
      </c>
      <c r="DF56" s="61">
        <f t="shared" si="163"/>
        <v>0</v>
      </c>
      <c r="DG56" s="61">
        <f t="shared" si="164"/>
        <v>0</v>
      </c>
      <c r="DH56" s="61">
        <f t="shared" si="165"/>
        <v>0</v>
      </c>
      <c r="DI56" s="61">
        <f t="shared" si="166"/>
        <v>0</v>
      </c>
      <c r="DJ56" s="61">
        <f t="shared" si="167"/>
        <v>0</v>
      </c>
      <c r="DK56" s="61">
        <f t="shared" si="168"/>
        <v>0</v>
      </c>
      <c r="DL56" s="61">
        <f t="shared" si="169"/>
        <v>0</v>
      </c>
      <c r="DM56" s="61">
        <f t="shared" si="170"/>
        <v>0</v>
      </c>
      <c r="DN56" s="61">
        <f t="shared" si="171"/>
        <v>0</v>
      </c>
      <c r="DO56" s="61">
        <f t="shared" si="172"/>
        <v>0</v>
      </c>
      <c r="DP56" s="61">
        <f t="shared" si="173"/>
        <v>0</v>
      </c>
      <c r="DQ56" s="61">
        <f t="shared" si="174"/>
        <v>0</v>
      </c>
      <c r="DR56" s="61">
        <f t="shared" si="175"/>
        <v>0</v>
      </c>
      <c r="DS56" s="61">
        <f t="shared" si="176"/>
        <v>0</v>
      </c>
      <c r="DT56" s="61">
        <f t="shared" si="177"/>
        <v>0</v>
      </c>
      <c r="DU56" s="61">
        <f t="shared" si="178"/>
        <v>0</v>
      </c>
      <c r="DV56" s="61">
        <f t="shared" si="179"/>
        <v>0</v>
      </c>
      <c r="DW56" s="61">
        <f t="shared" si="180"/>
        <v>0</v>
      </c>
      <c r="DX56" s="61">
        <f t="shared" si="181"/>
        <v>0</v>
      </c>
      <c r="DY56" s="61">
        <f t="shared" si="182"/>
        <v>0</v>
      </c>
      <c r="DZ56" s="61">
        <f t="shared" si="183"/>
        <v>0</v>
      </c>
      <c r="EA56" s="61">
        <f t="shared" si="184"/>
        <v>0</v>
      </c>
      <c r="EB56" s="61">
        <f t="shared" si="185"/>
        <v>0</v>
      </c>
      <c r="EC56" s="61">
        <f t="shared" si="186"/>
        <v>0</v>
      </c>
      <c r="EE56" s="61">
        <f xml:space="preserve">
IF(OR(Deltagarlista!$K$3=3,Deltagarlista!$K$3=4),
IF(Arrangörslista!$U$5&lt;8,0,
IF(Arrangörslista!$U$5&lt;16,SUM(LARGE(BV56:CJ56,1)),
IF(Arrangörslista!$U$5&lt;24,SUM(LARGE(BV56:CR56,{1;2})),
IF(Arrangörslista!$U$5&lt;32,SUM(LARGE(BV56:CZ56,{1;2;3})),
IF(Arrangörslista!$U$5&lt;40,SUM(LARGE(BV56:DH56,{1;2;3;4})),
IF(Arrangörslista!$U$5&lt;48,SUM(LARGE(BV56:DP56,{1;2;3;4;5})),
IF(Arrangörslista!$U$5&lt;56,SUM(LARGE(BV56:DX56,{1;2;3;4;5;6})),
IF(Arrangörslista!$U$5&lt;64,SUM(LARGE(BV56:EC56,{1;2;3;4;5;6;7})),0)))))))),
IF(Deltagarlista!$K$3=2,
IF(Arrangörslista!$U$5&lt;4,LARGE(BV56:BX56,1),
IF(Arrangörslista!$U$5&lt;7,SUM(LARGE(BV56:CA56,{1;2;3})),
IF(Arrangörslista!$U$5&lt;10,SUM(LARGE(BV56:CD56,{1;2;3;4})),
IF(Arrangörslista!$U$5&lt;13,SUM(LARGE(BV56:CG56,{1;2;3;4;5;6})),
IF(Arrangörslista!$U$5&lt;16,SUM(LARGE(BV56:CJ56,{1;2;3;4;5;6;7})),
IF(Arrangörslista!$U$5&lt;19,SUM(LARGE(BV56:CM56,{1;2;3;4;5;6;7;8;9})),
IF(Arrangörslista!$U$5&lt;22,SUM(LARGE(BV56:CP56,{1;2;3;4;5;6;7;8;9;10})),
IF(Arrangörslista!$U$5&lt;25,SUM(LARGE(BV56:CS56,{1;2;3;4;5;6;7;8;9;10;11;12})),
IF(Arrangörslista!$U$5&lt;28,SUM(LARGE(BV56:CV56,{1;2;3;4;5;6;7;8;9;10;11;12;13})),
IF(Arrangörslista!$U$5&lt;31,SUM(LARGE(BV56:CY56,{1;2;3;4;5;6;7;8;9;10;11;12;13;14;15})),
IF(Arrangörslista!$U$5&lt;34,SUM(LARGE(BV56:DB56,{1;2;3;4;5;6;7;8;9;10;11;12;13;14;15;16})),
IF(Arrangörslista!$U$5&lt;37,SUM(LARGE(BV56:DE56,{1;2;3;4;5;6;7;8;9;10;11;12;13;14;15;16;17;18})),
IF(Arrangörslista!$U$5&lt;40,SUM(LARGE(BV56:DH56,{1;2;3;4;5;6;7;8;9;10;11;12;13;14;15;16;17;18;19})),
IF(Arrangörslista!$U$5&lt;43,SUM(LARGE(BV56:DK56,{1;2;3;4;5;6;7;8;9;10;11;12;13;14;15;16;17;18;19;20;21})),
IF(Arrangörslista!$U$5&lt;46,SUM(LARGE(BV56:DN56,{1;2;3;4;5;6;7;8;9;10;11;12;13;14;15;16;17;18;19;20;21;22})),
IF(Arrangörslista!$U$5&lt;49,SUM(LARGE(BV56:DQ56,{1;2;3;4;5;6;7;8;9;10;11;12;13;14;15;16;17;18;19;20;21;22;23;24})),
IF(Arrangörslista!$U$5&lt;52,SUM(LARGE(BV56:DT56,{1;2;3;4;5;6;7;8;9;10;11;12;13;14;15;16;17;18;19;20;21;22;23;24;25})),
IF(Arrangörslista!$U$5&lt;55,SUM(LARGE(BV56:DW56,{1;2;3;4;5;6;7;8;9;10;11;12;13;14;15;16;17;18;19;20;21;22;23;24;25;26;27})),
IF(Arrangörslista!$U$5&lt;58,SUM(LARGE(BV56:DZ56,{1;2;3;4;5;6;7;8;9;10;11;12;13;14;15;16;17;18;19;20;21;22;23;24;25;26;27;28})),
IF(Arrangörslista!$U$5&lt;61,SUM(LARGE(BV56:EC56,{1;2;3;4;5;6;7;8;9;10;11;12;13;14;15;16;17;18;19;20;21;22;23;24;25;26;27;28;29;30})),0)))))))))))))))))))),
IF(Arrangörslista!$U$5&lt;4,0,
IF(Arrangörslista!$U$5&lt;8,SUM(LARGE(BV56:CB56,1)),
IF(Arrangörslista!$U$5&lt;12,SUM(LARGE(BV56:CF56,{1;2})),
IF(Arrangörslista!$U$5&lt;16,SUM(LARGE(BV56:CJ56,{1;2;3})),
IF(Arrangörslista!$U$5&lt;20,SUM(LARGE(BV56:CN56,{1;2;3;4})),
IF(Arrangörslista!$U$5&lt;24,SUM(LARGE(BV56:CR56,{1;2;3;4;5})),
IF(Arrangörslista!$U$5&lt;28,SUM(LARGE(BV56:CV56,{1;2;3;4;5;6})),
IF(Arrangörslista!$U$5&lt;32,SUM(LARGE(BV56:CZ56,{1;2;3;4;5;6;7})),
IF(Arrangörslista!$U$5&lt;36,SUM(LARGE(BV56:DD56,{1;2;3;4;5;6;7;8})),
IF(Arrangörslista!$U$5&lt;40,SUM(LARGE(BV56:DH56,{1;2;3;4;5;6;7;8;9})),
IF(Arrangörslista!$U$5&lt;44,SUM(LARGE(BV56:DL56,{1;2;3;4;5;6;7;8;9;10})),
IF(Arrangörslista!$U$5&lt;48,SUM(LARGE(BV56:DP56,{1;2;3;4;5;6;7;8;9;10;11})),
IF(Arrangörslista!$U$5&lt;52,SUM(LARGE(BV56:DT56,{1;2;3;4;5;6;7;8;9;10;11;12})),
IF(Arrangörslista!$U$5&lt;56,SUM(LARGE(BV56:DX56,{1;2;3;4;5;6;7;8;9;10;11;12;13})),
IF(Arrangörslista!$U$5&lt;60,SUM(LARGE(BV56:EB56,{1;2;3;4;5;6;7;8;9;10;11;12;13;14})),
IF(Arrangörslista!$U$5=60,SUM(LARGE(BV56:EC56,{1;2;3;4;5;6;7;8;9;10;11;12;13;14;15})),0))))))))))))))))))</f>
        <v>0</v>
      </c>
      <c r="EG56" s="67">
        <f t="shared" si="187"/>
        <v>0</v>
      </c>
      <c r="EH56" s="61"/>
      <c r="EI56" s="61"/>
      <c r="EK56" s="62">
        <f t="shared" si="188"/>
        <v>61</v>
      </c>
      <c r="EL56" s="62">
        <f t="shared" si="189"/>
        <v>61</v>
      </c>
      <c r="EM56" s="62">
        <f t="shared" si="190"/>
        <v>61</v>
      </c>
      <c r="EN56" s="62">
        <f t="shared" si="191"/>
        <v>61</v>
      </c>
      <c r="EO56" s="62">
        <f t="shared" si="192"/>
        <v>61</v>
      </c>
      <c r="EP56" s="62">
        <f t="shared" si="193"/>
        <v>61</v>
      </c>
      <c r="EQ56" s="62">
        <f t="shared" si="194"/>
        <v>61</v>
      </c>
      <c r="ER56" s="62">
        <f t="shared" si="195"/>
        <v>61</v>
      </c>
      <c r="ES56" s="62">
        <f t="shared" si="196"/>
        <v>61</v>
      </c>
      <c r="ET56" s="62">
        <f t="shared" si="197"/>
        <v>61</v>
      </c>
      <c r="EU56" s="62">
        <f t="shared" si="198"/>
        <v>61</v>
      </c>
      <c r="EV56" s="62">
        <f t="shared" si="199"/>
        <v>61</v>
      </c>
      <c r="EW56" s="62">
        <f t="shared" si="200"/>
        <v>61</v>
      </c>
      <c r="EX56" s="62">
        <f t="shared" si="201"/>
        <v>61</v>
      </c>
      <c r="EY56" s="62">
        <f t="shared" si="202"/>
        <v>61</v>
      </c>
      <c r="EZ56" s="62">
        <f t="shared" si="203"/>
        <v>61</v>
      </c>
      <c r="FA56" s="62">
        <f t="shared" si="204"/>
        <v>61</v>
      </c>
      <c r="FB56" s="62">
        <f t="shared" si="205"/>
        <v>61</v>
      </c>
      <c r="FC56" s="62">
        <f t="shared" si="206"/>
        <v>61</v>
      </c>
      <c r="FD56" s="62">
        <f t="shared" si="207"/>
        <v>61</v>
      </c>
      <c r="FE56" s="62">
        <f t="shared" si="208"/>
        <v>61</v>
      </c>
      <c r="FF56" s="62">
        <f t="shared" si="209"/>
        <v>61</v>
      </c>
      <c r="FG56" s="62">
        <f t="shared" si="210"/>
        <v>61</v>
      </c>
      <c r="FH56" s="62">
        <f t="shared" si="211"/>
        <v>61</v>
      </c>
      <c r="FI56" s="62">
        <f t="shared" si="212"/>
        <v>61</v>
      </c>
      <c r="FJ56" s="62">
        <f t="shared" si="213"/>
        <v>61</v>
      </c>
      <c r="FK56" s="62">
        <f t="shared" si="214"/>
        <v>61</v>
      </c>
      <c r="FL56" s="62">
        <f t="shared" si="215"/>
        <v>61</v>
      </c>
      <c r="FM56" s="62">
        <f t="shared" si="216"/>
        <v>61</v>
      </c>
      <c r="FN56" s="62">
        <f t="shared" si="217"/>
        <v>61</v>
      </c>
      <c r="FO56" s="62">
        <f t="shared" si="218"/>
        <v>61</v>
      </c>
      <c r="FP56" s="62">
        <f t="shared" si="219"/>
        <v>61</v>
      </c>
      <c r="FQ56" s="62">
        <f t="shared" si="220"/>
        <v>61</v>
      </c>
      <c r="FR56" s="62">
        <f t="shared" si="221"/>
        <v>61</v>
      </c>
      <c r="FS56" s="62">
        <f t="shared" si="222"/>
        <v>61</v>
      </c>
      <c r="FT56" s="62">
        <f t="shared" si="223"/>
        <v>61</v>
      </c>
      <c r="FU56" s="62">
        <f t="shared" si="224"/>
        <v>61</v>
      </c>
      <c r="FV56" s="62">
        <f t="shared" si="225"/>
        <v>61</v>
      </c>
      <c r="FW56" s="62">
        <f t="shared" si="226"/>
        <v>61</v>
      </c>
      <c r="FX56" s="62">
        <f t="shared" si="227"/>
        <v>61</v>
      </c>
      <c r="FY56" s="62">
        <f t="shared" si="228"/>
        <v>61</v>
      </c>
      <c r="FZ56" s="62">
        <f t="shared" si="229"/>
        <v>61</v>
      </c>
      <c r="GA56" s="62">
        <f t="shared" si="230"/>
        <v>61</v>
      </c>
      <c r="GB56" s="62">
        <f t="shared" si="231"/>
        <v>61</v>
      </c>
      <c r="GC56" s="62">
        <f t="shared" si="232"/>
        <v>61</v>
      </c>
      <c r="GD56" s="62">
        <f t="shared" si="233"/>
        <v>61</v>
      </c>
      <c r="GE56" s="62">
        <f t="shared" si="234"/>
        <v>61</v>
      </c>
      <c r="GF56" s="62">
        <f t="shared" si="235"/>
        <v>61</v>
      </c>
      <c r="GG56" s="62">
        <f t="shared" si="236"/>
        <v>61</v>
      </c>
      <c r="GH56" s="62">
        <f t="shared" si="237"/>
        <v>61</v>
      </c>
      <c r="GI56" s="62">
        <f t="shared" si="238"/>
        <v>61</v>
      </c>
      <c r="GJ56" s="62">
        <f t="shared" si="239"/>
        <v>61</v>
      </c>
      <c r="GK56" s="62">
        <f t="shared" si="240"/>
        <v>61</v>
      </c>
      <c r="GL56" s="62">
        <f t="shared" si="241"/>
        <v>61</v>
      </c>
      <c r="GM56" s="62">
        <f t="shared" si="242"/>
        <v>61</v>
      </c>
      <c r="GN56" s="62">
        <f t="shared" si="243"/>
        <v>61</v>
      </c>
      <c r="GO56" s="62">
        <f t="shared" si="244"/>
        <v>61</v>
      </c>
      <c r="GP56" s="62">
        <f t="shared" si="245"/>
        <v>61</v>
      </c>
      <c r="GQ56" s="62">
        <f t="shared" si="246"/>
        <v>61</v>
      </c>
      <c r="GR56" s="62">
        <f t="shared" si="247"/>
        <v>61</v>
      </c>
      <c r="GT56" s="62">
        <f>IF(Deltagarlista!$K$3=2,
IF(GW56="1",
      IF(Arrangörslista!$U$5=1,J119,
IF(Arrangörslista!$U$5=2,K119,
IF(Arrangörslista!$U$5=3,L119,
IF(Arrangörslista!$U$5=4,M119,
IF(Arrangörslista!$U$5=5,N119,
IF(Arrangörslista!$U$5=6,O119,
IF(Arrangörslista!$U$5=7,P119,
IF(Arrangörslista!$U$5=8,Q119,
IF(Arrangörslista!$U$5=9,R119,
IF(Arrangörslista!$U$5=10,S119,
IF(Arrangörslista!$U$5=11,T119,
IF(Arrangörslista!$U$5=12,U119,
IF(Arrangörslista!$U$5=13,V119,
IF(Arrangörslista!$U$5=14,W119,
IF(Arrangörslista!$U$5=15,X119,
IF(Arrangörslista!$U$5=16,Y119,IF(Arrangörslista!$U$5=17,Z119,IF(Arrangörslista!$U$5=18,AA119,IF(Arrangörslista!$U$5=19,AB119,IF(Arrangörslista!$U$5=20,AC119,IF(Arrangörslista!$U$5=21,AD119,IF(Arrangörslista!$U$5=22,AE119,IF(Arrangörslista!$U$5=23,AF119, IF(Arrangörslista!$U$5=24,AG119, IF(Arrangörslista!$U$5=25,AH119, IF(Arrangörslista!$U$5=26,AI119, IF(Arrangörslista!$U$5=27,AJ119, IF(Arrangörslista!$U$5=28,AK119, IF(Arrangörslista!$U$5=29,AL119, IF(Arrangörslista!$U$5=30,AM119, IF(Arrangörslista!$U$5=31,AN119, IF(Arrangörslista!$U$5=32,AO119, IF(Arrangörslista!$U$5=33,AP119, IF(Arrangörslista!$U$5=34,AQ119, IF(Arrangörslista!$U$5=35,AR119, IF(Arrangörslista!$U$5=36,AS119, IF(Arrangörslista!$U$5=37,AT119, IF(Arrangörslista!$U$5=38,AU119, IF(Arrangörslista!$U$5=39,AV119, IF(Arrangörslista!$U$5=40,AW119, IF(Arrangörslista!$U$5=41,AX119, IF(Arrangörslista!$U$5=42,AY119, IF(Arrangörslista!$U$5=43,AZ119, IF(Arrangörslista!$U$5=44,BA119, IF(Arrangörslista!$U$5=45,BB119, IF(Arrangörslista!$U$5=46,BC119, IF(Arrangörslista!$U$5=47,BD119, IF(Arrangörslista!$U$5=48,BE119, IF(Arrangörslista!$U$5=49,BF119, IF(Arrangörslista!$U$5=50,BG119, IF(Arrangörslista!$U$5=51,BH119, IF(Arrangörslista!$U$5=52,BI119, IF(Arrangörslista!$U$5=53,BJ119, IF(Arrangörslista!$U$5=54,BK119, IF(Arrangörslista!$U$5=55,BL119, IF(Arrangörslista!$U$5=56,BM119, IF(Arrangörslista!$U$5=57,BN119, IF(Arrangörslista!$U$5=58,BO119, IF(Arrangörslista!$U$5=59,BP119, IF(Arrangörslista!$U$5=60,BQ119,0))))))))))))))))))))))))))))))))))))))))))))))))))))))))))))),IF(Deltagarlista!$K$3=4, IF(Arrangörslista!$U$5=1,J119,
IF(Arrangörslista!$U$5=2,J119,
IF(Arrangörslista!$U$5=3,K119,
IF(Arrangörslista!$U$5=4,K119,
IF(Arrangörslista!$U$5=5,L119,
IF(Arrangörslista!$U$5=6,L119,
IF(Arrangörslista!$U$5=7,M119,
IF(Arrangörslista!$U$5=8,M119,
IF(Arrangörslista!$U$5=9,N119,
IF(Arrangörslista!$U$5=10,N119,
IF(Arrangörslista!$U$5=11,O119,
IF(Arrangörslista!$U$5=12,O119,
IF(Arrangörslista!$U$5=13,P119,
IF(Arrangörslista!$U$5=14,P119,
IF(Arrangörslista!$U$5=15,Q119,
IF(Arrangörslista!$U$5=16,Q119,
IF(Arrangörslista!$U$5=17,R119,
IF(Arrangörslista!$U$5=18,R119,
IF(Arrangörslista!$U$5=19,S119,
IF(Arrangörslista!$U$5=20,S119,
IF(Arrangörslista!$U$5=21,T119,
IF(Arrangörslista!$U$5=22,T119,IF(Arrangörslista!$U$5=23,U119, IF(Arrangörslista!$U$5=24,U119, IF(Arrangörslista!$U$5=25,V119, IF(Arrangörslista!$U$5=26,V119, IF(Arrangörslista!$U$5=27,W119, IF(Arrangörslista!$U$5=28,W119, IF(Arrangörslista!$U$5=29,X119, IF(Arrangörslista!$U$5=30,X119, IF(Arrangörslista!$U$5=31,X119, IF(Arrangörslista!$U$5=32,Y119, IF(Arrangörslista!$U$5=33,AO119, IF(Arrangörslista!$U$5=34,Y119, IF(Arrangörslista!$U$5=35,Z119, IF(Arrangörslista!$U$5=36,AR119, IF(Arrangörslista!$U$5=37,Z119, IF(Arrangörslista!$U$5=38,AA119, IF(Arrangörslista!$U$5=39,AU119, IF(Arrangörslista!$U$5=40,AA119, IF(Arrangörslista!$U$5=41,AB119, IF(Arrangörslista!$U$5=42,AX119, IF(Arrangörslista!$U$5=43,AB119, IF(Arrangörslista!$U$5=44,AC119, IF(Arrangörslista!$U$5=45,BA119, IF(Arrangörslista!$U$5=46,AC119, IF(Arrangörslista!$U$5=47,AD119, IF(Arrangörslista!$U$5=48,BD119, IF(Arrangörslista!$U$5=49,AD119, IF(Arrangörslista!$U$5=50,AE119, IF(Arrangörslista!$U$5=51,BG119, IF(Arrangörslista!$U$5=52,AE119, IF(Arrangörslista!$U$5=53,AF119, IF(Arrangörslista!$U$5=54,BJ119, IF(Arrangörslista!$U$5=55,AF119, IF(Arrangörslista!$U$5=56,AG119, IF(Arrangörslista!$U$5=57,BM119, IF(Arrangörslista!$U$5=58,AG119, IF(Arrangörslista!$U$5=59,AH119, IF(Arrangörslista!$U$5=60,AH119,0)))))))))))))))))))))))))))))))))))))))))))))))))))))))))))),IF(Arrangörslista!$U$5=1,J119,
IF(Arrangörslista!$U$5=2,K119,
IF(Arrangörslista!$U$5=3,L119,
IF(Arrangörslista!$U$5=4,M119,
IF(Arrangörslista!$U$5=5,N119,
IF(Arrangörslista!$U$5=6,O119,
IF(Arrangörslista!$U$5=7,P119,
IF(Arrangörslista!$U$5=8,Q119,
IF(Arrangörslista!$U$5=9,R119,
IF(Arrangörslista!$U$5=10,S119,
IF(Arrangörslista!$U$5=11,T119,
IF(Arrangörslista!$U$5=12,U119,
IF(Arrangörslista!$U$5=13,V119,
IF(Arrangörslista!$U$5=14,W119,
IF(Arrangörslista!$U$5=15,X119,
IF(Arrangörslista!$U$5=16,Y119,IF(Arrangörslista!$U$5=17,Z119,IF(Arrangörslista!$U$5=18,AA119,IF(Arrangörslista!$U$5=19,AB119,IF(Arrangörslista!$U$5=20,AC119,IF(Arrangörslista!$U$5=21,AD119,IF(Arrangörslista!$U$5=22,AE119,IF(Arrangörslista!$U$5=23,AF119, IF(Arrangörslista!$U$5=24,AG119, IF(Arrangörslista!$U$5=25,AH119, IF(Arrangörslista!$U$5=26,AI119, IF(Arrangörslista!$U$5=27,AJ119, IF(Arrangörslista!$U$5=28,AK119, IF(Arrangörslista!$U$5=29,AL119, IF(Arrangörslista!$U$5=30,AM119, IF(Arrangörslista!$U$5=31,AN119, IF(Arrangörslista!$U$5=32,AO119, IF(Arrangörslista!$U$5=33,AP119, IF(Arrangörslista!$U$5=34,AQ119, IF(Arrangörslista!$U$5=35,AR119, IF(Arrangörslista!$U$5=36,AS119, IF(Arrangörslista!$U$5=37,AT119, IF(Arrangörslista!$U$5=38,AU119, IF(Arrangörslista!$U$5=39,AV119, IF(Arrangörslista!$U$5=40,AW119, IF(Arrangörslista!$U$5=41,AX119, IF(Arrangörslista!$U$5=42,AY119, IF(Arrangörslista!$U$5=43,AZ119, IF(Arrangörslista!$U$5=44,BA119, IF(Arrangörslista!$U$5=45,BB119, IF(Arrangörslista!$U$5=46,BC119, IF(Arrangörslista!$U$5=47,BD119, IF(Arrangörslista!$U$5=48,BE119, IF(Arrangörslista!$U$5=49,BF119, IF(Arrangörslista!$U$5=50,BG119, IF(Arrangörslista!$U$5=51,BH119, IF(Arrangörslista!$U$5=52,BI119, IF(Arrangörslista!$U$5=53,BJ119, IF(Arrangörslista!$U$5=54,BK119, IF(Arrangörslista!$U$5=55,BL119, IF(Arrangörslista!$U$5=56,BM119, IF(Arrangörslista!$U$5=57,BN119, IF(Arrangörslista!$U$5=58,BO119, IF(Arrangörslista!$U$5=59,BP119, IF(Arrangörslista!$U$5=60,BQ119,0))))))))))))))))))))))))))))))))))))))))))))))))))))))))))))
))</f>
        <v>0</v>
      </c>
      <c r="GV56" s="65" t="str">
        <f>IFERROR(IF(VLOOKUP(F56,Deltagarlista!$E$5:$I$64,5,FALSE)="Grön","Gr",IF(VLOOKUP(F56,Deltagarlista!$E$5:$I$64,5,FALSE)="Röd","R",IF(VLOOKUP(F56,Deltagarlista!$E$5:$I$64,5,FALSE)="Blå","B","Gu"))),"")</f>
        <v/>
      </c>
      <c r="GW56" s="62" t="str">
        <f t="shared" si="124"/>
        <v/>
      </c>
    </row>
    <row r="57" spans="2:205" ht="15.75" customHeight="1" x14ac:dyDescent="0.3">
      <c r="B57" s="23" t="str">
        <f>IF((COUNTIF(Deltagarlista!$H$5:$H$64,"GM"))&gt;53,54,"")</f>
        <v/>
      </c>
      <c r="C57" s="92" t="str">
        <f>IF(ISBLANK(Deltagarlista!C11),"",Deltagarlista!C11)</f>
        <v/>
      </c>
      <c r="D57" s="109" t="str">
        <f>CONCATENATE(IF(Deltagarlista!H11="GM","GM   ",""), IF(OR(Deltagarlista!$K$3=4,Deltagarlista!$K$3=2),Deltagarlista!I11,""))</f>
        <v/>
      </c>
      <c r="E57" s="8" t="str">
        <f>IF(ISBLANK(Deltagarlista!D11),"",Deltagarlista!D11)</f>
        <v/>
      </c>
      <c r="F57" s="8" t="str">
        <f>IF(ISBLANK(Deltagarlista!E11),"",Deltagarlista!E11)</f>
        <v/>
      </c>
      <c r="G57" s="95" t="str">
        <f>IF(ISBLANK(Deltagarlista!F11),"",Deltagarlista!F11)</f>
        <v/>
      </c>
      <c r="H57" s="72" t="str">
        <f>IF(ISBLANK(Deltagarlista!C11),"",BU57-EE57)</f>
        <v/>
      </c>
      <c r="I57" s="13" t="str">
        <f>IF(ISBLANK(Deltagarlista!C11),"",IF(AND(Deltagarlista!$K$3=2,Deltagarlista!$L$3&lt;37),SUM(SUM(BV57:EC57)-(ROUNDDOWN(Arrangörslista!$U$5/3,1))*($BW$3+1)),SUM(BV57:EC57)))</f>
        <v/>
      </c>
      <c r="J57" s="79" t="str">
        <f>IF(Deltagarlista!$K$3=4,IF(ISBLANK(Deltagarlista!$C11),"",IF(ISBLANK(Arrangörslista!C$8),"",IFERROR(VLOOKUP($F57,Arrangörslista!C$8:$AG$45,16,FALSE),IF(ISBLANK(Deltagarlista!$C11),"",IF(ISBLANK(Arrangörslista!C$8),"",IFERROR(VLOOKUP($F57,Arrangörslista!D$8:$AG$45,16,FALSE),"DNS")))))),IF(Deltagarlista!$K$3=2,
IF(ISBLANK(Deltagarlista!$C11),"",IF(ISBLANK(Arrangörslista!C$8),"",IF($GV57=J$64," DNS ",IFERROR(VLOOKUP($F57,Arrangörslista!C$8:$AG$45,16,FALSE),"DNS")))),IF(ISBLANK(Deltagarlista!$C11),"",IF(ISBLANK(Arrangörslista!C$8),"",IFERROR(VLOOKUP($F57,Arrangörslista!C$8:$AG$45,16,FALSE),"DNS")))))</f>
        <v/>
      </c>
      <c r="K57" s="5" t="str">
        <f>IF(Deltagarlista!$K$3=4,IF(ISBLANK(Deltagarlista!$C11),"",IF(ISBLANK(Arrangörslista!E$8),"",IFERROR(VLOOKUP($F57,Arrangörslista!E$8:$AG$45,16,FALSE),IF(ISBLANK(Deltagarlista!$C11),"",IF(ISBLANK(Arrangörslista!E$8),"",IFERROR(VLOOKUP($F57,Arrangörslista!F$8:$AG$45,16,FALSE),"DNS")))))),IF(Deltagarlista!$K$3=2,
IF(ISBLANK(Deltagarlista!$C11),"",IF(ISBLANK(Arrangörslista!D$8),"",IF($GV57=K$64," DNS ",IFERROR(VLOOKUP($F57,Arrangörslista!D$8:$AG$45,16,FALSE),"DNS")))),IF(ISBLANK(Deltagarlista!$C11),"",IF(ISBLANK(Arrangörslista!D$8),"",IFERROR(VLOOKUP($F57,Arrangörslista!D$8:$AG$45,16,FALSE),"DNS")))))</f>
        <v/>
      </c>
      <c r="L57" s="5" t="str">
        <f>IF(Deltagarlista!$K$3=4,IF(ISBLANK(Deltagarlista!$C11),"",IF(ISBLANK(Arrangörslista!G$8),"",IFERROR(VLOOKUP($F57,Arrangörslista!G$8:$AG$45,16,FALSE),IF(ISBLANK(Deltagarlista!$C11),"",IF(ISBLANK(Arrangörslista!G$8),"",IFERROR(VLOOKUP($F57,Arrangörslista!H$8:$AG$45,16,FALSE),"DNS")))))),IF(Deltagarlista!$K$3=2,
IF(ISBLANK(Deltagarlista!$C11),"",IF(ISBLANK(Arrangörslista!E$8),"",IF($GV57=L$64," DNS ",IFERROR(VLOOKUP($F57,Arrangörslista!E$8:$AG$45,16,FALSE),"DNS")))),IF(ISBLANK(Deltagarlista!$C11),"",IF(ISBLANK(Arrangörslista!E$8),"",IFERROR(VLOOKUP($F57,Arrangörslista!E$8:$AG$45,16,FALSE),"DNS")))))</f>
        <v/>
      </c>
      <c r="M57" s="5" t="str">
        <f>IF(Deltagarlista!$K$3=4,IF(ISBLANK(Deltagarlista!$C11),"",IF(ISBLANK(Arrangörslista!I$8),"",IFERROR(VLOOKUP($F57,Arrangörslista!I$8:$AG$45,16,FALSE),IF(ISBLANK(Deltagarlista!$C11),"",IF(ISBLANK(Arrangörslista!I$8),"",IFERROR(VLOOKUP($F57,Arrangörslista!J$8:$AG$45,16,FALSE),"DNS")))))),IF(Deltagarlista!$K$3=2,
IF(ISBLANK(Deltagarlista!$C11),"",IF(ISBLANK(Arrangörslista!F$8),"",IF($GV57=M$64," DNS ",IFERROR(VLOOKUP($F57,Arrangörslista!F$8:$AG$45,16,FALSE),"DNS")))),IF(ISBLANK(Deltagarlista!$C11),"",IF(ISBLANK(Arrangörslista!F$8),"",IFERROR(VLOOKUP($F57,Arrangörslista!F$8:$AG$45,16,FALSE),"DNS")))))</f>
        <v/>
      </c>
      <c r="N57" s="5" t="str">
        <f>IF(Deltagarlista!$K$3=4,IF(ISBLANK(Deltagarlista!$C11),"",IF(ISBLANK(Arrangörslista!K$8),"",IFERROR(VLOOKUP($F57,Arrangörslista!K$8:$AG$45,16,FALSE),IF(ISBLANK(Deltagarlista!$C11),"",IF(ISBLANK(Arrangörslista!K$8),"",IFERROR(VLOOKUP($F57,Arrangörslista!L$8:$AG$45,16,FALSE),"DNS")))))),IF(Deltagarlista!$K$3=2,
IF(ISBLANK(Deltagarlista!$C11),"",IF(ISBLANK(Arrangörslista!G$8),"",IF($GV57=N$64," DNS ",IFERROR(VLOOKUP($F57,Arrangörslista!G$8:$AG$45,16,FALSE),"DNS")))),IF(ISBLANK(Deltagarlista!$C11),"",IF(ISBLANK(Arrangörslista!G$8),"",IFERROR(VLOOKUP($F57,Arrangörslista!G$8:$AG$45,16,FALSE),"DNS")))))</f>
        <v/>
      </c>
      <c r="O57" s="5" t="str">
        <f>IF(Deltagarlista!$K$3=4,IF(ISBLANK(Deltagarlista!$C11),"",IF(ISBLANK(Arrangörslista!M$8),"",IFERROR(VLOOKUP($F57,Arrangörslista!M$8:$AG$45,16,FALSE),IF(ISBLANK(Deltagarlista!$C11),"",IF(ISBLANK(Arrangörslista!M$8),"",IFERROR(VLOOKUP($F57,Arrangörslista!N$8:$AG$45,16,FALSE),"DNS")))))),IF(Deltagarlista!$K$3=2,
IF(ISBLANK(Deltagarlista!$C11),"",IF(ISBLANK(Arrangörslista!H$8),"",IF($GV57=O$64," DNS ",IFERROR(VLOOKUP($F57,Arrangörslista!H$8:$AG$45,16,FALSE),"DNS")))),IF(ISBLANK(Deltagarlista!$C11),"",IF(ISBLANK(Arrangörslista!H$8),"",IFERROR(VLOOKUP($F57,Arrangörslista!H$8:$AG$45,16,FALSE),"DNS")))))</f>
        <v/>
      </c>
      <c r="P57" s="5" t="str">
        <f>IF(Deltagarlista!$K$3=4,IF(ISBLANK(Deltagarlista!$C11),"",IF(ISBLANK(Arrangörslista!O$8),"",IFERROR(VLOOKUP($F57,Arrangörslista!O$8:$AG$45,16,FALSE),IF(ISBLANK(Deltagarlista!$C11),"",IF(ISBLANK(Arrangörslista!O$8),"",IFERROR(VLOOKUP($F57,Arrangörslista!P$8:$AG$45,16,FALSE),"DNS")))))),IF(Deltagarlista!$K$3=2,
IF(ISBLANK(Deltagarlista!$C11),"",IF(ISBLANK(Arrangörslista!I$8),"",IF($GV57=P$64," DNS ",IFERROR(VLOOKUP($F57,Arrangörslista!I$8:$AG$45,16,FALSE),"DNS")))),IF(ISBLANK(Deltagarlista!$C11),"",IF(ISBLANK(Arrangörslista!I$8),"",IFERROR(VLOOKUP($F57,Arrangörslista!I$8:$AG$45,16,FALSE),"DNS")))))</f>
        <v/>
      </c>
      <c r="Q57" s="5" t="str">
        <f>IF(Deltagarlista!$K$3=4,IF(ISBLANK(Deltagarlista!$C11),"",IF(ISBLANK(Arrangörslista!Q$8),"",IFERROR(VLOOKUP($F57,Arrangörslista!Q$8:$AG$45,16,FALSE),IF(ISBLANK(Deltagarlista!$C11),"",IF(ISBLANK(Arrangörslista!Q$8),"",IFERROR(VLOOKUP($F57,Arrangörslista!C$53:$AG$90,16,FALSE),"DNS")))))),IF(Deltagarlista!$K$3=2,
IF(ISBLANK(Deltagarlista!$C11),"",IF(ISBLANK(Arrangörslista!J$8),"",IF($GV57=Q$64," DNS ",IFERROR(VLOOKUP($F57,Arrangörslista!J$8:$AG$45,16,FALSE),"DNS")))),IF(ISBLANK(Deltagarlista!$C11),"",IF(ISBLANK(Arrangörslista!J$8),"",IFERROR(VLOOKUP($F57,Arrangörslista!J$8:$AG$45,16,FALSE),"DNS")))))</f>
        <v/>
      </c>
      <c r="R57" s="5" t="str">
        <f>IF(Deltagarlista!$K$3=4,IF(ISBLANK(Deltagarlista!$C11),"",IF(ISBLANK(Arrangörslista!D$53),"",IFERROR(VLOOKUP($F57,Arrangörslista!D$53:$AG$90,16,FALSE),IF(ISBLANK(Deltagarlista!$C11),"",IF(ISBLANK(Arrangörslista!D$53),"",IFERROR(VLOOKUP($F57,Arrangörslista!E$53:$AG$90,16,FALSE),"DNS")))))),IF(Deltagarlista!$K$3=2,
IF(ISBLANK(Deltagarlista!$C11),"",IF(ISBLANK(Arrangörslista!K$8),"",IF($GV57=R$64," DNS ",IFERROR(VLOOKUP($F57,Arrangörslista!K$8:$AG$45,16,FALSE),"DNS")))),IF(ISBLANK(Deltagarlista!$C11),"",IF(ISBLANK(Arrangörslista!K$8),"",IFERROR(VLOOKUP($F57,Arrangörslista!K$8:$AG$45,16,FALSE),"DNS")))))</f>
        <v/>
      </c>
      <c r="S57" s="5" t="str">
        <f>IF(Deltagarlista!$K$3=4,IF(ISBLANK(Deltagarlista!$C11),"",IF(ISBLANK(Arrangörslista!F$53),"",IFERROR(VLOOKUP($F57,Arrangörslista!F$53:$AG$90,16,FALSE),IF(ISBLANK(Deltagarlista!$C11),"",IF(ISBLANK(Arrangörslista!F$53),"",IFERROR(VLOOKUP($F57,Arrangörslista!G$53:$AG$90,16,FALSE),"DNS")))))),IF(Deltagarlista!$K$3=2,
IF(ISBLANK(Deltagarlista!$C11),"",IF(ISBLANK(Arrangörslista!L$8),"",IF($GV57=S$64," DNS ",IFERROR(VLOOKUP($F57,Arrangörslista!L$8:$AG$45,16,FALSE),"DNS")))),IF(ISBLANK(Deltagarlista!$C11),"",IF(ISBLANK(Arrangörslista!L$8),"",IFERROR(VLOOKUP($F57,Arrangörslista!L$8:$AG$45,16,FALSE),"DNS")))))</f>
        <v/>
      </c>
      <c r="T57" s="5" t="str">
        <f>IF(Deltagarlista!$K$3=4,IF(ISBLANK(Deltagarlista!$C11),"",IF(ISBLANK(Arrangörslista!H$53),"",IFERROR(VLOOKUP($F57,Arrangörslista!H$53:$AG$90,16,FALSE),IF(ISBLANK(Deltagarlista!$C11),"",IF(ISBLANK(Arrangörslista!H$53),"",IFERROR(VLOOKUP($F57,Arrangörslista!I$53:$AG$90,16,FALSE),"DNS")))))),IF(Deltagarlista!$K$3=2,
IF(ISBLANK(Deltagarlista!$C11),"",IF(ISBLANK(Arrangörslista!M$8),"",IF($GV57=T$64," DNS ",IFERROR(VLOOKUP($F57,Arrangörslista!M$8:$AG$45,16,FALSE),"DNS")))),IF(ISBLANK(Deltagarlista!$C11),"",IF(ISBLANK(Arrangörslista!M$8),"",IFERROR(VLOOKUP($F57,Arrangörslista!M$8:$AG$45,16,FALSE),"DNS")))))</f>
        <v/>
      </c>
      <c r="U57" s="5" t="str">
        <f>IF(Deltagarlista!$K$3=4,IF(ISBLANK(Deltagarlista!$C11),"",IF(ISBLANK(Arrangörslista!J$53),"",IFERROR(VLOOKUP($F57,Arrangörslista!J$53:$AG$90,16,FALSE),IF(ISBLANK(Deltagarlista!$C11),"",IF(ISBLANK(Arrangörslista!J$53),"",IFERROR(VLOOKUP($F57,Arrangörslista!K$53:$AG$90,16,FALSE),"DNS")))))),IF(Deltagarlista!$K$3=2,
IF(ISBLANK(Deltagarlista!$C11),"",IF(ISBLANK(Arrangörslista!N$8),"",IF($GV57=U$64," DNS ",IFERROR(VLOOKUP($F57,Arrangörslista!N$8:$AG$45,16,FALSE),"DNS")))),IF(ISBLANK(Deltagarlista!$C11),"",IF(ISBLANK(Arrangörslista!N$8),"",IFERROR(VLOOKUP($F57,Arrangörslista!N$8:$AG$45,16,FALSE),"DNS")))))</f>
        <v/>
      </c>
      <c r="V57" s="5" t="str">
        <f>IF(Deltagarlista!$K$3=4,IF(ISBLANK(Deltagarlista!$C11),"",IF(ISBLANK(Arrangörslista!L$53),"",IFERROR(VLOOKUP($F57,Arrangörslista!L$53:$AG$90,16,FALSE),IF(ISBLANK(Deltagarlista!$C11),"",IF(ISBLANK(Arrangörslista!L$53),"",IFERROR(VLOOKUP($F57,Arrangörslista!M$53:$AG$90,16,FALSE),"DNS")))))),IF(Deltagarlista!$K$3=2,
IF(ISBLANK(Deltagarlista!$C11),"",IF(ISBLANK(Arrangörslista!O$8),"",IF($GV57=V$64," DNS ",IFERROR(VLOOKUP($F57,Arrangörslista!O$8:$AG$45,16,FALSE),"DNS")))),IF(ISBLANK(Deltagarlista!$C11),"",IF(ISBLANK(Arrangörslista!O$8),"",IFERROR(VLOOKUP($F57,Arrangörslista!O$8:$AG$45,16,FALSE),"DNS")))))</f>
        <v/>
      </c>
      <c r="W57" s="5" t="str">
        <f>IF(Deltagarlista!$K$3=4,IF(ISBLANK(Deltagarlista!$C11),"",IF(ISBLANK(Arrangörslista!N$53),"",IFERROR(VLOOKUP($F57,Arrangörslista!N$53:$AG$90,16,FALSE),IF(ISBLANK(Deltagarlista!$C11),"",IF(ISBLANK(Arrangörslista!N$53),"",IFERROR(VLOOKUP($F57,Arrangörslista!O$53:$AG$90,16,FALSE),"DNS")))))),IF(Deltagarlista!$K$3=2,
IF(ISBLANK(Deltagarlista!$C11),"",IF(ISBLANK(Arrangörslista!P$8),"",IF($GV57=W$64," DNS ",IFERROR(VLOOKUP($F57,Arrangörslista!P$8:$AG$45,16,FALSE),"DNS")))),IF(ISBLANK(Deltagarlista!$C11),"",IF(ISBLANK(Arrangörslista!P$8),"",IFERROR(VLOOKUP($F57,Arrangörslista!P$8:$AG$45,16,FALSE),"DNS")))))</f>
        <v/>
      </c>
      <c r="X57" s="5" t="str">
        <f>IF(Deltagarlista!$K$3=4,IF(ISBLANK(Deltagarlista!$C11),"",IF(ISBLANK(Arrangörslista!P$53),"",IFERROR(VLOOKUP($F57,Arrangörslista!P$53:$AG$90,16,FALSE),IF(ISBLANK(Deltagarlista!$C11),"",IF(ISBLANK(Arrangörslista!P$53),"",IFERROR(VLOOKUP($F57,Arrangörslista!Q$53:$AG$90,16,FALSE),"DNS")))))),IF(Deltagarlista!$K$3=2,
IF(ISBLANK(Deltagarlista!$C11),"",IF(ISBLANK(Arrangörslista!Q$8),"",IF($GV57=X$64," DNS ",IFERROR(VLOOKUP($F57,Arrangörslista!Q$8:$AG$45,16,FALSE),"DNS")))),IF(ISBLANK(Deltagarlista!$C11),"",IF(ISBLANK(Arrangörslista!Q$8),"",IFERROR(VLOOKUP($F57,Arrangörslista!Q$8:$AG$45,16,FALSE),"DNS")))))</f>
        <v/>
      </c>
      <c r="Y57" s="5" t="str">
        <f>IF(Deltagarlista!$K$3=4,IF(ISBLANK(Deltagarlista!$C11),"",IF(ISBLANK(Arrangörslista!C$98),"",IFERROR(VLOOKUP($F57,Arrangörslista!C$98:$AG$135,16,FALSE),IF(ISBLANK(Deltagarlista!$C11),"",IF(ISBLANK(Arrangörslista!C$98),"",IFERROR(VLOOKUP($F57,Arrangörslista!D$98:$AG$135,16,FALSE),"DNS")))))),IF(Deltagarlista!$K$3=2,
IF(ISBLANK(Deltagarlista!$C11),"",IF(ISBLANK(Arrangörslista!C$53),"",IF($GV57=Y$64," DNS ",IFERROR(VLOOKUP($F57,Arrangörslista!C$53:$AG$90,16,FALSE),"DNS")))),IF(ISBLANK(Deltagarlista!$C11),"",IF(ISBLANK(Arrangörslista!C$53),"",IFERROR(VLOOKUP($F57,Arrangörslista!C$53:$AG$90,16,FALSE),"DNS")))))</f>
        <v/>
      </c>
      <c r="Z57" s="5" t="str">
        <f>IF(Deltagarlista!$K$3=4,IF(ISBLANK(Deltagarlista!$C11),"",IF(ISBLANK(Arrangörslista!E$98),"",IFERROR(VLOOKUP($F57,Arrangörslista!E$98:$AG$135,16,FALSE),IF(ISBLANK(Deltagarlista!$C11),"",IF(ISBLANK(Arrangörslista!E$98),"",IFERROR(VLOOKUP($F57,Arrangörslista!F$98:$AG$135,16,FALSE),"DNS")))))),IF(Deltagarlista!$K$3=2,
IF(ISBLANK(Deltagarlista!$C11),"",IF(ISBLANK(Arrangörslista!D$53),"",IF($GV57=Z$64," DNS ",IFERROR(VLOOKUP($F57,Arrangörslista!D$53:$AG$90,16,FALSE),"DNS")))),IF(ISBLANK(Deltagarlista!$C11),"",IF(ISBLANK(Arrangörslista!D$53),"",IFERROR(VLOOKUP($F57,Arrangörslista!D$53:$AG$90,16,FALSE),"DNS")))))</f>
        <v/>
      </c>
      <c r="AA57" s="5" t="str">
        <f>IF(Deltagarlista!$K$3=4,IF(ISBLANK(Deltagarlista!$C11),"",IF(ISBLANK(Arrangörslista!G$98),"",IFERROR(VLOOKUP($F57,Arrangörslista!G$98:$AG$135,16,FALSE),IF(ISBLANK(Deltagarlista!$C11),"",IF(ISBLANK(Arrangörslista!G$98),"",IFERROR(VLOOKUP($F57,Arrangörslista!H$98:$AG$135,16,FALSE),"DNS")))))),IF(Deltagarlista!$K$3=2,
IF(ISBLANK(Deltagarlista!$C11),"",IF(ISBLANK(Arrangörslista!E$53),"",IF($GV57=AA$64," DNS ",IFERROR(VLOOKUP($F57,Arrangörslista!E$53:$AG$90,16,FALSE),"DNS")))),IF(ISBLANK(Deltagarlista!$C11),"",IF(ISBLANK(Arrangörslista!E$53),"",IFERROR(VLOOKUP($F57,Arrangörslista!E$53:$AG$90,16,FALSE),"DNS")))))</f>
        <v/>
      </c>
      <c r="AB57" s="5" t="str">
        <f>IF(Deltagarlista!$K$3=4,IF(ISBLANK(Deltagarlista!$C11),"",IF(ISBLANK(Arrangörslista!I$98),"",IFERROR(VLOOKUP($F57,Arrangörslista!I$98:$AG$135,16,FALSE),IF(ISBLANK(Deltagarlista!$C11),"",IF(ISBLANK(Arrangörslista!I$98),"",IFERROR(VLOOKUP($F57,Arrangörslista!J$98:$AG$135,16,FALSE),"DNS")))))),IF(Deltagarlista!$K$3=2,
IF(ISBLANK(Deltagarlista!$C11),"",IF(ISBLANK(Arrangörslista!F$53),"",IF($GV57=AB$64," DNS ",IFERROR(VLOOKUP($F57,Arrangörslista!F$53:$AG$90,16,FALSE),"DNS")))),IF(ISBLANK(Deltagarlista!$C11),"",IF(ISBLANK(Arrangörslista!F$53),"",IFERROR(VLOOKUP($F57,Arrangörslista!F$53:$AG$90,16,FALSE),"DNS")))))</f>
        <v/>
      </c>
      <c r="AC57" s="5" t="str">
        <f>IF(Deltagarlista!$K$3=4,IF(ISBLANK(Deltagarlista!$C11),"",IF(ISBLANK(Arrangörslista!K$98),"",IFERROR(VLOOKUP($F57,Arrangörslista!K$98:$AG$135,16,FALSE),IF(ISBLANK(Deltagarlista!$C11),"",IF(ISBLANK(Arrangörslista!K$98),"",IFERROR(VLOOKUP($F57,Arrangörslista!L$98:$AG$135,16,FALSE),"DNS")))))),IF(Deltagarlista!$K$3=2,
IF(ISBLANK(Deltagarlista!$C11),"",IF(ISBLANK(Arrangörslista!G$53),"",IF($GV57=AC$64," DNS ",IFERROR(VLOOKUP($F57,Arrangörslista!G$53:$AG$90,16,FALSE),"DNS")))),IF(ISBLANK(Deltagarlista!$C11),"",IF(ISBLANK(Arrangörslista!G$53),"",IFERROR(VLOOKUP($F57,Arrangörslista!G$53:$AG$90,16,FALSE),"DNS")))))</f>
        <v/>
      </c>
      <c r="AD57" s="5" t="str">
        <f>IF(Deltagarlista!$K$3=4,IF(ISBLANK(Deltagarlista!$C11),"",IF(ISBLANK(Arrangörslista!M$98),"",IFERROR(VLOOKUP($F57,Arrangörslista!M$98:$AG$135,16,FALSE),IF(ISBLANK(Deltagarlista!$C11),"",IF(ISBLANK(Arrangörslista!M$98),"",IFERROR(VLOOKUP($F57,Arrangörslista!N$98:$AG$135,16,FALSE),"DNS")))))),IF(Deltagarlista!$K$3=2,
IF(ISBLANK(Deltagarlista!$C11),"",IF(ISBLANK(Arrangörslista!H$53),"",IF($GV57=AD$64," DNS ",IFERROR(VLOOKUP($F57,Arrangörslista!H$53:$AG$90,16,FALSE),"DNS")))),IF(ISBLANK(Deltagarlista!$C11),"",IF(ISBLANK(Arrangörslista!H$53),"",IFERROR(VLOOKUP($F57,Arrangörslista!H$53:$AG$90,16,FALSE),"DNS")))))</f>
        <v/>
      </c>
      <c r="AE57" s="5" t="str">
        <f>IF(Deltagarlista!$K$3=4,IF(ISBLANK(Deltagarlista!$C11),"",IF(ISBLANK(Arrangörslista!O$98),"",IFERROR(VLOOKUP($F57,Arrangörslista!O$98:$AG$135,16,FALSE),IF(ISBLANK(Deltagarlista!$C11),"",IF(ISBLANK(Arrangörslista!O$98),"",IFERROR(VLOOKUP($F57,Arrangörslista!P$98:$AG$135,16,FALSE),"DNS")))))),IF(Deltagarlista!$K$3=2,
IF(ISBLANK(Deltagarlista!$C11),"",IF(ISBLANK(Arrangörslista!I$53),"",IF($GV57=AE$64," DNS ",IFERROR(VLOOKUP($F57,Arrangörslista!I$53:$AG$90,16,FALSE),"DNS")))),IF(ISBLANK(Deltagarlista!$C11),"",IF(ISBLANK(Arrangörslista!I$53),"",IFERROR(VLOOKUP($F57,Arrangörslista!I$53:$AG$90,16,FALSE),"DNS")))))</f>
        <v/>
      </c>
      <c r="AF57" s="5" t="str">
        <f>IF(Deltagarlista!$K$3=4,IF(ISBLANK(Deltagarlista!$C11),"",IF(ISBLANK(Arrangörslista!Q$98),"",IFERROR(VLOOKUP($F57,Arrangörslista!Q$98:$AG$135,16,FALSE),IF(ISBLANK(Deltagarlista!$C11),"",IF(ISBLANK(Arrangörslista!Q$98),"",IFERROR(VLOOKUP($F57,Arrangörslista!C$143:$AG$180,16,FALSE),"DNS")))))),IF(Deltagarlista!$K$3=2,
IF(ISBLANK(Deltagarlista!$C11),"",IF(ISBLANK(Arrangörslista!J$53),"",IF($GV57=AF$64," DNS ",IFERROR(VLOOKUP($F57,Arrangörslista!J$53:$AG$90,16,FALSE),"DNS")))),IF(ISBLANK(Deltagarlista!$C11),"",IF(ISBLANK(Arrangörslista!J$53),"",IFERROR(VLOOKUP($F57,Arrangörslista!J$53:$AG$90,16,FALSE),"DNS")))))</f>
        <v/>
      </c>
      <c r="AG57" s="5" t="str">
        <f>IF(Deltagarlista!$K$3=4,IF(ISBLANK(Deltagarlista!$C11),"",IF(ISBLANK(Arrangörslista!D$143),"",IFERROR(VLOOKUP($F57,Arrangörslista!D$143:$AG$180,16,FALSE),IF(ISBLANK(Deltagarlista!$C11),"",IF(ISBLANK(Arrangörslista!D$143),"",IFERROR(VLOOKUP($F57,Arrangörslista!E$143:$AG$180,16,FALSE),"DNS")))))),IF(Deltagarlista!$K$3=2,
IF(ISBLANK(Deltagarlista!$C11),"",IF(ISBLANK(Arrangörslista!K$53),"",IF($GV57=AG$64," DNS ",IFERROR(VLOOKUP($F57,Arrangörslista!K$53:$AG$90,16,FALSE),"DNS")))),IF(ISBLANK(Deltagarlista!$C11),"",IF(ISBLANK(Arrangörslista!K$53),"",IFERROR(VLOOKUP($F57,Arrangörslista!K$53:$AG$90,16,FALSE),"DNS")))))</f>
        <v/>
      </c>
      <c r="AH57" s="5" t="str">
        <f>IF(Deltagarlista!$K$3=4,IF(ISBLANK(Deltagarlista!$C11),"",IF(ISBLANK(Arrangörslista!F$143),"",IFERROR(VLOOKUP($F57,Arrangörslista!F$143:$AG$180,16,FALSE),IF(ISBLANK(Deltagarlista!$C11),"",IF(ISBLANK(Arrangörslista!F$143),"",IFERROR(VLOOKUP($F57,Arrangörslista!G$143:$AG$180,16,FALSE),"DNS")))))),IF(Deltagarlista!$K$3=2,
IF(ISBLANK(Deltagarlista!$C11),"",IF(ISBLANK(Arrangörslista!L$53),"",IF($GV57=AH$64," DNS ",IFERROR(VLOOKUP($F57,Arrangörslista!L$53:$AG$90,16,FALSE),"DNS")))),IF(ISBLANK(Deltagarlista!$C11),"",IF(ISBLANK(Arrangörslista!L$53),"",IFERROR(VLOOKUP($F57,Arrangörslista!L$53:$AG$90,16,FALSE),"DNS")))))</f>
        <v/>
      </c>
      <c r="AI57" s="5" t="str">
        <f>IF(Deltagarlista!$K$3=4,IF(ISBLANK(Deltagarlista!$C11),"",IF(ISBLANK(Arrangörslista!H$143),"",IFERROR(VLOOKUP($F57,Arrangörslista!H$143:$AG$180,16,FALSE),IF(ISBLANK(Deltagarlista!$C11),"",IF(ISBLANK(Arrangörslista!H$143),"",IFERROR(VLOOKUP($F57,Arrangörslista!I$143:$AG$180,16,FALSE),"DNS")))))),IF(Deltagarlista!$K$3=2,
IF(ISBLANK(Deltagarlista!$C11),"",IF(ISBLANK(Arrangörslista!M$53),"",IF($GV57=AI$64," DNS ",IFERROR(VLOOKUP($F57,Arrangörslista!M$53:$AG$90,16,FALSE),"DNS")))),IF(ISBLANK(Deltagarlista!$C11),"",IF(ISBLANK(Arrangörslista!M$53),"",IFERROR(VLOOKUP($F57,Arrangörslista!M$53:$AG$90,16,FALSE),"DNS")))))</f>
        <v/>
      </c>
      <c r="AJ57" s="5" t="str">
        <f>IF(Deltagarlista!$K$3=4,IF(ISBLANK(Deltagarlista!$C11),"",IF(ISBLANK(Arrangörslista!J$143),"",IFERROR(VLOOKUP($F57,Arrangörslista!J$143:$AG$180,16,FALSE),IF(ISBLANK(Deltagarlista!$C11),"",IF(ISBLANK(Arrangörslista!J$143),"",IFERROR(VLOOKUP($F57,Arrangörslista!K$143:$AG$180,16,FALSE),"DNS")))))),IF(Deltagarlista!$K$3=2,
IF(ISBLANK(Deltagarlista!$C11),"",IF(ISBLANK(Arrangörslista!N$53),"",IF($GV57=AJ$64," DNS ",IFERROR(VLOOKUP($F57,Arrangörslista!N$53:$AG$90,16,FALSE),"DNS")))),IF(ISBLANK(Deltagarlista!$C11),"",IF(ISBLANK(Arrangörslista!N$53),"",IFERROR(VLOOKUP($F57,Arrangörslista!N$53:$AG$90,16,FALSE),"DNS")))))</f>
        <v/>
      </c>
      <c r="AK57" s="5" t="str">
        <f>IF(Deltagarlista!$K$3=4,IF(ISBLANK(Deltagarlista!$C11),"",IF(ISBLANK(Arrangörslista!L$143),"",IFERROR(VLOOKUP($F57,Arrangörslista!L$143:$AG$180,16,FALSE),IF(ISBLANK(Deltagarlista!$C11),"",IF(ISBLANK(Arrangörslista!L$143),"",IFERROR(VLOOKUP($F57,Arrangörslista!M$143:$AG$180,16,FALSE),"DNS")))))),IF(Deltagarlista!$K$3=2,
IF(ISBLANK(Deltagarlista!$C11),"",IF(ISBLANK(Arrangörslista!O$53),"",IF($GV57=AK$64," DNS ",IFERROR(VLOOKUP($F57,Arrangörslista!O$53:$AG$90,16,FALSE),"DNS")))),IF(ISBLANK(Deltagarlista!$C11),"",IF(ISBLANK(Arrangörslista!O$53),"",IFERROR(VLOOKUP($F57,Arrangörslista!O$53:$AG$90,16,FALSE),"DNS")))))</f>
        <v/>
      </c>
      <c r="AL57" s="5" t="str">
        <f>IF(Deltagarlista!$K$3=4,IF(ISBLANK(Deltagarlista!$C11),"",IF(ISBLANK(Arrangörslista!N$143),"",IFERROR(VLOOKUP($F57,Arrangörslista!N$143:$AG$180,16,FALSE),IF(ISBLANK(Deltagarlista!$C11),"",IF(ISBLANK(Arrangörslista!N$143),"",IFERROR(VLOOKUP($F57,Arrangörslista!O$143:$AG$180,16,FALSE),"DNS")))))),IF(Deltagarlista!$K$3=2,
IF(ISBLANK(Deltagarlista!$C11),"",IF(ISBLANK(Arrangörslista!P$53),"",IF($GV57=AL$64," DNS ",IFERROR(VLOOKUP($F57,Arrangörslista!P$53:$AG$90,16,FALSE),"DNS")))),IF(ISBLANK(Deltagarlista!$C11),"",IF(ISBLANK(Arrangörslista!P$53),"",IFERROR(VLOOKUP($F57,Arrangörslista!P$53:$AG$90,16,FALSE),"DNS")))))</f>
        <v/>
      </c>
      <c r="AM57" s="5" t="str">
        <f>IF(Deltagarlista!$K$3=4,IF(ISBLANK(Deltagarlista!$C11),"",IF(ISBLANK(Arrangörslista!P$143),"",IFERROR(VLOOKUP($F57,Arrangörslista!P$143:$AG$180,16,FALSE),IF(ISBLANK(Deltagarlista!$C11),"",IF(ISBLANK(Arrangörslista!P$143),"",IFERROR(VLOOKUP($F57,Arrangörslista!Q$143:$AG$180,16,FALSE),"DNS")))))),IF(Deltagarlista!$K$3=2,
IF(ISBLANK(Deltagarlista!$C11),"",IF(ISBLANK(Arrangörslista!Q$53),"",IF($GV57=AM$64," DNS ",IFERROR(VLOOKUP($F57,Arrangörslista!Q$53:$AG$90,16,FALSE),"DNS")))),IF(ISBLANK(Deltagarlista!$C11),"",IF(ISBLANK(Arrangörslista!Q$53),"",IFERROR(VLOOKUP($F57,Arrangörslista!Q$53:$AG$90,16,FALSE),"DNS")))))</f>
        <v/>
      </c>
      <c r="AN57" s="5" t="str">
        <f>IF(Deltagarlista!$K$3=2,
IF(ISBLANK(Deltagarlista!$C11),"",IF(ISBLANK(Arrangörslista!C$98),"",IF($GV57=AN$64," DNS ",IFERROR(VLOOKUP($F57,Arrangörslista!C$98:$AG$135,16,FALSE), "DNS")))), IF(Deltagarlista!$K$3=1,IF(ISBLANK(Deltagarlista!$C11),"",IF(ISBLANK(Arrangörslista!C$98),"",IFERROR(VLOOKUP($F57,Arrangörslista!C$98:$AG$135,16,FALSE), "DNS"))),""))</f>
        <v/>
      </c>
      <c r="AO57" s="5" t="str">
        <f>IF(Deltagarlista!$K$3=2,
IF(ISBLANK(Deltagarlista!$C11),"",IF(ISBLANK(Arrangörslista!D$98),"",IF($GV57=AO$64," DNS ",IFERROR(VLOOKUP($F57,Arrangörslista!D$98:$AG$135,16,FALSE), "DNS")))), IF(Deltagarlista!$K$3=1,IF(ISBLANK(Deltagarlista!$C11),"",IF(ISBLANK(Arrangörslista!D$98),"",IFERROR(VLOOKUP($F57,Arrangörslista!D$98:$AG$135,16,FALSE), "DNS"))),""))</f>
        <v/>
      </c>
      <c r="AP57" s="5" t="str">
        <f>IF(Deltagarlista!$K$3=2,
IF(ISBLANK(Deltagarlista!$C11),"",IF(ISBLANK(Arrangörslista!E$98),"",IF($GV57=AP$64," DNS ",IFERROR(VLOOKUP($F57,Arrangörslista!E$98:$AG$135,16,FALSE), "DNS")))), IF(Deltagarlista!$K$3=1,IF(ISBLANK(Deltagarlista!$C11),"",IF(ISBLANK(Arrangörslista!E$98),"",IFERROR(VLOOKUP($F57,Arrangörslista!E$98:$AG$135,16,FALSE), "DNS"))),""))</f>
        <v/>
      </c>
      <c r="AQ57" s="5" t="str">
        <f>IF(Deltagarlista!$K$3=2,
IF(ISBLANK(Deltagarlista!$C11),"",IF(ISBLANK(Arrangörslista!F$98),"",IF($GV57=AQ$64," DNS ",IFERROR(VLOOKUP($F57,Arrangörslista!F$98:$AG$135,16,FALSE), "DNS")))), IF(Deltagarlista!$K$3=1,IF(ISBLANK(Deltagarlista!$C11),"",IF(ISBLANK(Arrangörslista!F$98),"",IFERROR(VLOOKUP($F57,Arrangörslista!F$98:$AG$135,16,FALSE), "DNS"))),""))</f>
        <v/>
      </c>
      <c r="AR57" s="5" t="str">
        <f>IF(Deltagarlista!$K$3=2,
IF(ISBLANK(Deltagarlista!$C11),"",IF(ISBLANK(Arrangörslista!G$98),"",IF($GV57=AR$64," DNS ",IFERROR(VLOOKUP($F57,Arrangörslista!G$98:$AG$135,16,FALSE), "DNS")))), IF(Deltagarlista!$K$3=1,IF(ISBLANK(Deltagarlista!$C11),"",IF(ISBLANK(Arrangörslista!G$98),"",IFERROR(VLOOKUP($F57,Arrangörslista!G$98:$AG$135,16,FALSE), "DNS"))),""))</f>
        <v/>
      </c>
      <c r="AS57" s="5" t="str">
        <f>IF(Deltagarlista!$K$3=2,
IF(ISBLANK(Deltagarlista!$C11),"",IF(ISBLANK(Arrangörslista!H$98),"",IF($GV57=AS$64," DNS ",IFERROR(VLOOKUP($F57,Arrangörslista!H$98:$AG$135,16,FALSE), "DNS")))), IF(Deltagarlista!$K$3=1,IF(ISBLANK(Deltagarlista!$C11),"",IF(ISBLANK(Arrangörslista!H$98),"",IFERROR(VLOOKUP($F57,Arrangörslista!H$98:$AG$135,16,FALSE), "DNS"))),""))</f>
        <v/>
      </c>
      <c r="AT57" s="5" t="str">
        <f>IF(Deltagarlista!$K$3=2,
IF(ISBLANK(Deltagarlista!$C11),"",IF(ISBLANK(Arrangörslista!I$98),"",IF($GV57=AT$64," DNS ",IFERROR(VLOOKUP($F57,Arrangörslista!I$98:$AG$135,16,FALSE), "DNS")))), IF(Deltagarlista!$K$3=1,IF(ISBLANK(Deltagarlista!$C11),"",IF(ISBLANK(Arrangörslista!I$98),"",IFERROR(VLOOKUP($F57,Arrangörslista!I$98:$AG$135,16,FALSE), "DNS"))),""))</f>
        <v/>
      </c>
      <c r="AU57" s="5" t="str">
        <f>IF(Deltagarlista!$K$3=2,
IF(ISBLANK(Deltagarlista!$C11),"",IF(ISBLANK(Arrangörslista!J$98),"",IF($GV57=AU$64," DNS ",IFERROR(VLOOKUP($F57,Arrangörslista!J$98:$AG$135,16,FALSE), "DNS")))), IF(Deltagarlista!$K$3=1,IF(ISBLANK(Deltagarlista!$C11),"",IF(ISBLANK(Arrangörslista!J$98),"",IFERROR(VLOOKUP($F57,Arrangörslista!J$98:$AG$135,16,FALSE), "DNS"))),""))</f>
        <v/>
      </c>
      <c r="AV57" s="5" t="str">
        <f>IF(Deltagarlista!$K$3=2,
IF(ISBLANK(Deltagarlista!$C11),"",IF(ISBLANK(Arrangörslista!K$98),"",IF($GV57=AV$64," DNS ",IFERROR(VLOOKUP($F57,Arrangörslista!K$98:$AG$135,16,FALSE), "DNS")))), IF(Deltagarlista!$K$3=1,IF(ISBLANK(Deltagarlista!$C11),"",IF(ISBLANK(Arrangörslista!K$98),"",IFERROR(VLOOKUP($F57,Arrangörslista!K$98:$AG$135,16,FALSE), "DNS"))),""))</f>
        <v/>
      </c>
      <c r="AW57" s="5" t="str">
        <f>IF(Deltagarlista!$K$3=2,
IF(ISBLANK(Deltagarlista!$C11),"",IF(ISBLANK(Arrangörslista!L$98),"",IF($GV57=AW$64," DNS ",IFERROR(VLOOKUP($F57,Arrangörslista!L$98:$AG$135,16,FALSE), "DNS")))), IF(Deltagarlista!$K$3=1,IF(ISBLANK(Deltagarlista!$C11),"",IF(ISBLANK(Arrangörslista!L$98),"",IFERROR(VLOOKUP($F57,Arrangörslista!L$98:$AG$135,16,FALSE), "DNS"))),""))</f>
        <v/>
      </c>
      <c r="AX57" s="5" t="str">
        <f>IF(Deltagarlista!$K$3=2,
IF(ISBLANK(Deltagarlista!$C11),"",IF(ISBLANK(Arrangörslista!M$98),"",IF($GV57=AX$64," DNS ",IFERROR(VLOOKUP($F57,Arrangörslista!M$98:$AG$135,16,FALSE), "DNS")))), IF(Deltagarlista!$K$3=1,IF(ISBLANK(Deltagarlista!$C11),"",IF(ISBLANK(Arrangörslista!M$98),"",IFERROR(VLOOKUP($F57,Arrangörslista!M$98:$AG$135,16,FALSE), "DNS"))),""))</f>
        <v/>
      </c>
      <c r="AY57" s="5" t="str">
        <f>IF(Deltagarlista!$K$3=2,
IF(ISBLANK(Deltagarlista!$C11),"",IF(ISBLANK(Arrangörslista!N$98),"",IF($GV57=AY$64," DNS ",IFERROR(VLOOKUP($F57,Arrangörslista!N$98:$AG$135,16,FALSE), "DNS")))), IF(Deltagarlista!$K$3=1,IF(ISBLANK(Deltagarlista!$C11),"",IF(ISBLANK(Arrangörslista!N$98),"",IFERROR(VLOOKUP($F57,Arrangörslista!N$98:$AG$135,16,FALSE), "DNS"))),""))</f>
        <v/>
      </c>
      <c r="AZ57" s="5" t="str">
        <f>IF(Deltagarlista!$K$3=2,
IF(ISBLANK(Deltagarlista!$C11),"",IF(ISBLANK(Arrangörslista!O$98),"",IF($GV57=AZ$64," DNS ",IFERROR(VLOOKUP($F57,Arrangörslista!O$98:$AG$135,16,FALSE), "DNS")))), IF(Deltagarlista!$K$3=1,IF(ISBLANK(Deltagarlista!$C11),"",IF(ISBLANK(Arrangörslista!O$98),"",IFERROR(VLOOKUP($F57,Arrangörslista!O$98:$AG$135,16,FALSE), "DNS"))),""))</f>
        <v/>
      </c>
      <c r="BA57" s="5" t="str">
        <f>IF(Deltagarlista!$K$3=2,
IF(ISBLANK(Deltagarlista!$C11),"",IF(ISBLANK(Arrangörslista!P$98),"",IF($GV57=BA$64," DNS ",IFERROR(VLOOKUP($F57,Arrangörslista!P$98:$AG$135,16,FALSE), "DNS")))), IF(Deltagarlista!$K$3=1,IF(ISBLANK(Deltagarlista!$C11),"",IF(ISBLANK(Arrangörslista!P$98),"",IFERROR(VLOOKUP($F57,Arrangörslista!P$98:$AG$135,16,FALSE), "DNS"))),""))</f>
        <v/>
      </c>
      <c r="BB57" s="5" t="str">
        <f>IF(Deltagarlista!$K$3=2,
IF(ISBLANK(Deltagarlista!$C11),"",IF(ISBLANK(Arrangörslista!Q$98),"",IF($GV57=BB$64," DNS ",IFERROR(VLOOKUP($F57,Arrangörslista!Q$98:$AG$135,16,FALSE), "DNS")))), IF(Deltagarlista!$K$3=1,IF(ISBLANK(Deltagarlista!$C11),"",IF(ISBLANK(Arrangörslista!Q$98),"",IFERROR(VLOOKUP($F57,Arrangörslista!Q$98:$AG$135,16,FALSE), "DNS"))),""))</f>
        <v/>
      </c>
      <c r="BC57" s="5" t="str">
        <f>IF(Deltagarlista!$K$3=2,
IF(ISBLANK(Deltagarlista!$C11),"",IF(ISBLANK(Arrangörslista!C$143),"",IF($GV57=BC$64," DNS ",IFERROR(VLOOKUP($F57,Arrangörslista!C$143:$AG$180,16,FALSE), "DNS")))), IF(Deltagarlista!$K$3=1,IF(ISBLANK(Deltagarlista!$C11),"",IF(ISBLANK(Arrangörslista!C$143),"",IFERROR(VLOOKUP($F57,Arrangörslista!C$143:$AG$180,16,FALSE), "DNS"))),""))</f>
        <v/>
      </c>
      <c r="BD57" s="5" t="str">
        <f>IF(Deltagarlista!$K$3=2,
IF(ISBLANK(Deltagarlista!$C11),"",IF(ISBLANK(Arrangörslista!D$143),"",IF($GV57=BD$64," DNS ",IFERROR(VLOOKUP($F57,Arrangörslista!D$143:$AG$180,16,FALSE), "DNS")))), IF(Deltagarlista!$K$3=1,IF(ISBLANK(Deltagarlista!$C11),"",IF(ISBLANK(Arrangörslista!D$143),"",IFERROR(VLOOKUP($F57,Arrangörslista!D$143:$AG$180,16,FALSE), "DNS"))),""))</f>
        <v/>
      </c>
      <c r="BE57" s="5" t="str">
        <f>IF(Deltagarlista!$K$3=2,
IF(ISBLANK(Deltagarlista!$C11),"",IF(ISBLANK(Arrangörslista!E$143),"",IF($GV57=BE$64," DNS ",IFERROR(VLOOKUP($F57,Arrangörslista!E$143:$AG$180,16,FALSE), "DNS")))), IF(Deltagarlista!$K$3=1,IF(ISBLANK(Deltagarlista!$C11),"",IF(ISBLANK(Arrangörslista!E$143),"",IFERROR(VLOOKUP($F57,Arrangörslista!E$143:$AG$180,16,FALSE), "DNS"))),""))</f>
        <v/>
      </c>
      <c r="BF57" s="5" t="str">
        <f>IF(Deltagarlista!$K$3=2,
IF(ISBLANK(Deltagarlista!$C11),"",IF(ISBLANK(Arrangörslista!F$143),"",IF($GV57=BF$64," DNS ",IFERROR(VLOOKUP($F57,Arrangörslista!F$143:$AG$180,16,FALSE), "DNS")))), IF(Deltagarlista!$K$3=1,IF(ISBLANK(Deltagarlista!$C11),"",IF(ISBLANK(Arrangörslista!F$143),"",IFERROR(VLOOKUP($F57,Arrangörslista!F$143:$AG$180,16,FALSE), "DNS"))),""))</f>
        <v/>
      </c>
      <c r="BG57" s="5" t="str">
        <f>IF(Deltagarlista!$K$3=2,
IF(ISBLANK(Deltagarlista!$C11),"",IF(ISBLANK(Arrangörslista!G$143),"",IF($GV57=BG$64," DNS ",IFERROR(VLOOKUP($F57,Arrangörslista!G$143:$AG$180,16,FALSE), "DNS")))), IF(Deltagarlista!$K$3=1,IF(ISBLANK(Deltagarlista!$C11),"",IF(ISBLANK(Arrangörslista!G$143),"",IFERROR(VLOOKUP($F57,Arrangörslista!G$143:$AG$180,16,FALSE), "DNS"))),""))</f>
        <v/>
      </c>
      <c r="BH57" s="5" t="str">
        <f>IF(Deltagarlista!$K$3=2,
IF(ISBLANK(Deltagarlista!$C11),"",IF(ISBLANK(Arrangörslista!H$143),"",IF($GV57=BH$64," DNS ",IFERROR(VLOOKUP($F57,Arrangörslista!H$143:$AG$180,16,FALSE), "DNS")))), IF(Deltagarlista!$K$3=1,IF(ISBLANK(Deltagarlista!$C11),"",IF(ISBLANK(Arrangörslista!H$143),"",IFERROR(VLOOKUP($F57,Arrangörslista!H$143:$AG$180,16,FALSE), "DNS"))),""))</f>
        <v/>
      </c>
      <c r="BI57" s="5" t="str">
        <f>IF(Deltagarlista!$K$3=2,
IF(ISBLANK(Deltagarlista!$C11),"",IF(ISBLANK(Arrangörslista!I$143),"",IF($GV57=BI$64," DNS ",IFERROR(VLOOKUP($F57,Arrangörslista!I$143:$AG$180,16,FALSE), "DNS")))), IF(Deltagarlista!$K$3=1,IF(ISBLANK(Deltagarlista!$C11),"",IF(ISBLANK(Arrangörslista!I$143),"",IFERROR(VLOOKUP($F57,Arrangörslista!I$143:$AG$180,16,FALSE), "DNS"))),""))</f>
        <v/>
      </c>
      <c r="BJ57" s="5" t="str">
        <f>IF(Deltagarlista!$K$3=2,
IF(ISBLANK(Deltagarlista!$C11),"",IF(ISBLANK(Arrangörslista!J$143),"",IF($GV57=BJ$64," DNS ",IFERROR(VLOOKUP($F57,Arrangörslista!J$143:$AG$180,16,FALSE), "DNS")))), IF(Deltagarlista!$K$3=1,IF(ISBLANK(Deltagarlista!$C11),"",IF(ISBLANK(Arrangörslista!J$143),"",IFERROR(VLOOKUP($F57,Arrangörslista!J$143:$AG$180,16,FALSE), "DNS"))),""))</f>
        <v/>
      </c>
      <c r="BK57" s="5" t="str">
        <f>IF(Deltagarlista!$K$3=2,
IF(ISBLANK(Deltagarlista!$C11),"",IF(ISBLANK(Arrangörslista!K$143),"",IF($GV57=BK$64," DNS ",IFERROR(VLOOKUP($F57,Arrangörslista!K$143:$AG$180,16,FALSE), "DNS")))), IF(Deltagarlista!$K$3=1,IF(ISBLANK(Deltagarlista!$C11),"",IF(ISBLANK(Arrangörslista!K$143),"",IFERROR(VLOOKUP($F57,Arrangörslista!K$143:$AG$180,16,FALSE), "DNS"))),""))</f>
        <v/>
      </c>
      <c r="BL57" s="5" t="str">
        <f>IF(Deltagarlista!$K$3=2,
IF(ISBLANK(Deltagarlista!$C11),"",IF(ISBLANK(Arrangörslista!L$143),"",IF($GV57=BL$64," DNS ",IFERROR(VLOOKUP($F57,Arrangörslista!L$143:$AG$180,16,FALSE), "DNS")))), IF(Deltagarlista!$K$3=1,IF(ISBLANK(Deltagarlista!$C11),"",IF(ISBLANK(Arrangörslista!L$143),"",IFERROR(VLOOKUP($F57,Arrangörslista!L$143:$AG$180,16,FALSE), "DNS"))),""))</f>
        <v/>
      </c>
      <c r="BM57" s="5" t="str">
        <f>IF(Deltagarlista!$K$3=2,
IF(ISBLANK(Deltagarlista!$C11),"",IF(ISBLANK(Arrangörslista!M$143),"",IF($GV57=BM$64," DNS ",IFERROR(VLOOKUP($F57,Arrangörslista!M$143:$AG$180,16,FALSE), "DNS")))), IF(Deltagarlista!$K$3=1,IF(ISBLANK(Deltagarlista!$C11),"",IF(ISBLANK(Arrangörslista!M$143),"",IFERROR(VLOOKUP($F57,Arrangörslista!M$143:$AG$180,16,FALSE), "DNS"))),""))</f>
        <v/>
      </c>
      <c r="BN57" s="5" t="str">
        <f>IF(Deltagarlista!$K$3=2,
IF(ISBLANK(Deltagarlista!$C11),"",IF(ISBLANK(Arrangörslista!N$143),"",IF($GV57=BN$64," DNS ",IFERROR(VLOOKUP($F57,Arrangörslista!N$143:$AG$180,16,FALSE), "DNS")))), IF(Deltagarlista!$K$3=1,IF(ISBLANK(Deltagarlista!$C11),"",IF(ISBLANK(Arrangörslista!N$143),"",IFERROR(VLOOKUP($F57,Arrangörslista!N$143:$AG$180,16,FALSE), "DNS"))),""))</f>
        <v/>
      </c>
      <c r="BO57" s="5" t="str">
        <f>IF(Deltagarlista!$K$3=2,
IF(ISBLANK(Deltagarlista!$C11),"",IF(ISBLANK(Arrangörslista!O$143),"",IF($GV57=BO$64," DNS ",IFERROR(VLOOKUP($F57,Arrangörslista!O$143:$AG$180,16,FALSE), "DNS")))), IF(Deltagarlista!$K$3=1,IF(ISBLANK(Deltagarlista!$C11),"",IF(ISBLANK(Arrangörslista!O$143),"",IFERROR(VLOOKUP($F57,Arrangörslista!O$143:$AG$180,16,FALSE), "DNS"))),""))</f>
        <v/>
      </c>
      <c r="BP57" s="5" t="str">
        <f>IF(Deltagarlista!$K$3=2,
IF(ISBLANK(Deltagarlista!$C11),"",IF(ISBLANK(Arrangörslista!P$143),"",IF($GV57=BP$64," DNS ",IFERROR(VLOOKUP($F57,Arrangörslista!P$143:$AG$180,16,FALSE), "DNS")))), IF(Deltagarlista!$K$3=1,IF(ISBLANK(Deltagarlista!$C11),"",IF(ISBLANK(Arrangörslista!P$143),"",IFERROR(VLOOKUP($F57,Arrangörslista!P$143:$AG$180,16,FALSE), "DNS"))),""))</f>
        <v/>
      </c>
      <c r="BQ57" s="80" t="str">
        <f>IF(Deltagarlista!$K$3=2,
IF(ISBLANK(Deltagarlista!$C11),"",IF(ISBLANK(Arrangörslista!Q$143),"",IF($GV57=BQ$64," DNS ",IFERROR(VLOOKUP($F57,Arrangörslista!Q$143:$AG$180,16,FALSE), "DNS")))), IF(Deltagarlista!$K$3=1,IF(ISBLANK(Deltagarlista!$C11),"",IF(ISBLANK(Arrangörslista!Q$143),"",IFERROR(VLOOKUP($F57,Arrangörslista!Q$143:$AG$180,16,FALSE), "DNS"))),""))</f>
        <v/>
      </c>
      <c r="BR57" s="51"/>
      <c r="BS57" s="50" t="str">
        <f t="shared" si="125"/>
        <v>2</v>
      </c>
      <c r="BT57" s="51"/>
      <c r="BU57" s="71">
        <f t="shared" si="126"/>
        <v>0</v>
      </c>
      <c r="BV57" s="61">
        <f t="shared" si="127"/>
        <v>0</v>
      </c>
      <c r="BW57" s="61">
        <f t="shared" si="128"/>
        <v>0</v>
      </c>
      <c r="BX57" s="61">
        <f t="shared" si="129"/>
        <v>0</v>
      </c>
      <c r="BY57" s="61">
        <f t="shared" si="130"/>
        <v>0</v>
      </c>
      <c r="BZ57" s="61">
        <f t="shared" si="131"/>
        <v>0</v>
      </c>
      <c r="CA57" s="61">
        <f t="shared" si="132"/>
        <v>0</v>
      </c>
      <c r="CB57" s="61">
        <f t="shared" si="133"/>
        <v>0</v>
      </c>
      <c r="CC57" s="61">
        <f t="shared" si="134"/>
        <v>0</v>
      </c>
      <c r="CD57" s="61">
        <f t="shared" si="135"/>
        <v>0</v>
      </c>
      <c r="CE57" s="61">
        <f t="shared" si="136"/>
        <v>0</v>
      </c>
      <c r="CF57" s="61">
        <f t="shared" si="137"/>
        <v>0</v>
      </c>
      <c r="CG57" s="61">
        <f t="shared" si="138"/>
        <v>0</v>
      </c>
      <c r="CH57" s="61">
        <f t="shared" si="139"/>
        <v>0</v>
      </c>
      <c r="CI57" s="61">
        <f t="shared" si="140"/>
        <v>0</v>
      </c>
      <c r="CJ57" s="61">
        <f t="shared" si="141"/>
        <v>0</v>
      </c>
      <c r="CK57" s="61">
        <f t="shared" si="142"/>
        <v>0</v>
      </c>
      <c r="CL57" s="61">
        <f t="shared" si="143"/>
        <v>0</v>
      </c>
      <c r="CM57" s="61">
        <f t="shared" si="144"/>
        <v>0</v>
      </c>
      <c r="CN57" s="61">
        <f t="shared" si="145"/>
        <v>0</v>
      </c>
      <c r="CO57" s="61">
        <f t="shared" si="146"/>
        <v>0</v>
      </c>
      <c r="CP57" s="61">
        <f t="shared" si="147"/>
        <v>0</v>
      </c>
      <c r="CQ57" s="61">
        <f t="shared" si="148"/>
        <v>0</v>
      </c>
      <c r="CR57" s="61">
        <f t="shared" si="149"/>
        <v>0</v>
      </c>
      <c r="CS57" s="61">
        <f t="shared" si="150"/>
        <v>0</v>
      </c>
      <c r="CT57" s="61">
        <f t="shared" si="151"/>
        <v>0</v>
      </c>
      <c r="CU57" s="61">
        <f t="shared" si="152"/>
        <v>0</v>
      </c>
      <c r="CV57" s="61">
        <f t="shared" si="153"/>
        <v>0</v>
      </c>
      <c r="CW57" s="61">
        <f t="shared" si="154"/>
        <v>0</v>
      </c>
      <c r="CX57" s="61">
        <f t="shared" si="155"/>
        <v>0</v>
      </c>
      <c r="CY57" s="61">
        <f t="shared" si="156"/>
        <v>0</v>
      </c>
      <c r="CZ57" s="61">
        <f t="shared" si="157"/>
        <v>0</v>
      </c>
      <c r="DA57" s="61">
        <f t="shared" si="158"/>
        <v>0</v>
      </c>
      <c r="DB57" s="61">
        <f t="shared" si="159"/>
        <v>0</v>
      </c>
      <c r="DC57" s="61">
        <f t="shared" si="160"/>
        <v>0</v>
      </c>
      <c r="DD57" s="61">
        <f t="shared" si="161"/>
        <v>0</v>
      </c>
      <c r="DE57" s="61">
        <f t="shared" si="162"/>
        <v>0</v>
      </c>
      <c r="DF57" s="61">
        <f t="shared" si="163"/>
        <v>0</v>
      </c>
      <c r="DG57" s="61">
        <f t="shared" si="164"/>
        <v>0</v>
      </c>
      <c r="DH57" s="61">
        <f t="shared" si="165"/>
        <v>0</v>
      </c>
      <c r="DI57" s="61">
        <f t="shared" si="166"/>
        <v>0</v>
      </c>
      <c r="DJ57" s="61">
        <f t="shared" si="167"/>
        <v>0</v>
      </c>
      <c r="DK57" s="61">
        <f t="shared" si="168"/>
        <v>0</v>
      </c>
      <c r="DL57" s="61">
        <f t="shared" si="169"/>
        <v>0</v>
      </c>
      <c r="DM57" s="61">
        <f t="shared" si="170"/>
        <v>0</v>
      </c>
      <c r="DN57" s="61">
        <f t="shared" si="171"/>
        <v>0</v>
      </c>
      <c r="DO57" s="61">
        <f t="shared" si="172"/>
        <v>0</v>
      </c>
      <c r="DP57" s="61">
        <f t="shared" si="173"/>
        <v>0</v>
      </c>
      <c r="DQ57" s="61">
        <f t="shared" si="174"/>
        <v>0</v>
      </c>
      <c r="DR57" s="61">
        <f t="shared" si="175"/>
        <v>0</v>
      </c>
      <c r="DS57" s="61">
        <f t="shared" si="176"/>
        <v>0</v>
      </c>
      <c r="DT57" s="61">
        <f t="shared" si="177"/>
        <v>0</v>
      </c>
      <c r="DU57" s="61">
        <f t="shared" si="178"/>
        <v>0</v>
      </c>
      <c r="DV57" s="61">
        <f t="shared" si="179"/>
        <v>0</v>
      </c>
      <c r="DW57" s="61">
        <f t="shared" si="180"/>
        <v>0</v>
      </c>
      <c r="DX57" s="61">
        <f t="shared" si="181"/>
        <v>0</v>
      </c>
      <c r="DY57" s="61">
        <f t="shared" si="182"/>
        <v>0</v>
      </c>
      <c r="DZ57" s="61">
        <f t="shared" si="183"/>
        <v>0</v>
      </c>
      <c r="EA57" s="61">
        <f t="shared" si="184"/>
        <v>0</v>
      </c>
      <c r="EB57" s="61">
        <f t="shared" si="185"/>
        <v>0</v>
      </c>
      <c r="EC57" s="61">
        <f t="shared" si="186"/>
        <v>0</v>
      </c>
      <c r="EE57" s="61">
        <f xml:space="preserve">
IF(OR(Deltagarlista!$K$3=3,Deltagarlista!$K$3=4),
IF(Arrangörslista!$U$5&lt;8,0,
IF(Arrangörslista!$U$5&lt;16,SUM(LARGE(BV57:CJ57,1)),
IF(Arrangörslista!$U$5&lt;24,SUM(LARGE(BV57:CR57,{1;2})),
IF(Arrangörslista!$U$5&lt;32,SUM(LARGE(BV57:CZ57,{1;2;3})),
IF(Arrangörslista!$U$5&lt;40,SUM(LARGE(BV57:DH57,{1;2;3;4})),
IF(Arrangörslista!$U$5&lt;48,SUM(LARGE(BV57:DP57,{1;2;3;4;5})),
IF(Arrangörslista!$U$5&lt;56,SUM(LARGE(BV57:DX57,{1;2;3;4;5;6})),
IF(Arrangörslista!$U$5&lt;64,SUM(LARGE(BV57:EC57,{1;2;3;4;5;6;7})),0)))))))),
IF(Deltagarlista!$K$3=2,
IF(Arrangörslista!$U$5&lt;4,LARGE(BV57:BX57,1),
IF(Arrangörslista!$U$5&lt;7,SUM(LARGE(BV57:CA57,{1;2;3})),
IF(Arrangörslista!$U$5&lt;10,SUM(LARGE(BV57:CD57,{1;2;3;4})),
IF(Arrangörslista!$U$5&lt;13,SUM(LARGE(BV57:CG57,{1;2;3;4;5;6})),
IF(Arrangörslista!$U$5&lt;16,SUM(LARGE(BV57:CJ57,{1;2;3;4;5;6;7})),
IF(Arrangörslista!$U$5&lt;19,SUM(LARGE(BV57:CM57,{1;2;3;4;5;6;7;8;9})),
IF(Arrangörslista!$U$5&lt;22,SUM(LARGE(BV57:CP57,{1;2;3;4;5;6;7;8;9;10})),
IF(Arrangörslista!$U$5&lt;25,SUM(LARGE(BV57:CS57,{1;2;3;4;5;6;7;8;9;10;11;12})),
IF(Arrangörslista!$U$5&lt;28,SUM(LARGE(BV57:CV57,{1;2;3;4;5;6;7;8;9;10;11;12;13})),
IF(Arrangörslista!$U$5&lt;31,SUM(LARGE(BV57:CY57,{1;2;3;4;5;6;7;8;9;10;11;12;13;14;15})),
IF(Arrangörslista!$U$5&lt;34,SUM(LARGE(BV57:DB57,{1;2;3;4;5;6;7;8;9;10;11;12;13;14;15;16})),
IF(Arrangörslista!$U$5&lt;37,SUM(LARGE(BV57:DE57,{1;2;3;4;5;6;7;8;9;10;11;12;13;14;15;16;17;18})),
IF(Arrangörslista!$U$5&lt;40,SUM(LARGE(BV57:DH57,{1;2;3;4;5;6;7;8;9;10;11;12;13;14;15;16;17;18;19})),
IF(Arrangörslista!$U$5&lt;43,SUM(LARGE(BV57:DK57,{1;2;3;4;5;6;7;8;9;10;11;12;13;14;15;16;17;18;19;20;21})),
IF(Arrangörslista!$U$5&lt;46,SUM(LARGE(BV57:DN57,{1;2;3;4;5;6;7;8;9;10;11;12;13;14;15;16;17;18;19;20;21;22})),
IF(Arrangörslista!$U$5&lt;49,SUM(LARGE(BV57:DQ57,{1;2;3;4;5;6;7;8;9;10;11;12;13;14;15;16;17;18;19;20;21;22;23;24})),
IF(Arrangörslista!$U$5&lt;52,SUM(LARGE(BV57:DT57,{1;2;3;4;5;6;7;8;9;10;11;12;13;14;15;16;17;18;19;20;21;22;23;24;25})),
IF(Arrangörslista!$U$5&lt;55,SUM(LARGE(BV57:DW57,{1;2;3;4;5;6;7;8;9;10;11;12;13;14;15;16;17;18;19;20;21;22;23;24;25;26;27})),
IF(Arrangörslista!$U$5&lt;58,SUM(LARGE(BV57:DZ57,{1;2;3;4;5;6;7;8;9;10;11;12;13;14;15;16;17;18;19;20;21;22;23;24;25;26;27;28})),
IF(Arrangörslista!$U$5&lt;61,SUM(LARGE(BV57:EC57,{1;2;3;4;5;6;7;8;9;10;11;12;13;14;15;16;17;18;19;20;21;22;23;24;25;26;27;28;29;30})),0)))))))))))))))))))),
IF(Arrangörslista!$U$5&lt;4,0,
IF(Arrangörslista!$U$5&lt;8,SUM(LARGE(BV57:CB57,1)),
IF(Arrangörslista!$U$5&lt;12,SUM(LARGE(BV57:CF57,{1;2})),
IF(Arrangörslista!$U$5&lt;16,SUM(LARGE(BV57:CJ57,{1;2;3})),
IF(Arrangörslista!$U$5&lt;20,SUM(LARGE(BV57:CN57,{1;2;3;4})),
IF(Arrangörslista!$U$5&lt;24,SUM(LARGE(BV57:CR57,{1;2;3;4;5})),
IF(Arrangörslista!$U$5&lt;28,SUM(LARGE(BV57:CV57,{1;2;3;4;5;6})),
IF(Arrangörslista!$U$5&lt;32,SUM(LARGE(BV57:CZ57,{1;2;3;4;5;6;7})),
IF(Arrangörslista!$U$5&lt;36,SUM(LARGE(BV57:DD57,{1;2;3;4;5;6;7;8})),
IF(Arrangörslista!$U$5&lt;40,SUM(LARGE(BV57:DH57,{1;2;3;4;5;6;7;8;9})),
IF(Arrangörslista!$U$5&lt;44,SUM(LARGE(BV57:DL57,{1;2;3;4;5;6;7;8;9;10})),
IF(Arrangörslista!$U$5&lt;48,SUM(LARGE(BV57:DP57,{1;2;3;4;5;6;7;8;9;10;11})),
IF(Arrangörslista!$U$5&lt;52,SUM(LARGE(BV57:DT57,{1;2;3;4;5;6;7;8;9;10;11;12})),
IF(Arrangörslista!$U$5&lt;56,SUM(LARGE(BV57:DX57,{1;2;3;4;5;6;7;8;9;10;11;12;13})),
IF(Arrangörslista!$U$5&lt;60,SUM(LARGE(BV57:EB57,{1;2;3;4;5;6;7;8;9;10;11;12;13;14})),
IF(Arrangörslista!$U$5=60,SUM(LARGE(BV57:EC57,{1;2;3;4;5;6;7;8;9;10;11;12;13;14;15})),0))))))))))))))))))</f>
        <v>0</v>
      </c>
      <c r="EG57" s="67">
        <f t="shared" si="187"/>
        <v>0</v>
      </c>
      <c r="EH57" s="61"/>
      <c r="EI57" s="61"/>
      <c r="EK57" s="62">
        <f t="shared" si="188"/>
        <v>61</v>
      </c>
      <c r="EL57" s="62">
        <f t="shared" si="189"/>
        <v>61</v>
      </c>
      <c r="EM57" s="62">
        <f t="shared" si="190"/>
        <v>61</v>
      </c>
      <c r="EN57" s="62">
        <f t="shared" si="191"/>
        <v>61</v>
      </c>
      <c r="EO57" s="62">
        <f t="shared" si="192"/>
        <v>61</v>
      </c>
      <c r="EP57" s="62">
        <f t="shared" si="193"/>
        <v>61</v>
      </c>
      <c r="EQ57" s="62">
        <f t="shared" si="194"/>
        <v>61</v>
      </c>
      <c r="ER57" s="62">
        <f t="shared" si="195"/>
        <v>61</v>
      </c>
      <c r="ES57" s="62">
        <f t="shared" si="196"/>
        <v>61</v>
      </c>
      <c r="ET57" s="62">
        <f t="shared" si="197"/>
        <v>61</v>
      </c>
      <c r="EU57" s="62">
        <f t="shared" si="198"/>
        <v>61</v>
      </c>
      <c r="EV57" s="62">
        <f t="shared" si="199"/>
        <v>61</v>
      </c>
      <c r="EW57" s="62">
        <f t="shared" si="200"/>
        <v>61</v>
      </c>
      <c r="EX57" s="62">
        <f t="shared" si="201"/>
        <v>61</v>
      </c>
      <c r="EY57" s="62">
        <f t="shared" si="202"/>
        <v>61</v>
      </c>
      <c r="EZ57" s="62">
        <f t="shared" si="203"/>
        <v>61</v>
      </c>
      <c r="FA57" s="62">
        <f t="shared" si="204"/>
        <v>61</v>
      </c>
      <c r="FB57" s="62">
        <f t="shared" si="205"/>
        <v>61</v>
      </c>
      <c r="FC57" s="62">
        <f t="shared" si="206"/>
        <v>61</v>
      </c>
      <c r="FD57" s="62">
        <f t="shared" si="207"/>
        <v>61</v>
      </c>
      <c r="FE57" s="62">
        <f t="shared" si="208"/>
        <v>61</v>
      </c>
      <c r="FF57" s="62">
        <f t="shared" si="209"/>
        <v>61</v>
      </c>
      <c r="FG57" s="62">
        <f t="shared" si="210"/>
        <v>61</v>
      </c>
      <c r="FH57" s="62">
        <f t="shared" si="211"/>
        <v>61</v>
      </c>
      <c r="FI57" s="62">
        <f t="shared" si="212"/>
        <v>61</v>
      </c>
      <c r="FJ57" s="62">
        <f t="shared" si="213"/>
        <v>61</v>
      </c>
      <c r="FK57" s="62">
        <f t="shared" si="214"/>
        <v>61</v>
      </c>
      <c r="FL57" s="62">
        <f t="shared" si="215"/>
        <v>61</v>
      </c>
      <c r="FM57" s="62">
        <f t="shared" si="216"/>
        <v>61</v>
      </c>
      <c r="FN57" s="62">
        <f t="shared" si="217"/>
        <v>61</v>
      </c>
      <c r="FO57" s="62">
        <f t="shared" si="218"/>
        <v>61</v>
      </c>
      <c r="FP57" s="62">
        <f t="shared" si="219"/>
        <v>61</v>
      </c>
      <c r="FQ57" s="62">
        <f t="shared" si="220"/>
        <v>61</v>
      </c>
      <c r="FR57" s="62">
        <f t="shared" si="221"/>
        <v>61</v>
      </c>
      <c r="FS57" s="62">
        <f t="shared" si="222"/>
        <v>61</v>
      </c>
      <c r="FT57" s="62">
        <f t="shared" si="223"/>
        <v>61</v>
      </c>
      <c r="FU57" s="62">
        <f t="shared" si="224"/>
        <v>61</v>
      </c>
      <c r="FV57" s="62">
        <f t="shared" si="225"/>
        <v>61</v>
      </c>
      <c r="FW57" s="62">
        <f t="shared" si="226"/>
        <v>61</v>
      </c>
      <c r="FX57" s="62">
        <f t="shared" si="227"/>
        <v>61</v>
      </c>
      <c r="FY57" s="62">
        <f t="shared" si="228"/>
        <v>61</v>
      </c>
      <c r="FZ57" s="62">
        <f t="shared" si="229"/>
        <v>61</v>
      </c>
      <c r="GA57" s="62">
        <f t="shared" si="230"/>
        <v>61</v>
      </c>
      <c r="GB57" s="62">
        <f t="shared" si="231"/>
        <v>61</v>
      </c>
      <c r="GC57" s="62">
        <f t="shared" si="232"/>
        <v>61</v>
      </c>
      <c r="GD57" s="62">
        <f t="shared" si="233"/>
        <v>61</v>
      </c>
      <c r="GE57" s="62">
        <f t="shared" si="234"/>
        <v>61</v>
      </c>
      <c r="GF57" s="62">
        <f t="shared" si="235"/>
        <v>61</v>
      </c>
      <c r="GG57" s="62">
        <f t="shared" si="236"/>
        <v>61</v>
      </c>
      <c r="GH57" s="62">
        <f t="shared" si="237"/>
        <v>61</v>
      </c>
      <c r="GI57" s="62">
        <f t="shared" si="238"/>
        <v>61</v>
      </c>
      <c r="GJ57" s="62">
        <f t="shared" si="239"/>
        <v>61</v>
      </c>
      <c r="GK57" s="62">
        <f t="shared" si="240"/>
        <v>61</v>
      </c>
      <c r="GL57" s="62">
        <f t="shared" si="241"/>
        <v>61</v>
      </c>
      <c r="GM57" s="62">
        <f t="shared" si="242"/>
        <v>61</v>
      </c>
      <c r="GN57" s="62">
        <f t="shared" si="243"/>
        <v>61</v>
      </c>
      <c r="GO57" s="62">
        <f t="shared" si="244"/>
        <v>61</v>
      </c>
      <c r="GP57" s="62">
        <f t="shared" si="245"/>
        <v>61</v>
      </c>
      <c r="GQ57" s="62">
        <f t="shared" si="246"/>
        <v>61</v>
      </c>
      <c r="GR57" s="62">
        <f t="shared" si="247"/>
        <v>61</v>
      </c>
      <c r="GT57" s="62">
        <f>IF(Deltagarlista!$K$3=2,
IF(GW57="1",
      IF(Arrangörslista!$U$5=1,J120,
IF(Arrangörslista!$U$5=2,K120,
IF(Arrangörslista!$U$5=3,L120,
IF(Arrangörslista!$U$5=4,M120,
IF(Arrangörslista!$U$5=5,N120,
IF(Arrangörslista!$U$5=6,O120,
IF(Arrangörslista!$U$5=7,P120,
IF(Arrangörslista!$U$5=8,Q120,
IF(Arrangörslista!$U$5=9,R120,
IF(Arrangörslista!$U$5=10,S120,
IF(Arrangörslista!$U$5=11,T120,
IF(Arrangörslista!$U$5=12,U120,
IF(Arrangörslista!$U$5=13,V120,
IF(Arrangörslista!$U$5=14,W120,
IF(Arrangörslista!$U$5=15,X120,
IF(Arrangörslista!$U$5=16,Y120,IF(Arrangörslista!$U$5=17,Z120,IF(Arrangörslista!$U$5=18,AA120,IF(Arrangörslista!$U$5=19,AB120,IF(Arrangörslista!$U$5=20,AC120,IF(Arrangörslista!$U$5=21,AD120,IF(Arrangörslista!$U$5=22,AE120,IF(Arrangörslista!$U$5=23,AF120, IF(Arrangörslista!$U$5=24,AG120, IF(Arrangörslista!$U$5=25,AH120, IF(Arrangörslista!$U$5=26,AI120, IF(Arrangörslista!$U$5=27,AJ120, IF(Arrangörslista!$U$5=28,AK120, IF(Arrangörslista!$U$5=29,AL120, IF(Arrangörslista!$U$5=30,AM120, IF(Arrangörslista!$U$5=31,AN120, IF(Arrangörslista!$U$5=32,AO120, IF(Arrangörslista!$U$5=33,AP120, IF(Arrangörslista!$U$5=34,AQ120, IF(Arrangörslista!$U$5=35,AR120, IF(Arrangörslista!$U$5=36,AS120, IF(Arrangörslista!$U$5=37,AT120, IF(Arrangörslista!$U$5=38,AU120, IF(Arrangörslista!$U$5=39,AV120, IF(Arrangörslista!$U$5=40,AW120, IF(Arrangörslista!$U$5=41,AX120, IF(Arrangörslista!$U$5=42,AY120, IF(Arrangörslista!$U$5=43,AZ120, IF(Arrangörslista!$U$5=44,BA120, IF(Arrangörslista!$U$5=45,BB120, IF(Arrangörslista!$U$5=46,BC120, IF(Arrangörslista!$U$5=47,BD120, IF(Arrangörslista!$U$5=48,BE120, IF(Arrangörslista!$U$5=49,BF120, IF(Arrangörslista!$U$5=50,BG120, IF(Arrangörslista!$U$5=51,BH120, IF(Arrangörslista!$U$5=52,BI120, IF(Arrangörslista!$U$5=53,BJ120, IF(Arrangörslista!$U$5=54,BK120, IF(Arrangörslista!$U$5=55,BL120, IF(Arrangörslista!$U$5=56,BM120, IF(Arrangörslista!$U$5=57,BN120, IF(Arrangörslista!$U$5=58,BO120, IF(Arrangörslista!$U$5=59,BP120, IF(Arrangörslista!$U$5=60,BQ120,0))))))))))))))))))))))))))))))))))))))))))))))))))))))))))))),IF(Deltagarlista!$K$3=4, IF(Arrangörslista!$U$5=1,J120,
IF(Arrangörslista!$U$5=2,J120,
IF(Arrangörslista!$U$5=3,K120,
IF(Arrangörslista!$U$5=4,K120,
IF(Arrangörslista!$U$5=5,L120,
IF(Arrangörslista!$U$5=6,L120,
IF(Arrangörslista!$U$5=7,M120,
IF(Arrangörslista!$U$5=8,M120,
IF(Arrangörslista!$U$5=9,N120,
IF(Arrangörslista!$U$5=10,N120,
IF(Arrangörslista!$U$5=11,O120,
IF(Arrangörslista!$U$5=12,O120,
IF(Arrangörslista!$U$5=13,P120,
IF(Arrangörslista!$U$5=14,P120,
IF(Arrangörslista!$U$5=15,Q120,
IF(Arrangörslista!$U$5=16,Q120,
IF(Arrangörslista!$U$5=17,R120,
IF(Arrangörslista!$U$5=18,R120,
IF(Arrangörslista!$U$5=19,S120,
IF(Arrangörslista!$U$5=20,S120,
IF(Arrangörslista!$U$5=21,T120,
IF(Arrangörslista!$U$5=22,T120,IF(Arrangörslista!$U$5=23,U120, IF(Arrangörslista!$U$5=24,U120, IF(Arrangörslista!$U$5=25,V120, IF(Arrangörslista!$U$5=26,V120, IF(Arrangörslista!$U$5=27,W120, IF(Arrangörslista!$U$5=28,W120, IF(Arrangörslista!$U$5=29,X120, IF(Arrangörslista!$U$5=30,X120, IF(Arrangörslista!$U$5=31,X120, IF(Arrangörslista!$U$5=32,Y120, IF(Arrangörslista!$U$5=33,AO120, IF(Arrangörslista!$U$5=34,Y120, IF(Arrangörslista!$U$5=35,Z120, IF(Arrangörslista!$U$5=36,AR120, IF(Arrangörslista!$U$5=37,Z120, IF(Arrangörslista!$U$5=38,AA120, IF(Arrangörslista!$U$5=39,AU120, IF(Arrangörslista!$U$5=40,AA120, IF(Arrangörslista!$U$5=41,AB120, IF(Arrangörslista!$U$5=42,AX120, IF(Arrangörslista!$U$5=43,AB120, IF(Arrangörslista!$U$5=44,AC120, IF(Arrangörslista!$U$5=45,BA120, IF(Arrangörslista!$U$5=46,AC120, IF(Arrangörslista!$U$5=47,AD120, IF(Arrangörslista!$U$5=48,BD120, IF(Arrangörslista!$U$5=49,AD120, IF(Arrangörslista!$U$5=50,AE120, IF(Arrangörslista!$U$5=51,BG120, IF(Arrangörslista!$U$5=52,AE120, IF(Arrangörslista!$U$5=53,AF120, IF(Arrangörslista!$U$5=54,BJ120, IF(Arrangörslista!$U$5=55,AF120, IF(Arrangörslista!$U$5=56,AG120, IF(Arrangörslista!$U$5=57,BM120, IF(Arrangörslista!$U$5=58,AG120, IF(Arrangörslista!$U$5=59,AH120, IF(Arrangörslista!$U$5=60,AH120,0)))))))))))))))))))))))))))))))))))))))))))))))))))))))))))),IF(Arrangörslista!$U$5=1,J120,
IF(Arrangörslista!$U$5=2,K120,
IF(Arrangörslista!$U$5=3,L120,
IF(Arrangörslista!$U$5=4,M120,
IF(Arrangörslista!$U$5=5,N120,
IF(Arrangörslista!$U$5=6,O120,
IF(Arrangörslista!$U$5=7,P120,
IF(Arrangörslista!$U$5=8,Q120,
IF(Arrangörslista!$U$5=9,R120,
IF(Arrangörslista!$U$5=10,S120,
IF(Arrangörslista!$U$5=11,T120,
IF(Arrangörslista!$U$5=12,U120,
IF(Arrangörslista!$U$5=13,V120,
IF(Arrangörslista!$U$5=14,W120,
IF(Arrangörslista!$U$5=15,X120,
IF(Arrangörslista!$U$5=16,Y120,IF(Arrangörslista!$U$5=17,Z120,IF(Arrangörslista!$U$5=18,AA120,IF(Arrangörslista!$U$5=19,AB120,IF(Arrangörslista!$U$5=20,AC120,IF(Arrangörslista!$U$5=21,AD120,IF(Arrangörslista!$U$5=22,AE120,IF(Arrangörslista!$U$5=23,AF120, IF(Arrangörslista!$U$5=24,AG120, IF(Arrangörslista!$U$5=25,AH120, IF(Arrangörslista!$U$5=26,AI120, IF(Arrangörslista!$U$5=27,AJ120, IF(Arrangörslista!$U$5=28,AK120, IF(Arrangörslista!$U$5=29,AL120, IF(Arrangörslista!$U$5=30,AM120, IF(Arrangörslista!$U$5=31,AN120, IF(Arrangörslista!$U$5=32,AO120, IF(Arrangörslista!$U$5=33,AP120, IF(Arrangörslista!$U$5=34,AQ120, IF(Arrangörslista!$U$5=35,AR120, IF(Arrangörslista!$U$5=36,AS120, IF(Arrangörslista!$U$5=37,AT120, IF(Arrangörslista!$U$5=38,AU120, IF(Arrangörslista!$U$5=39,AV120, IF(Arrangörslista!$U$5=40,AW120, IF(Arrangörslista!$U$5=41,AX120, IF(Arrangörslista!$U$5=42,AY120, IF(Arrangörslista!$U$5=43,AZ120, IF(Arrangörslista!$U$5=44,BA120, IF(Arrangörslista!$U$5=45,BB120, IF(Arrangörslista!$U$5=46,BC120, IF(Arrangörslista!$U$5=47,BD120, IF(Arrangörslista!$U$5=48,BE120, IF(Arrangörslista!$U$5=49,BF120, IF(Arrangörslista!$U$5=50,BG120, IF(Arrangörslista!$U$5=51,BH120, IF(Arrangörslista!$U$5=52,BI120, IF(Arrangörslista!$U$5=53,BJ120, IF(Arrangörslista!$U$5=54,BK120, IF(Arrangörslista!$U$5=55,BL120, IF(Arrangörslista!$U$5=56,BM120, IF(Arrangörslista!$U$5=57,BN120, IF(Arrangörslista!$U$5=58,BO120, IF(Arrangörslista!$U$5=59,BP120, IF(Arrangörslista!$U$5=60,BQ120,0))))))))))))))))))))))))))))))))))))))))))))))))))))))))))))
))</f>
        <v>0</v>
      </c>
      <c r="GV57" s="65" t="str">
        <f>IFERROR(IF(VLOOKUP(F57,Deltagarlista!$E$5:$I$64,5,FALSE)="Grön","Gr",IF(VLOOKUP(F57,Deltagarlista!$E$5:$I$64,5,FALSE)="Röd","R",IF(VLOOKUP(F57,Deltagarlista!$E$5:$I$64,5,FALSE)="Blå","B","Gu"))),"")</f>
        <v/>
      </c>
      <c r="GW57" s="62" t="str">
        <f t="shared" si="124"/>
        <v/>
      </c>
    </row>
    <row r="58" spans="2:205" ht="15.75" customHeight="1" x14ac:dyDescent="0.3">
      <c r="B58" s="23" t="str">
        <f>IF((COUNTIF(Deltagarlista!$H$5:$H$64,"GM"))&gt;54,55,"")</f>
        <v/>
      </c>
      <c r="C58" s="92" t="str">
        <f>IF(ISBLANK(Deltagarlista!C17),"",Deltagarlista!C17)</f>
        <v/>
      </c>
      <c r="D58" s="109" t="str">
        <f>CONCATENATE(IF(Deltagarlista!H17="GM","GM   ",""), IF(OR(Deltagarlista!$K$3=4,Deltagarlista!$K$3=2),Deltagarlista!I17,""))</f>
        <v/>
      </c>
      <c r="E58" s="8" t="str">
        <f>IF(ISBLANK(Deltagarlista!D17),"",Deltagarlista!D17)</f>
        <v/>
      </c>
      <c r="F58" s="8" t="str">
        <f>IF(ISBLANK(Deltagarlista!E17),"",Deltagarlista!E17)</f>
        <v/>
      </c>
      <c r="G58" s="95" t="str">
        <f>IF(ISBLANK(Deltagarlista!F17),"",Deltagarlista!F17)</f>
        <v/>
      </c>
      <c r="H58" s="72" t="str">
        <f>IF(ISBLANK(Deltagarlista!C17),"",BU58-EE58)</f>
        <v/>
      </c>
      <c r="I58" s="13" t="str">
        <f>IF(ISBLANK(Deltagarlista!C17),"",IF(AND(Deltagarlista!$K$3=2,Deltagarlista!$L$3&lt;37),SUM(SUM(BV58:EC58)-(ROUNDDOWN(Arrangörslista!$U$5/3,1))*($BW$3+1)),SUM(BV58:EC58)))</f>
        <v/>
      </c>
      <c r="J58" s="79" t="str">
        <f>IF(Deltagarlista!$K$3=4,IF(ISBLANK(Deltagarlista!$C17),"",IF(ISBLANK(Arrangörslista!C$8),"",IFERROR(VLOOKUP($F58,Arrangörslista!C$8:$AG$45,16,FALSE),IF(ISBLANK(Deltagarlista!$C17),"",IF(ISBLANK(Arrangörslista!C$8),"",IFERROR(VLOOKUP($F58,Arrangörslista!D$8:$AG$45,16,FALSE),"DNS")))))),IF(Deltagarlista!$K$3=2,
IF(ISBLANK(Deltagarlista!$C17),"",IF(ISBLANK(Arrangörslista!C$8),"",IF($GV58=J$64," DNS ",IFERROR(VLOOKUP($F58,Arrangörslista!C$8:$AG$45,16,FALSE),"DNS")))),IF(ISBLANK(Deltagarlista!$C17),"",IF(ISBLANK(Arrangörslista!C$8),"",IFERROR(VLOOKUP($F58,Arrangörslista!C$8:$AG$45,16,FALSE),"DNS")))))</f>
        <v/>
      </c>
      <c r="K58" s="5" t="str">
        <f>IF(Deltagarlista!$K$3=4,IF(ISBLANK(Deltagarlista!$C17),"",IF(ISBLANK(Arrangörslista!E$8),"",IFERROR(VLOOKUP($F58,Arrangörslista!E$8:$AG$45,16,FALSE),IF(ISBLANK(Deltagarlista!$C17),"",IF(ISBLANK(Arrangörslista!E$8),"",IFERROR(VLOOKUP($F58,Arrangörslista!F$8:$AG$45,16,FALSE),"DNS")))))),IF(Deltagarlista!$K$3=2,
IF(ISBLANK(Deltagarlista!$C17),"",IF(ISBLANK(Arrangörslista!D$8),"",IF($GV58=K$64," DNS ",IFERROR(VLOOKUP($F58,Arrangörslista!D$8:$AG$45,16,FALSE),"DNS")))),IF(ISBLANK(Deltagarlista!$C17),"",IF(ISBLANK(Arrangörslista!D$8),"",IFERROR(VLOOKUP($F58,Arrangörslista!D$8:$AG$45,16,FALSE),"DNS")))))</f>
        <v/>
      </c>
      <c r="L58" s="5" t="str">
        <f>IF(Deltagarlista!$K$3=4,IF(ISBLANK(Deltagarlista!$C17),"",IF(ISBLANK(Arrangörslista!G$8),"",IFERROR(VLOOKUP($F58,Arrangörslista!G$8:$AG$45,16,FALSE),IF(ISBLANK(Deltagarlista!$C17),"",IF(ISBLANK(Arrangörslista!G$8),"",IFERROR(VLOOKUP($F58,Arrangörslista!H$8:$AG$45,16,FALSE),"DNS")))))),IF(Deltagarlista!$K$3=2,
IF(ISBLANK(Deltagarlista!$C17),"",IF(ISBLANK(Arrangörslista!E$8),"",IF($GV58=L$64," DNS ",IFERROR(VLOOKUP($F58,Arrangörslista!E$8:$AG$45,16,FALSE),"DNS")))),IF(ISBLANK(Deltagarlista!$C17),"",IF(ISBLANK(Arrangörslista!E$8),"",IFERROR(VLOOKUP($F58,Arrangörslista!E$8:$AG$45,16,FALSE),"DNS")))))</f>
        <v/>
      </c>
      <c r="M58" s="5" t="str">
        <f>IF(Deltagarlista!$K$3=4,IF(ISBLANK(Deltagarlista!$C17),"",IF(ISBLANK(Arrangörslista!I$8),"",IFERROR(VLOOKUP($F58,Arrangörslista!I$8:$AG$45,16,FALSE),IF(ISBLANK(Deltagarlista!$C17),"",IF(ISBLANK(Arrangörslista!I$8),"",IFERROR(VLOOKUP($F58,Arrangörslista!J$8:$AG$45,16,FALSE),"DNS")))))),IF(Deltagarlista!$K$3=2,
IF(ISBLANK(Deltagarlista!$C17),"",IF(ISBLANK(Arrangörslista!F$8),"",IF($GV58=M$64," DNS ",IFERROR(VLOOKUP($F58,Arrangörslista!F$8:$AG$45,16,FALSE),"DNS")))),IF(ISBLANK(Deltagarlista!$C17),"",IF(ISBLANK(Arrangörslista!F$8),"",IFERROR(VLOOKUP($F58,Arrangörslista!F$8:$AG$45,16,FALSE),"DNS")))))</f>
        <v/>
      </c>
      <c r="N58" s="5" t="str">
        <f>IF(Deltagarlista!$K$3=4,IF(ISBLANK(Deltagarlista!$C17),"",IF(ISBLANK(Arrangörslista!K$8),"",IFERROR(VLOOKUP($F58,Arrangörslista!K$8:$AG$45,16,FALSE),IF(ISBLANK(Deltagarlista!$C17),"",IF(ISBLANK(Arrangörslista!K$8),"",IFERROR(VLOOKUP($F58,Arrangörslista!L$8:$AG$45,16,FALSE),"DNS")))))),IF(Deltagarlista!$K$3=2,
IF(ISBLANK(Deltagarlista!$C17),"",IF(ISBLANK(Arrangörslista!G$8),"",IF($GV58=N$64," DNS ",IFERROR(VLOOKUP($F58,Arrangörslista!G$8:$AG$45,16,FALSE),"DNS")))),IF(ISBLANK(Deltagarlista!$C17),"",IF(ISBLANK(Arrangörslista!G$8),"",IFERROR(VLOOKUP($F58,Arrangörslista!G$8:$AG$45,16,FALSE),"DNS")))))</f>
        <v/>
      </c>
      <c r="O58" s="5" t="str">
        <f>IF(Deltagarlista!$K$3=4,IF(ISBLANK(Deltagarlista!$C17),"",IF(ISBLANK(Arrangörslista!M$8),"",IFERROR(VLOOKUP($F58,Arrangörslista!M$8:$AG$45,16,FALSE),IF(ISBLANK(Deltagarlista!$C17),"",IF(ISBLANK(Arrangörslista!M$8),"",IFERROR(VLOOKUP($F58,Arrangörslista!N$8:$AG$45,16,FALSE),"DNS")))))),IF(Deltagarlista!$K$3=2,
IF(ISBLANK(Deltagarlista!$C17),"",IF(ISBLANK(Arrangörslista!H$8),"",IF($GV58=O$64," DNS ",IFERROR(VLOOKUP($F58,Arrangörslista!H$8:$AG$45,16,FALSE),"DNS")))),IF(ISBLANK(Deltagarlista!$C17),"",IF(ISBLANK(Arrangörslista!H$8),"",IFERROR(VLOOKUP($F58,Arrangörslista!H$8:$AG$45,16,FALSE),"DNS")))))</f>
        <v/>
      </c>
      <c r="P58" s="5" t="str">
        <f>IF(Deltagarlista!$K$3=4,IF(ISBLANK(Deltagarlista!$C17),"",IF(ISBLANK(Arrangörslista!O$8),"",IFERROR(VLOOKUP($F58,Arrangörslista!O$8:$AG$45,16,FALSE),IF(ISBLANK(Deltagarlista!$C17),"",IF(ISBLANK(Arrangörslista!O$8),"",IFERROR(VLOOKUP($F58,Arrangörslista!P$8:$AG$45,16,FALSE),"DNS")))))),IF(Deltagarlista!$K$3=2,
IF(ISBLANK(Deltagarlista!$C17),"",IF(ISBLANK(Arrangörslista!I$8),"",IF($GV58=P$64," DNS ",IFERROR(VLOOKUP($F58,Arrangörslista!I$8:$AG$45,16,FALSE),"DNS")))),IF(ISBLANK(Deltagarlista!$C17),"",IF(ISBLANK(Arrangörslista!I$8),"",IFERROR(VLOOKUP($F58,Arrangörslista!I$8:$AG$45,16,FALSE),"DNS")))))</f>
        <v/>
      </c>
      <c r="Q58" s="5" t="str">
        <f>IF(Deltagarlista!$K$3=4,IF(ISBLANK(Deltagarlista!$C17),"",IF(ISBLANK(Arrangörslista!Q$8),"",IFERROR(VLOOKUP($F58,Arrangörslista!Q$8:$AG$45,16,FALSE),IF(ISBLANK(Deltagarlista!$C17),"",IF(ISBLANK(Arrangörslista!Q$8),"",IFERROR(VLOOKUP($F58,Arrangörslista!C$53:$AG$90,16,FALSE),"DNS")))))),IF(Deltagarlista!$K$3=2,
IF(ISBLANK(Deltagarlista!$C17),"",IF(ISBLANK(Arrangörslista!J$8),"",IF($GV58=Q$64," DNS ",IFERROR(VLOOKUP($F58,Arrangörslista!J$8:$AG$45,16,FALSE),"DNS")))),IF(ISBLANK(Deltagarlista!$C17),"",IF(ISBLANK(Arrangörslista!J$8),"",IFERROR(VLOOKUP($F58,Arrangörslista!J$8:$AG$45,16,FALSE),"DNS")))))</f>
        <v/>
      </c>
      <c r="R58" s="5" t="str">
        <f>IF(Deltagarlista!$K$3=4,IF(ISBLANK(Deltagarlista!$C17),"",IF(ISBLANK(Arrangörslista!D$53),"",IFERROR(VLOOKUP($F58,Arrangörslista!D$53:$AG$90,16,FALSE),IF(ISBLANK(Deltagarlista!$C17),"",IF(ISBLANK(Arrangörslista!D$53),"",IFERROR(VLOOKUP($F58,Arrangörslista!E$53:$AG$90,16,FALSE),"DNS")))))),IF(Deltagarlista!$K$3=2,
IF(ISBLANK(Deltagarlista!$C17),"",IF(ISBLANK(Arrangörslista!K$8),"",IF($GV58=R$64," DNS ",IFERROR(VLOOKUP($F58,Arrangörslista!K$8:$AG$45,16,FALSE),"DNS")))),IF(ISBLANK(Deltagarlista!$C17),"",IF(ISBLANK(Arrangörslista!K$8),"",IFERROR(VLOOKUP($F58,Arrangörslista!K$8:$AG$45,16,FALSE),"DNS")))))</f>
        <v/>
      </c>
      <c r="S58" s="5" t="str">
        <f>IF(Deltagarlista!$K$3=4,IF(ISBLANK(Deltagarlista!$C17),"",IF(ISBLANK(Arrangörslista!F$53),"",IFERROR(VLOOKUP($F58,Arrangörslista!F$53:$AG$90,16,FALSE),IF(ISBLANK(Deltagarlista!$C17),"",IF(ISBLANK(Arrangörslista!F$53),"",IFERROR(VLOOKUP($F58,Arrangörslista!G$53:$AG$90,16,FALSE),"DNS")))))),IF(Deltagarlista!$K$3=2,
IF(ISBLANK(Deltagarlista!$C17),"",IF(ISBLANK(Arrangörslista!L$8),"",IF($GV58=S$64," DNS ",IFERROR(VLOOKUP($F58,Arrangörslista!L$8:$AG$45,16,FALSE),"DNS")))),IF(ISBLANK(Deltagarlista!$C17),"",IF(ISBLANK(Arrangörslista!L$8),"",IFERROR(VLOOKUP($F58,Arrangörslista!L$8:$AG$45,16,FALSE),"DNS")))))</f>
        <v/>
      </c>
      <c r="T58" s="5" t="str">
        <f>IF(Deltagarlista!$K$3=4,IF(ISBLANK(Deltagarlista!$C17),"",IF(ISBLANK(Arrangörslista!H$53),"",IFERROR(VLOOKUP($F58,Arrangörslista!H$53:$AG$90,16,FALSE),IF(ISBLANK(Deltagarlista!$C17),"",IF(ISBLANK(Arrangörslista!H$53),"",IFERROR(VLOOKUP($F58,Arrangörslista!I$53:$AG$90,16,FALSE),"DNS")))))),IF(Deltagarlista!$K$3=2,
IF(ISBLANK(Deltagarlista!$C17),"",IF(ISBLANK(Arrangörslista!M$8),"",IF($GV58=T$64," DNS ",IFERROR(VLOOKUP($F58,Arrangörslista!M$8:$AG$45,16,FALSE),"DNS")))),IF(ISBLANK(Deltagarlista!$C17),"",IF(ISBLANK(Arrangörslista!M$8),"",IFERROR(VLOOKUP($F58,Arrangörslista!M$8:$AG$45,16,FALSE),"DNS")))))</f>
        <v/>
      </c>
      <c r="U58" s="5" t="str">
        <f>IF(Deltagarlista!$K$3=4,IF(ISBLANK(Deltagarlista!$C17),"",IF(ISBLANK(Arrangörslista!J$53),"",IFERROR(VLOOKUP($F58,Arrangörslista!J$53:$AG$90,16,FALSE),IF(ISBLANK(Deltagarlista!$C17),"",IF(ISBLANK(Arrangörslista!J$53),"",IFERROR(VLOOKUP($F58,Arrangörslista!K$53:$AG$90,16,FALSE),"DNS")))))),IF(Deltagarlista!$K$3=2,
IF(ISBLANK(Deltagarlista!$C17),"",IF(ISBLANK(Arrangörslista!N$8),"",IF($GV58=U$64," DNS ",IFERROR(VLOOKUP($F58,Arrangörslista!N$8:$AG$45,16,FALSE),"DNS")))),IF(ISBLANK(Deltagarlista!$C17),"",IF(ISBLANK(Arrangörslista!N$8),"",IFERROR(VLOOKUP($F58,Arrangörslista!N$8:$AG$45,16,FALSE),"DNS")))))</f>
        <v/>
      </c>
      <c r="V58" s="5" t="str">
        <f>IF(Deltagarlista!$K$3=4,IF(ISBLANK(Deltagarlista!$C17),"",IF(ISBLANK(Arrangörslista!L$53),"",IFERROR(VLOOKUP($F58,Arrangörslista!L$53:$AG$90,16,FALSE),IF(ISBLANK(Deltagarlista!$C17),"",IF(ISBLANK(Arrangörslista!L$53),"",IFERROR(VLOOKUP($F58,Arrangörslista!M$53:$AG$90,16,FALSE),"DNS")))))),IF(Deltagarlista!$K$3=2,
IF(ISBLANK(Deltagarlista!$C17),"",IF(ISBLANK(Arrangörslista!O$8),"",IF($GV58=V$64," DNS ",IFERROR(VLOOKUP($F58,Arrangörslista!O$8:$AG$45,16,FALSE),"DNS")))),IF(ISBLANK(Deltagarlista!$C17),"",IF(ISBLANK(Arrangörslista!O$8),"",IFERROR(VLOOKUP($F58,Arrangörslista!O$8:$AG$45,16,FALSE),"DNS")))))</f>
        <v/>
      </c>
      <c r="W58" s="5" t="str">
        <f>IF(Deltagarlista!$K$3=4,IF(ISBLANK(Deltagarlista!$C17),"",IF(ISBLANK(Arrangörslista!N$53),"",IFERROR(VLOOKUP($F58,Arrangörslista!N$53:$AG$90,16,FALSE),IF(ISBLANK(Deltagarlista!$C17),"",IF(ISBLANK(Arrangörslista!N$53),"",IFERROR(VLOOKUP($F58,Arrangörslista!O$53:$AG$90,16,FALSE),"DNS")))))),IF(Deltagarlista!$K$3=2,
IF(ISBLANK(Deltagarlista!$C17),"",IF(ISBLANK(Arrangörslista!P$8),"",IF($GV58=W$64," DNS ",IFERROR(VLOOKUP($F58,Arrangörslista!P$8:$AG$45,16,FALSE),"DNS")))),IF(ISBLANK(Deltagarlista!$C17),"",IF(ISBLANK(Arrangörslista!P$8),"",IFERROR(VLOOKUP($F58,Arrangörslista!P$8:$AG$45,16,FALSE),"DNS")))))</f>
        <v/>
      </c>
      <c r="X58" s="5" t="str">
        <f>IF(Deltagarlista!$K$3=4,IF(ISBLANK(Deltagarlista!$C17),"",IF(ISBLANK(Arrangörslista!P$53),"",IFERROR(VLOOKUP($F58,Arrangörslista!P$53:$AG$90,16,FALSE),IF(ISBLANK(Deltagarlista!$C17),"",IF(ISBLANK(Arrangörslista!P$53),"",IFERROR(VLOOKUP($F58,Arrangörslista!Q$53:$AG$90,16,FALSE),"DNS")))))),IF(Deltagarlista!$K$3=2,
IF(ISBLANK(Deltagarlista!$C17),"",IF(ISBLANK(Arrangörslista!Q$8),"",IF($GV58=X$64," DNS ",IFERROR(VLOOKUP($F58,Arrangörslista!Q$8:$AG$45,16,FALSE),"DNS")))),IF(ISBLANK(Deltagarlista!$C17),"",IF(ISBLANK(Arrangörslista!Q$8),"",IFERROR(VLOOKUP($F58,Arrangörslista!Q$8:$AG$45,16,FALSE),"DNS")))))</f>
        <v/>
      </c>
      <c r="Y58" s="5" t="str">
        <f>IF(Deltagarlista!$K$3=4,IF(ISBLANK(Deltagarlista!$C17),"",IF(ISBLANK(Arrangörslista!C$98),"",IFERROR(VLOOKUP($F58,Arrangörslista!C$98:$AG$135,16,FALSE),IF(ISBLANK(Deltagarlista!$C17),"",IF(ISBLANK(Arrangörslista!C$98),"",IFERROR(VLOOKUP($F58,Arrangörslista!D$98:$AG$135,16,FALSE),"DNS")))))),IF(Deltagarlista!$K$3=2,
IF(ISBLANK(Deltagarlista!$C17),"",IF(ISBLANK(Arrangörslista!C$53),"",IF($GV58=Y$64," DNS ",IFERROR(VLOOKUP($F58,Arrangörslista!C$53:$AG$90,16,FALSE),"DNS")))),IF(ISBLANK(Deltagarlista!$C17),"",IF(ISBLANK(Arrangörslista!C$53),"",IFERROR(VLOOKUP($F58,Arrangörslista!C$53:$AG$90,16,FALSE),"DNS")))))</f>
        <v/>
      </c>
      <c r="Z58" s="5" t="str">
        <f>IF(Deltagarlista!$K$3=4,IF(ISBLANK(Deltagarlista!$C17),"",IF(ISBLANK(Arrangörslista!E$98),"",IFERROR(VLOOKUP($F58,Arrangörslista!E$98:$AG$135,16,FALSE),IF(ISBLANK(Deltagarlista!$C17),"",IF(ISBLANK(Arrangörslista!E$98),"",IFERROR(VLOOKUP($F58,Arrangörslista!F$98:$AG$135,16,FALSE),"DNS")))))),IF(Deltagarlista!$K$3=2,
IF(ISBLANK(Deltagarlista!$C17),"",IF(ISBLANK(Arrangörslista!D$53),"",IF($GV58=Z$64," DNS ",IFERROR(VLOOKUP($F58,Arrangörslista!D$53:$AG$90,16,FALSE),"DNS")))),IF(ISBLANK(Deltagarlista!$C17),"",IF(ISBLANK(Arrangörslista!D$53),"",IFERROR(VLOOKUP($F58,Arrangörslista!D$53:$AG$90,16,FALSE),"DNS")))))</f>
        <v/>
      </c>
      <c r="AA58" s="5" t="str">
        <f>IF(Deltagarlista!$K$3=4,IF(ISBLANK(Deltagarlista!$C17),"",IF(ISBLANK(Arrangörslista!G$98),"",IFERROR(VLOOKUP($F58,Arrangörslista!G$98:$AG$135,16,FALSE),IF(ISBLANK(Deltagarlista!$C17),"",IF(ISBLANK(Arrangörslista!G$98),"",IFERROR(VLOOKUP($F58,Arrangörslista!H$98:$AG$135,16,FALSE),"DNS")))))),IF(Deltagarlista!$K$3=2,
IF(ISBLANK(Deltagarlista!$C17),"",IF(ISBLANK(Arrangörslista!E$53),"",IF($GV58=AA$64," DNS ",IFERROR(VLOOKUP($F58,Arrangörslista!E$53:$AG$90,16,FALSE),"DNS")))),IF(ISBLANK(Deltagarlista!$C17),"",IF(ISBLANK(Arrangörslista!E$53),"",IFERROR(VLOOKUP($F58,Arrangörslista!E$53:$AG$90,16,FALSE),"DNS")))))</f>
        <v/>
      </c>
      <c r="AB58" s="5" t="str">
        <f>IF(Deltagarlista!$K$3=4,IF(ISBLANK(Deltagarlista!$C17),"",IF(ISBLANK(Arrangörslista!I$98),"",IFERROR(VLOOKUP($F58,Arrangörslista!I$98:$AG$135,16,FALSE),IF(ISBLANK(Deltagarlista!$C17),"",IF(ISBLANK(Arrangörslista!I$98),"",IFERROR(VLOOKUP($F58,Arrangörslista!J$98:$AG$135,16,FALSE),"DNS")))))),IF(Deltagarlista!$K$3=2,
IF(ISBLANK(Deltagarlista!$C17),"",IF(ISBLANK(Arrangörslista!F$53),"",IF($GV58=AB$64," DNS ",IFERROR(VLOOKUP($F58,Arrangörslista!F$53:$AG$90,16,FALSE),"DNS")))),IF(ISBLANK(Deltagarlista!$C17),"",IF(ISBLANK(Arrangörslista!F$53),"",IFERROR(VLOOKUP($F58,Arrangörslista!F$53:$AG$90,16,FALSE),"DNS")))))</f>
        <v/>
      </c>
      <c r="AC58" s="5" t="str">
        <f>IF(Deltagarlista!$K$3=4,IF(ISBLANK(Deltagarlista!$C17),"",IF(ISBLANK(Arrangörslista!K$98),"",IFERROR(VLOOKUP($F58,Arrangörslista!K$98:$AG$135,16,FALSE),IF(ISBLANK(Deltagarlista!$C17),"",IF(ISBLANK(Arrangörslista!K$98),"",IFERROR(VLOOKUP($F58,Arrangörslista!L$98:$AG$135,16,FALSE),"DNS")))))),IF(Deltagarlista!$K$3=2,
IF(ISBLANK(Deltagarlista!$C17),"",IF(ISBLANK(Arrangörslista!G$53),"",IF($GV58=AC$64," DNS ",IFERROR(VLOOKUP($F58,Arrangörslista!G$53:$AG$90,16,FALSE),"DNS")))),IF(ISBLANK(Deltagarlista!$C17),"",IF(ISBLANK(Arrangörslista!G$53),"",IFERROR(VLOOKUP($F58,Arrangörslista!G$53:$AG$90,16,FALSE),"DNS")))))</f>
        <v/>
      </c>
      <c r="AD58" s="5" t="str">
        <f>IF(Deltagarlista!$K$3=4,IF(ISBLANK(Deltagarlista!$C17),"",IF(ISBLANK(Arrangörslista!M$98),"",IFERROR(VLOOKUP($F58,Arrangörslista!M$98:$AG$135,16,FALSE),IF(ISBLANK(Deltagarlista!$C17),"",IF(ISBLANK(Arrangörslista!M$98),"",IFERROR(VLOOKUP($F58,Arrangörslista!N$98:$AG$135,16,FALSE),"DNS")))))),IF(Deltagarlista!$K$3=2,
IF(ISBLANK(Deltagarlista!$C17),"",IF(ISBLANK(Arrangörslista!H$53),"",IF($GV58=AD$64," DNS ",IFERROR(VLOOKUP($F58,Arrangörslista!H$53:$AG$90,16,FALSE),"DNS")))),IF(ISBLANK(Deltagarlista!$C17),"",IF(ISBLANK(Arrangörslista!H$53),"",IFERROR(VLOOKUP($F58,Arrangörslista!H$53:$AG$90,16,FALSE),"DNS")))))</f>
        <v/>
      </c>
      <c r="AE58" s="5" t="str">
        <f>IF(Deltagarlista!$K$3=4,IF(ISBLANK(Deltagarlista!$C17),"",IF(ISBLANK(Arrangörslista!O$98),"",IFERROR(VLOOKUP($F58,Arrangörslista!O$98:$AG$135,16,FALSE),IF(ISBLANK(Deltagarlista!$C17),"",IF(ISBLANK(Arrangörslista!O$98),"",IFERROR(VLOOKUP($F58,Arrangörslista!P$98:$AG$135,16,FALSE),"DNS")))))),IF(Deltagarlista!$K$3=2,
IF(ISBLANK(Deltagarlista!$C17),"",IF(ISBLANK(Arrangörslista!I$53),"",IF($GV58=AE$64," DNS ",IFERROR(VLOOKUP($F58,Arrangörslista!I$53:$AG$90,16,FALSE),"DNS")))),IF(ISBLANK(Deltagarlista!$C17),"",IF(ISBLANK(Arrangörslista!I$53),"",IFERROR(VLOOKUP($F58,Arrangörslista!I$53:$AG$90,16,FALSE),"DNS")))))</f>
        <v/>
      </c>
      <c r="AF58" s="5" t="str">
        <f>IF(Deltagarlista!$K$3=4,IF(ISBLANK(Deltagarlista!$C17),"",IF(ISBLANK(Arrangörslista!Q$98),"",IFERROR(VLOOKUP($F58,Arrangörslista!Q$98:$AG$135,16,FALSE),IF(ISBLANK(Deltagarlista!$C17),"",IF(ISBLANK(Arrangörslista!Q$98),"",IFERROR(VLOOKUP($F58,Arrangörslista!C$143:$AG$180,16,FALSE),"DNS")))))),IF(Deltagarlista!$K$3=2,
IF(ISBLANK(Deltagarlista!$C17),"",IF(ISBLANK(Arrangörslista!J$53),"",IF($GV58=AF$64," DNS ",IFERROR(VLOOKUP($F58,Arrangörslista!J$53:$AG$90,16,FALSE),"DNS")))),IF(ISBLANK(Deltagarlista!$C17),"",IF(ISBLANK(Arrangörslista!J$53),"",IFERROR(VLOOKUP($F58,Arrangörslista!J$53:$AG$90,16,FALSE),"DNS")))))</f>
        <v/>
      </c>
      <c r="AG58" s="5" t="str">
        <f>IF(Deltagarlista!$K$3=4,IF(ISBLANK(Deltagarlista!$C17),"",IF(ISBLANK(Arrangörslista!D$143),"",IFERROR(VLOOKUP($F58,Arrangörslista!D$143:$AG$180,16,FALSE),IF(ISBLANK(Deltagarlista!$C17),"",IF(ISBLANK(Arrangörslista!D$143),"",IFERROR(VLOOKUP($F58,Arrangörslista!E$143:$AG$180,16,FALSE),"DNS")))))),IF(Deltagarlista!$K$3=2,
IF(ISBLANK(Deltagarlista!$C17),"",IF(ISBLANK(Arrangörslista!K$53),"",IF($GV58=AG$64," DNS ",IFERROR(VLOOKUP($F58,Arrangörslista!K$53:$AG$90,16,FALSE),"DNS")))),IF(ISBLANK(Deltagarlista!$C17),"",IF(ISBLANK(Arrangörslista!K$53),"",IFERROR(VLOOKUP($F58,Arrangörslista!K$53:$AG$90,16,FALSE),"DNS")))))</f>
        <v/>
      </c>
      <c r="AH58" s="5" t="str">
        <f>IF(Deltagarlista!$K$3=4,IF(ISBLANK(Deltagarlista!$C17),"",IF(ISBLANK(Arrangörslista!F$143),"",IFERROR(VLOOKUP($F58,Arrangörslista!F$143:$AG$180,16,FALSE),IF(ISBLANK(Deltagarlista!$C17),"",IF(ISBLANK(Arrangörslista!F$143),"",IFERROR(VLOOKUP($F58,Arrangörslista!G$143:$AG$180,16,FALSE),"DNS")))))),IF(Deltagarlista!$K$3=2,
IF(ISBLANK(Deltagarlista!$C17),"",IF(ISBLANK(Arrangörslista!L$53),"",IF($GV58=AH$64," DNS ",IFERROR(VLOOKUP($F58,Arrangörslista!L$53:$AG$90,16,FALSE),"DNS")))),IF(ISBLANK(Deltagarlista!$C17),"",IF(ISBLANK(Arrangörslista!L$53),"",IFERROR(VLOOKUP($F58,Arrangörslista!L$53:$AG$90,16,FALSE),"DNS")))))</f>
        <v/>
      </c>
      <c r="AI58" s="5" t="str">
        <f>IF(Deltagarlista!$K$3=4,IF(ISBLANK(Deltagarlista!$C17),"",IF(ISBLANK(Arrangörslista!H$143),"",IFERROR(VLOOKUP($F58,Arrangörslista!H$143:$AG$180,16,FALSE),IF(ISBLANK(Deltagarlista!$C17),"",IF(ISBLANK(Arrangörslista!H$143),"",IFERROR(VLOOKUP($F58,Arrangörslista!I$143:$AG$180,16,FALSE),"DNS")))))),IF(Deltagarlista!$K$3=2,
IF(ISBLANK(Deltagarlista!$C17),"",IF(ISBLANK(Arrangörslista!M$53),"",IF($GV58=AI$64," DNS ",IFERROR(VLOOKUP($F58,Arrangörslista!M$53:$AG$90,16,FALSE),"DNS")))),IF(ISBLANK(Deltagarlista!$C17),"",IF(ISBLANK(Arrangörslista!M$53),"",IFERROR(VLOOKUP($F58,Arrangörslista!M$53:$AG$90,16,FALSE),"DNS")))))</f>
        <v/>
      </c>
      <c r="AJ58" s="5" t="str">
        <f>IF(Deltagarlista!$K$3=4,IF(ISBLANK(Deltagarlista!$C17),"",IF(ISBLANK(Arrangörslista!J$143),"",IFERROR(VLOOKUP($F58,Arrangörslista!J$143:$AG$180,16,FALSE),IF(ISBLANK(Deltagarlista!$C17),"",IF(ISBLANK(Arrangörslista!J$143),"",IFERROR(VLOOKUP($F58,Arrangörslista!K$143:$AG$180,16,FALSE),"DNS")))))),IF(Deltagarlista!$K$3=2,
IF(ISBLANK(Deltagarlista!$C17),"",IF(ISBLANK(Arrangörslista!N$53),"",IF($GV58=AJ$64," DNS ",IFERROR(VLOOKUP($F58,Arrangörslista!N$53:$AG$90,16,FALSE),"DNS")))),IF(ISBLANK(Deltagarlista!$C17),"",IF(ISBLANK(Arrangörslista!N$53),"",IFERROR(VLOOKUP($F58,Arrangörslista!N$53:$AG$90,16,FALSE),"DNS")))))</f>
        <v/>
      </c>
      <c r="AK58" s="5" t="str">
        <f>IF(Deltagarlista!$K$3=4,IF(ISBLANK(Deltagarlista!$C17),"",IF(ISBLANK(Arrangörslista!L$143),"",IFERROR(VLOOKUP($F58,Arrangörslista!L$143:$AG$180,16,FALSE),IF(ISBLANK(Deltagarlista!$C17),"",IF(ISBLANK(Arrangörslista!L$143),"",IFERROR(VLOOKUP($F58,Arrangörslista!M$143:$AG$180,16,FALSE),"DNS")))))),IF(Deltagarlista!$K$3=2,
IF(ISBLANK(Deltagarlista!$C17),"",IF(ISBLANK(Arrangörslista!O$53),"",IF($GV58=AK$64," DNS ",IFERROR(VLOOKUP($F58,Arrangörslista!O$53:$AG$90,16,FALSE),"DNS")))),IF(ISBLANK(Deltagarlista!$C17),"",IF(ISBLANK(Arrangörslista!O$53),"",IFERROR(VLOOKUP($F58,Arrangörslista!O$53:$AG$90,16,FALSE),"DNS")))))</f>
        <v/>
      </c>
      <c r="AL58" s="5" t="str">
        <f>IF(Deltagarlista!$K$3=4,IF(ISBLANK(Deltagarlista!$C17),"",IF(ISBLANK(Arrangörslista!N$143),"",IFERROR(VLOOKUP($F58,Arrangörslista!N$143:$AG$180,16,FALSE),IF(ISBLANK(Deltagarlista!$C17),"",IF(ISBLANK(Arrangörslista!N$143),"",IFERROR(VLOOKUP($F58,Arrangörslista!O$143:$AG$180,16,FALSE),"DNS")))))),IF(Deltagarlista!$K$3=2,
IF(ISBLANK(Deltagarlista!$C17),"",IF(ISBLANK(Arrangörslista!P$53),"",IF($GV58=AL$64," DNS ",IFERROR(VLOOKUP($F58,Arrangörslista!P$53:$AG$90,16,FALSE),"DNS")))),IF(ISBLANK(Deltagarlista!$C17),"",IF(ISBLANK(Arrangörslista!P$53),"",IFERROR(VLOOKUP($F58,Arrangörslista!P$53:$AG$90,16,FALSE),"DNS")))))</f>
        <v/>
      </c>
      <c r="AM58" s="5" t="str">
        <f>IF(Deltagarlista!$K$3=4,IF(ISBLANK(Deltagarlista!$C17),"",IF(ISBLANK(Arrangörslista!P$143),"",IFERROR(VLOOKUP($F58,Arrangörslista!P$143:$AG$180,16,FALSE),IF(ISBLANK(Deltagarlista!$C17),"",IF(ISBLANK(Arrangörslista!P$143),"",IFERROR(VLOOKUP($F58,Arrangörslista!Q$143:$AG$180,16,FALSE),"DNS")))))),IF(Deltagarlista!$K$3=2,
IF(ISBLANK(Deltagarlista!$C17),"",IF(ISBLANK(Arrangörslista!Q$53),"",IF($GV58=AM$64," DNS ",IFERROR(VLOOKUP($F58,Arrangörslista!Q$53:$AG$90,16,FALSE),"DNS")))),IF(ISBLANK(Deltagarlista!$C17),"",IF(ISBLANK(Arrangörslista!Q$53),"",IFERROR(VLOOKUP($F58,Arrangörslista!Q$53:$AG$90,16,FALSE),"DNS")))))</f>
        <v/>
      </c>
      <c r="AN58" s="5" t="str">
        <f>IF(Deltagarlista!$K$3=2,
IF(ISBLANK(Deltagarlista!$C17),"",IF(ISBLANK(Arrangörslista!C$98),"",IF($GV58=AN$64," DNS ",IFERROR(VLOOKUP($F58,Arrangörslista!C$98:$AG$135,16,FALSE), "DNS")))), IF(Deltagarlista!$K$3=1,IF(ISBLANK(Deltagarlista!$C17),"",IF(ISBLANK(Arrangörslista!C$98),"",IFERROR(VLOOKUP($F58,Arrangörslista!C$98:$AG$135,16,FALSE), "DNS"))),""))</f>
        <v/>
      </c>
      <c r="AO58" s="5" t="str">
        <f>IF(Deltagarlista!$K$3=2,
IF(ISBLANK(Deltagarlista!$C17),"",IF(ISBLANK(Arrangörslista!D$98),"",IF($GV58=AO$64," DNS ",IFERROR(VLOOKUP($F58,Arrangörslista!D$98:$AG$135,16,FALSE), "DNS")))), IF(Deltagarlista!$K$3=1,IF(ISBLANK(Deltagarlista!$C17),"",IF(ISBLANK(Arrangörslista!D$98),"",IFERROR(VLOOKUP($F58,Arrangörslista!D$98:$AG$135,16,FALSE), "DNS"))),""))</f>
        <v/>
      </c>
      <c r="AP58" s="5" t="str">
        <f>IF(Deltagarlista!$K$3=2,
IF(ISBLANK(Deltagarlista!$C17),"",IF(ISBLANK(Arrangörslista!E$98),"",IF($GV58=AP$64," DNS ",IFERROR(VLOOKUP($F58,Arrangörslista!E$98:$AG$135,16,FALSE), "DNS")))), IF(Deltagarlista!$K$3=1,IF(ISBLANK(Deltagarlista!$C17),"",IF(ISBLANK(Arrangörslista!E$98),"",IFERROR(VLOOKUP($F58,Arrangörslista!E$98:$AG$135,16,FALSE), "DNS"))),""))</f>
        <v/>
      </c>
      <c r="AQ58" s="5" t="str">
        <f>IF(Deltagarlista!$K$3=2,
IF(ISBLANK(Deltagarlista!$C17),"",IF(ISBLANK(Arrangörslista!F$98),"",IF($GV58=AQ$64," DNS ",IFERROR(VLOOKUP($F58,Arrangörslista!F$98:$AG$135,16,FALSE), "DNS")))), IF(Deltagarlista!$K$3=1,IF(ISBLANK(Deltagarlista!$C17),"",IF(ISBLANK(Arrangörslista!F$98),"",IFERROR(VLOOKUP($F58,Arrangörslista!F$98:$AG$135,16,FALSE), "DNS"))),""))</f>
        <v/>
      </c>
      <c r="AR58" s="5" t="str">
        <f>IF(Deltagarlista!$K$3=2,
IF(ISBLANK(Deltagarlista!$C17),"",IF(ISBLANK(Arrangörslista!G$98),"",IF($GV58=AR$64," DNS ",IFERROR(VLOOKUP($F58,Arrangörslista!G$98:$AG$135,16,FALSE), "DNS")))), IF(Deltagarlista!$K$3=1,IF(ISBLANK(Deltagarlista!$C17),"",IF(ISBLANK(Arrangörslista!G$98),"",IFERROR(VLOOKUP($F58,Arrangörslista!G$98:$AG$135,16,FALSE), "DNS"))),""))</f>
        <v/>
      </c>
      <c r="AS58" s="5" t="str">
        <f>IF(Deltagarlista!$K$3=2,
IF(ISBLANK(Deltagarlista!$C17),"",IF(ISBLANK(Arrangörslista!H$98),"",IF($GV58=AS$64," DNS ",IFERROR(VLOOKUP($F58,Arrangörslista!H$98:$AG$135,16,FALSE), "DNS")))), IF(Deltagarlista!$K$3=1,IF(ISBLANK(Deltagarlista!$C17),"",IF(ISBLANK(Arrangörslista!H$98),"",IFERROR(VLOOKUP($F58,Arrangörslista!H$98:$AG$135,16,FALSE), "DNS"))),""))</f>
        <v/>
      </c>
      <c r="AT58" s="5" t="str">
        <f>IF(Deltagarlista!$K$3=2,
IF(ISBLANK(Deltagarlista!$C17),"",IF(ISBLANK(Arrangörslista!I$98),"",IF($GV58=AT$64," DNS ",IFERROR(VLOOKUP($F58,Arrangörslista!I$98:$AG$135,16,FALSE), "DNS")))), IF(Deltagarlista!$K$3=1,IF(ISBLANK(Deltagarlista!$C17),"",IF(ISBLANK(Arrangörslista!I$98),"",IFERROR(VLOOKUP($F58,Arrangörslista!I$98:$AG$135,16,FALSE), "DNS"))),""))</f>
        <v/>
      </c>
      <c r="AU58" s="5" t="str">
        <f>IF(Deltagarlista!$K$3=2,
IF(ISBLANK(Deltagarlista!$C17),"",IF(ISBLANK(Arrangörslista!J$98),"",IF($GV58=AU$64," DNS ",IFERROR(VLOOKUP($F58,Arrangörslista!J$98:$AG$135,16,FALSE), "DNS")))), IF(Deltagarlista!$K$3=1,IF(ISBLANK(Deltagarlista!$C17),"",IF(ISBLANK(Arrangörslista!J$98),"",IFERROR(VLOOKUP($F58,Arrangörslista!J$98:$AG$135,16,FALSE), "DNS"))),""))</f>
        <v/>
      </c>
      <c r="AV58" s="5" t="str">
        <f>IF(Deltagarlista!$K$3=2,
IF(ISBLANK(Deltagarlista!$C17),"",IF(ISBLANK(Arrangörslista!K$98),"",IF($GV58=AV$64," DNS ",IFERROR(VLOOKUP($F58,Arrangörslista!K$98:$AG$135,16,FALSE), "DNS")))), IF(Deltagarlista!$K$3=1,IF(ISBLANK(Deltagarlista!$C17),"",IF(ISBLANK(Arrangörslista!K$98),"",IFERROR(VLOOKUP($F58,Arrangörslista!K$98:$AG$135,16,FALSE), "DNS"))),""))</f>
        <v/>
      </c>
      <c r="AW58" s="5" t="str">
        <f>IF(Deltagarlista!$K$3=2,
IF(ISBLANK(Deltagarlista!$C17),"",IF(ISBLANK(Arrangörslista!L$98),"",IF($GV58=AW$64," DNS ",IFERROR(VLOOKUP($F58,Arrangörslista!L$98:$AG$135,16,FALSE), "DNS")))), IF(Deltagarlista!$K$3=1,IF(ISBLANK(Deltagarlista!$C17),"",IF(ISBLANK(Arrangörslista!L$98),"",IFERROR(VLOOKUP($F58,Arrangörslista!L$98:$AG$135,16,FALSE), "DNS"))),""))</f>
        <v/>
      </c>
      <c r="AX58" s="5" t="str">
        <f>IF(Deltagarlista!$K$3=2,
IF(ISBLANK(Deltagarlista!$C17),"",IF(ISBLANK(Arrangörslista!M$98),"",IF($GV58=AX$64," DNS ",IFERROR(VLOOKUP($F58,Arrangörslista!M$98:$AG$135,16,FALSE), "DNS")))), IF(Deltagarlista!$K$3=1,IF(ISBLANK(Deltagarlista!$C17),"",IF(ISBLANK(Arrangörslista!M$98),"",IFERROR(VLOOKUP($F58,Arrangörslista!M$98:$AG$135,16,FALSE), "DNS"))),""))</f>
        <v/>
      </c>
      <c r="AY58" s="5" t="str">
        <f>IF(Deltagarlista!$K$3=2,
IF(ISBLANK(Deltagarlista!$C17),"",IF(ISBLANK(Arrangörslista!N$98),"",IF($GV58=AY$64," DNS ",IFERROR(VLOOKUP($F58,Arrangörslista!N$98:$AG$135,16,FALSE), "DNS")))), IF(Deltagarlista!$K$3=1,IF(ISBLANK(Deltagarlista!$C17),"",IF(ISBLANK(Arrangörslista!N$98),"",IFERROR(VLOOKUP($F58,Arrangörslista!N$98:$AG$135,16,FALSE), "DNS"))),""))</f>
        <v/>
      </c>
      <c r="AZ58" s="5" t="str">
        <f>IF(Deltagarlista!$K$3=2,
IF(ISBLANK(Deltagarlista!$C17),"",IF(ISBLANK(Arrangörslista!O$98),"",IF($GV58=AZ$64," DNS ",IFERROR(VLOOKUP($F58,Arrangörslista!O$98:$AG$135,16,FALSE), "DNS")))), IF(Deltagarlista!$K$3=1,IF(ISBLANK(Deltagarlista!$C17),"",IF(ISBLANK(Arrangörslista!O$98),"",IFERROR(VLOOKUP($F58,Arrangörslista!O$98:$AG$135,16,FALSE), "DNS"))),""))</f>
        <v/>
      </c>
      <c r="BA58" s="5" t="str">
        <f>IF(Deltagarlista!$K$3=2,
IF(ISBLANK(Deltagarlista!$C17),"",IF(ISBLANK(Arrangörslista!P$98),"",IF($GV58=BA$64," DNS ",IFERROR(VLOOKUP($F58,Arrangörslista!P$98:$AG$135,16,FALSE), "DNS")))), IF(Deltagarlista!$K$3=1,IF(ISBLANK(Deltagarlista!$C17),"",IF(ISBLANK(Arrangörslista!P$98),"",IFERROR(VLOOKUP($F58,Arrangörslista!P$98:$AG$135,16,FALSE), "DNS"))),""))</f>
        <v/>
      </c>
      <c r="BB58" s="5" t="str">
        <f>IF(Deltagarlista!$K$3=2,
IF(ISBLANK(Deltagarlista!$C17),"",IF(ISBLANK(Arrangörslista!Q$98),"",IF($GV58=BB$64," DNS ",IFERROR(VLOOKUP($F58,Arrangörslista!Q$98:$AG$135,16,FALSE), "DNS")))), IF(Deltagarlista!$K$3=1,IF(ISBLANK(Deltagarlista!$C17),"",IF(ISBLANK(Arrangörslista!Q$98),"",IFERROR(VLOOKUP($F58,Arrangörslista!Q$98:$AG$135,16,FALSE), "DNS"))),""))</f>
        <v/>
      </c>
      <c r="BC58" s="5" t="str">
        <f>IF(Deltagarlista!$K$3=2,
IF(ISBLANK(Deltagarlista!$C17),"",IF(ISBLANK(Arrangörslista!C$143),"",IF($GV58=BC$64," DNS ",IFERROR(VLOOKUP($F58,Arrangörslista!C$143:$AG$180,16,FALSE), "DNS")))), IF(Deltagarlista!$K$3=1,IF(ISBLANK(Deltagarlista!$C17),"",IF(ISBLANK(Arrangörslista!C$143),"",IFERROR(VLOOKUP($F58,Arrangörslista!C$143:$AG$180,16,FALSE), "DNS"))),""))</f>
        <v/>
      </c>
      <c r="BD58" s="5" t="str">
        <f>IF(Deltagarlista!$K$3=2,
IF(ISBLANK(Deltagarlista!$C17),"",IF(ISBLANK(Arrangörslista!D$143),"",IF($GV58=BD$64," DNS ",IFERROR(VLOOKUP($F58,Arrangörslista!D$143:$AG$180,16,FALSE), "DNS")))), IF(Deltagarlista!$K$3=1,IF(ISBLANK(Deltagarlista!$C17),"",IF(ISBLANK(Arrangörslista!D$143),"",IFERROR(VLOOKUP($F58,Arrangörslista!D$143:$AG$180,16,FALSE), "DNS"))),""))</f>
        <v/>
      </c>
      <c r="BE58" s="5" t="str">
        <f>IF(Deltagarlista!$K$3=2,
IF(ISBLANK(Deltagarlista!$C17),"",IF(ISBLANK(Arrangörslista!E$143),"",IF($GV58=BE$64," DNS ",IFERROR(VLOOKUP($F58,Arrangörslista!E$143:$AG$180,16,FALSE), "DNS")))), IF(Deltagarlista!$K$3=1,IF(ISBLANK(Deltagarlista!$C17),"",IF(ISBLANK(Arrangörslista!E$143),"",IFERROR(VLOOKUP($F58,Arrangörslista!E$143:$AG$180,16,FALSE), "DNS"))),""))</f>
        <v/>
      </c>
      <c r="BF58" s="5" t="str">
        <f>IF(Deltagarlista!$K$3=2,
IF(ISBLANK(Deltagarlista!$C17),"",IF(ISBLANK(Arrangörslista!F$143),"",IF($GV58=BF$64," DNS ",IFERROR(VLOOKUP($F58,Arrangörslista!F$143:$AG$180,16,FALSE), "DNS")))), IF(Deltagarlista!$K$3=1,IF(ISBLANK(Deltagarlista!$C17),"",IF(ISBLANK(Arrangörslista!F$143),"",IFERROR(VLOOKUP($F58,Arrangörslista!F$143:$AG$180,16,FALSE), "DNS"))),""))</f>
        <v/>
      </c>
      <c r="BG58" s="5" t="str">
        <f>IF(Deltagarlista!$K$3=2,
IF(ISBLANK(Deltagarlista!$C17),"",IF(ISBLANK(Arrangörslista!G$143),"",IF($GV58=BG$64," DNS ",IFERROR(VLOOKUP($F58,Arrangörslista!G$143:$AG$180,16,FALSE), "DNS")))), IF(Deltagarlista!$K$3=1,IF(ISBLANK(Deltagarlista!$C17),"",IF(ISBLANK(Arrangörslista!G$143),"",IFERROR(VLOOKUP($F58,Arrangörslista!G$143:$AG$180,16,FALSE), "DNS"))),""))</f>
        <v/>
      </c>
      <c r="BH58" s="5" t="str">
        <f>IF(Deltagarlista!$K$3=2,
IF(ISBLANK(Deltagarlista!$C17),"",IF(ISBLANK(Arrangörslista!H$143),"",IF($GV58=BH$64," DNS ",IFERROR(VLOOKUP($F58,Arrangörslista!H$143:$AG$180,16,FALSE), "DNS")))), IF(Deltagarlista!$K$3=1,IF(ISBLANK(Deltagarlista!$C17),"",IF(ISBLANK(Arrangörslista!H$143),"",IFERROR(VLOOKUP($F58,Arrangörslista!H$143:$AG$180,16,FALSE), "DNS"))),""))</f>
        <v/>
      </c>
      <c r="BI58" s="5" t="str">
        <f>IF(Deltagarlista!$K$3=2,
IF(ISBLANK(Deltagarlista!$C17),"",IF(ISBLANK(Arrangörslista!I$143),"",IF($GV58=BI$64," DNS ",IFERROR(VLOOKUP($F58,Arrangörslista!I$143:$AG$180,16,FALSE), "DNS")))), IF(Deltagarlista!$K$3=1,IF(ISBLANK(Deltagarlista!$C17),"",IF(ISBLANK(Arrangörslista!I$143),"",IFERROR(VLOOKUP($F58,Arrangörslista!I$143:$AG$180,16,FALSE), "DNS"))),""))</f>
        <v/>
      </c>
      <c r="BJ58" s="5" t="str">
        <f>IF(Deltagarlista!$K$3=2,
IF(ISBLANK(Deltagarlista!$C17),"",IF(ISBLANK(Arrangörslista!J$143),"",IF($GV58=BJ$64," DNS ",IFERROR(VLOOKUP($F58,Arrangörslista!J$143:$AG$180,16,FALSE), "DNS")))), IF(Deltagarlista!$K$3=1,IF(ISBLANK(Deltagarlista!$C17),"",IF(ISBLANK(Arrangörslista!J$143),"",IFERROR(VLOOKUP($F58,Arrangörslista!J$143:$AG$180,16,FALSE), "DNS"))),""))</f>
        <v/>
      </c>
      <c r="BK58" s="5" t="str">
        <f>IF(Deltagarlista!$K$3=2,
IF(ISBLANK(Deltagarlista!$C17),"",IF(ISBLANK(Arrangörslista!K$143),"",IF($GV58=BK$64," DNS ",IFERROR(VLOOKUP($F58,Arrangörslista!K$143:$AG$180,16,FALSE), "DNS")))), IF(Deltagarlista!$K$3=1,IF(ISBLANK(Deltagarlista!$C17),"",IF(ISBLANK(Arrangörslista!K$143),"",IFERROR(VLOOKUP($F58,Arrangörslista!K$143:$AG$180,16,FALSE), "DNS"))),""))</f>
        <v/>
      </c>
      <c r="BL58" s="5" t="str">
        <f>IF(Deltagarlista!$K$3=2,
IF(ISBLANK(Deltagarlista!$C17),"",IF(ISBLANK(Arrangörslista!L$143),"",IF($GV58=BL$64," DNS ",IFERROR(VLOOKUP($F58,Arrangörslista!L$143:$AG$180,16,FALSE), "DNS")))), IF(Deltagarlista!$K$3=1,IF(ISBLANK(Deltagarlista!$C17),"",IF(ISBLANK(Arrangörslista!L$143),"",IFERROR(VLOOKUP($F58,Arrangörslista!L$143:$AG$180,16,FALSE), "DNS"))),""))</f>
        <v/>
      </c>
      <c r="BM58" s="5" t="str">
        <f>IF(Deltagarlista!$K$3=2,
IF(ISBLANK(Deltagarlista!$C17),"",IF(ISBLANK(Arrangörslista!M$143),"",IF($GV58=BM$64," DNS ",IFERROR(VLOOKUP($F58,Arrangörslista!M$143:$AG$180,16,FALSE), "DNS")))), IF(Deltagarlista!$K$3=1,IF(ISBLANK(Deltagarlista!$C17),"",IF(ISBLANK(Arrangörslista!M$143),"",IFERROR(VLOOKUP($F58,Arrangörslista!M$143:$AG$180,16,FALSE), "DNS"))),""))</f>
        <v/>
      </c>
      <c r="BN58" s="5" t="str">
        <f>IF(Deltagarlista!$K$3=2,
IF(ISBLANK(Deltagarlista!$C17),"",IF(ISBLANK(Arrangörslista!N$143),"",IF($GV58=BN$64," DNS ",IFERROR(VLOOKUP($F58,Arrangörslista!N$143:$AG$180,16,FALSE), "DNS")))), IF(Deltagarlista!$K$3=1,IF(ISBLANK(Deltagarlista!$C17),"",IF(ISBLANK(Arrangörslista!N$143),"",IFERROR(VLOOKUP($F58,Arrangörslista!N$143:$AG$180,16,FALSE), "DNS"))),""))</f>
        <v/>
      </c>
      <c r="BO58" s="5" t="str">
        <f>IF(Deltagarlista!$K$3=2,
IF(ISBLANK(Deltagarlista!$C17),"",IF(ISBLANK(Arrangörslista!O$143),"",IF($GV58=BO$64," DNS ",IFERROR(VLOOKUP($F58,Arrangörslista!O$143:$AG$180,16,FALSE), "DNS")))), IF(Deltagarlista!$K$3=1,IF(ISBLANK(Deltagarlista!$C17),"",IF(ISBLANK(Arrangörslista!O$143),"",IFERROR(VLOOKUP($F58,Arrangörslista!O$143:$AG$180,16,FALSE), "DNS"))),""))</f>
        <v/>
      </c>
      <c r="BP58" s="5" t="str">
        <f>IF(Deltagarlista!$K$3=2,
IF(ISBLANK(Deltagarlista!$C17),"",IF(ISBLANK(Arrangörslista!P$143),"",IF($GV58=BP$64," DNS ",IFERROR(VLOOKUP($F58,Arrangörslista!P$143:$AG$180,16,FALSE), "DNS")))), IF(Deltagarlista!$K$3=1,IF(ISBLANK(Deltagarlista!$C17),"",IF(ISBLANK(Arrangörslista!P$143),"",IFERROR(VLOOKUP($F58,Arrangörslista!P$143:$AG$180,16,FALSE), "DNS"))),""))</f>
        <v/>
      </c>
      <c r="BQ58" s="80" t="str">
        <f>IF(Deltagarlista!$K$3=2,
IF(ISBLANK(Deltagarlista!$C17),"",IF(ISBLANK(Arrangörslista!Q$143),"",IF($GV58=BQ$64," DNS ",IFERROR(VLOOKUP($F58,Arrangörslista!Q$143:$AG$180,16,FALSE), "DNS")))), IF(Deltagarlista!$K$3=1,IF(ISBLANK(Deltagarlista!$C17),"",IF(ISBLANK(Arrangörslista!Q$143),"",IFERROR(VLOOKUP($F58,Arrangörslista!Q$143:$AG$180,16,FALSE), "DNS"))),""))</f>
        <v/>
      </c>
      <c r="BR58" s="51"/>
      <c r="BS58" s="50" t="str">
        <f t="shared" si="125"/>
        <v>2</v>
      </c>
      <c r="BT58" s="51"/>
      <c r="BU58" s="71">
        <f t="shared" si="126"/>
        <v>0</v>
      </c>
      <c r="BV58" s="61">
        <f t="shared" si="127"/>
        <v>0</v>
      </c>
      <c r="BW58" s="61">
        <f t="shared" si="128"/>
        <v>0</v>
      </c>
      <c r="BX58" s="61">
        <f t="shared" si="129"/>
        <v>0</v>
      </c>
      <c r="BY58" s="61">
        <f t="shared" si="130"/>
        <v>0</v>
      </c>
      <c r="BZ58" s="61">
        <f t="shared" si="131"/>
        <v>0</v>
      </c>
      <c r="CA58" s="61">
        <f t="shared" si="132"/>
        <v>0</v>
      </c>
      <c r="CB58" s="61">
        <f t="shared" si="133"/>
        <v>0</v>
      </c>
      <c r="CC58" s="61">
        <f t="shared" si="134"/>
        <v>0</v>
      </c>
      <c r="CD58" s="61">
        <f t="shared" si="135"/>
        <v>0</v>
      </c>
      <c r="CE58" s="61">
        <f t="shared" si="136"/>
        <v>0</v>
      </c>
      <c r="CF58" s="61">
        <f t="shared" si="137"/>
        <v>0</v>
      </c>
      <c r="CG58" s="61">
        <f t="shared" si="138"/>
        <v>0</v>
      </c>
      <c r="CH58" s="61">
        <f t="shared" si="139"/>
        <v>0</v>
      </c>
      <c r="CI58" s="61">
        <f t="shared" si="140"/>
        <v>0</v>
      </c>
      <c r="CJ58" s="61">
        <f t="shared" si="141"/>
        <v>0</v>
      </c>
      <c r="CK58" s="61">
        <f t="shared" si="142"/>
        <v>0</v>
      </c>
      <c r="CL58" s="61">
        <f t="shared" si="143"/>
        <v>0</v>
      </c>
      <c r="CM58" s="61">
        <f t="shared" si="144"/>
        <v>0</v>
      </c>
      <c r="CN58" s="61">
        <f t="shared" si="145"/>
        <v>0</v>
      </c>
      <c r="CO58" s="61">
        <f t="shared" si="146"/>
        <v>0</v>
      </c>
      <c r="CP58" s="61">
        <f t="shared" si="147"/>
        <v>0</v>
      </c>
      <c r="CQ58" s="61">
        <f t="shared" si="148"/>
        <v>0</v>
      </c>
      <c r="CR58" s="61">
        <f t="shared" si="149"/>
        <v>0</v>
      </c>
      <c r="CS58" s="61">
        <f t="shared" si="150"/>
        <v>0</v>
      </c>
      <c r="CT58" s="61">
        <f t="shared" si="151"/>
        <v>0</v>
      </c>
      <c r="CU58" s="61">
        <f t="shared" si="152"/>
        <v>0</v>
      </c>
      <c r="CV58" s="61">
        <f t="shared" si="153"/>
        <v>0</v>
      </c>
      <c r="CW58" s="61">
        <f t="shared" si="154"/>
        <v>0</v>
      </c>
      <c r="CX58" s="61">
        <f t="shared" si="155"/>
        <v>0</v>
      </c>
      <c r="CY58" s="61">
        <f t="shared" si="156"/>
        <v>0</v>
      </c>
      <c r="CZ58" s="61">
        <f t="shared" si="157"/>
        <v>0</v>
      </c>
      <c r="DA58" s="61">
        <f t="shared" si="158"/>
        <v>0</v>
      </c>
      <c r="DB58" s="61">
        <f t="shared" si="159"/>
        <v>0</v>
      </c>
      <c r="DC58" s="61">
        <f t="shared" si="160"/>
        <v>0</v>
      </c>
      <c r="DD58" s="61">
        <f t="shared" si="161"/>
        <v>0</v>
      </c>
      <c r="DE58" s="61">
        <f t="shared" si="162"/>
        <v>0</v>
      </c>
      <c r="DF58" s="61">
        <f t="shared" si="163"/>
        <v>0</v>
      </c>
      <c r="DG58" s="61">
        <f t="shared" si="164"/>
        <v>0</v>
      </c>
      <c r="DH58" s="61">
        <f t="shared" si="165"/>
        <v>0</v>
      </c>
      <c r="DI58" s="61">
        <f t="shared" si="166"/>
        <v>0</v>
      </c>
      <c r="DJ58" s="61">
        <f t="shared" si="167"/>
        <v>0</v>
      </c>
      <c r="DK58" s="61">
        <f t="shared" si="168"/>
        <v>0</v>
      </c>
      <c r="DL58" s="61">
        <f t="shared" si="169"/>
        <v>0</v>
      </c>
      <c r="DM58" s="61">
        <f t="shared" si="170"/>
        <v>0</v>
      </c>
      <c r="DN58" s="61">
        <f t="shared" si="171"/>
        <v>0</v>
      </c>
      <c r="DO58" s="61">
        <f t="shared" si="172"/>
        <v>0</v>
      </c>
      <c r="DP58" s="61">
        <f t="shared" si="173"/>
        <v>0</v>
      </c>
      <c r="DQ58" s="61">
        <f t="shared" si="174"/>
        <v>0</v>
      </c>
      <c r="DR58" s="61">
        <f t="shared" si="175"/>
        <v>0</v>
      </c>
      <c r="DS58" s="61">
        <f t="shared" si="176"/>
        <v>0</v>
      </c>
      <c r="DT58" s="61">
        <f t="shared" si="177"/>
        <v>0</v>
      </c>
      <c r="DU58" s="61">
        <f t="shared" si="178"/>
        <v>0</v>
      </c>
      <c r="DV58" s="61">
        <f t="shared" si="179"/>
        <v>0</v>
      </c>
      <c r="DW58" s="61">
        <f t="shared" si="180"/>
        <v>0</v>
      </c>
      <c r="DX58" s="61">
        <f t="shared" si="181"/>
        <v>0</v>
      </c>
      <c r="DY58" s="61">
        <f t="shared" si="182"/>
        <v>0</v>
      </c>
      <c r="DZ58" s="61">
        <f t="shared" si="183"/>
        <v>0</v>
      </c>
      <c r="EA58" s="61">
        <f t="shared" si="184"/>
        <v>0</v>
      </c>
      <c r="EB58" s="61">
        <f t="shared" si="185"/>
        <v>0</v>
      </c>
      <c r="EC58" s="61">
        <f t="shared" si="186"/>
        <v>0</v>
      </c>
      <c r="EE58" s="61">
        <f xml:space="preserve">
IF(OR(Deltagarlista!$K$3=3,Deltagarlista!$K$3=4),
IF(Arrangörslista!$U$5&lt;8,0,
IF(Arrangörslista!$U$5&lt;16,SUM(LARGE(BV58:CJ58,1)),
IF(Arrangörslista!$U$5&lt;24,SUM(LARGE(BV58:CR58,{1;2})),
IF(Arrangörslista!$U$5&lt;32,SUM(LARGE(BV58:CZ58,{1;2;3})),
IF(Arrangörslista!$U$5&lt;40,SUM(LARGE(BV58:DH58,{1;2;3;4})),
IF(Arrangörslista!$U$5&lt;48,SUM(LARGE(BV58:DP58,{1;2;3;4;5})),
IF(Arrangörslista!$U$5&lt;56,SUM(LARGE(BV58:DX58,{1;2;3;4;5;6})),
IF(Arrangörslista!$U$5&lt;64,SUM(LARGE(BV58:EC58,{1;2;3;4;5;6;7})),0)))))))),
IF(Deltagarlista!$K$3=2,
IF(Arrangörslista!$U$5&lt;4,LARGE(BV58:BX58,1),
IF(Arrangörslista!$U$5&lt;7,SUM(LARGE(BV58:CA58,{1;2;3})),
IF(Arrangörslista!$U$5&lt;10,SUM(LARGE(BV58:CD58,{1;2;3;4})),
IF(Arrangörslista!$U$5&lt;13,SUM(LARGE(BV58:CG58,{1;2;3;4;5;6})),
IF(Arrangörslista!$U$5&lt;16,SUM(LARGE(BV58:CJ58,{1;2;3;4;5;6;7})),
IF(Arrangörslista!$U$5&lt;19,SUM(LARGE(BV58:CM58,{1;2;3;4;5;6;7;8;9})),
IF(Arrangörslista!$U$5&lt;22,SUM(LARGE(BV58:CP58,{1;2;3;4;5;6;7;8;9;10})),
IF(Arrangörslista!$U$5&lt;25,SUM(LARGE(BV58:CS58,{1;2;3;4;5;6;7;8;9;10;11;12})),
IF(Arrangörslista!$U$5&lt;28,SUM(LARGE(BV58:CV58,{1;2;3;4;5;6;7;8;9;10;11;12;13})),
IF(Arrangörslista!$U$5&lt;31,SUM(LARGE(BV58:CY58,{1;2;3;4;5;6;7;8;9;10;11;12;13;14;15})),
IF(Arrangörslista!$U$5&lt;34,SUM(LARGE(BV58:DB58,{1;2;3;4;5;6;7;8;9;10;11;12;13;14;15;16})),
IF(Arrangörslista!$U$5&lt;37,SUM(LARGE(BV58:DE58,{1;2;3;4;5;6;7;8;9;10;11;12;13;14;15;16;17;18})),
IF(Arrangörslista!$U$5&lt;40,SUM(LARGE(BV58:DH58,{1;2;3;4;5;6;7;8;9;10;11;12;13;14;15;16;17;18;19})),
IF(Arrangörslista!$U$5&lt;43,SUM(LARGE(BV58:DK58,{1;2;3;4;5;6;7;8;9;10;11;12;13;14;15;16;17;18;19;20;21})),
IF(Arrangörslista!$U$5&lt;46,SUM(LARGE(BV58:DN58,{1;2;3;4;5;6;7;8;9;10;11;12;13;14;15;16;17;18;19;20;21;22})),
IF(Arrangörslista!$U$5&lt;49,SUM(LARGE(BV58:DQ58,{1;2;3;4;5;6;7;8;9;10;11;12;13;14;15;16;17;18;19;20;21;22;23;24})),
IF(Arrangörslista!$U$5&lt;52,SUM(LARGE(BV58:DT58,{1;2;3;4;5;6;7;8;9;10;11;12;13;14;15;16;17;18;19;20;21;22;23;24;25})),
IF(Arrangörslista!$U$5&lt;55,SUM(LARGE(BV58:DW58,{1;2;3;4;5;6;7;8;9;10;11;12;13;14;15;16;17;18;19;20;21;22;23;24;25;26;27})),
IF(Arrangörslista!$U$5&lt;58,SUM(LARGE(BV58:DZ58,{1;2;3;4;5;6;7;8;9;10;11;12;13;14;15;16;17;18;19;20;21;22;23;24;25;26;27;28})),
IF(Arrangörslista!$U$5&lt;61,SUM(LARGE(BV58:EC58,{1;2;3;4;5;6;7;8;9;10;11;12;13;14;15;16;17;18;19;20;21;22;23;24;25;26;27;28;29;30})),0)))))))))))))))))))),
IF(Arrangörslista!$U$5&lt;4,0,
IF(Arrangörslista!$U$5&lt;8,SUM(LARGE(BV58:CB58,1)),
IF(Arrangörslista!$U$5&lt;12,SUM(LARGE(BV58:CF58,{1;2})),
IF(Arrangörslista!$U$5&lt;16,SUM(LARGE(BV58:CJ58,{1;2;3})),
IF(Arrangörslista!$U$5&lt;20,SUM(LARGE(BV58:CN58,{1;2;3;4})),
IF(Arrangörslista!$U$5&lt;24,SUM(LARGE(BV58:CR58,{1;2;3;4;5})),
IF(Arrangörslista!$U$5&lt;28,SUM(LARGE(BV58:CV58,{1;2;3;4;5;6})),
IF(Arrangörslista!$U$5&lt;32,SUM(LARGE(BV58:CZ58,{1;2;3;4;5;6;7})),
IF(Arrangörslista!$U$5&lt;36,SUM(LARGE(BV58:DD58,{1;2;3;4;5;6;7;8})),
IF(Arrangörslista!$U$5&lt;40,SUM(LARGE(BV58:DH58,{1;2;3;4;5;6;7;8;9})),
IF(Arrangörslista!$U$5&lt;44,SUM(LARGE(BV58:DL58,{1;2;3;4;5;6;7;8;9;10})),
IF(Arrangörslista!$U$5&lt;48,SUM(LARGE(BV58:DP58,{1;2;3;4;5;6;7;8;9;10;11})),
IF(Arrangörslista!$U$5&lt;52,SUM(LARGE(BV58:DT58,{1;2;3;4;5;6;7;8;9;10;11;12})),
IF(Arrangörslista!$U$5&lt;56,SUM(LARGE(BV58:DX58,{1;2;3;4;5;6;7;8;9;10;11;12;13})),
IF(Arrangörslista!$U$5&lt;60,SUM(LARGE(BV58:EB58,{1;2;3;4;5;6;7;8;9;10;11;12;13;14})),
IF(Arrangörslista!$U$5=60,SUM(LARGE(BV58:EC58,{1;2;3;4;5;6;7;8;9;10;11;12;13;14;15})),0))))))))))))))))))</f>
        <v>0</v>
      </c>
      <c r="EG58" s="67">
        <f t="shared" si="187"/>
        <v>0</v>
      </c>
      <c r="EH58" s="61"/>
      <c r="EI58" s="61"/>
      <c r="EK58" s="62">
        <f t="shared" si="188"/>
        <v>61</v>
      </c>
      <c r="EL58" s="62">
        <f t="shared" si="189"/>
        <v>61</v>
      </c>
      <c r="EM58" s="62">
        <f t="shared" si="190"/>
        <v>61</v>
      </c>
      <c r="EN58" s="62">
        <f t="shared" si="191"/>
        <v>61</v>
      </c>
      <c r="EO58" s="62">
        <f t="shared" si="192"/>
        <v>61</v>
      </c>
      <c r="EP58" s="62">
        <f t="shared" si="193"/>
        <v>61</v>
      </c>
      <c r="EQ58" s="62">
        <f t="shared" si="194"/>
        <v>61</v>
      </c>
      <c r="ER58" s="62">
        <f t="shared" si="195"/>
        <v>61</v>
      </c>
      <c r="ES58" s="62">
        <f t="shared" si="196"/>
        <v>61</v>
      </c>
      <c r="ET58" s="62">
        <f t="shared" si="197"/>
        <v>61</v>
      </c>
      <c r="EU58" s="62">
        <f t="shared" si="198"/>
        <v>61</v>
      </c>
      <c r="EV58" s="62">
        <f t="shared" si="199"/>
        <v>61</v>
      </c>
      <c r="EW58" s="62">
        <f t="shared" si="200"/>
        <v>61</v>
      </c>
      <c r="EX58" s="62">
        <f t="shared" si="201"/>
        <v>61</v>
      </c>
      <c r="EY58" s="62">
        <f t="shared" si="202"/>
        <v>61</v>
      </c>
      <c r="EZ58" s="62">
        <f t="shared" si="203"/>
        <v>61</v>
      </c>
      <c r="FA58" s="62">
        <f t="shared" si="204"/>
        <v>61</v>
      </c>
      <c r="FB58" s="62">
        <f t="shared" si="205"/>
        <v>61</v>
      </c>
      <c r="FC58" s="62">
        <f t="shared" si="206"/>
        <v>61</v>
      </c>
      <c r="FD58" s="62">
        <f t="shared" si="207"/>
        <v>61</v>
      </c>
      <c r="FE58" s="62">
        <f t="shared" si="208"/>
        <v>61</v>
      </c>
      <c r="FF58" s="62">
        <f t="shared" si="209"/>
        <v>61</v>
      </c>
      <c r="FG58" s="62">
        <f t="shared" si="210"/>
        <v>61</v>
      </c>
      <c r="FH58" s="62">
        <f t="shared" si="211"/>
        <v>61</v>
      </c>
      <c r="FI58" s="62">
        <f t="shared" si="212"/>
        <v>61</v>
      </c>
      <c r="FJ58" s="62">
        <f t="shared" si="213"/>
        <v>61</v>
      </c>
      <c r="FK58" s="62">
        <f t="shared" si="214"/>
        <v>61</v>
      </c>
      <c r="FL58" s="62">
        <f t="shared" si="215"/>
        <v>61</v>
      </c>
      <c r="FM58" s="62">
        <f t="shared" si="216"/>
        <v>61</v>
      </c>
      <c r="FN58" s="62">
        <f t="shared" si="217"/>
        <v>61</v>
      </c>
      <c r="FO58" s="62">
        <f t="shared" si="218"/>
        <v>61</v>
      </c>
      <c r="FP58" s="62">
        <f t="shared" si="219"/>
        <v>61</v>
      </c>
      <c r="FQ58" s="62">
        <f t="shared" si="220"/>
        <v>61</v>
      </c>
      <c r="FR58" s="62">
        <f t="shared" si="221"/>
        <v>61</v>
      </c>
      <c r="FS58" s="62">
        <f t="shared" si="222"/>
        <v>61</v>
      </c>
      <c r="FT58" s="62">
        <f t="shared" si="223"/>
        <v>61</v>
      </c>
      <c r="FU58" s="62">
        <f t="shared" si="224"/>
        <v>61</v>
      </c>
      <c r="FV58" s="62">
        <f t="shared" si="225"/>
        <v>61</v>
      </c>
      <c r="FW58" s="62">
        <f t="shared" si="226"/>
        <v>61</v>
      </c>
      <c r="FX58" s="62">
        <f t="shared" si="227"/>
        <v>61</v>
      </c>
      <c r="FY58" s="62">
        <f t="shared" si="228"/>
        <v>61</v>
      </c>
      <c r="FZ58" s="62">
        <f t="shared" si="229"/>
        <v>61</v>
      </c>
      <c r="GA58" s="62">
        <f t="shared" si="230"/>
        <v>61</v>
      </c>
      <c r="GB58" s="62">
        <f t="shared" si="231"/>
        <v>61</v>
      </c>
      <c r="GC58" s="62">
        <f t="shared" si="232"/>
        <v>61</v>
      </c>
      <c r="GD58" s="62">
        <f t="shared" si="233"/>
        <v>61</v>
      </c>
      <c r="GE58" s="62">
        <f t="shared" si="234"/>
        <v>61</v>
      </c>
      <c r="GF58" s="62">
        <f t="shared" si="235"/>
        <v>61</v>
      </c>
      <c r="GG58" s="62">
        <f t="shared" si="236"/>
        <v>61</v>
      </c>
      <c r="GH58" s="62">
        <f t="shared" si="237"/>
        <v>61</v>
      </c>
      <c r="GI58" s="62">
        <f t="shared" si="238"/>
        <v>61</v>
      </c>
      <c r="GJ58" s="62">
        <f t="shared" si="239"/>
        <v>61</v>
      </c>
      <c r="GK58" s="62">
        <f t="shared" si="240"/>
        <v>61</v>
      </c>
      <c r="GL58" s="62">
        <f t="shared" si="241"/>
        <v>61</v>
      </c>
      <c r="GM58" s="62">
        <f t="shared" si="242"/>
        <v>61</v>
      </c>
      <c r="GN58" s="62">
        <f t="shared" si="243"/>
        <v>61</v>
      </c>
      <c r="GO58" s="62">
        <f t="shared" si="244"/>
        <v>61</v>
      </c>
      <c r="GP58" s="62">
        <f t="shared" si="245"/>
        <v>61</v>
      </c>
      <c r="GQ58" s="62">
        <f t="shared" si="246"/>
        <v>61</v>
      </c>
      <c r="GR58" s="62">
        <f t="shared" si="247"/>
        <v>61</v>
      </c>
      <c r="GT58" s="62">
        <f>IF(Deltagarlista!$K$3=2,
IF(GW58="1",
      IF(Arrangörslista!$U$5=1,J121,
IF(Arrangörslista!$U$5=2,K121,
IF(Arrangörslista!$U$5=3,L121,
IF(Arrangörslista!$U$5=4,M121,
IF(Arrangörslista!$U$5=5,N121,
IF(Arrangörslista!$U$5=6,O121,
IF(Arrangörslista!$U$5=7,P121,
IF(Arrangörslista!$U$5=8,Q121,
IF(Arrangörslista!$U$5=9,R121,
IF(Arrangörslista!$U$5=10,S121,
IF(Arrangörslista!$U$5=11,T121,
IF(Arrangörslista!$U$5=12,U121,
IF(Arrangörslista!$U$5=13,V121,
IF(Arrangörslista!$U$5=14,W121,
IF(Arrangörslista!$U$5=15,X121,
IF(Arrangörslista!$U$5=16,Y121,IF(Arrangörslista!$U$5=17,Z121,IF(Arrangörslista!$U$5=18,AA121,IF(Arrangörslista!$U$5=19,AB121,IF(Arrangörslista!$U$5=20,AC121,IF(Arrangörslista!$U$5=21,AD121,IF(Arrangörslista!$U$5=22,AE121,IF(Arrangörslista!$U$5=23,AF121, IF(Arrangörslista!$U$5=24,AG121, IF(Arrangörslista!$U$5=25,AH121, IF(Arrangörslista!$U$5=26,AI121, IF(Arrangörslista!$U$5=27,AJ121, IF(Arrangörslista!$U$5=28,AK121, IF(Arrangörslista!$U$5=29,AL121, IF(Arrangörslista!$U$5=30,AM121, IF(Arrangörslista!$U$5=31,AN121, IF(Arrangörslista!$U$5=32,AO121, IF(Arrangörslista!$U$5=33,AP121, IF(Arrangörslista!$U$5=34,AQ121, IF(Arrangörslista!$U$5=35,AR121, IF(Arrangörslista!$U$5=36,AS121, IF(Arrangörslista!$U$5=37,AT121, IF(Arrangörslista!$U$5=38,AU121, IF(Arrangörslista!$U$5=39,AV121, IF(Arrangörslista!$U$5=40,AW121, IF(Arrangörslista!$U$5=41,AX121, IF(Arrangörslista!$U$5=42,AY121, IF(Arrangörslista!$U$5=43,AZ121, IF(Arrangörslista!$U$5=44,BA121, IF(Arrangörslista!$U$5=45,BB121, IF(Arrangörslista!$U$5=46,BC121, IF(Arrangörslista!$U$5=47,BD121, IF(Arrangörslista!$U$5=48,BE121, IF(Arrangörslista!$U$5=49,BF121, IF(Arrangörslista!$U$5=50,BG121, IF(Arrangörslista!$U$5=51,BH121, IF(Arrangörslista!$U$5=52,BI121, IF(Arrangörslista!$U$5=53,BJ121, IF(Arrangörslista!$U$5=54,BK121, IF(Arrangörslista!$U$5=55,BL121, IF(Arrangörslista!$U$5=56,BM121, IF(Arrangörslista!$U$5=57,BN121, IF(Arrangörslista!$U$5=58,BO121, IF(Arrangörslista!$U$5=59,BP121, IF(Arrangörslista!$U$5=60,BQ121,0))))))))))))))))))))))))))))))))))))))))))))))))))))))))))))),IF(Deltagarlista!$K$3=4, IF(Arrangörslista!$U$5=1,J121,
IF(Arrangörslista!$U$5=2,J121,
IF(Arrangörslista!$U$5=3,K121,
IF(Arrangörslista!$U$5=4,K121,
IF(Arrangörslista!$U$5=5,L121,
IF(Arrangörslista!$U$5=6,L121,
IF(Arrangörslista!$U$5=7,M121,
IF(Arrangörslista!$U$5=8,M121,
IF(Arrangörslista!$U$5=9,N121,
IF(Arrangörslista!$U$5=10,N121,
IF(Arrangörslista!$U$5=11,O121,
IF(Arrangörslista!$U$5=12,O121,
IF(Arrangörslista!$U$5=13,P121,
IF(Arrangörslista!$U$5=14,P121,
IF(Arrangörslista!$U$5=15,Q121,
IF(Arrangörslista!$U$5=16,Q121,
IF(Arrangörslista!$U$5=17,R121,
IF(Arrangörslista!$U$5=18,R121,
IF(Arrangörslista!$U$5=19,S121,
IF(Arrangörslista!$U$5=20,S121,
IF(Arrangörslista!$U$5=21,T121,
IF(Arrangörslista!$U$5=22,T121,IF(Arrangörslista!$U$5=23,U121, IF(Arrangörslista!$U$5=24,U121, IF(Arrangörslista!$U$5=25,V121, IF(Arrangörslista!$U$5=26,V121, IF(Arrangörslista!$U$5=27,W121, IF(Arrangörslista!$U$5=28,W121, IF(Arrangörslista!$U$5=29,X121, IF(Arrangörslista!$U$5=30,X121, IF(Arrangörslista!$U$5=31,X121, IF(Arrangörslista!$U$5=32,Y121, IF(Arrangörslista!$U$5=33,AO121, IF(Arrangörslista!$U$5=34,Y121, IF(Arrangörslista!$U$5=35,Z121, IF(Arrangörslista!$U$5=36,AR121, IF(Arrangörslista!$U$5=37,Z121, IF(Arrangörslista!$U$5=38,AA121, IF(Arrangörslista!$U$5=39,AU121, IF(Arrangörslista!$U$5=40,AA121, IF(Arrangörslista!$U$5=41,AB121, IF(Arrangörslista!$U$5=42,AX121, IF(Arrangörslista!$U$5=43,AB121, IF(Arrangörslista!$U$5=44,AC121, IF(Arrangörslista!$U$5=45,BA121, IF(Arrangörslista!$U$5=46,AC121, IF(Arrangörslista!$U$5=47,AD121, IF(Arrangörslista!$U$5=48,BD121, IF(Arrangörslista!$U$5=49,AD121, IF(Arrangörslista!$U$5=50,AE121, IF(Arrangörslista!$U$5=51,BG121, IF(Arrangörslista!$U$5=52,AE121, IF(Arrangörslista!$U$5=53,AF121, IF(Arrangörslista!$U$5=54,BJ121, IF(Arrangörslista!$U$5=55,AF121, IF(Arrangörslista!$U$5=56,AG121, IF(Arrangörslista!$U$5=57,BM121, IF(Arrangörslista!$U$5=58,AG121, IF(Arrangörslista!$U$5=59,AH121, IF(Arrangörslista!$U$5=60,AH121,0)))))))))))))))))))))))))))))))))))))))))))))))))))))))))))),IF(Arrangörslista!$U$5=1,J121,
IF(Arrangörslista!$U$5=2,K121,
IF(Arrangörslista!$U$5=3,L121,
IF(Arrangörslista!$U$5=4,M121,
IF(Arrangörslista!$U$5=5,N121,
IF(Arrangörslista!$U$5=6,O121,
IF(Arrangörslista!$U$5=7,P121,
IF(Arrangörslista!$U$5=8,Q121,
IF(Arrangörslista!$U$5=9,R121,
IF(Arrangörslista!$U$5=10,S121,
IF(Arrangörslista!$U$5=11,T121,
IF(Arrangörslista!$U$5=12,U121,
IF(Arrangörslista!$U$5=13,V121,
IF(Arrangörslista!$U$5=14,W121,
IF(Arrangörslista!$U$5=15,X121,
IF(Arrangörslista!$U$5=16,Y121,IF(Arrangörslista!$U$5=17,Z121,IF(Arrangörslista!$U$5=18,AA121,IF(Arrangörslista!$U$5=19,AB121,IF(Arrangörslista!$U$5=20,AC121,IF(Arrangörslista!$U$5=21,AD121,IF(Arrangörslista!$U$5=22,AE121,IF(Arrangörslista!$U$5=23,AF121, IF(Arrangörslista!$U$5=24,AG121, IF(Arrangörslista!$U$5=25,AH121, IF(Arrangörslista!$U$5=26,AI121, IF(Arrangörslista!$U$5=27,AJ121, IF(Arrangörslista!$U$5=28,AK121, IF(Arrangörslista!$U$5=29,AL121, IF(Arrangörslista!$U$5=30,AM121, IF(Arrangörslista!$U$5=31,AN121, IF(Arrangörslista!$U$5=32,AO121, IF(Arrangörslista!$U$5=33,AP121, IF(Arrangörslista!$U$5=34,AQ121, IF(Arrangörslista!$U$5=35,AR121, IF(Arrangörslista!$U$5=36,AS121, IF(Arrangörslista!$U$5=37,AT121, IF(Arrangörslista!$U$5=38,AU121, IF(Arrangörslista!$U$5=39,AV121, IF(Arrangörslista!$U$5=40,AW121, IF(Arrangörslista!$U$5=41,AX121, IF(Arrangörslista!$U$5=42,AY121, IF(Arrangörslista!$U$5=43,AZ121, IF(Arrangörslista!$U$5=44,BA121, IF(Arrangörslista!$U$5=45,BB121, IF(Arrangörslista!$U$5=46,BC121, IF(Arrangörslista!$U$5=47,BD121, IF(Arrangörslista!$U$5=48,BE121, IF(Arrangörslista!$U$5=49,BF121, IF(Arrangörslista!$U$5=50,BG121, IF(Arrangörslista!$U$5=51,BH121, IF(Arrangörslista!$U$5=52,BI121, IF(Arrangörslista!$U$5=53,BJ121, IF(Arrangörslista!$U$5=54,BK121, IF(Arrangörslista!$U$5=55,BL121, IF(Arrangörslista!$U$5=56,BM121, IF(Arrangörslista!$U$5=57,BN121, IF(Arrangörslista!$U$5=58,BO121, IF(Arrangörslista!$U$5=59,BP121, IF(Arrangörslista!$U$5=60,BQ121,0))))))))))))))))))))))))))))))))))))))))))))))))))))))))))))
))</f>
        <v>0</v>
      </c>
      <c r="GV58" s="65" t="str">
        <f>IFERROR(IF(VLOOKUP(F58,Deltagarlista!$E$5:$I$64,5,FALSE)="Grön","Gr",IF(VLOOKUP(F58,Deltagarlista!$E$5:$I$64,5,FALSE)="Röd","R",IF(VLOOKUP(F58,Deltagarlista!$E$5:$I$64,5,FALSE)="Blå","B","Gu"))),"")</f>
        <v/>
      </c>
      <c r="GW58" s="62" t="str">
        <f t="shared" si="124"/>
        <v/>
      </c>
    </row>
    <row r="59" spans="2:205" ht="15.75" customHeight="1" x14ac:dyDescent="0.3">
      <c r="B59" s="23" t="str">
        <f>IF((COUNTIF(Deltagarlista!$H$5:$H$64,"GM"))&gt;55,56,"")</f>
        <v/>
      </c>
      <c r="C59" s="92" t="str">
        <f>IF(ISBLANK(Deltagarlista!C12),"",Deltagarlista!C12)</f>
        <v/>
      </c>
      <c r="D59" s="109" t="str">
        <f>CONCATENATE(IF(Deltagarlista!H12="GM","GM   ",""), IF(OR(Deltagarlista!$K$3=4,Deltagarlista!$K$3=2),Deltagarlista!I12,""))</f>
        <v/>
      </c>
      <c r="E59" s="8" t="str">
        <f>IF(ISBLANK(Deltagarlista!D12),"",Deltagarlista!D12)</f>
        <v/>
      </c>
      <c r="F59" s="8" t="str">
        <f>IF(ISBLANK(Deltagarlista!E12),"",Deltagarlista!E12)</f>
        <v/>
      </c>
      <c r="G59" s="95" t="str">
        <f>IF(ISBLANK(Deltagarlista!F12),"",Deltagarlista!F12)</f>
        <v/>
      </c>
      <c r="H59" s="72" t="str">
        <f>IF(ISBLANK(Deltagarlista!C12),"",BU59-EE59)</f>
        <v/>
      </c>
      <c r="I59" s="13" t="str">
        <f>IF(ISBLANK(Deltagarlista!C12),"",IF(AND(Deltagarlista!$K$3=2,Deltagarlista!$L$3&lt;37),SUM(SUM(BV59:EC59)-(ROUNDDOWN(Arrangörslista!$U$5/3,1))*($BW$3+1)),SUM(BV59:EC59)))</f>
        <v/>
      </c>
      <c r="J59" s="79" t="str">
        <f>IF(Deltagarlista!$K$3=4,IF(ISBLANK(Deltagarlista!$C12),"",IF(ISBLANK(Arrangörslista!C$8),"",IFERROR(VLOOKUP($F59,Arrangörslista!C$8:$AG$45,16,FALSE),IF(ISBLANK(Deltagarlista!$C12),"",IF(ISBLANK(Arrangörslista!C$8),"",IFERROR(VLOOKUP($F59,Arrangörslista!D$8:$AG$45,16,FALSE),"DNS")))))),IF(Deltagarlista!$K$3=2,
IF(ISBLANK(Deltagarlista!$C12),"",IF(ISBLANK(Arrangörslista!C$8),"",IF($GV59=J$64," DNS ",IFERROR(VLOOKUP($F59,Arrangörslista!C$8:$AG$45,16,FALSE),"DNS")))),IF(ISBLANK(Deltagarlista!$C12),"",IF(ISBLANK(Arrangörslista!C$8),"",IFERROR(VLOOKUP($F59,Arrangörslista!C$8:$AG$45,16,FALSE),"DNS")))))</f>
        <v/>
      </c>
      <c r="K59" s="5" t="str">
        <f>IF(Deltagarlista!$K$3=4,IF(ISBLANK(Deltagarlista!$C12),"",IF(ISBLANK(Arrangörslista!E$8),"",IFERROR(VLOOKUP($F59,Arrangörslista!E$8:$AG$45,16,FALSE),IF(ISBLANK(Deltagarlista!$C12),"",IF(ISBLANK(Arrangörslista!E$8),"",IFERROR(VLOOKUP($F59,Arrangörslista!F$8:$AG$45,16,FALSE),"DNS")))))),IF(Deltagarlista!$K$3=2,
IF(ISBLANK(Deltagarlista!$C12),"",IF(ISBLANK(Arrangörslista!D$8),"",IF($GV59=K$64," DNS ",IFERROR(VLOOKUP($F59,Arrangörslista!D$8:$AG$45,16,FALSE),"DNS")))),IF(ISBLANK(Deltagarlista!$C12),"",IF(ISBLANK(Arrangörslista!D$8),"",IFERROR(VLOOKUP($F59,Arrangörslista!D$8:$AG$45,16,FALSE),"DNS")))))</f>
        <v/>
      </c>
      <c r="L59" s="5" t="str">
        <f>IF(Deltagarlista!$K$3=4,IF(ISBLANK(Deltagarlista!$C12),"",IF(ISBLANK(Arrangörslista!G$8),"",IFERROR(VLOOKUP($F59,Arrangörslista!G$8:$AG$45,16,FALSE),IF(ISBLANK(Deltagarlista!$C12),"",IF(ISBLANK(Arrangörslista!G$8),"",IFERROR(VLOOKUP($F59,Arrangörslista!H$8:$AG$45,16,FALSE),"DNS")))))),IF(Deltagarlista!$K$3=2,
IF(ISBLANK(Deltagarlista!$C12),"",IF(ISBLANK(Arrangörslista!E$8),"",IF($GV59=L$64," DNS ",IFERROR(VLOOKUP($F59,Arrangörslista!E$8:$AG$45,16,FALSE),"DNS")))),IF(ISBLANK(Deltagarlista!$C12),"",IF(ISBLANK(Arrangörslista!E$8),"",IFERROR(VLOOKUP($F59,Arrangörslista!E$8:$AG$45,16,FALSE),"DNS")))))</f>
        <v/>
      </c>
      <c r="M59" s="5" t="str">
        <f>IF(Deltagarlista!$K$3=4,IF(ISBLANK(Deltagarlista!$C12),"",IF(ISBLANK(Arrangörslista!I$8),"",IFERROR(VLOOKUP($F59,Arrangörslista!I$8:$AG$45,16,FALSE),IF(ISBLANK(Deltagarlista!$C12),"",IF(ISBLANK(Arrangörslista!I$8),"",IFERROR(VLOOKUP($F59,Arrangörslista!J$8:$AG$45,16,FALSE),"DNS")))))),IF(Deltagarlista!$K$3=2,
IF(ISBLANK(Deltagarlista!$C12),"",IF(ISBLANK(Arrangörslista!F$8),"",IF($GV59=M$64," DNS ",IFERROR(VLOOKUP($F59,Arrangörslista!F$8:$AG$45,16,FALSE),"DNS")))),IF(ISBLANK(Deltagarlista!$C12),"",IF(ISBLANK(Arrangörslista!F$8),"",IFERROR(VLOOKUP($F59,Arrangörslista!F$8:$AG$45,16,FALSE),"DNS")))))</f>
        <v/>
      </c>
      <c r="N59" s="5" t="str">
        <f>IF(Deltagarlista!$K$3=4,IF(ISBLANK(Deltagarlista!$C12),"",IF(ISBLANK(Arrangörslista!K$8),"",IFERROR(VLOOKUP($F59,Arrangörslista!K$8:$AG$45,16,FALSE),IF(ISBLANK(Deltagarlista!$C12),"",IF(ISBLANK(Arrangörslista!K$8),"",IFERROR(VLOOKUP($F59,Arrangörslista!L$8:$AG$45,16,FALSE),"DNS")))))),IF(Deltagarlista!$K$3=2,
IF(ISBLANK(Deltagarlista!$C12),"",IF(ISBLANK(Arrangörslista!G$8),"",IF($GV59=N$64," DNS ",IFERROR(VLOOKUP($F59,Arrangörslista!G$8:$AG$45,16,FALSE),"DNS")))),IF(ISBLANK(Deltagarlista!$C12),"",IF(ISBLANK(Arrangörslista!G$8),"",IFERROR(VLOOKUP($F59,Arrangörslista!G$8:$AG$45,16,FALSE),"DNS")))))</f>
        <v/>
      </c>
      <c r="O59" s="5" t="str">
        <f>IF(Deltagarlista!$K$3=4,IF(ISBLANK(Deltagarlista!$C12),"",IF(ISBLANK(Arrangörslista!M$8),"",IFERROR(VLOOKUP($F59,Arrangörslista!M$8:$AG$45,16,FALSE),IF(ISBLANK(Deltagarlista!$C12),"",IF(ISBLANK(Arrangörslista!M$8),"",IFERROR(VLOOKUP($F59,Arrangörslista!N$8:$AG$45,16,FALSE),"DNS")))))),IF(Deltagarlista!$K$3=2,
IF(ISBLANK(Deltagarlista!$C12),"",IF(ISBLANK(Arrangörslista!H$8),"",IF($GV59=O$64," DNS ",IFERROR(VLOOKUP($F59,Arrangörslista!H$8:$AG$45,16,FALSE),"DNS")))),IF(ISBLANK(Deltagarlista!$C12),"",IF(ISBLANK(Arrangörslista!H$8),"",IFERROR(VLOOKUP($F59,Arrangörslista!H$8:$AG$45,16,FALSE),"DNS")))))</f>
        <v/>
      </c>
      <c r="P59" s="5" t="str">
        <f>IF(Deltagarlista!$K$3=4,IF(ISBLANK(Deltagarlista!$C12),"",IF(ISBLANK(Arrangörslista!O$8),"",IFERROR(VLOOKUP($F59,Arrangörslista!O$8:$AG$45,16,FALSE),IF(ISBLANK(Deltagarlista!$C12),"",IF(ISBLANK(Arrangörslista!O$8),"",IFERROR(VLOOKUP($F59,Arrangörslista!P$8:$AG$45,16,FALSE),"DNS")))))),IF(Deltagarlista!$K$3=2,
IF(ISBLANK(Deltagarlista!$C12),"",IF(ISBLANK(Arrangörslista!I$8),"",IF($GV59=P$64," DNS ",IFERROR(VLOOKUP($F59,Arrangörslista!I$8:$AG$45,16,FALSE),"DNS")))),IF(ISBLANK(Deltagarlista!$C12),"",IF(ISBLANK(Arrangörslista!I$8),"",IFERROR(VLOOKUP($F59,Arrangörslista!I$8:$AG$45,16,FALSE),"DNS")))))</f>
        <v/>
      </c>
      <c r="Q59" s="5" t="str">
        <f>IF(Deltagarlista!$K$3=4,IF(ISBLANK(Deltagarlista!$C12),"",IF(ISBLANK(Arrangörslista!Q$8),"",IFERROR(VLOOKUP($F59,Arrangörslista!Q$8:$AG$45,16,FALSE),IF(ISBLANK(Deltagarlista!$C12),"",IF(ISBLANK(Arrangörslista!Q$8),"",IFERROR(VLOOKUP($F59,Arrangörslista!C$53:$AG$90,16,FALSE),"DNS")))))),IF(Deltagarlista!$K$3=2,
IF(ISBLANK(Deltagarlista!$C12),"",IF(ISBLANK(Arrangörslista!J$8),"",IF($GV59=Q$64," DNS ",IFERROR(VLOOKUP($F59,Arrangörslista!J$8:$AG$45,16,FALSE),"DNS")))),IF(ISBLANK(Deltagarlista!$C12),"",IF(ISBLANK(Arrangörslista!J$8),"",IFERROR(VLOOKUP($F59,Arrangörslista!J$8:$AG$45,16,FALSE),"DNS")))))</f>
        <v/>
      </c>
      <c r="R59" s="5" t="str">
        <f>IF(Deltagarlista!$K$3=4,IF(ISBLANK(Deltagarlista!$C12),"",IF(ISBLANK(Arrangörslista!D$53),"",IFERROR(VLOOKUP($F59,Arrangörslista!D$53:$AG$90,16,FALSE),IF(ISBLANK(Deltagarlista!$C12),"",IF(ISBLANK(Arrangörslista!D$53),"",IFERROR(VLOOKUP($F59,Arrangörslista!E$53:$AG$90,16,FALSE),"DNS")))))),IF(Deltagarlista!$K$3=2,
IF(ISBLANK(Deltagarlista!$C12),"",IF(ISBLANK(Arrangörslista!K$8),"",IF($GV59=R$64," DNS ",IFERROR(VLOOKUP($F59,Arrangörslista!K$8:$AG$45,16,FALSE),"DNS")))),IF(ISBLANK(Deltagarlista!$C12),"",IF(ISBLANK(Arrangörslista!K$8),"",IFERROR(VLOOKUP($F59,Arrangörslista!K$8:$AG$45,16,FALSE),"DNS")))))</f>
        <v/>
      </c>
      <c r="S59" s="5" t="str">
        <f>IF(Deltagarlista!$K$3=4,IF(ISBLANK(Deltagarlista!$C12),"",IF(ISBLANK(Arrangörslista!F$53),"",IFERROR(VLOOKUP($F59,Arrangörslista!F$53:$AG$90,16,FALSE),IF(ISBLANK(Deltagarlista!$C12),"",IF(ISBLANK(Arrangörslista!F$53),"",IFERROR(VLOOKUP($F59,Arrangörslista!G$53:$AG$90,16,FALSE),"DNS")))))),IF(Deltagarlista!$K$3=2,
IF(ISBLANK(Deltagarlista!$C12),"",IF(ISBLANK(Arrangörslista!L$8),"",IF($GV59=S$64," DNS ",IFERROR(VLOOKUP($F59,Arrangörslista!L$8:$AG$45,16,FALSE),"DNS")))),IF(ISBLANK(Deltagarlista!$C12),"",IF(ISBLANK(Arrangörslista!L$8),"",IFERROR(VLOOKUP($F59,Arrangörslista!L$8:$AG$45,16,FALSE),"DNS")))))</f>
        <v/>
      </c>
      <c r="T59" s="5" t="str">
        <f>IF(Deltagarlista!$K$3=4,IF(ISBLANK(Deltagarlista!$C12),"",IF(ISBLANK(Arrangörslista!H$53),"",IFERROR(VLOOKUP($F59,Arrangörslista!H$53:$AG$90,16,FALSE),IF(ISBLANK(Deltagarlista!$C12),"",IF(ISBLANK(Arrangörslista!H$53),"",IFERROR(VLOOKUP($F59,Arrangörslista!I$53:$AG$90,16,FALSE),"DNS")))))),IF(Deltagarlista!$K$3=2,
IF(ISBLANK(Deltagarlista!$C12),"",IF(ISBLANK(Arrangörslista!M$8),"",IF($GV59=T$64," DNS ",IFERROR(VLOOKUP($F59,Arrangörslista!M$8:$AG$45,16,FALSE),"DNS")))),IF(ISBLANK(Deltagarlista!$C12),"",IF(ISBLANK(Arrangörslista!M$8),"",IFERROR(VLOOKUP($F59,Arrangörslista!M$8:$AG$45,16,FALSE),"DNS")))))</f>
        <v/>
      </c>
      <c r="U59" s="5" t="str">
        <f>IF(Deltagarlista!$K$3=4,IF(ISBLANK(Deltagarlista!$C12),"",IF(ISBLANK(Arrangörslista!J$53),"",IFERROR(VLOOKUP($F59,Arrangörslista!J$53:$AG$90,16,FALSE),IF(ISBLANK(Deltagarlista!$C12),"",IF(ISBLANK(Arrangörslista!J$53),"",IFERROR(VLOOKUP($F59,Arrangörslista!K$53:$AG$90,16,FALSE),"DNS")))))),IF(Deltagarlista!$K$3=2,
IF(ISBLANK(Deltagarlista!$C12),"",IF(ISBLANK(Arrangörslista!N$8),"",IF($GV59=U$64," DNS ",IFERROR(VLOOKUP($F59,Arrangörslista!N$8:$AG$45,16,FALSE),"DNS")))),IF(ISBLANK(Deltagarlista!$C12),"",IF(ISBLANK(Arrangörslista!N$8),"",IFERROR(VLOOKUP($F59,Arrangörslista!N$8:$AG$45,16,FALSE),"DNS")))))</f>
        <v/>
      </c>
      <c r="V59" s="5" t="str">
        <f>IF(Deltagarlista!$K$3=4,IF(ISBLANK(Deltagarlista!$C12),"",IF(ISBLANK(Arrangörslista!L$53),"",IFERROR(VLOOKUP($F59,Arrangörslista!L$53:$AG$90,16,FALSE),IF(ISBLANK(Deltagarlista!$C12),"",IF(ISBLANK(Arrangörslista!L$53),"",IFERROR(VLOOKUP($F59,Arrangörslista!M$53:$AG$90,16,FALSE),"DNS")))))),IF(Deltagarlista!$K$3=2,
IF(ISBLANK(Deltagarlista!$C12),"",IF(ISBLANK(Arrangörslista!O$8),"",IF($GV59=V$64," DNS ",IFERROR(VLOOKUP($F59,Arrangörslista!O$8:$AG$45,16,FALSE),"DNS")))),IF(ISBLANK(Deltagarlista!$C12),"",IF(ISBLANK(Arrangörslista!O$8),"",IFERROR(VLOOKUP($F59,Arrangörslista!O$8:$AG$45,16,FALSE),"DNS")))))</f>
        <v/>
      </c>
      <c r="W59" s="5" t="str">
        <f>IF(Deltagarlista!$K$3=4,IF(ISBLANK(Deltagarlista!$C12),"",IF(ISBLANK(Arrangörslista!N$53),"",IFERROR(VLOOKUP($F59,Arrangörslista!N$53:$AG$90,16,FALSE),IF(ISBLANK(Deltagarlista!$C12),"",IF(ISBLANK(Arrangörslista!N$53),"",IFERROR(VLOOKUP($F59,Arrangörslista!O$53:$AG$90,16,FALSE),"DNS")))))),IF(Deltagarlista!$K$3=2,
IF(ISBLANK(Deltagarlista!$C12),"",IF(ISBLANK(Arrangörslista!P$8),"",IF($GV59=W$64," DNS ",IFERROR(VLOOKUP($F59,Arrangörslista!P$8:$AG$45,16,FALSE),"DNS")))),IF(ISBLANK(Deltagarlista!$C12),"",IF(ISBLANK(Arrangörslista!P$8),"",IFERROR(VLOOKUP($F59,Arrangörslista!P$8:$AG$45,16,FALSE),"DNS")))))</f>
        <v/>
      </c>
      <c r="X59" s="5" t="str">
        <f>IF(Deltagarlista!$K$3=4,IF(ISBLANK(Deltagarlista!$C12),"",IF(ISBLANK(Arrangörslista!P$53),"",IFERROR(VLOOKUP($F59,Arrangörslista!P$53:$AG$90,16,FALSE),IF(ISBLANK(Deltagarlista!$C12),"",IF(ISBLANK(Arrangörslista!P$53),"",IFERROR(VLOOKUP($F59,Arrangörslista!Q$53:$AG$90,16,FALSE),"DNS")))))),IF(Deltagarlista!$K$3=2,
IF(ISBLANK(Deltagarlista!$C12),"",IF(ISBLANK(Arrangörslista!Q$8),"",IF($GV59=X$64," DNS ",IFERROR(VLOOKUP($F59,Arrangörslista!Q$8:$AG$45,16,FALSE),"DNS")))),IF(ISBLANK(Deltagarlista!$C12),"",IF(ISBLANK(Arrangörslista!Q$8),"",IFERROR(VLOOKUP($F59,Arrangörslista!Q$8:$AG$45,16,FALSE),"DNS")))))</f>
        <v/>
      </c>
      <c r="Y59" s="5" t="str">
        <f>IF(Deltagarlista!$K$3=4,IF(ISBLANK(Deltagarlista!$C12),"",IF(ISBLANK(Arrangörslista!C$98),"",IFERROR(VLOOKUP($F59,Arrangörslista!C$98:$AG$135,16,FALSE),IF(ISBLANK(Deltagarlista!$C12),"",IF(ISBLANK(Arrangörslista!C$98),"",IFERROR(VLOOKUP($F59,Arrangörslista!D$98:$AG$135,16,FALSE),"DNS")))))),IF(Deltagarlista!$K$3=2,
IF(ISBLANK(Deltagarlista!$C12),"",IF(ISBLANK(Arrangörslista!C$53),"",IF($GV59=Y$64," DNS ",IFERROR(VLOOKUP($F59,Arrangörslista!C$53:$AG$90,16,FALSE),"DNS")))),IF(ISBLANK(Deltagarlista!$C12),"",IF(ISBLANK(Arrangörslista!C$53),"",IFERROR(VLOOKUP($F59,Arrangörslista!C$53:$AG$90,16,FALSE),"DNS")))))</f>
        <v/>
      </c>
      <c r="Z59" s="5" t="str">
        <f>IF(Deltagarlista!$K$3=4,IF(ISBLANK(Deltagarlista!$C12),"",IF(ISBLANK(Arrangörslista!E$98),"",IFERROR(VLOOKUP($F59,Arrangörslista!E$98:$AG$135,16,FALSE),IF(ISBLANK(Deltagarlista!$C12),"",IF(ISBLANK(Arrangörslista!E$98),"",IFERROR(VLOOKUP($F59,Arrangörslista!F$98:$AG$135,16,FALSE),"DNS")))))),IF(Deltagarlista!$K$3=2,
IF(ISBLANK(Deltagarlista!$C12),"",IF(ISBLANK(Arrangörslista!D$53),"",IF($GV59=Z$64," DNS ",IFERROR(VLOOKUP($F59,Arrangörslista!D$53:$AG$90,16,FALSE),"DNS")))),IF(ISBLANK(Deltagarlista!$C12),"",IF(ISBLANK(Arrangörslista!D$53),"",IFERROR(VLOOKUP($F59,Arrangörslista!D$53:$AG$90,16,FALSE),"DNS")))))</f>
        <v/>
      </c>
      <c r="AA59" s="5" t="str">
        <f>IF(Deltagarlista!$K$3=4,IF(ISBLANK(Deltagarlista!$C12),"",IF(ISBLANK(Arrangörslista!G$98),"",IFERROR(VLOOKUP($F59,Arrangörslista!G$98:$AG$135,16,FALSE),IF(ISBLANK(Deltagarlista!$C12),"",IF(ISBLANK(Arrangörslista!G$98),"",IFERROR(VLOOKUP($F59,Arrangörslista!H$98:$AG$135,16,FALSE),"DNS")))))),IF(Deltagarlista!$K$3=2,
IF(ISBLANK(Deltagarlista!$C12),"",IF(ISBLANK(Arrangörslista!E$53),"",IF($GV59=AA$64," DNS ",IFERROR(VLOOKUP($F59,Arrangörslista!E$53:$AG$90,16,FALSE),"DNS")))),IF(ISBLANK(Deltagarlista!$C12),"",IF(ISBLANK(Arrangörslista!E$53),"",IFERROR(VLOOKUP($F59,Arrangörslista!E$53:$AG$90,16,FALSE),"DNS")))))</f>
        <v/>
      </c>
      <c r="AB59" s="5" t="str">
        <f>IF(Deltagarlista!$K$3=4,IF(ISBLANK(Deltagarlista!$C12),"",IF(ISBLANK(Arrangörslista!I$98),"",IFERROR(VLOOKUP($F59,Arrangörslista!I$98:$AG$135,16,FALSE),IF(ISBLANK(Deltagarlista!$C12),"",IF(ISBLANK(Arrangörslista!I$98),"",IFERROR(VLOOKUP($F59,Arrangörslista!J$98:$AG$135,16,FALSE),"DNS")))))),IF(Deltagarlista!$K$3=2,
IF(ISBLANK(Deltagarlista!$C12),"",IF(ISBLANK(Arrangörslista!F$53),"",IF($GV59=AB$64," DNS ",IFERROR(VLOOKUP($F59,Arrangörslista!F$53:$AG$90,16,FALSE),"DNS")))),IF(ISBLANK(Deltagarlista!$C12),"",IF(ISBLANK(Arrangörslista!F$53),"",IFERROR(VLOOKUP($F59,Arrangörslista!F$53:$AG$90,16,FALSE),"DNS")))))</f>
        <v/>
      </c>
      <c r="AC59" s="5" t="str">
        <f>IF(Deltagarlista!$K$3=4,IF(ISBLANK(Deltagarlista!$C12),"",IF(ISBLANK(Arrangörslista!K$98),"",IFERROR(VLOOKUP($F59,Arrangörslista!K$98:$AG$135,16,FALSE),IF(ISBLANK(Deltagarlista!$C12),"",IF(ISBLANK(Arrangörslista!K$98),"",IFERROR(VLOOKUP($F59,Arrangörslista!L$98:$AG$135,16,FALSE),"DNS")))))),IF(Deltagarlista!$K$3=2,
IF(ISBLANK(Deltagarlista!$C12),"",IF(ISBLANK(Arrangörslista!G$53),"",IF($GV59=AC$64," DNS ",IFERROR(VLOOKUP($F59,Arrangörslista!G$53:$AG$90,16,FALSE),"DNS")))),IF(ISBLANK(Deltagarlista!$C12),"",IF(ISBLANK(Arrangörslista!G$53),"",IFERROR(VLOOKUP($F59,Arrangörslista!G$53:$AG$90,16,FALSE),"DNS")))))</f>
        <v/>
      </c>
      <c r="AD59" s="5" t="str">
        <f>IF(Deltagarlista!$K$3=4,IF(ISBLANK(Deltagarlista!$C12),"",IF(ISBLANK(Arrangörslista!M$98),"",IFERROR(VLOOKUP($F59,Arrangörslista!M$98:$AG$135,16,FALSE),IF(ISBLANK(Deltagarlista!$C12),"",IF(ISBLANK(Arrangörslista!M$98),"",IFERROR(VLOOKUP($F59,Arrangörslista!N$98:$AG$135,16,FALSE),"DNS")))))),IF(Deltagarlista!$K$3=2,
IF(ISBLANK(Deltagarlista!$C12),"",IF(ISBLANK(Arrangörslista!H$53),"",IF($GV59=AD$64," DNS ",IFERROR(VLOOKUP($F59,Arrangörslista!H$53:$AG$90,16,FALSE),"DNS")))),IF(ISBLANK(Deltagarlista!$C12),"",IF(ISBLANK(Arrangörslista!H$53),"",IFERROR(VLOOKUP($F59,Arrangörslista!H$53:$AG$90,16,FALSE),"DNS")))))</f>
        <v/>
      </c>
      <c r="AE59" s="5" t="str">
        <f>IF(Deltagarlista!$K$3=4,IF(ISBLANK(Deltagarlista!$C12),"",IF(ISBLANK(Arrangörslista!O$98),"",IFERROR(VLOOKUP($F59,Arrangörslista!O$98:$AG$135,16,FALSE),IF(ISBLANK(Deltagarlista!$C12),"",IF(ISBLANK(Arrangörslista!O$98),"",IFERROR(VLOOKUP($F59,Arrangörslista!P$98:$AG$135,16,FALSE),"DNS")))))),IF(Deltagarlista!$K$3=2,
IF(ISBLANK(Deltagarlista!$C12),"",IF(ISBLANK(Arrangörslista!I$53),"",IF($GV59=AE$64," DNS ",IFERROR(VLOOKUP($F59,Arrangörslista!I$53:$AG$90,16,FALSE),"DNS")))),IF(ISBLANK(Deltagarlista!$C12),"",IF(ISBLANK(Arrangörslista!I$53),"",IFERROR(VLOOKUP($F59,Arrangörslista!I$53:$AG$90,16,FALSE),"DNS")))))</f>
        <v/>
      </c>
      <c r="AF59" s="5" t="str">
        <f>IF(Deltagarlista!$K$3=4,IF(ISBLANK(Deltagarlista!$C12),"",IF(ISBLANK(Arrangörslista!Q$98),"",IFERROR(VLOOKUP($F59,Arrangörslista!Q$98:$AG$135,16,FALSE),IF(ISBLANK(Deltagarlista!$C12),"",IF(ISBLANK(Arrangörslista!Q$98),"",IFERROR(VLOOKUP($F59,Arrangörslista!C$143:$AG$180,16,FALSE),"DNS")))))),IF(Deltagarlista!$K$3=2,
IF(ISBLANK(Deltagarlista!$C12),"",IF(ISBLANK(Arrangörslista!J$53),"",IF($GV59=AF$64," DNS ",IFERROR(VLOOKUP($F59,Arrangörslista!J$53:$AG$90,16,FALSE),"DNS")))),IF(ISBLANK(Deltagarlista!$C12),"",IF(ISBLANK(Arrangörslista!J$53),"",IFERROR(VLOOKUP($F59,Arrangörslista!J$53:$AG$90,16,FALSE),"DNS")))))</f>
        <v/>
      </c>
      <c r="AG59" s="5" t="str">
        <f>IF(Deltagarlista!$K$3=4,IF(ISBLANK(Deltagarlista!$C12),"",IF(ISBLANK(Arrangörslista!D$143),"",IFERROR(VLOOKUP($F59,Arrangörslista!D$143:$AG$180,16,FALSE),IF(ISBLANK(Deltagarlista!$C12),"",IF(ISBLANK(Arrangörslista!D$143),"",IFERROR(VLOOKUP($F59,Arrangörslista!E$143:$AG$180,16,FALSE),"DNS")))))),IF(Deltagarlista!$K$3=2,
IF(ISBLANK(Deltagarlista!$C12),"",IF(ISBLANK(Arrangörslista!K$53),"",IF($GV59=AG$64," DNS ",IFERROR(VLOOKUP($F59,Arrangörslista!K$53:$AG$90,16,FALSE),"DNS")))),IF(ISBLANK(Deltagarlista!$C12),"",IF(ISBLANK(Arrangörslista!K$53),"",IFERROR(VLOOKUP($F59,Arrangörslista!K$53:$AG$90,16,FALSE),"DNS")))))</f>
        <v/>
      </c>
      <c r="AH59" s="5" t="str">
        <f>IF(Deltagarlista!$K$3=4,IF(ISBLANK(Deltagarlista!$C12),"",IF(ISBLANK(Arrangörslista!F$143),"",IFERROR(VLOOKUP($F59,Arrangörslista!F$143:$AG$180,16,FALSE),IF(ISBLANK(Deltagarlista!$C12),"",IF(ISBLANK(Arrangörslista!F$143),"",IFERROR(VLOOKUP($F59,Arrangörslista!G$143:$AG$180,16,FALSE),"DNS")))))),IF(Deltagarlista!$K$3=2,
IF(ISBLANK(Deltagarlista!$C12),"",IF(ISBLANK(Arrangörslista!L$53),"",IF($GV59=AH$64," DNS ",IFERROR(VLOOKUP($F59,Arrangörslista!L$53:$AG$90,16,FALSE),"DNS")))),IF(ISBLANK(Deltagarlista!$C12),"",IF(ISBLANK(Arrangörslista!L$53),"",IFERROR(VLOOKUP($F59,Arrangörslista!L$53:$AG$90,16,FALSE),"DNS")))))</f>
        <v/>
      </c>
      <c r="AI59" s="5" t="str">
        <f>IF(Deltagarlista!$K$3=4,IF(ISBLANK(Deltagarlista!$C12),"",IF(ISBLANK(Arrangörslista!H$143),"",IFERROR(VLOOKUP($F59,Arrangörslista!H$143:$AG$180,16,FALSE),IF(ISBLANK(Deltagarlista!$C12),"",IF(ISBLANK(Arrangörslista!H$143),"",IFERROR(VLOOKUP($F59,Arrangörslista!I$143:$AG$180,16,FALSE),"DNS")))))),IF(Deltagarlista!$K$3=2,
IF(ISBLANK(Deltagarlista!$C12),"",IF(ISBLANK(Arrangörslista!M$53),"",IF($GV59=AI$64," DNS ",IFERROR(VLOOKUP($F59,Arrangörslista!M$53:$AG$90,16,FALSE),"DNS")))),IF(ISBLANK(Deltagarlista!$C12),"",IF(ISBLANK(Arrangörslista!M$53),"",IFERROR(VLOOKUP($F59,Arrangörslista!M$53:$AG$90,16,FALSE),"DNS")))))</f>
        <v/>
      </c>
      <c r="AJ59" s="5" t="str">
        <f>IF(Deltagarlista!$K$3=4,IF(ISBLANK(Deltagarlista!$C12),"",IF(ISBLANK(Arrangörslista!J$143),"",IFERROR(VLOOKUP($F59,Arrangörslista!J$143:$AG$180,16,FALSE),IF(ISBLANK(Deltagarlista!$C12),"",IF(ISBLANK(Arrangörslista!J$143),"",IFERROR(VLOOKUP($F59,Arrangörslista!K$143:$AG$180,16,FALSE),"DNS")))))),IF(Deltagarlista!$K$3=2,
IF(ISBLANK(Deltagarlista!$C12),"",IF(ISBLANK(Arrangörslista!N$53),"",IF($GV59=AJ$64," DNS ",IFERROR(VLOOKUP($F59,Arrangörslista!N$53:$AG$90,16,FALSE),"DNS")))),IF(ISBLANK(Deltagarlista!$C12),"",IF(ISBLANK(Arrangörslista!N$53),"",IFERROR(VLOOKUP($F59,Arrangörslista!N$53:$AG$90,16,FALSE),"DNS")))))</f>
        <v/>
      </c>
      <c r="AK59" s="5" t="str">
        <f>IF(Deltagarlista!$K$3=4,IF(ISBLANK(Deltagarlista!$C12),"",IF(ISBLANK(Arrangörslista!L$143),"",IFERROR(VLOOKUP($F59,Arrangörslista!L$143:$AG$180,16,FALSE),IF(ISBLANK(Deltagarlista!$C12),"",IF(ISBLANK(Arrangörslista!L$143),"",IFERROR(VLOOKUP($F59,Arrangörslista!M$143:$AG$180,16,FALSE),"DNS")))))),IF(Deltagarlista!$K$3=2,
IF(ISBLANK(Deltagarlista!$C12),"",IF(ISBLANK(Arrangörslista!O$53),"",IF($GV59=AK$64," DNS ",IFERROR(VLOOKUP($F59,Arrangörslista!O$53:$AG$90,16,FALSE),"DNS")))),IF(ISBLANK(Deltagarlista!$C12),"",IF(ISBLANK(Arrangörslista!O$53),"",IFERROR(VLOOKUP($F59,Arrangörslista!O$53:$AG$90,16,FALSE),"DNS")))))</f>
        <v/>
      </c>
      <c r="AL59" s="5" t="str">
        <f>IF(Deltagarlista!$K$3=4,IF(ISBLANK(Deltagarlista!$C12),"",IF(ISBLANK(Arrangörslista!N$143),"",IFERROR(VLOOKUP($F59,Arrangörslista!N$143:$AG$180,16,FALSE),IF(ISBLANK(Deltagarlista!$C12),"",IF(ISBLANK(Arrangörslista!N$143),"",IFERROR(VLOOKUP($F59,Arrangörslista!O$143:$AG$180,16,FALSE),"DNS")))))),IF(Deltagarlista!$K$3=2,
IF(ISBLANK(Deltagarlista!$C12),"",IF(ISBLANK(Arrangörslista!P$53),"",IF($GV59=AL$64," DNS ",IFERROR(VLOOKUP($F59,Arrangörslista!P$53:$AG$90,16,FALSE),"DNS")))),IF(ISBLANK(Deltagarlista!$C12),"",IF(ISBLANK(Arrangörslista!P$53),"",IFERROR(VLOOKUP($F59,Arrangörslista!P$53:$AG$90,16,FALSE),"DNS")))))</f>
        <v/>
      </c>
      <c r="AM59" s="5" t="str">
        <f>IF(Deltagarlista!$K$3=4,IF(ISBLANK(Deltagarlista!$C12),"",IF(ISBLANK(Arrangörslista!P$143),"",IFERROR(VLOOKUP($F59,Arrangörslista!P$143:$AG$180,16,FALSE),IF(ISBLANK(Deltagarlista!$C12),"",IF(ISBLANK(Arrangörslista!P$143),"",IFERROR(VLOOKUP($F59,Arrangörslista!Q$143:$AG$180,16,FALSE),"DNS")))))),IF(Deltagarlista!$K$3=2,
IF(ISBLANK(Deltagarlista!$C12),"",IF(ISBLANK(Arrangörslista!Q$53),"",IF($GV59=AM$64," DNS ",IFERROR(VLOOKUP($F59,Arrangörslista!Q$53:$AG$90,16,FALSE),"DNS")))),IF(ISBLANK(Deltagarlista!$C12),"",IF(ISBLANK(Arrangörslista!Q$53),"",IFERROR(VLOOKUP($F59,Arrangörslista!Q$53:$AG$90,16,FALSE),"DNS")))))</f>
        <v/>
      </c>
      <c r="AN59" s="5" t="str">
        <f>IF(Deltagarlista!$K$3=2,
IF(ISBLANK(Deltagarlista!$C12),"",IF(ISBLANK(Arrangörslista!C$98),"",IF($GV59=AN$64," DNS ",IFERROR(VLOOKUP($F59,Arrangörslista!C$98:$AG$135,16,FALSE), "DNS")))), IF(Deltagarlista!$K$3=1,IF(ISBLANK(Deltagarlista!$C12),"",IF(ISBLANK(Arrangörslista!C$98),"",IFERROR(VLOOKUP($F59,Arrangörslista!C$98:$AG$135,16,FALSE), "DNS"))),""))</f>
        <v/>
      </c>
      <c r="AO59" s="5" t="str">
        <f>IF(Deltagarlista!$K$3=2,
IF(ISBLANK(Deltagarlista!$C12),"",IF(ISBLANK(Arrangörslista!D$98),"",IF($GV59=AO$64," DNS ",IFERROR(VLOOKUP($F59,Arrangörslista!D$98:$AG$135,16,FALSE), "DNS")))), IF(Deltagarlista!$K$3=1,IF(ISBLANK(Deltagarlista!$C12),"",IF(ISBLANK(Arrangörslista!D$98),"",IFERROR(VLOOKUP($F59,Arrangörslista!D$98:$AG$135,16,FALSE), "DNS"))),""))</f>
        <v/>
      </c>
      <c r="AP59" s="5" t="str">
        <f>IF(Deltagarlista!$K$3=2,
IF(ISBLANK(Deltagarlista!$C12),"",IF(ISBLANK(Arrangörslista!E$98),"",IF($GV59=AP$64," DNS ",IFERROR(VLOOKUP($F59,Arrangörslista!E$98:$AG$135,16,FALSE), "DNS")))), IF(Deltagarlista!$K$3=1,IF(ISBLANK(Deltagarlista!$C12),"",IF(ISBLANK(Arrangörslista!E$98),"",IFERROR(VLOOKUP($F59,Arrangörslista!E$98:$AG$135,16,FALSE), "DNS"))),""))</f>
        <v/>
      </c>
      <c r="AQ59" s="5" t="str">
        <f>IF(Deltagarlista!$K$3=2,
IF(ISBLANK(Deltagarlista!$C12),"",IF(ISBLANK(Arrangörslista!F$98),"",IF($GV59=AQ$64," DNS ",IFERROR(VLOOKUP($F59,Arrangörslista!F$98:$AG$135,16,FALSE), "DNS")))), IF(Deltagarlista!$K$3=1,IF(ISBLANK(Deltagarlista!$C12),"",IF(ISBLANK(Arrangörslista!F$98),"",IFERROR(VLOOKUP($F59,Arrangörslista!F$98:$AG$135,16,FALSE), "DNS"))),""))</f>
        <v/>
      </c>
      <c r="AR59" s="5" t="str">
        <f>IF(Deltagarlista!$K$3=2,
IF(ISBLANK(Deltagarlista!$C12),"",IF(ISBLANK(Arrangörslista!G$98),"",IF($GV59=AR$64," DNS ",IFERROR(VLOOKUP($F59,Arrangörslista!G$98:$AG$135,16,FALSE), "DNS")))), IF(Deltagarlista!$K$3=1,IF(ISBLANK(Deltagarlista!$C12),"",IF(ISBLANK(Arrangörslista!G$98),"",IFERROR(VLOOKUP($F59,Arrangörslista!G$98:$AG$135,16,FALSE), "DNS"))),""))</f>
        <v/>
      </c>
      <c r="AS59" s="5" t="str">
        <f>IF(Deltagarlista!$K$3=2,
IF(ISBLANK(Deltagarlista!$C12),"",IF(ISBLANK(Arrangörslista!H$98),"",IF($GV59=AS$64," DNS ",IFERROR(VLOOKUP($F59,Arrangörslista!H$98:$AG$135,16,FALSE), "DNS")))), IF(Deltagarlista!$K$3=1,IF(ISBLANK(Deltagarlista!$C12),"",IF(ISBLANK(Arrangörslista!H$98),"",IFERROR(VLOOKUP($F59,Arrangörslista!H$98:$AG$135,16,FALSE), "DNS"))),""))</f>
        <v/>
      </c>
      <c r="AT59" s="5" t="str">
        <f>IF(Deltagarlista!$K$3=2,
IF(ISBLANK(Deltagarlista!$C12),"",IF(ISBLANK(Arrangörslista!I$98),"",IF($GV59=AT$64," DNS ",IFERROR(VLOOKUP($F59,Arrangörslista!I$98:$AG$135,16,FALSE), "DNS")))), IF(Deltagarlista!$K$3=1,IF(ISBLANK(Deltagarlista!$C12),"",IF(ISBLANK(Arrangörslista!I$98),"",IFERROR(VLOOKUP($F59,Arrangörslista!I$98:$AG$135,16,FALSE), "DNS"))),""))</f>
        <v/>
      </c>
      <c r="AU59" s="5" t="str">
        <f>IF(Deltagarlista!$K$3=2,
IF(ISBLANK(Deltagarlista!$C12),"",IF(ISBLANK(Arrangörslista!J$98),"",IF($GV59=AU$64," DNS ",IFERROR(VLOOKUP($F59,Arrangörslista!J$98:$AG$135,16,FALSE), "DNS")))), IF(Deltagarlista!$K$3=1,IF(ISBLANK(Deltagarlista!$C12),"",IF(ISBLANK(Arrangörslista!J$98),"",IFERROR(VLOOKUP($F59,Arrangörslista!J$98:$AG$135,16,FALSE), "DNS"))),""))</f>
        <v/>
      </c>
      <c r="AV59" s="5" t="str">
        <f>IF(Deltagarlista!$K$3=2,
IF(ISBLANK(Deltagarlista!$C12),"",IF(ISBLANK(Arrangörslista!K$98),"",IF($GV59=AV$64," DNS ",IFERROR(VLOOKUP($F59,Arrangörslista!K$98:$AG$135,16,FALSE), "DNS")))), IF(Deltagarlista!$K$3=1,IF(ISBLANK(Deltagarlista!$C12),"",IF(ISBLANK(Arrangörslista!K$98),"",IFERROR(VLOOKUP($F59,Arrangörslista!K$98:$AG$135,16,FALSE), "DNS"))),""))</f>
        <v/>
      </c>
      <c r="AW59" s="5" t="str">
        <f>IF(Deltagarlista!$K$3=2,
IF(ISBLANK(Deltagarlista!$C12),"",IF(ISBLANK(Arrangörslista!L$98),"",IF($GV59=AW$64," DNS ",IFERROR(VLOOKUP($F59,Arrangörslista!L$98:$AG$135,16,FALSE), "DNS")))), IF(Deltagarlista!$K$3=1,IF(ISBLANK(Deltagarlista!$C12),"",IF(ISBLANK(Arrangörslista!L$98),"",IFERROR(VLOOKUP($F59,Arrangörslista!L$98:$AG$135,16,FALSE), "DNS"))),""))</f>
        <v/>
      </c>
      <c r="AX59" s="5" t="str">
        <f>IF(Deltagarlista!$K$3=2,
IF(ISBLANK(Deltagarlista!$C12),"",IF(ISBLANK(Arrangörslista!M$98),"",IF($GV59=AX$64," DNS ",IFERROR(VLOOKUP($F59,Arrangörslista!M$98:$AG$135,16,FALSE), "DNS")))), IF(Deltagarlista!$K$3=1,IF(ISBLANK(Deltagarlista!$C12),"",IF(ISBLANK(Arrangörslista!M$98),"",IFERROR(VLOOKUP($F59,Arrangörslista!M$98:$AG$135,16,FALSE), "DNS"))),""))</f>
        <v/>
      </c>
      <c r="AY59" s="5" t="str">
        <f>IF(Deltagarlista!$K$3=2,
IF(ISBLANK(Deltagarlista!$C12),"",IF(ISBLANK(Arrangörslista!N$98),"",IF($GV59=AY$64," DNS ",IFERROR(VLOOKUP($F59,Arrangörslista!N$98:$AG$135,16,FALSE), "DNS")))), IF(Deltagarlista!$K$3=1,IF(ISBLANK(Deltagarlista!$C12),"",IF(ISBLANK(Arrangörslista!N$98),"",IFERROR(VLOOKUP($F59,Arrangörslista!N$98:$AG$135,16,FALSE), "DNS"))),""))</f>
        <v/>
      </c>
      <c r="AZ59" s="5" t="str">
        <f>IF(Deltagarlista!$K$3=2,
IF(ISBLANK(Deltagarlista!$C12),"",IF(ISBLANK(Arrangörslista!O$98),"",IF($GV59=AZ$64," DNS ",IFERROR(VLOOKUP($F59,Arrangörslista!O$98:$AG$135,16,FALSE), "DNS")))), IF(Deltagarlista!$K$3=1,IF(ISBLANK(Deltagarlista!$C12),"",IF(ISBLANK(Arrangörslista!O$98),"",IFERROR(VLOOKUP($F59,Arrangörslista!O$98:$AG$135,16,FALSE), "DNS"))),""))</f>
        <v/>
      </c>
      <c r="BA59" s="5" t="str">
        <f>IF(Deltagarlista!$K$3=2,
IF(ISBLANK(Deltagarlista!$C12),"",IF(ISBLANK(Arrangörslista!P$98),"",IF($GV59=BA$64," DNS ",IFERROR(VLOOKUP($F59,Arrangörslista!P$98:$AG$135,16,FALSE), "DNS")))), IF(Deltagarlista!$K$3=1,IF(ISBLANK(Deltagarlista!$C12),"",IF(ISBLANK(Arrangörslista!P$98),"",IFERROR(VLOOKUP($F59,Arrangörslista!P$98:$AG$135,16,FALSE), "DNS"))),""))</f>
        <v/>
      </c>
      <c r="BB59" s="5" t="str">
        <f>IF(Deltagarlista!$K$3=2,
IF(ISBLANK(Deltagarlista!$C12),"",IF(ISBLANK(Arrangörslista!Q$98),"",IF($GV59=BB$64," DNS ",IFERROR(VLOOKUP($F59,Arrangörslista!Q$98:$AG$135,16,FALSE), "DNS")))), IF(Deltagarlista!$K$3=1,IF(ISBLANK(Deltagarlista!$C12),"",IF(ISBLANK(Arrangörslista!Q$98),"",IFERROR(VLOOKUP($F59,Arrangörslista!Q$98:$AG$135,16,FALSE), "DNS"))),""))</f>
        <v/>
      </c>
      <c r="BC59" s="5" t="str">
        <f>IF(Deltagarlista!$K$3=2,
IF(ISBLANK(Deltagarlista!$C12),"",IF(ISBLANK(Arrangörslista!C$143),"",IF($GV59=BC$64," DNS ",IFERROR(VLOOKUP($F59,Arrangörslista!C$143:$AG$180,16,FALSE), "DNS")))), IF(Deltagarlista!$K$3=1,IF(ISBLANK(Deltagarlista!$C12),"",IF(ISBLANK(Arrangörslista!C$143),"",IFERROR(VLOOKUP($F59,Arrangörslista!C$143:$AG$180,16,FALSE), "DNS"))),""))</f>
        <v/>
      </c>
      <c r="BD59" s="5" t="str">
        <f>IF(Deltagarlista!$K$3=2,
IF(ISBLANK(Deltagarlista!$C12),"",IF(ISBLANK(Arrangörslista!D$143),"",IF($GV59=BD$64," DNS ",IFERROR(VLOOKUP($F59,Arrangörslista!D$143:$AG$180,16,FALSE), "DNS")))), IF(Deltagarlista!$K$3=1,IF(ISBLANK(Deltagarlista!$C12),"",IF(ISBLANK(Arrangörslista!D$143),"",IFERROR(VLOOKUP($F59,Arrangörslista!D$143:$AG$180,16,FALSE), "DNS"))),""))</f>
        <v/>
      </c>
      <c r="BE59" s="5" t="str">
        <f>IF(Deltagarlista!$K$3=2,
IF(ISBLANK(Deltagarlista!$C12),"",IF(ISBLANK(Arrangörslista!E$143),"",IF($GV59=BE$64," DNS ",IFERROR(VLOOKUP($F59,Arrangörslista!E$143:$AG$180,16,FALSE), "DNS")))), IF(Deltagarlista!$K$3=1,IF(ISBLANK(Deltagarlista!$C12),"",IF(ISBLANK(Arrangörslista!E$143),"",IFERROR(VLOOKUP($F59,Arrangörslista!E$143:$AG$180,16,FALSE), "DNS"))),""))</f>
        <v/>
      </c>
      <c r="BF59" s="5" t="str">
        <f>IF(Deltagarlista!$K$3=2,
IF(ISBLANK(Deltagarlista!$C12),"",IF(ISBLANK(Arrangörslista!F$143),"",IF($GV59=BF$64," DNS ",IFERROR(VLOOKUP($F59,Arrangörslista!F$143:$AG$180,16,FALSE), "DNS")))), IF(Deltagarlista!$K$3=1,IF(ISBLANK(Deltagarlista!$C12),"",IF(ISBLANK(Arrangörslista!F$143),"",IFERROR(VLOOKUP($F59,Arrangörslista!F$143:$AG$180,16,FALSE), "DNS"))),""))</f>
        <v/>
      </c>
      <c r="BG59" s="5" t="str">
        <f>IF(Deltagarlista!$K$3=2,
IF(ISBLANK(Deltagarlista!$C12),"",IF(ISBLANK(Arrangörslista!G$143),"",IF($GV59=BG$64," DNS ",IFERROR(VLOOKUP($F59,Arrangörslista!G$143:$AG$180,16,FALSE), "DNS")))), IF(Deltagarlista!$K$3=1,IF(ISBLANK(Deltagarlista!$C12),"",IF(ISBLANK(Arrangörslista!G$143),"",IFERROR(VLOOKUP($F59,Arrangörslista!G$143:$AG$180,16,FALSE), "DNS"))),""))</f>
        <v/>
      </c>
      <c r="BH59" s="5" t="str">
        <f>IF(Deltagarlista!$K$3=2,
IF(ISBLANK(Deltagarlista!$C12),"",IF(ISBLANK(Arrangörslista!H$143),"",IF($GV59=BH$64," DNS ",IFERROR(VLOOKUP($F59,Arrangörslista!H$143:$AG$180,16,FALSE), "DNS")))), IF(Deltagarlista!$K$3=1,IF(ISBLANK(Deltagarlista!$C12),"",IF(ISBLANK(Arrangörslista!H$143),"",IFERROR(VLOOKUP($F59,Arrangörslista!H$143:$AG$180,16,FALSE), "DNS"))),""))</f>
        <v/>
      </c>
      <c r="BI59" s="5" t="str">
        <f>IF(Deltagarlista!$K$3=2,
IF(ISBLANK(Deltagarlista!$C12),"",IF(ISBLANK(Arrangörslista!I$143),"",IF($GV59=BI$64," DNS ",IFERROR(VLOOKUP($F59,Arrangörslista!I$143:$AG$180,16,FALSE), "DNS")))), IF(Deltagarlista!$K$3=1,IF(ISBLANK(Deltagarlista!$C12),"",IF(ISBLANK(Arrangörslista!I$143),"",IFERROR(VLOOKUP($F59,Arrangörslista!I$143:$AG$180,16,FALSE), "DNS"))),""))</f>
        <v/>
      </c>
      <c r="BJ59" s="5" t="str">
        <f>IF(Deltagarlista!$K$3=2,
IF(ISBLANK(Deltagarlista!$C12),"",IF(ISBLANK(Arrangörslista!J$143),"",IF($GV59=BJ$64," DNS ",IFERROR(VLOOKUP($F59,Arrangörslista!J$143:$AG$180,16,FALSE), "DNS")))), IF(Deltagarlista!$K$3=1,IF(ISBLANK(Deltagarlista!$C12),"",IF(ISBLANK(Arrangörslista!J$143),"",IFERROR(VLOOKUP($F59,Arrangörslista!J$143:$AG$180,16,FALSE), "DNS"))),""))</f>
        <v/>
      </c>
      <c r="BK59" s="5" t="str">
        <f>IF(Deltagarlista!$K$3=2,
IF(ISBLANK(Deltagarlista!$C12),"",IF(ISBLANK(Arrangörslista!K$143),"",IF($GV59=BK$64," DNS ",IFERROR(VLOOKUP($F59,Arrangörslista!K$143:$AG$180,16,FALSE), "DNS")))), IF(Deltagarlista!$K$3=1,IF(ISBLANK(Deltagarlista!$C12),"",IF(ISBLANK(Arrangörslista!K$143),"",IFERROR(VLOOKUP($F59,Arrangörslista!K$143:$AG$180,16,FALSE), "DNS"))),""))</f>
        <v/>
      </c>
      <c r="BL59" s="5" t="str">
        <f>IF(Deltagarlista!$K$3=2,
IF(ISBLANK(Deltagarlista!$C12),"",IF(ISBLANK(Arrangörslista!L$143),"",IF($GV59=BL$64," DNS ",IFERROR(VLOOKUP($F59,Arrangörslista!L$143:$AG$180,16,FALSE), "DNS")))), IF(Deltagarlista!$K$3=1,IF(ISBLANK(Deltagarlista!$C12),"",IF(ISBLANK(Arrangörslista!L$143),"",IFERROR(VLOOKUP($F59,Arrangörslista!L$143:$AG$180,16,FALSE), "DNS"))),""))</f>
        <v/>
      </c>
      <c r="BM59" s="5" t="str">
        <f>IF(Deltagarlista!$K$3=2,
IF(ISBLANK(Deltagarlista!$C12),"",IF(ISBLANK(Arrangörslista!M$143),"",IF($GV59=BM$64," DNS ",IFERROR(VLOOKUP($F59,Arrangörslista!M$143:$AG$180,16,FALSE), "DNS")))), IF(Deltagarlista!$K$3=1,IF(ISBLANK(Deltagarlista!$C12),"",IF(ISBLANK(Arrangörslista!M$143),"",IFERROR(VLOOKUP($F59,Arrangörslista!M$143:$AG$180,16,FALSE), "DNS"))),""))</f>
        <v/>
      </c>
      <c r="BN59" s="5" t="str">
        <f>IF(Deltagarlista!$K$3=2,
IF(ISBLANK(Deltagarlista!$C12),"",IF(ISBLANK(Arrangörslista!N$143),"",IF($GV59=BN$64," DNS ",IFERROR(VLOOKUP($F59,Arrangörslista!N$143:$AG$180,16,FALSE), "DNS")))), IF(Deltagarlista!$K$3=1,IF(ISBLANK(Deltagarlista!$C12),"",IF(ISBLANK(Arrangörslista!N$143),"",IFERROR(VLOOKUP($F59,Arrangörslista!N$143:$AG$180,16,FALSE), "DNS"))),""))</f>
        <v/>
      </c>
      <c r="BO59" s="5" t="str">
        <f>IF(Deltagarlista!$K$3=2,
IF(ISBLANK(Deltagarlista!$C12),"",IF(ISBLANK(Arrangörslista!O$143),"",IF($GV59=BO$64," DNS ",IFERROR(VLOOKUP($F59,Arrangörslista!O$143:$AG$180,16,FALSE), "DNS")))), IF(Deltagarlista!$K$3=1,IF(ISBLANK(Deltagarlista!$C12),"",IF(ISBLANK(Arrangörslista!O$143),"",IFERROR(VLOOKUP($F59,Arrangörslista!O$143:$AG$180,16,FALSE), "DNS"))),""))</f>
        <v/>
      </c>
      <c r="BP59" s="5" t="str">
        <f>IF(Deltagarlista!$K$3=2,
IF(ISBLANK(Deltagarlista!$C12),"",IF(ISBLANK(Arrangörslista!P$143),"",IF($GV59=BP$64," DNS ",IFERROR(VLOOKUP($F59,Arrangörslista!P$143:$AG$180,16,FALSE), "DNS")))), IF(Deltagarlista!$K$3=1,IF(ISBLANK(Deltagarlista!$C12),"",IF(ISBLANK(Arrangörslista!P$143),"",IFERROR(VLOOKUP($F59,Arrangörslista!P$143:$AG$180,16,FALSE), "DNS"))),""))</f>
        <v/>
      </c>
      <c r="BQ59" s="80" t="str">
        <f>IF(Deltagarlista!$K$3=2,
IF(ISBLANK(Deltagarlista!$C12),"",IF(ISBLANK(Arrangörslista!Q$143),"",IF($GV59=BQ$64," DNS ",IFERROR(VLOOKUP($F59,Arrangörslista!Q$143:$AG$180,16,FALSE), "DNS")))), IF(Deltagarlista!$K$3=1,IF(ISBLANK(Deltagarlista!$C12),"",IF(ISBLANK(Arrangörslista!Q$143),"",IFERROR(VLOOKUP($F59,Arrangörslista!Q$143:$AG$180,16,FALSE), "DNS"))),""))</f>
        <v/>
      </c>
      <c r="BR59" s="51"/>
      <c r="BS59" s="50" t="str">
        <f t="shared" si="125"/>
        <v>2</v>
      </c>
      <c r="BT59" s="51"/>
      <c r="BU59" s="71">
        <f t="shared" si="126"/>
        <v>0</v>
      </c>
      <c r="BV59" s="61">
        <f t="shared" si="127"/>
        <v>0</v>
      </c>
      <c r="BW59" s="61">
        <f t="shared" si="128"/>
        <v>0</v>
      </c>
      <c r="BX59" s="61">
        <f t="shared" si="129"/>
        <v>0</v>
      </c>
      <c r="BY59" s="61">
        <f t="shared" si="130"/>
        <v>0</v>
      </c>
      <c r="BZ59" s="61">
        <f t="shared" si="131"/>
        <v>0</v>
      </c>
      <c r="CA59" s="61">
        <f t="shared" si="132"/>
        <v>0</v>
      </c>
      <c r="CB59" s="61">
        <f t="shared" si="133"/>
        <v>0</v>
      </c>
      <c r="CC59" s="61">
        <f t="shared" si="134"/>
        <v>0</v>
      </c>
      <c r="CD59" s="61">
        <f t="shared" si="135"/>
        <v>0</v>
      </c>
      <c r="CE59" s="61">
        <f t="shared" si="136"/>
        <v>0</v>
      </c>
      <c r="CF59" s="61">
        <f t="shared" si="137"/>
        <v>0</v>
      </c>
      <c r="CG59" s="61">
        <f t="shared" si="138"/>
        <v>0</v>
      </c>
      <c r="CH59" s="61">
        <f t="shared" si="139"/>
        <v>0</v>
      </c>
      <c r="CI59" s="61">
        <f t="shared" si="140"/>
        <v>0</v>
      </c>
      <c r="CJ59" s="61">
        <f t="shared" si="141"/>
        <v>0</v>
      </c>
      <c r="CK59" s="61">
        <f t="shared" si="142"/>
        <v>0</v>
      </c>
      <c r="CL59" s="61">
        <f t="shared" si="143"/>
        <v>0</v>
      </c>
      <c r="CM59" s="61">
        <f t="shared" si="144"/>
        <v>0</v>
      </c>
      <c r="CN59" s="61">
        <f t="shared" si="145"/>
        <v>0</v>
      </c>
      <c r="CO59" s="61">
        <f t="shared" si="146"/>
        <v>0</v>
      </c>
      <c r="CP59" s="61">
        <f t="shared" si="147"/>
        <v>0</v>
      </c>
      <c r="CQ59" s="61">
        <f t="shared" si="148"/>
        <v>0</v>
      </c>
      <c r="CR59" s="61">
        <f t="shared" si="149"/>
        <v>0</v>
      </c>
      <c r="CS59" s="61">
        <f t="shared" si="150"/>
        <v>0</v>
      </c>
      <c r="CT59" s="61">
        <f t="shared" si="151"/>
        <v>0</v>
      </c>
      <c r="CU59" s="61">
        <f t="shared" si="152"/>
        <v>0</v>
      </c>
      <c r="CV59" s="61">
        <f t="shared" si="153"/>
        <v>0</v>
      </c>
      <c r="CW59" s="61">
        <f t="shared" si="154"/>
        <v>0</v>
      </c>
      <c r="CX59" s="61">
        <f t="shared" si="155"/>
        <v>0</v>
      </c>
      <c r="CY59" s="61">
        <f t="shared" si="156"/>
        <v>0</v>
      </c>
      <c r="CZ59" s="61">
        <f t="shared" si="157"/>
        <v>0</v>
      </c>
      <c r="DA59" s="61">
        <f t="shared" si="158"/>
        <v>0</v>
      </c>
      <c r="DB59" s="61">
        <f t="shared" si="159"/>
        <v>0</v>
      </c>
      <c r="DC59" s="61">
        <f t="shared" si="160"/>
        <v>0</v>
      </c>
      <c r="DD59" s="61">
        <f t="shared" si="161"/>
        <v>0</v>
      </c>
      <c r="DE59" s="61">
        <f t="shared" si="162"/>
        <v>0</v>
      </c>
      <c r="DF59" s="61">
        <f t="shared" si="163"/>
        <v>0</v>
      </c>
      <c r="DG59" s="61">
        <f t="shared" si="164"/>
        <v>0</v>
      </c>
      <c r="DH59" s="61">
        <f t="shared" si="165"/>
        <v>0</v>
      </c>
      <c r="DI59" s="61">
        <f t="shared" si="166"/>
        <v>0</v>
      </c>
      <c r="DJ59" s="61">
        <f t="shared" si="167"/>
        <v>0</v>
      </c>
      <c r="DK59" s="61">
        <f t="shared" si="168"/>
        <v>0</v>
      </c>
      <c r="DL59" s="61">
        <f t="shared" si="169"/>
        <v>0</v>
      </c>
      <c r="DM59" s="61">
        <f t="shared" si="170"/>
        <v>0</v>
      </c>
      <c r="DN59" s="61">
        <f t="shared" si="171"/>
        <v>0</v>
      </c>
      <c r="DO59" s="61">
        <f t="shared" si="172"/>
        <v>0</v>
      </c>
      <c r="DP59" s="61">
        <f t="shared" si="173"/>
        <v>0</v>
      </c>
      <c r="DQ59" s="61">
        <f t="shared" si="174"/>
        <v>0</v>
      </c>
      <c r="DR59" s="61">
        <f t="shared" si="175"/>
        <v>0</v>
      </c>
      <c r="DS59" s="61">
        <f t="shared" si="176"/>
        <v>0</v>
      </c>
      <c r="DT59" s="61">
        <f t="shared" si="177"/>
        <v>0</v>
      </c>
      <c r="DU59" s="61">
        <f t="shared" si="178"/>
        <v>0</v>
      </c>
      <c r="DV59" s="61">
        <f t="shared" si="179"/>
        <v>0</v>
      </c>
      <c r="DW59" s="61">
        <f t="shared" si="180"/>
        <v>0</v>
      </c>
      <c r="DX59" s="61">
        <f t="shared" si="181"/>
        <v>0</v>
      </c>
      <c r="DY59" s="61">
        <f t="shared" si="182"/>
        <v>0</v>
      </c>
      <c r="DZ59" s="61">
        <f t="shared" si="183"/>
        <v>0</v>
      </c>
      <c r="EA59" s="61">
        <f t="shared" si="184"/>
        <v>0</v>
      </c>
      <c r="EB59" s="61">
        <f t="shared" si="185"/>
        <v>0</v>
      </c>
      <c r="EC59" s="61">
        <f t="shared" si="186"/>
        <v>0</v>
      </c>
      <c r="EE59" s="61">
        <f xml:space="preserve">
IF(OR(Deltagarlista!$K$3=3,Deltagarlista!$K$3=4),
IF(Arrangörslista!$U$5&lt;8,0,
IF(Arrangörslista!$U$5&lt;16,SUM(LARGE(BV59:CJ59,1)),
IF(Arrangörslista!$U$5&lt;24,SUM(LARGE(BV59:CR59,{1;2})),
IF(Arrangörslista!$U$5&lt;32,SUM(LARGE(BV59:CZ59,{1;2;3})),
IF(Arrangörslista!$U$5&lt;40,SUM(LARGE(BV59:DH59,{1;2;3;4})),
IF(Arrangörslista!$U$5&lt;48,SUM(LARGE(BV59:DP59,{1;2;3;4;5})),
IF(Arrangörslista!$U$5&lt;56,SUM(LARGE(BV59:DX59,{1;2;3;4;5;6})),
IF(Arrangörslista!$U$5&lt;64,SUM(LARGE(BV59:EC59,{1;2;3;4;5;6;7})),0)))))))),
IF(Deltagarlista!$K$3=2,
IF(Arrangörslista!$U$5&lt;4,LARGE(BV59:BX59,1),
IF(Arrangörslista!$U$5&lt;7,SUM(LARGE(BV59:CA59,{1;2;3})),
IF(Arrangörslista!$U$5&lt;10,SUM(LARGE(BV59:CD59,{1;2;3;4})),
IF(Arrangörslista!$U$5&lt;13,SUM(LARGE(BV59:CG59,{1;2;3;4;5;6})),
IF(Arrangörslista!$U$5&lt;16,SUM(LARGE(BV59:CJ59,{1;2;3;4;5;6;7})),
IF(Arrangörslista!$U$5&lt;19,SUM(LARGE(BV59:CM59,{1;2;3;4;5;6;7;8;9})),
IF(Arrangörslista!$U$5&lt;22,SUM(LARGE(BV59:CP59,{1;2;3;4;5;6;7;8;9;10})),
IF(Arrangörslista!$U$5&lt;25,SUM(LARGE(BV59:CS59,{1;2;3;4;5;6;7;8;9;10;11;12})),
IF(Arrangörslista!$U$5&lt;28,SUM(LARGE(BV59:CV59,{1;2;3;4;5;6;7;8;9;10;11;12;13})),
IF(Arrangörslista!$U$5&lt;31,SUM(LARGE(BV59:CY59,{1;2;3;4;5;6;7;8;9;10;11;12;13;14;15})),
IF(Arrangörslista!$U$5&lt;34,SUM(LARGE(BV59:DB59,{1;2;3;4;5;6;7;8;9;10;11;12;13;14;15;16})),
IF(Arrangörslista!$U$5&lt;37,SUM(LARGE(BV59:DE59,{1;2;3;4;5;6;7;8;9;10;11;12;13;14;15;16;17;18})),
IF(Arrangörslista!$U$5&lt;40,SUM(LARGE(BV59:DH59,{1;2;3;4;5;6;7;8;9;10;11;12;13;14;15;16;17;18;19})),
IF(Arrangörslista!$U$5&lt;43,SUM(LARGE(BV59:DK59,{1;2;3;4;5;6;7;8;9;10;11;12;13;14;15;16;17;18;19;20;21})),
IF(Arrangörslista!$U$5&lt;46,SUM(LARGE(BV59:DN59,{1;2;3;4;5;6;7;8;9;10;11;12;13;14;15;16;17;18;19;20;21;22})),
IF(Arrangörslista!$U$5&lt;49,SUM(LARGE(BV59:DQ59,{1;2;3;4;5;6;7;8;9;10;11;12;13;14;15;16;17;18;19;20;21;22;23;24})),
IF(Arrangörslista!$U$5&lt;52,SUM(LARGE(BV59:DT59,{1;2;3;4;5;6;7;8;9;10;11;12;13;14;15;16;17;18;19;20;21;22;23;24;25})),
IF(Arrangörslista!$U$5&lt;55,SUM(LARGE(BV59:DW59,{1;2;3;4;5;6;7;8;9;10;11;12;13;14;15;16;17;18;19;20;21;22;23;24;25;26;27})),
IF(Arrangörslista!$U$5&lt;58,SUM(LARGE(BV59:DZ59,{1;2;3;4;5;6;7;8;9;10;11;12;13;14;15;16;17;18;19;20;21;22;23;24;25;26;27;28})),
IF(Arrangörslista!$U$5&lt;61,SUM(LARGE(BV59:EC59,{1;2;3;4;5;6;7;8;9;10;11;12;13;14;15;16;17;18;19;20;21;22;23;24;25;26;27;28;29;30})),0)))))))))))))))))))),
IF(Arrangörslista!$U$5&lt;4,0,
IF(Arrangörslista!$U$5&lt;8,SUM(LARGE(BV59:CB59,1)),
IF(Arrangörslista!$U$5&lt;12,SUM(LARGE(BV59:CF59,{1;2})),
IF(Arrangörslista!$U$5&lt;16,SUM(LARGE(BV59:CJ59,{1;2;3})),
IF(Arrangörslista!$U$5&lt;20,SUM(LARGE(BV59:CN59,{1;2;3;4})),
IF(Arrangörslista!$U$5&lt;24,SUM(LARGE(BV59:CR59,{1;2;3;4;5})),
IF(Arrangörslista!$U$5&lt;28,SUM(LARGE(BV59:CV59,{1;2;3;4;5;6})),
IF(Arrangörslista!$U$5&lt;32,SUM(LARGE(BV59:CZ59,{1;2;3;4;5;6;7})),
IF(Arrangörslista!$U$5&lt;36,SUM(LARGE(BV59:DD59,{1;2;3;4;5;6;7;8})),
IF(Arrangörslista!$U$5&lt;40,SUM(LARGE(BV59:DH59,{1;2;3;4;5;6;7;8;9})),
IF(Arrangörslista!$U$5&lt;44,SUM(LARGE(BV59:DL59,{1;2;3;4;5;6;7;8;9;10})),
IF(Arrangörslista!$U$5&lt;48,SUM(LARGE(BV59:DP59,{1;2;3;4;5;6;7;8;9;10;11})),
IF(Arrangörslista!$U$5&lt;52,SUM(LARGE(BV59:DT59,{1;2;3;4;5;6;7;8;9;10;11;12})),
IF(Arrangörslista!$U$5&lt;56,SUM(LARGE(BV59:DX59,{1;2;3;4;5;6;7;8;9;10;11;12;13})),
IF(Arrangörslista!$U$5&lt;60,SUM(LARGE(BV59:EB59,{1;2;3;4;5;6;7;8;9;10;11;12;13;14})),
IF(Arrangörslista!$U$5=60,SUM(LARGE(BV59:EC59,{1;2;3;4;5;6;7;8;9;10;11;12;13;14;15})),0))))))))))))))))))</f>
        <v>0</v>
      </c>
      <c r="EG59" s="67">
        <f t="shared" si="187"/>
        <v>0</v>
      </c>
      <c r="EH59" s="61"/>
      <c r="EI59" s="61"/>
      <c r="EK59" s="62">
        <f t="shared" si="188"/>
        <v>61</v>
      </c>
      <c r="EL59" s="62">
        <f t="shared" si="189"/>
        <v>61</v>
      </c>
      <c r="EM59" s="62">
        <f t="shared" si="190"/>
        <v>61</v>
      </c>
      <c r="EN59" s="62">
        <f t="shared" si="191"/>
        <v>61</v>
      </c>
      <c r="EO59" s="62">
        <f t="shared" si="192"/>
        <v>61</v>
      </c>
      <c r="EP59" s="62">
        <f t="shared" si="193"/>
        <v>61</v>
      </c>
      <c r="EQ59" s="62">
        <f t="shared" si="194"/>
        <v>61</v>
      </c>
      <c r="ER59" s="62">
        <f t="shared" si="195"/>
        <v>61</v>
      </c>
      <c r="ES59" s="62">
        <f t="shared" si="196"/>
        <v>61</v>
      </c>
      <c r="ET59" s="62">
        <f t="shared" si="197"/>
        <v>61</v>
      </c>
      <c r="EU59" s="62">
        <f t="shared" si="198"/>
        <v>61</v>
      </c>
      <c r="EV59" s="62">
        <f t="shared" si="199"/>
        <v>61</v>
      </c>
      <c r="EW59" s="62">
        <f t="shared" si="200"/>
        <v>61</v>
      </c>
      <c r="EX59" s="62">
        <f t="shared" si="201"/>
        <v>61</v>
      </c>
      <c r="EY59" s="62">
        <f t="shared" si="202"/>
        <v>61</v>
      </c>
      <c r="EZ59" s="62">
        <f t="shared" si="203"/>
        <v>61</v>
      </c>
      <c r="FA59" s="62">
        <f t="shared" si="204"/>
        <v>61</v>
      </c>
      <c r="FB59" s="62">
        <f t="shared" si="205"/>
        <v>61</v>
      </c>
      <c r="FC59" s="62">
        <f t="shared" si="206"/>
        <v>61</v>
      </c>
      <c r="FD59" s="62">
        <f t="shared" si="207"/>
        <v>61</v>
      </c>
      <c r="FE59" s="62">
        <f t="shared" si="208"/>
        <v>61</v>
      </c>
      <c r="FF59" s="62">
        <f t="shared" si="209"/>
        <v>61</v>
      </c>
      <c r="FG59" s="62">
        <f t="shared" si="210"/>
        <v>61</v>
      </c>
      <c r="FH59" s="62">
        <f t="shared" si="211"/>
        <v>61</v>
      </c>
      <c r="FI59" s="62">
        <f t="shared" si="212"/>
        <v>61</v>
      </c>
      <c r="FJ59" s="62">
        <f t="shared" si="213"/>
        <v>61</v>
      </c>
      <c r="FK59" s="62">
        <f t="shared" si="214"/>
        <v>61</v>
      </c>
      <c r="FL59" s="62">
        <f t="shared" si="215"/>
        <v>61</v>
      </c>
      <c r="FM59" s="62">
        <f t="shared" si="216"/>
        <v>61</v>
      </c>
      <c r="FN59" s="62">
        <f t="shared" si="217"/>
        <v>61</v>
      </c>
      <c r="FO59" s="62">
        <f t="shared" si="218"/>
        <v>61</v>
      </c>
      <c r="FP59" s="62">
        <f t="shared" si="219"/>
        <v>61</v>
      </c>
      <c r="FQ59" s="62">
        <f t="shared" si="220"/>
        <v>61</v>
      </c>
      <c r="FR59" s="62">
        <f t="shared" si="221"/>
        <v>61</v>
      </c>
      <c r="FS59" s="62">
        <f t="shared" si="222"/>
        <v>61</v>
      </c>
      <c r="FT59" s="62">
        <f t="shared" si="223"/>
        <v>61</v>
      </c>
      <c r="FU59" s="62">
        <f t="shared" si="224"/>
        <v>61</v>
      </c>
      <c r="FV59" s="62">
        <f t="shared" si="225"/>
        <v>61</v>
      </c>
      <c r="FW59" s="62">
        <f t="shared" si="226"/>
        <v>61</v>
      </c>
      <c r="FX59" s="62">
        <f t="shared" si="227"/>
        <v>61</v>
      </c>
      <c r="FY59" s="62">
        <f t="shared" si="228"/>
        <v>61</v>
      </c>
      <c r="FZ59" s="62">
        <f t="shared" si="229"/>
        <v>61</v>
      </c>
      <c r="GA59" s="62">
        <f t="shared" si="230"/>
        <v>61</v>
      </c>
      <c r="GB59" s="62">
        <f t="shared" si="231"/>
        <v>61</v>
      </c>
      <c r="GC59" s="62">
        <f t="shared" si="232"/>
        <v>61</v>
      </c>
      <c r="GD59" s="62">
        <f t="shared" si="233"/>
        <v>61</v>
      </c>
      <c r="GE59" s="62">
        <f t="shared" si="234"/>
        <v>61</v>
      </c>
      <c r="GF59" s="62">
        <f t="shared" si="235"/>
        <v>61</v>
      </c>
      <c r="GG59" s="62">
        <f t="shared" si="236"/>
        <v>61</v>
      </c>
      <c r="GH59" s="62">
        <f t="shared" si="237"/>
        <v>61</v>
      </c>
      <c r="GI59" s="62">
        <f t="shared" si="238"/>
        <v>61</v>
      </c>
      <c r="GJ59" s="62">
        <f t="shared" si="239"/>
        <v>61</v>
      </c>
      <c r="GK59" s="62">
        <f t="shared" si="240"/>
        <v>61</v>
      </c>
      <c r="GL59" s="62">
        <f t="shared" si="241"/>
        <v>61</v>
      </c>
      <c r="GM59" s="62">
        <f t="shared" si="242"/>
        <v>61</v>
      </c>
      <c r="GN59" s="62">
        <f t="shared" si="243"/>
        <v>61</v>
      </c>
      <c r="GO59" s="62">
        <f t="shared" si="244"/>
        <v>61</v>
      </c>
      <c r="GP59" s="62">
        <f t="shared" si="245"/>
        <v>61</v>
      </c>
      <c r="GQ59" s="62">
        <f t="shared" si="246"/>
        <v>61</v>
      </c>
      <c r="GR59" s="62">
        <f t="shared" si="247"/>
        <v>61</v>
      </c>
      <c r="GT59" s="62">
        <f>IF(Deltagarlista!$K$3=2,
IF(GW59="1",
      IF(Arrangörslista!$U$5=1,J122,
IF(Arrangörslista!$U$5=2,K122,
IF(Arrangörslista!$U$5=3,L122,
IF(Arrangörslista!$U$5=4,M122,
IF(Arrangörslista!$U$5=5,N122,
IF(Arrangörslista!$U$5=6,O122,
IF(Arrangörslista!$U$5=7,P122,
IF(Arrangörslista!$U$5=8,Q122,
IF(Arrangörslista!$U$5=9,R122,
IF(Arrangörslista!$U$5=10,S122,
IF(Arrangörslista!$U$5=11,T122,
IF(Arrangörslista!$U$5=12,U122,
IF(Arrangörslista!$U$5=13,V122,
IF(Arrangörslista!$U$5=14,W122,
IF(Arrangörslista!$U$5=15,X122,
IF(Arrangörslista!$U$5=16,Y122,IF(Arrangörslista!$U$5=17,Z122,IF(Arrangörslista!$U$5=18,AA122,IF(Arrangörslista!$U$5=19,AB122,IF(Arrangörslista!$U$5=20,AC122,IF(Arrangörslista!$U$5=21,AD122,IF(Arrangörslista!$U$5=22,AE122,IF(Arrangörslista!$U$5=23,AF122, IF(Arrangörslista!$U$5=24,AG122, IF(Arrangörslista!$U$5=25,AH122, IF(Arrangörslista!$U$5=26,AI122, IF(Arrangörslista!$U$5=27,AJ122, IF(Arrangörslista!$U$5=28,AK122, IF(Arrangörslista!$U$5=29,AL122, IF(Arrangörslista!$U$5=30,AM122, IF(Arrangörslista!$U$5=31,AN122, IF(Arrangörslista!$U$5=32,AO122, IF(Arrangörslista!$U$5=33,AP122, IF(Arrangörslista!$U$5=34,AQ122, IF(Arrangörslista!$U$5=35,AR122, IF(Arrangörslista!$U$5=36,AS122, IF(Arrangörslista!$U$5=37,AT122, IF(Arrangörslista!$U$5=38,AU122, IF(Arrangörslista!$U$5=39,AV122, IF(Arrangörslista!$U$5=40,AW122, IF(Arrangörslista!$U$5=41,AX122, IF(Arrangörslista!$U$5=42,AY122, IF(Arrangörslista!$U$5=43,AZ122, IF(Arrangörslista!$U$5=44,BA122, IF(Arrangörslista!$U$5=45,BB122, IF(Arrangörslista!$U$5=46,BC122, IF(Arrangörslista!$U$5=47,BD122, IF(Arrangörslista!$U$5=48,BE122, IF(Arrangörslista!$U$5=49,BF122, IF(Arrangörslista!$U$5=50,BG122, IF(Arrangörslista!$U$5=51,BH122, IF(Arrangörslista!$U$5=52,BI122, IF(Arrangörslista!$U$5=53,BJ122, IF(Arrangörslista!$U$5=54,BK122, IF(Arrangörslista!$U$5=55,BL122, IF(Arrangörslista!$U$5=56,BM122, IF(Arrangörslista!$U$5=57,BN122, IF(Arrangörslista!$U$5=58,BO122, IF(Arrangörslista!$U$5=59,BP122, IF(Arrangörslista!$U$5=60,BQ122,0))))))))))))))))))))))))))))))))))))))))))))))))))))))))))))),IF(Deltagarlista!$K$3=4, IF(Arrangörslista!$U$5=1,J122,
IF(Arrangörslista!$U$5=2,J122,
IF(Arrangörslista!$U$5=3,K122,
IF(Arrangörslista!$U$5=4,K122,
IF(Arrangörslista!$U$5=5,L122,
IF(Arrangörslista!$U$5=6,L122,
IF(Arrangörslista!$U$5=7,M122,
IF(Arrangörslista!$U$5=8,M122,
IF(Arrangörslista!$U$5=9,N122,
IF(Arrangörslista!$U$5=10,N122,
IF(Arrangörslista!$U$5=11,O122,
IF(Arrangörslista!$U$5=12,O122,
IF(Arrangörslista!$U$5=13,P122,
IF(Arrangörslista!$U$5=14,P122,
IF(Arrangörslista!$U$5=15,Q122,
IF(Arrangörslista!$U$5=16,Q122,
IF(Arrangörslista!$U$5=17,R122,
IF(Arrangörslista!$U$5=18,R122,
IF(Arrangörslista!$U$5=19,S122,
IF(Arrangörslista!$U$5=20,S122,
IF(Arrangörslista!$U$5=21,T122,
IF(Arrangörslista!$U$5=22,T122,IF(Arrangörslista!$U$5=23,U122, IF(Arrangörslista!$U$5=24,U122, IF(Arrangörslista!$U$5=25,V122, IF(Arrangörslista!$U$5=26,V122, IF(Arrangörslista!$U$5=27,W122, IF(Arrangörslista!$U$5=28,W122, IF(Arrangörslista!$U$5=29,X122, IF(Arrangörslista!$U$5=30,X122, IF(Arrangörslista!$U$5=31,X122, IF(Arrangörslista!$U$5=32,Y122, IF(Arrangörslista!$U$5=33,AO122, IF(Arrangörslista!$U$5=34,Y122, IF(Arrangörslista!$U$5=35,Z122, IF(Arrangörslista!$U$5=36,AR122, IF(Arrangörslista!$U$5=37,Z122, IF(Arrangörslista!$U$5=38,AA122, IF(Arrangörslista!$U$5=39,AU122, IF(Arrangörslista!$U$5=40,AA122, IF(Arrangörslista!$U$5=41,AB122, IF(Arrangörslista!$U$5=42,AX122, IF(Arrangörslista!$U$5=43,AB122, IF(Arrangörslista!$U$5=44,AC122, IF(Arrangörslista!$U$5=45,BA122, IF(Arrangörslista!$U$5=46,AC122, IF(Arrangörslista!$U$5=47,AD122, IF(Arrangörslista!$U$5=48,BD122, IF(Arrangörslista!$U$5=49,AD122, IF(Arrangörslista!$U$5=50,AE122, IF(Arrangörslista!$U$5=51,BG122, IF(Arrangörslista!$U$5=52,AE122, IF(Arrangörslista!$U$5=53,AF122, IF(Arrangörslista!$U$5=54,BJ122, IF(Arrangörslista!$U$5=55,AF122, IF(Arrangörslista!$U$5=56,AG122, IF(Arrangörslista!$U$5=57,BM122, IF(Arrangörslista!$U$5=58,AG122, IF(Arrangörslista!$U$5=59,AH122, IF(Arrangörslista!$U$5=60,AH122,0)))))))))))))))))))))))))))))))))))))))))))))))))))))))))))),IF(Arrangörslista!$U$5=1,J122,
IF(Arrangörslista!$U$5=2,K122,
IF(Arrangörslista!$U$5=3,L122,
IF(Arrangörslista!$U$5=4,M122,
IF(Arrangörslista!$U$5=5,N122,
IF(Arrangörslista!$U$5=6,O122,
IF(Arrangörslista!$U$5=7,P122,
IF(Arrangörslista!$U$5=8,Q122,
IF(Arrangörslista!$U$5=9,R122,
IF(Arrangörslista!$U$5=10,S122,
IF(Arrangörslista!$U$5=11,T122,
IF(Arrangörslista!$U$5=12,U122,
IF(Arrangörslista!$U$5=13,V122,
IF(Arrangörslista!$U$5=14,W122,
IF(Arrangörslista!$U$5=15,X122,
IF(Arrangörslista!$U$5=16,Y122,IF(Arrangörslista!$U$5=17,Z122,IF(Arrangörslista!$U$5=18,AA122,IF(Arrangörslista!$U$5=19,AB122,IF(Arrangörslista!$U$5=20,AC122,IF(Arrangörslista!$U$5=21,AD122,IF(Arrangörslista!$U$5=22,AE122,IF(Arrangörslista!$U$5=23,AF122, IF(Arrangörslista!$U$5=24,AG122, IF(Arrangörslista!$U$5=25,AH122, IF(Arrangörslista!$U$5=26,AI122, IF(Arrangörslista!$U$5=27,AJ122, IF(Arrangörslista!$U$5=28,AK122, IF(Arrangörslista!$U$5=29,AL122, IF(Arrangörslista!$U$5=30,AM122, IF(Arrangörslista!$U$5=31,AN122, IF(Arrangörslista!$U$5=32,AO122, IF(Arrangörslista!$U$5=33,AP122, IF(Arrangörslista!$U$5=34,AQ122, IF(Arrangörslista!$U$5=35,AR122, IF(Arrangörslista!$U$5=36,AS122, IF(Arrangörslista!$U$5=37,AT122, IF(Arrangörslista!$U$5=38,AU122, IF(Arrangörslista!$U$5=39,AV122, IF(Arrangörslista!$U$5=40,AW122, IF(Arrangörslista!$U$5=41,AX122, IF(Arrangörslista!$U$5=42,AY122, IF(Arrangörslista!$U$5=43,AZ122, IF(Arrangörslista!$U$5=44,BA122, IF(Arrangörslista!$U$5=45,BB122, IF(Arrangörslista!$U$5=46,BC122, IF(Arrangörslista!$U$5=47,BD122, IF(Arrangörslista!$U$5=48,BE122, IF(Arrangörslista!$U$5=49,BF122, IF(Arrangörslista!$U$5=50,BG122, IF(Arrangörslista!$U$5=51,BH122, IF(Arrangörslista!$U$5=52,BI122, IF(Arrangörslista!$U$5=53,BJ122, IF(Arrangörslista!$U$5=54,BK122, IF(Arrangörslista!$U$5=55,BL122, IF(Arrangörslista!$U$5=56,BM122, IF(Arrangörslista!$U$5=57,BN122, IF(Arrangörslista!$U$5=58,BO122, IF(Arrangörslista!$U$5=59,BP122, IF(Arrangörslista!$U$5=60,BQ122,0))))))))))))))))))))))))))))))))))))))))))))))))))))))))))))
))</f>
        <v>0</v>
      </c>
      <c r="GV59" s="65" t="str">
        <f>IFERROR(IF(VLOOKUP(F59,Deltagarlista!$E$5:$I$64,5,FALSE)="Grön","Gr",IF(VLOOKUP(F59,Deltagarlista!$E$5:$I$64,5,FALSE)="Röd","R",IF(VLOOKUP(F59,Deltagarlista!$E$5:$I$64,5,FALSE)="Blå","B","Gu"))),"")</f>
        <v/>
      </c>
      <c r="GW59" s="62" t="str">
        <f t="shared" si="124"/>
        <v/>
      </c>
    </row>
    <row r="60" spans="2:205" ht="15.75" customHeight="1" x14ac:dyDescent="0.3">
      <c r="B60" s="23" t="str">
        <f>IF((COUNTIF(Deltagarlista!$H$5:$H$64,"GM"))&gt;56,57,"")</f>
        <v/>
      </c>
      <c r="C60" s="92" t="str">
        <f>IF(ISBLANK(Deltagarlista!C16),"",Deltagarlista!C16)</f>
        <v/>
      </c>
      <c r="D60" s="109" t="str">
        <f>CONCATENATE(IF(Deltagarlista!H16="GM","GM   ",""), IF(OR(Deltagarlista!$K$3=4,Deltagarlista!$K$3=2),Deltagarlista!I16,""))</f>
        <v/>
      </c>
      <c r="E60" s="8" t="str">
        <f>IF(ISBLANK(Deltagarlista!D16),"",Deltagarlista!D16)</f>
        <v/>
      </c>
      <c r="F60" s="8" t="str">
        <f>IF(ISBLANK(Deltagarlista!E16),"",Deltagarlista!E16)</f>
        <v/>
      </c>
      <c r="G60" s="95" t="str">
        <f>IF(ISBLANK(Deltagarlista!F16),"",Deltagarlista!F16)</f>
        <v/>
      </c>
      <c r="H60" s="72" t="str">
        <f>IF(ISBLANK(Deltagarlista!C13),"",BU60-EE60)</f>
        <v/>
      </c>
      <c r="I60" s="13" t="str">
        <f>IF(ISBLANK(Deltagarlista!C13),"",IF(AND(Deltagarlista!$K$3=2,Deltagarlista!$L$3&lt;37),SUM(SUM(BV60:EC60)-(ROUNDDOWN(Arrangörslista!$U$5/3,1))*($BW$3+1)),SUM(BV60:EC60)))</f>
        <v/>
      </c>
      <c r="J60" s="79" t="str">
        <f>IF(Deltagarlista!$K$3=4,IF(ISBLANK(Deltagarlista!$C16),"",IF(ISBLANK(Arrangörslista!C$8),"",IFERROR(VLOOKUP($F60,Arrangörslista!C$8:$AG$45,16,FALSE),IF(ISBLANK(Deltagarlista!$C16),"",IF(ISBLANK(Arrangörslista!C$8),"",IFERROR(VLOOKUP($F60,Arrangörslista!D$8:$AG$45,16,FALSE),"DNS")))))),IF(Deltagarlista!$K$3=2,
IF(ISBLANK(Deltagarlista!$C16),"",IF(ISBLANK(Arrangörslista!C$8),"",IF($GV60=J$64," DNS ",IFERROR(VLOOKUP($F60,Arrangörslista!C$8:$AG$45,16,FALSE),"DNS")))),IF(ISBLANK(Deltagarlista!$C16),"",IF(ISBLANK(Arrangörslista!C$8),"",IFERROR(VLOOKUP($F60,Arrangörslista!C$8:$AG$45,16,FALSE),"DNS")))))</f>
        <v/>
      </c>
      <c r="K60" s="5" t="str">
        <f>IF(Deltagarlista!$K$3=4,IF(ISBLANK(Deltagarlista!$C16),"",IF(ISBLANK(Arrangörslista!E$8),"",IFERROR(VLOOKUP($F60,Arrangörslista!E$8:$AG$45,16,FALSE),IF(ISBLANK(Deltagarlista!$C16),"",IF(ISBLANK(Arrangörslista!E$8),"",IFERROR(VLOOKUP($F60,Arrangörslista!F$8:$AG$45,16,FALSE),"DNS")))))),IF(Deltagarlista!$K$3=2,
IF(ISBLANK(Deltagarlista!$C16),"",IF(ISBLANK(Arrangörslista!D$8),"",IF($GV60=K$64," DNS ",IFERROR(VLOOKUP($F60,Arrangörslista!D$8:$AG$45,16,FALSE),"DNS")))),IF(ISBLANK(Deltagarlista!$C16),"",IF(ISBLANK(Arrangörslista!D$8),"",IFERROR(VLOOKUP($F60,Arrangörslista!D$8:$AG$45,16,FALSE),"DNS")))))</f>
        <v/>
      </c>
      <c r="L60" s="5" t="str">
        <f>IF(Deltagarlista!$K$3=4,IF(ISBLANK(Deltagarlista!$C16),"",IF(ISBLANK(Arrangörslista!G$8),"",IFERROR(VLOOKUP($F60,Arrangörslista!G$8:$AG$45,16,FALSE),IF(ISBLANK(Deltagarlista!$C16),"",IF(ISBLANK(Arrangörslista!G$8),"",IFERROR(VLOOKUP($F60,Arrangörslista!H$8:$AG$45,16,FALSE),"DNS")))))),IF(Deltagarlista!$K$3=2,
IF(ISBLANK(Deltagarlista!$C16),"",IF(ISBLANK(Arrangörslista!E$8),"",IF($GV60=L$64," DNS ",IFERROR(VLOOKUP($F60,Arrangörslista!E$8:$AG$45,16,FALSE),"DNS")))),IF(ISBLANK(Deltagarlista!$C16),"",IF(ISBLANK(Arrangörslista!E$8),"",IFERROR(VLOOKUP($F60,Arrangörslista!E$8:$AG$45,16,FALSE),"DNS")))))</f>
        <v/>
      </c>
      <c r="M60" s="5" t="str">
        <f>IF(Deltagarlista!$K$3=4,IF(ISBLANK(Deltagarlista!$C16),"",IF(ISBLANK(Arrangörslista!I$8),"",IFERROR(VLOOKUP($F60,Arrangörslista!I$8:$AG$45,16,FALSE),IF(ISBLANK(Deltagarlista!$C16),"",IF(ISBLANK(Arrangörslista!I$8),"",IFERROR(VLOOKUP($F60,Arrangörslista!J$8:$AG$45,16,FALSE),"DNS")))))),IF(Deltagarlista!$K$3=2,
IF(ISBLANK(Deltagarlista!$C16),"",IF(ISBLANK(Arrangörslista!F$8),"",IF($GV60=M$64," DNS ",IFERROR(VLOOKUP($F60,Arrangörslista!F$8:$AG$45,16,FALSE),"DNS")))),IF(ISBLANK(Deltagarlista!$C16),"",IF(ISBLANK(Arrangörslista!F$8),"",IFERROR(VLOOKUP($F60,Arrangörslista!F$8:$AG$45,16,FALSE),"DNS")))))</f>
        <v/>
      </c>
      <c r="N60" s="5" t="str">
        <f>IF(Deltagarlista!$K$3=4,IF(ISBLANK(Deltagarlista!$C16),"",IF(ISBLANK(Arrangörslista!K$8),"",IFERROR(VLOOKUP($F60,Arrangörslista!K$8:$AG$45,16,FALSE),IF(ISBLANK(Deltagarlista!$C16),"",IF(ISBLANK(Arrangörslista!K$8),"",IFERROR(VLOOKUP($F60,Arrangörslista!L$8:$AG$45,16,FALSE),"DNS")))))),IF(Deltagarlista!$K$3=2,
IF(ISBLANK(Deltagarlista!$C16),"",IF(ISBLANK(Arrangörslista!G$8),"",IF($GV60=N$64," DNS ",IFERROR(VLOOKUP($F60,Arrangörslista!G$8:$AG$45,16,FALSE),"DNS")))),IF(ISBLANK(Deltagarlista!$C16),"",IF(ISBLANK(Arrangörslista!G$8),"",IFERROR(VLOOKUP($F60,Arrangörslista!G$8:$AG$45,16,FALSE),"DNS")))))</f>
        <v/>
      </c>
      <c r="O60" s="5" t="str">
        <f>IF(Deltagarlista!$K$3=4,IF(ISBLANK(Deltagarlista!$C16),"",IF(ISBLANK(Arrangörslista!M$8),"",IFERROR(VLOOKUP($F60,Arrangörslista!M$8:$AG$45,16,FALSE),IF(ISBLANK(Deltagarlista!$C16),"",IF(ISBLANK(Arrangörslista!M$8),"",IFERROR(VLOOKUP($F60,Arrangörslista!N$8:$AG$45,16,FALSE),"DNS")))))),IF(Deltagarlista!$K$3=2,
IF(ISBLANK(Deltagarlista!$C16),"",IF(ISBLANK(Arrangörslista!H$8),"",IF($GV60=O$64," DNS ",IFERROR(VLOOKUP($F60,Arrangörslista!H$8:$AG$45,16,FALSE),"DNS")))),IF(ISBLANK(Deltagarlista!$C16),"",IF(ISBLANK(Arrangörslista!H$8),"",IFERROR(VLOOKUP($F60,Arrangörslista!H$8:$AG$45,16,FALSE),"DNS")))))</f>
        <v/>
      </c>
      <c r="P60" s="5" t="str">
        <f>IF(Deltagarlista!$K$3=4,IF(ISBLANK(Deltagarlista!$C16),"",IF(ISBLANK(Arrangörslista!O$8),"",IFERROR(VLOOKUP($F60,Arrangörslista!O$8:$AG$45,16,FALSE),IF(ISBLANK(Deltagarlista!$C16),"",IF(ISBLANK(Arrangörslista!O$8),"",IFERROR(VLOOKUP($F60,Arrangörslista!P$8:$AG$45,16,FALSE),"DNS")))))),IF(Deltagarlista!$K$3=2,
IF(ISBLANK(Deltagarlista!$C16),"",IF(ISBLANK(Arrangörslista!I$8),"",IF($GV60=P$64," DNS ",IFERROR(VLOOKUP($F60,Arrangörslista!I$8:$AG$45,16,FALSE),"DNS")))),IF(ISBLANK(Deltagarlista!$C16),"",IF(ISBLANK(Arrangörslista!I$8),"",IFERROR(VLOOKUP($F60,Arrangörslista!I$8:$AG$45,16,FALSE),"DNS")))))</f>
        <v/>
      </c>
      <c r="Q60" s="5" t="str">
        <f>IF(Deltagarlista!$K$3=4,IF(ISBLANK(Deltagarlista!$C16),"",IF(ISBLANK(Arrangörslista!Q$8),"",IFERROR(VLOOKUP($F60,Arrangörslista!Q$8:$AG$45,16,FALSE),IF(ISBLANK(Deltagarlista!$C16),"",IF(ISBLANK(Arrangörslista!Q$8),"",IFERROR(VLOOKUP($F60,Arrangörslista!C$53:$AG$90,16,FALSE),"DNS")))))),IF(Deltagarlista!$K$3=2,
IF(ISBLANK(Deltagarlista!$C16),"",IF(ISBLANK(Arrangörslista!J$8),"",IF($GV60=Q$64," DNS ",IFERROR(VLOOKUP($F60,Arrangörslista!J$8:$AG$45,16,FALSE),"DNS")))),IF(ISBLANK(Deltagarlista!$C16),"",IF(ISBLANK(Arrangörslista!J$8),"",IFERROR(VLOOKUP($F60,Arrangörslista!J$8:$AG$45,16,FALSE),"DNS")))))</f>
        <v/>
      </c>
      <c r="R60" s="5" t="str">
        <f>IF(Deltagarlista!$K$3=4,IF(ISBLANK(Deltagarlista!$C16),"",IF(ISBLANK(Arrangörslista!D$53),"",IFERROR(VLOOKUP($F60,Arrangörslista!D$53:$AG$90,16,FALSE),IF(ISBLANK(Deltagarlista!$C16),"",IF(ISBLANK(Arrangörslista!D$53),"",IFERROR(VLOOKUP($F60,Arrangörslista!E$53:$AG$90,16,FALSE),"DNS")))))),IF(Deltagarlista!$K$3=2,
IF(ISBLANK(Deltagarlista!$C16),"",IF(ISBLANK(Arrangörslista!K$8),"",IF($GV60=R$64," DNS ",IFERROR(VLOOKUP($F60,Arrangörslista!K$8:$AG$45,16,FALSE),"DNS")))),IF(ISBLANK(Deltagarlista!$C16),"",IF(ISBLANK(Arrangörslista!K$8),"",IFERROR(VLOOKUP($F60,Arrangörslista!K$8:$AG$45,16,FALSE),"DNS")))))</f>
        <v/>
      </c>
      <c r="S60" s="5" t="str">
        <f>IF(Deltagarlista!$K$3=4,IF(ISBLANK(Deltagarlista!$C16),"",IF(ISBLANK(Arrangörslista!F$53),"",IFERROR(VLOOKUP($F60,Arrangörslista!F$53:$AG$90,16,FALSE),IF(ISBLANK(Deltagarlista!$C16),"",IF(ISBLANK(Arrangörslista!F$53),"",IFERROR(VLOOKUP($F60,Arrangörslista!G$53:$AG$90,16,FALSE),"DNS")))))),IF(Deltagarlista!$K$3=2,
IF(ISBLANK(Deltagarlista!$C16),"",IF(ISBLANK(Arrangörslista!L$8),"",IF($GV60=S$64," DNS ",IFERROR(VLOOKUP($F60,Arrangörslista!L$8:$AG$45,16,FALSE),"DNS")))),IF(ISBLANK(Deltagarlista!$C16),"",IF(ISBLANK(Arrangörslista!L$8),"",IFERROR(VLOOKUP($F60,Arrangörslista!L$8:$AG$45,16,FALSE),"DNS")))))</f>
        <v/>
      </c>
      <c r="T60" s="5" t="str">
        <f>IF(Deltagarlista!$K$3=4,IF(ISBLANK(Deltagarlista!$C16),"",IF(ISBLANK(Arrangörslista!H$53),"",IFERROR(VLOOKUP($F60,Arrangörslista!H$53:$AG$90,16,FALSE),IF(ISBLANK(Deltagarlista!$C16),"",IF(ISBLANK(Arrangörslista!H$53),"",IFERROR(VLOOKUP($F60,Arrangörslista!I$53:$AG$90,16,FALSE),"DNS")))))),IF(Deltagarlista!$K$3=2,
IF(ISBLANK(Deltagarlista!$C16),"",IF(ISBLANK(Arrangörslista!M$8),"",IF($GV60=T$64," DNS ",IFERROR(VLOOKUP($F60,Arrangörslista!M$8:$AG$45,16,FALSE),"DNS")))),IF(ISBLANK(Deltagarlista!$C16),"",IF(ISBLANK(Arrangörslista!M$8),"",IFERROR(VLOOKUP($F60,Arrangörslista!M$8:$AG$45,16,FALSE),"DNS")))))</f>
        <v/>
      </c>
      <c r="U60" s="5" t="str">
        <f>IF(Deltagarlista!$K$3=4,IF(ISBLANK(Deltagarlista!$C16),"",IF(ISBLANK(Arrangörslista!J$53),"",IFERROR(VLOOKUP($F60,Arrangörslista!J$53:$AG$90,16,FALSE),IF(ISBLANK(Deltagarlista!$C16),"",IF(ISBLANK(Arrangörslista!J$53),"",IFERROR(VLOOKUP($F60,Arrangörslista!K$53:$AG$90,16,FALSE),"DNS")))))),IF(Deltagarlista!$K$3=2,
IF(ISBLANK(Deltagarlista!$C16),"",IF(ISBLANK(Arrangörslista!N$8),"",IF($GV60=U$64," DNS ",IFERROR(VLOOKUP($F60,Arrangörslista!N$8:$AG$45,16,FALSE),"DNS")))),IF(ISBLANK(Deltagarlista!$C16),"",IF(ISBLANK(Arrangörslista!N$8),"",IFERROR(VLOOKUP($F60,Arrangörslista!N$8:$AG$45,16,FALSE),"DNS")))))</f>
        <v/>
      </c>
      <c r="V60" s="5" t="str">
        <f>IF(Deltagarlista!$K$3=4,IF(ISBLANK(Deltagarlista!$C16),"",IF(ISBLANK(Arrangörslista!L$53),"",IFERROR(VLOOKUP($F60,Arrangörslista!L$53:$AG$90,16,FALSE),IF(ISBLANK(Deltagarlista!$C16),"",IF(ISBLANK(Arrangörslista!L$53),"",IFERROR(VLOOKUP($F60,Arrangörslista!M$53:$AG$90,16,FALSE),"DNS")))))),IF(Deltagarlista!$K$3=2,
IF(ISBLANK(Deltagarlista!$C16),"",IF(ISBLANK(Arrangörslista!O$8),"",IF($GV60=V$64," DNS ",IFERROR(VLOOKUP($F60,Arrangörslista!O$8:$AG$45,16,FALSE),"DNS")))),IF(ISBLANK(Deltagarlista!$C16),"",IF(ISBLANK(Arrangörslista!O$8),"",IFERROR(VLOOKUP($F60,Arrangörslista!O$8:$AG$45,16,FALSE),"DNS")))))</f>
        <v/>
      </c>
      <c r="W60" s="5" t="str">
        <f>IF(Deltagarlista!$K$3=4,IF(ISBLANK(Deltagarlista!$C16),"",IF(ISBLANK(Arrangörslista!N$53),"",IFERROR(VLOOKUP($F60,Arrangörslista!N$53:$AG$90,16,FALSE),IF(ISBLANK(Deltagarlista!$C16),"",IF(ISBLANK(Arrangörslista!N$53),"",IFERROR(VLOOKUP($F60,Arrangörslista!O$53:$AG$90,16,FALSE),"DNS")))))),IF(Deltagarlista!$K$3=2,
IF(ISBLANK(Deltagarlista!$C16),"",IF(ISBLANK(Arrangörslista!P$8),"",IF($GV60=W$64," DNS ",IFERROR(VLOOKUP($F60,Arrangörslista!P$8:$AG$45,16,FALSE),"DNS")))),IF(ISBLANK(Deltagarlista!$C16),"",IF(ISBLANK(Arrangörslista!P$8),"",IFERROR(VLOOKUP($F60,Arrangörslista!P$8:$AG$45,16,FALSE),"DNS")))))</f>
        <v/>
      </c>
      <c r="X60" s="5" t="str">
        <f>IF(Deltagarlista!$K$3=4,IF(ISBLANK(Deltagarlista!$C16),"",IF(ISBLANK(Arrangörslista!P$53),"",IFERROR(VLOOKUP($F60,Arrangörslista!P$53:$AG$90,16,FALSE),IF(ISBLANK(Deltagarlista!$C16),"",IF(ISBLANK(Arrangörslista!P$53),"",IFERROR(VLOOKUP($F60,Arrangörslista!Q$53:$AG$90,16,FALSE),"DNS")))))),IF(Deltagarlista!$K$3=2,
IF(ISBLANK(Deltagarlista!$C16),"",IF(ISBLANK(Arrangörslista!Q$8),"",IF($GV60=X$64," DNS ",IFERROR(VLOOKUP($F60,Arrangörslista!Q$8:$AG$45,16,FALSE),"DNS")))),IF(ISBLANK(Deltagarlista!$C16),"",IF(ISBLANK(Arrangörslista!Q$8),"",IFERROR(VLOOKUP($F60,Arrangörslista!Q$8:$AG$45,16,FALSE),"DNS")))))</f>
        <v/>
      </c>
      <c r="Y60" s="5" t="str">
        <f>IF(Deltagarlista!$K$3=4,IF(ISBLANK(Deltagarlista!$C16),"",IF(ISBLANK(Arrangörslista!C$98),"",IFERROR(VLOOKUP($F60,Arrangörslista!C$98:$AG$135,16,FALSE),IF(ISBLANK(Deltagarlista!$C16),"",IF(ISBLANK(Arrangörslista!C$98),"",IFERROR(VLOOKUP($F60,Arrangörslista!D$98:$AG$135,16,FALSE),"DNS")))))),IF(Deltagarlista!$K$3=2,
IF(ISBLANK(Deltagarlista!$C16),"",IF(ISBLANK(Arrangörslista!C$53),"",IF($GV60=Y$64," DNS ",IFERROR(VLOOKUP($F60,Arrangörslista!C$53:$AG$90,16,FALSE),"DNS")))),IF(ISBLANK(Deltagarlista!$C16),"",IF(ISBLANK(Arrangörslista!C$53),"",IFERROR(VLOOKUP($F60,Arrangörslista!C$53:$AG$90,16,FALSE),"DNS")))))</f>
        <v/>
      </c>
      <c r="Z60" s="5" t="str">
        <f>IF(Deltagarlista!$K$3=4,IF(ISBLANK(Deltagarlista!$C16),"",IF(ISBLANK(Arrangörslista!E$98),"",IFERROR(VLOOKUP($F60,Arrangörslista!E$98:$AG$135,16,FALSE),IF(ISBLANK(Deltagarlista!$C16),"",IF(ISBLANK(Arrangörslista!E$98),"",IFERROR(VLOOKUP($F60,Arrangörslista!F$98:$AG$135,16,FALSE),"DNS")))))),IF(Deltagarlista!$K$3=2,
IF(ISBLANK(Deltagarlista!$C16),"",IF(ISBLANK(Arrangörslista!D$53),"",IF($GV60=Z$64," DNS ",IFERROR(VLOOKUP($F60,Arrangörslista!D$53:$AG$90,16,FALSE),"DNS")))),IF(ISBLANK(Deltagarlista!$C16),"",IF(ISBLANK(Arrangörslista!D$53),"",IFERROR(VLOOKUP($F60,Arrangörslista!D$53:$AG$90,16,FALSE),"DNS")))))</f>
        <v/>
      </c>
      <c r="AA60" s="5" t="str">
        <f>IF(Deltagarlista!$K$3=4,IF(ISBLANK(Deltagarlista!$C16),"",IF(ISBLANK(Arrangörslista!G$98),"",IFERROR(VLOOKUP($F60,Arrangörslista!G$98:$AG$135,16,FALSE),IF(ISBLANK(Deltagarlista!$C16),"",IF(ISBLANK(Arrangörslista!G$98),"",IFERROR(VLOOKUP($F60,Arrangörslista!H$98:$AG$135,16,FALSE),"DNS")))))),IF(Deltagarlista!$K$3=2,
IF(ISBLANK(Deltagarlista!$C16),"",IF(ISBLANK(Arrangörslista!E$53),"",IF($GV60=AA$64," DNS ",IFERROR(VLOOKUP($F60,Arrangörslista!E$53:$AG$90,16,FALSE),"DNS")))),IF(ISBLANK(Deltagarlista!$C16),"",IF(ISBLANK(Arrangörslista!E$53),"",IFERROR(VLOOKUP($F60,Arrangörslista!E$53:$AG$90,16,FALSE),"DNS")))))</f>
        <v/>
      </c>
      <c r="AB60" s="5" t="str">
        <f>IF(Deltagarlista!$K$3=4,IF(ISBLANK(Deltagarlista!$C16),"",IF(ISBLANK(Arrangörslista!I$98),"",IFERROR(VLOOKUP($F60,Arrangörslista!I$98:$AG$135,16,FALSE),IF(ISBLANK(Deltagarlista!$C16),"",IF(ISBLANK(Arrangörslista!I$98),"",IFERROR(VLOOKUP($F60,Arrangörslista!J$98:$AG$135,16,FALSE),"DNS")))))),IF(Deltagarlista!$K$3=2,
IF(ISBLANK(Deltagarlista!$C16),"",IF(ISBLANK(Arrangörslista!F$53),"",IF($GV60=AB$64," DNS ",IFERROR(VLOOKUP($F60,Arrangörslista!F$53:$AG$90,16,FALSE),"DNS")))),IF(ISBLANK(Deltagarlista!$C16),"",IF(ISBLANK(Arrangörslista!F$53),"",IFERROR(VLOOKUP($F60,Arrangörslista!F$53:$AG$90,16,FALSE),"DNS")))))</f>
        <v/>
      </c>
      <c r="AC60" s="5" t="str">
        <f>IF(Deltagarlista!$K$3=4,IF(ISBLANK(Deltagarlista!$C16),"",IF(ISBLANK(Arrangörslista!K$98),"",IFERROR(VLOOKUP($F60,Arrangörslista!K$98:$AG$135,16,FALSE),IF(ISBLANK(Deltagarlista!$C16),"",IF(ISBLANK(Arrangörslista!K$98),"",IFERROR(VLOOKUP($F60,Arrangörslista!L$98:$AG$135,16,FALSE),"DNS")))))),IF(Deltagarlista!$K$3=2,
IF(ISBLANK(Deltagarlista!$C16),"",IF(ISBLANK(Arrangörslista!G$53),"",IF($GV60=AC$64," DNS ",IFERROR(VLOOKUP($F60,Arrangörslista!G$53:$AG$90,16,FALSE),"DNS")))),IF(ISBLANK(Deltagarlista!$C16),"",IF(ISBLANK(Arrangörslista!G$53),"",IFERROR(VLOOKUP($F60,Arrangörslista!G$53:$AG$90,16,FALSE),"DNS")))))</f>
        <v/>
      </c>
      <c r="AD60" s="5" t="str">
        <f>IF(Deltagarlista!$K$3=4,IF(ISBLANK(Deltagarlista!$C16),"",IF(ISBLANK(Arrangörslista!M$98),"",IFERROR(VLOOKUP($F60,Arrangörslista!M$98:$AG$135,16,FALSE),IF(ISBLANK(Deltagarlista!$C16),"",IF(ISBLANK(Arrangörslista!M$98),"",IFERROR(VLOOKUP($F60,Arrangörslista!N$98:$AG$135,16,FALSE),"DNS")))))),IF(Deltagarlista!$K$3=2,
IF(ISBLANK(Deltagarlista!$C16),"",IF(ISBLANK(Arrangörslista!H$53),"",IF($GV60=AD$64," DNS ",IFERROR(VLOOKUP($F60,Arrangörslista!H$53:$AG$90,16,FALSE),"DNS")))),IF(ISBLANK(Deltagarlista!$C16),"",IF(ISBLANK(Arrangörslista!H$53),"",IFERROR(VLOOKUP($F60,Arrangörslista!H$53:$AG$90,16,FALSE),"DNS")))))</f>
        <v/>
      </c>
      <c r="AE60" s="5" t="str">
        <f>IF(Deltagarlista!$K$3=4,IF(ISBLANK(Deltagarlista!$C16),"",IF(ISBLANK(Arrangörslista!O$98),"",IFERROR(VLOOKUP($F60,Arrangörslista!O$98:$AG$135,16,FALSE),IF(ISBLANK(Deltagarlista!$C16),"",IF(ISBLANK(Arrangörslista!O$98),"",IFERROR(VLOOKUP($F60,Arrangörslista!P$98:$AG$135,16,FALSE),"DNS")))))),IF(Deltagarlista!$K$3=2,
IF(ISBLANK(Deltagarlista!$C16),"",IF(ISBLANK(Arrangörslista!I$53),"",IF($GV60=AE$64," DNS ",IFERROR(VLOOKUP($F60,Arrangörslista!I$53:$AG$90,16,FALSE),"DNS")))),IF(ISBLANK(Deltagarlista!$C16),"",IF(ISBLANK(Arrangörslista!I$53),"",IFERROR(VLOOKUP($F60,Arrangörslista!I$53:$AG$90,16,FALSE),"DNS")))))</f>
        <v/>
      </c>
      <c r="AF60" s="5" t="str">
        <f>IF(Deltagarlista!$K$3=4,IF(ISBLANK(Deltagarlista!$C16),"",IF(ISBLANK(Arrangörslista!Q$98),"",IFERROR(VLOOKUP($F60,Arrangörslista!Q$98:$AG$135,16,FALSE),IF(ISBLANK(Deltagarlista!$C16),"",IF(ISBLANK(Arrangörslista!Q$98),"",IFERROR(VLOOKUP($F60,Arrangörslista!C$143:$AG$180,16,FALSE),"DNS")))))),IF(Deltagarlista!$K$3=2,
IF(ISBLANK(Deltagarlista!$C16),"",IF(ISBLANK(Arrangörslista!J$53),"",IF($GV60=AF$64," DNS ",IFERROR(VLOOKUP($F60,Arrangörslista!J$53:$AG$90,16,FALSE),"DNS")))),IF(ISBLANK(Deltagarlista!$C16),"",IF(ISBLANK(Arrangörslista!J$53),"",IFERROR(VLOOKUP($F60,Arrangörslista!J$53:$AG$90,16,FALSE),"DNS")))))</f>
        <v/>
      </c>
      <c r="AG60" s="5" t="str">
        <f>IF(Deltagarlista!$K$3=4,IF(ISBLANK(Deltagarlista!$C16),"",IF(ISBLANK(Arrangörslista!D$143),"",IFERROR(VLOOKUP($F60,Arrangörslista!D$143:$AG$180,16,FALSE),IF(ISBLANK(Deltagarlista!$C16),"",IF(ISBLANK(Arrangörslista!D$143),"",IFERROR(VLOOKUP($F60,Arrangörslista!E$143:$AG$180,16,FALSE),"DNS")))))),IF(Deltagarlista!$K$3=2,
IF(ISBLANK(Deltagarlista!$C16),"",IF(ISBLANK(Arrangörslista!K$53),"",IF($GV60=AG$64," DNS ",IFERROR(VLOOKUP($F60,Arrangörslista!K$53:$AG$90,16,FALSE),"DNS")))),IF(ISBLANK(Deltagarlista!$C16),"",IF(ISBLANK(Arrangörslista!K$53),"",IFERROR(VLOOKUP($F60,Arrangörslista!K$53:$AG$90,16,FALSE),"DNS")))))</f>
        <v/>
      </c>
      <c r="AH60" s="5" t="str">
        <f>IF(Deltagarlista!$K$3=4,IF(ISBLANK(Deltagarlista!$C16),"",IF(ISBLANK(Arrangörslista!F$143),"",IFERROR(VLOOKUP($F60,Arrangörslista!F$143:$AG$180,16,FALSE),IF(ISBLANK(Deltagarlista!$C16),"",IF(ISBLANK(Arrangörslista!F$143),"",IFERROR(VLOOKUP($F60,Arrangörslista!G$143:$AG$180,16,FALSE),"DNS")))))),IF(Deltagarlista!$K$3=2,
IF(ISBLANK(Deltagarlista!$C16),"",IF(ISBLANK(Arrangörslista!L$53),"",IF($GV60=AH$64," DNS ",IFERROR(VLOOKUP($F60,Arrangörslista!L$53:$AG$90,16,FALSE),"DNS")))),IF(ISBLANK(Deltagarlista!$C16),"",IF(ISBLANK(Arrangörslista!L$53),"",IFERROR(VLOOKUP($F60,Arrangörslista!L$53:$AG$90,16,FALSE),"DNS")))))</f>
        <v/>
      </c>
      <c r="AI60" s="5" t="str">
        <f>IF(Deltagarlista!$K$3=4,IF(ISBLANK(Deltagarlista!$C16),"",IF(ISBLANK(Arrangörslista!H$143),"",IFERROR(VLOOKUP($F60,Arrangörslista!H$143:$AG$180,16,FALSE),IF(ISBLANK(Deltagarlista!$C16),"",IF(ISBLANK(Arrangörslista!H$143),"",IFERROR(VLOOKUP($F60,Arrangörslista!I$143:$AG$180,16,FALSE),"DNS")))))),IF(Deltagarlista!$K$3=2,
IF(ISBLANK(Deltagarlista!$C16),"",IF(ISBLANK(Arrangörslista!M$53),"",IF($GV60=AI$64," DNS ",IFERROR(VLOOKUP($F60,Arrangörslista!M$53:$AG$90,16,FALSE),"DNS")))),IF(ISBLANK(Deltagarlista!$C16),"",IF(ISBLANK(Arrangörslista!M$53),"",IFERROR(VLOOKUP($F60,Arrangörslista!M$53:$AG$90,16,FALSE),"DNS")))))</f>
        <v/>
      </c>
      <c r="AJ60" s="5" t="str">
        <f>IF(Deltagarlista!$K$3=4,IF(ISBLANK(Deltagarlista!$C16),"",IF(ISBLANK(Arrangörslista!J$143),"",IFERROR(VLOOKUP($F60,Arrangörslista!J$143:$AG$180,16,FALSE),IF(ISBLANK(Deltagarlista!$C16),"",IF(ISBLANK(Arrangörslista!J$143),"",IFERROR(VLOOKUP($F60,Arrangörslista!K$143:$AG$180,16,FALSE),"DNS")))))),IF(Deltagarlista!$K$3=2,
IF(ISBLANK(Deltagarlista!$C16),"",IF(ISBLANK(Arrangörslista!N$53),"",IF($GV60=AJ$64," DNS ",IFERROR(VLOOKUP($F60,Arrangörslista!N$53:$AG$90,16,FALSE),"DNS")))),IF(ISBLANK(Deltagarlista!$C16),"",IF(ISBLANK(Arrangörslista!N$53),"",IFERROR(VLOOKUP($F60,Arrangörslista!N$53:$AG$90,16,FALSE),"DNS")))))</f>
        <v/>
      </c>
      <c r="AK60" s="5" t="str">
        <f>IF(Deltagarlista!$K$3=4,IF(ISBLANK(Deltagarlista!$C16),"",IF(ISBLANK(Arrangörslista!L$143),"",IFERROR(VLOOKUP($F60,Arrangörslista!L$143:$AG$180,16,FALSE),IF(ISBLANK(Deltagarlista!$C16),"",IF(ISBLANK(Arrangörslista!L$143),"",IFERROR(VLOOKUP($F60,Arrangörslista!M$143:$AG$180,16,FALSE),"DNS")))))),IF(Deltagarlista!$K$3=2,
IF(ISBLANK(Deltagarlista!$C16),"",IF(ISBLANK(Arrangörslista!O$53),"",IF($GV60=AK$64," DNS ",IFERROR(VLOOKUP($F60,Arrangörslista!O$53:$AG$90,16,FALSE),"DNS")))),IF(ISBLANK(Deltagarlista!$C16),"",IF(ISBLANK(Arrangörslista!O$53),"",IFERROR(VLOOKUP($F60,Arrangörslista!O$53:$AG$90,16,FALSE),"DNS")))))</f>
        <v/>
      </c>
      <c r="AL60" s="5" t="str">
        <f>IF(Deltagarlista!$K$3=4,IF(ISBLANK(Deltagarlista!$C16),"",IF(ISBLANK(Arrangörslista!N$143),"",IFERROR(VLOOKUP($F60,Arrangörslista!N$143:$AG$180,16,FALSE),IF(ISBLANK(Deltagarlista!$C16),"",IF(ISBLANK(Arrangörslista!N$143),"",IFERROR(VLOOKUP($F60,Arrangörslista!O$143:$AG$180,16,FALSE),"DNS")))))),IF(Deltagarlista!$K$3=2,
IF(ISBLANK(Deltagarlista!$C16),"",IF(ISBLANK(Arrangörslista!P$53),"",IF($GV60=AL$64," DNS ",IFERROR(VLOOKUP($F60,Arrangörslista!P$53:$AG$90,16,FALSE),"DNS")))),IF(ISBLANK(Deltagarlista!$C16),"",IF(ISBLANK(Arrangörslista!P$53),"",IFERROR(VLOOKUP($F60,Arrangörslista!P$53:$AG$90,16,FALSE),"DNS")))))</f>
        <v/>
      </c>
      <c r="AM60" s="5" t="str">
        <f>IF(Deltagarlista!$K$3=4,IF(ISBLANK(Deltagarlista!$C16),"",IF(ISBLANK(Arrangörslista!P$143),"",IFERROR(VLOOKUP($F60,Arrangörslista!P$143:$AG$180,16,FALSE),IF(ISBLANK(Deltagarlista!$C16),"",IF(ISBLANK(Arrangörslista!P$143),"",IFERROR(VLOOKUP($F60,Arrangörslista!Q$143:$AG$180,16,FALSE),"DNS")))))),IF(Deltagarlista!$K$3=2,
IF(ISBLANK(Deltagarlista!$C16),"",IF(ISBLANK(Arrangörslista!Q$53),"",IF($GV60=AM$64," DNS ",IFERROR(VLOOKUP($F60,Arrangörslista!Q$53:$AG$90,16,FALSE),"DNS")))),IF(ISBLANK(Deltagarlista!$C16),"",IF(ISBLANK(Arrangörslista!Q$53),"",IFERROR(VLOOKUP($F60,Arrangörslista!Q$53:$AG$90,16,FALSE),"DNS")))))</f>
        <v/>
      </c>
      <c r="AN60" s="5" t="str">
        <f>IF(Deltagarlista!$K$3=2,
IF(ISBLANK(Deltagarlista!$C16),"",IF(ISBLANK(Arrangörslista!C$98),"",IF($GV60=AN$64," DNS ",IFERROR(VLOOKUP($F60,Arrangörslista!C$98:$AG$135,16,FALSE), "DNS")))), IF(Deltagarlista!$K$3=1,IF(ISBLANK(Deltagarlista!$C16),"",IF(ISBLANK(Arrangörslista!C$98),"",IFERROR(VLOOKUP($F60,Arrangörslista!C$98:$AG$135,16,FALSE), "DNS"))),""))</f>
        <v/>
      </c>
      <c r="AO60" s="5" t="str">
        <f>IF(Deltagarlista!$K$3=2,
IF(ISBLANK(Deltagarlista!$C16),"",IF(ISBLANK(Arrangörslista!D$98),"",IF($GV60=AO$64," DNS ",IFERROR(VLOOKUP($F60,Arrangörslista!D$98:$AG$135,16,FALSE), "DNS")))), IF(Deltagarlista!$K$3=1,IF(ISBLANK(Deltagarlista!$C16),"",IF(ISBLANK(Arrangörslista!D$98),"",IFERROR(VLOOKUP($F60,Arrangörslista!D$98:$AG$135,16,FALSE), "DNS"))),""))</f>
        <v/>
      </c>
      <c r="AP60" s="5" t="str">
        <f>IF(Deltagarlista!$K$3=2,
IF(ISBLANK(Deltagarlista!$C16),"",IF(ISBLANK(Arrangörslista!E$98),"",IF($GV60=AP$64," DNS ",IFERROR(VLOOKUP($F60,Arrangörslista!E$98:$AG$135,16,FALSE), "DNS")))), IF(Deltagarlista!$K$3=1,IF(ISBLANK(Deltagarlista!$C16),"",IF(ISBLANK(Arrangörslista!E$98),"",IFERROR(VLOOKUP($F60,Arrangörslista!E$98:$AG$135,16,FALSE), "DNS"))),""))</f>
        <v/>
      </c>
      <c r="AQ60" s="5" t="str">
        <f>IF(Deltagarlista!$K$3=2,
IF(ISBLANK(Deltagarlista!$C16),"",IF(ISBLANK(Arrangörslista!F$98),"",IF($GV60=AQ$64," DNS ",IFERROR(VLOOKUP($F60,Arrangörslista!F$98:$AG$135,16,FALSE), "DNS")))), IF(Deltagarlista!$K$3=1,IF(ISBLANK(Deltagarlista!$C16),"",IF(ISBLANK(Arrangörslista!F$98),"",IFERROR(VLOOKUP($F60,Arrangörslista!F$98:$AG$135,16,FALSE), "DNS"))),""))</f>
        <v/>
      </c>
      <c r="AR60" s="5" t="str">
        <f>IF(Deltagarlista!$K$3=2,
IF(ISBLANK(Deltagarlista!$C16),"",IF(ISBLANK(Arrangörslista!G$98),"",IF($GV60=AR$64," DNS ",IFERROR(VLOOKUP($F60,Arrangörslista!G$98:$AG$135,16,FALSE), "DNS")))), IF(Deltagarlista!$K$3=1,IF(ISBLANK(Deltagarlista!$C16),"",IF(ISBLANK(Arrangörslista!G$98),"",IFERROR(VLOOKUP($F60,Arrangörslista!G$98:$AG$135,16,FALSE), "DNS"))),""))</f>
        <v/>
      </c>
      <c r="AS60" s="5" t="str">
        <f>IF(Deltagarlista!$K$3=2,
IF(ISBLANK(Deltagarlista!$C16),"",IF(ISBLANK(Arrangörslista!H$98),"",IF($GV60=AS$64," DNS ",IFERROR(VLOOKUP($F60,Arrangörslista!H$98:$AG$135,16,FALSE), "DNS")))), IF(Deltagarlista!$K$3=1,IF(ISBLANK(Deltagarlista!$C16),"",IF(ISBLANK(Arrangörslista!H$98),"",IFERROR(VLOOKUP($F60,Arrangörslista!H$98:$AG$135,16,FALSE), "DNS"))),""))</f>
        <v/>
      </c>
      <c r="AT60" s="5" t="str">
        <f>IF(Deltagarlista!$K$3=2,
IF(ISBLANK(Deltagarlista!$C16),"",IF(ISBLANK(Arrangörslista!I$98),"",IF($GV60=AT$64," DNS ",IFERROR(VLOOKUP($F60,Arrangörslista!I$98:$AG$135,16,FALSE), "DNS")))), IF(Deltagarlista!$K$3=1,IF(ISBLANK(Deltagarlista!$C16),"",IF(ISBLANK(Arrangörslista!I$98),"",IFERROR(VLOOKUP($F60,Arrangörslista!I$98:$AG$135,16,FALSE), "DNS"))),""))</f>
        <v/>
      </c>
      <c r="AU60" s="5" t="str">
        <f>IF(Deltagarlista!$K$3=2,
IF(ISBLANK(Deltagarlista!$C16),"",IF(ISBLANK(Arrangörslista!J$98),"",IF($GV60=AU$64," DNS ",IFERROR(VLOOKUP($F60,Arrangörslista!J$98:$AG$135,16,FALSE), "DNS")))), IF(Deltagarlista!$K$3=1,IF(ISBLANK(Deltagarlista!$C16),"",IF(ISBLANK(Arrangörslista!J$98),"",IFERROR(VLOOKUP($F60,Arrangörslista!J$98:$AG$135,16,FALSE), "DNS"))),""))</f>
        <v/>
      </c>
      <c r="AV60" s="5" t="str">
        <f>IF(Deltagarlista!$K$3=2,
IF(ISBLANK(Deltagarlista!$C16),"",IF(ISBLANK(Arrangörslista!K$98),"",IF($GV60=AV$64," DNS ",IFERROR(VLOOKUP($F60,Arrangörslista!K$98:$AG$135,16,FALSE), "DNS")))), IF(Deltagarlista!$K$3=1,IF(ISBLANK(Deltagarlista!$C16),"",IF(ISBLANK(Arrangörslista!K$98),"",IFERROR(VLOOKUP($F60,Arrangörslista!K$98:$AG$135,16,FALSE), "DNS"))),""))</f>
        <v/>
      </c>
      <c r="AW60" s="5" t="str">
        <f>IF(Deltagarlista!$K$3=2,
IF(ISBLANK(Deltagarlista!$C16),"",IF(ISBLANK(Arrangörslista!L$98),"",IF($GV60=AW$64," DNS ",IFERROR(VLOOKUP($F60,Arrangörslista!L$98:$AG$135,16,FALSE), "DNS")))), IF(Deltagarlista!$K$3=1,IF(ISBLANK(Deltagarlista!$C16),"",IF(ISBLANK(Arrangörslista!L$98),"",IFERROR(VLOOKUP($F60,Arrangörslista!L$98:$AG$135,16,FALSE), "DNS"))),""))</f>
        <v/>
      </c>
      <c r="AX60" s="5" t="str">
        <f>IF(Deltagarlista!$K$3=2,
IF(ISBLANK(Deltagarlista!$C16),"",IF(ISBLANK(Arrangörslista!M$98),"",IF($GV60=AX$64," DNS ",IFERROR(VLOOKUP($F60,Arrangörslista!M$98:$AG$135,16,FALSE), "DNS")))), IF(Deltagarlista!$K$3=1,IF(ISBLANK(Deltagarlista!$C16),"",IF(ISBLANK(Arrangörslista!M$98),"",IFERROR(VLOOKUP($F60,Arrangörslista!M$98:$AG$135,16,FALSE), "DNS"))),""))</f>
        <v/>
      </c>
      <c r="AY60" s="5" t="str">
        <f>IF(Deltagarlista!$K$3=2,
IF(ISBLANK(Deltagarlista!$C16),"",IF(ISBLANK(Arrangörslista!N$98),"",IF($GV60=AY$64," DNS ",IFERROR(VLOOKUP($F60,Arrangörslista!N$98:$AG$135,16,FALSE), "DNS")))), IF(Deltagarlista!$K$3=1,IF(ISBLANK(Deltagarlista!$C16),"",IF(ISBLANK(Arrangörslista!N$98),"",IFERROR(VLOOKUP($F60,Arrangörslista!N$98:$AG$135,16,FALSE), "DNS"))),""))</f>
        <v/>
      </c>
      <c r="AZ60" s="5" t="str">
        <f>IF(Deltagarlista!$K$3=2,
IF(ISBLANK(Deltagarlista!$C16),"",IF(ISBLANK(Arrangörslista!O$98),"",IF($GV60=AZ$64," DNS ",IFERROR(VLOOKUP($F60,Arrangörslista!O$98:$AG$135,16,FALSE), "DNS")))), IF(Deltagarlista!$K$3=1,IF(ISBLANK(Deltagarlista!$C16),"",IF(ISBLANK(Arrangörslista!O$98),"",IFERROR(VLOOKUP($F60,Arrangörslista!O$98:$AG$135,16,FALSE), "DNS"))),""))</f>
        <v/>
      </c>
      <c r="BA60" s="5" t="str">
        <f>IF(Deltagarlista!$K$3=2,
IF(ISBLANK(Deltagarlista!$C16),"",IF(ISBLANK(Arrangörslista!P$98),"",IF($GV60=BA$64," DNS ",IFERROR(VLOOKUP($F60,Arrangörslista!P$98:$AG$135,16,FALSE), "DNS")))), IF(Deltagarlista!$K$3=1,IF(ISBLANK(Deltagarlista!$C16),"",IF(ISBLANK(Arrangörslista!P$98),"",IFERROR(VLOOKUP($F60,Arrangörslista!P$98:$AG$135,16,FALSE), "DNS"))),""))</f>
        <v/>
      </c>
      <c r="BB60" s="5" t="str">
        <f>IF(Deltagarlista!$K$3=2,
IF(ISBLANK(Deltagarlista!$C16),"",IF(ISBLANK(Arrangörslista!Q$98),"",IF($GV60=BB$64," DNS ",IFERROR(VLOOKUP($F60,Arrangörslista!Q$98:$AG$135,16,FALSE), "DNS")))), IF(Deltagarlista!$K$3=1,IF(ISBLANK(Deltagarlista!$C16),"",IF(ISBLANK(Arrangörslista!Q$98),"",IFERROR(VLOOKUP($F60,Arrangörslista!Q$98:$AG$135,16,FALSE), "DNS"))),""))</f>
        <v/>
      </c>
      <c r="BC60" s="5" t="str">
        <f>IF(Deltagarlista!$K$3=2,
IF(ISBLANK(Deltagarlista!$C16),"",IF(ISBLANK(Arrangörslista!C$143),"",IF($GV60=BC$64," DNS ",IFERROR(VLOOKUP($F60,Arrangörslista!C$143:$AG$180,16,FALSE), "DNS")))), IF(Deltagarlista!$K$3=1,IF(ISBLANK(Deltagarlista!$C16),"",IF(ISBLANK(Arrangörslista!C$143),"",IFERROR(VLOOKUP($F60,Arrangörslista!C$143:$AG$180,16,FALSE), "DNS"))),""))</f>
        <v/>
      </c>
      <c r="BD60" s="5" t="str">
        <f>IF(Deltagarlista!$K$3=2,
IF(ISBLANK(Deltagarlista!$C16),"",IF(ISBLANK(Arrangörslista!D$143),"",IF($GV60=BD$64," DNS ",IFERROR(VLOOKUP($F60,Arrangörslista!D$143:$AG$180,16,FALSE), "DNS")))), IF(Deltagarlista!$K$3=1,IF(ISBLANK(Deltagarlista!$C16),"",IF(ISBLANK(Arrangörslista!D$143),"",IFERROR(VLOOKUP($F60,Arrangörslista!D$143:$AG$180,16,FALSE), "DNS"))),""))</f>
        <v/>
      </c>
      <c r="BE60" s="5" t="str">
        <f>IF(Deltagarlista!$K$3=2,
IF(ISBLANK(Deltagarlista!$C16),"",IF(ISBLANK(Arrangörslista!E$143),"",IF($GV60=BE$64," DNS ",IFERROR(VLOOKUP($F60,Arrangörslista!E$143:$AG$180,16,FALSE), "DNS")))), IF(Deltagarlista!$K$3=1,IF(ISBLANK(Deltagarlista!$C16),"",IF(ISBLANK(Arrangörslista!E$143),"",IFERROR(VLOOKUP($F60,Arrangörslista!E$143:$AG$180,16,FALSE), "DNS"))),""))</f>
        <v/>
      </c>
      <c r="BF60" s="5" t="str">
        <f>IF(Deltagarlista!$K$3=2,
IF(ISBLANK(Deltagarlista!$C16),"",IF(ISBLANK(Arrangörslista!F$143),"",IF($GV60=BF$64," DNS ",IFERROR(VLOOKUP($F60,Arrangörslista!F$143:$AG$180,16,FALSE), "DNS")))), IF(Deltagarlista!$K$3=1,IF(ISBLANK(Deltagarlista!$C16),"",IF(ISBLANK(Arrangörslista!F$143),"",IFERROR(VLOOKUP($F60,Arrangörslista!F$143:$AG$180,16,FALSE), "DNS"))),""))</f>
        <v/>
      </c>
      <c r="BG60" s="5" t="str">
        <f>IF(Deltagarlista!$K$3=2,
IF(ISBLANK(Deltagarlista!$C16),"",IF(ISBLANK(Arrangörslista!G$143),"",IF($GV60=BG$64," DNS ",IFERROR(VLOOKUP($F60,Arrangörslista!G$143:$AG$180,16,FALSE), "DNS")))), IF(Deltagarlista!$K$3=1,IF(ISBLANK(Deltagarlista!$C16),"",IF(ISBLANK(Arrangörslista!G$143),"",IFERROR(VLOOKUP($F60,Arrangörslista!G$143:$AG$180,16,FALSE), "DNS"))),""))</f>
        <v/>
      </c>
      <c r="BH60" s="5" t="str">
        <f>IF(Deltagarlista!$K$3=2,
IF(ISBLANK(Deltagarlista!$C16),"",IF(ISBLANK(Arrangörslista!H$143),"",IF($GV60=BH$64," DNS ",IFERROR(VLOOKUP($F60,Arrangörslista!H$143:$AG$180,16,FALSE), "DNS")))), IF(Deltagarlista!$K$3=1,IF(ISBLANK(Deltagarlista!$C16),"",IF(ISBLANK(Arrangörslista!H$143),"",IFERROR(VLOOKUP($F60,Arrangörslista!H$143:$AG$180,16,FALSE), "DNS"))),""))</f>
        <v/>
      </c>
      <c r="BI60" s="5" t="str">
        <f>IF(Deltagarlista!$K$3=2,
IF(ISBLANK(Deltagarlista!$C16),"",IF(ISBLANK(Arrangörslista!I$143),"",IF($GV60=BI$64," DNS ",IFERROR(VLOOKUP($F60,Arrangörslista!I$143:$AG$180,16,FALSE), "DNS")))), IF(Deltagarlista!$K$3=1,IF(ISBLANK(Deltagarlista!$C16),"",IF(ISBLANK(Arrangörslista!I$143),"",IFERROR(VLOOKUP($F60,Arrangörslista!I$143:$AG$180,16,FALSE), "DNS"))),""))</f>
        <v/>
      </c>
      <c r="BJ60" s="5" t="str">
        <f>IF(Deltagarlista!$K$3=2,
IF(ISBLANK(Deltagarlista!$C16),"",IF(ISBLANK(Arrangörslista!J$143),"",IF($GV60=BJ$64," DNS ",IFERROR(VLOOKUP($F60,Arrangörslista!J$143:$AG$180,16,FALSE), "DNS")))), IF(Deltagarlista!$K$3=1,IF(ISBLANK(Deltagarlista!$C16),"",IF(ISBLANK(Arrangörslista!J$143),"",IFERROR(VLOOKUP($F60,Arrangörslista!J$143:$AG$180,16,FALSE), "DNS"))),""))</f>
        <v/>
      </c>
      <c r="BK60" s="5" t="str">
        <f>IF(Deltagarlista!$K$3=2,
IF(ISBLANK(Deltagarlista!$C16),"",IF(ISBLANK(Arrangörslista!K$143),"",IF($GV60=BK$64," DNS ",IFERROR(VLOOKUP($F60,Arrangörslista!K$143:$AG$180,16,FALSE), "DNS")))), IF(Deltagarlista!$K$3=1,IF(ISBLANK(Deltagarlista!$C16),"",IF(ISBLANK(Arrangörslista!K$143),"",IFERROR(VLOOKUP($F60,Arrangörslista!K$143:$AG$180,16,FALSE), "DNS"))),""))</f>
        <v/>
      </c>
      <c r="BL60" s="5" t="str">
        <f>IF(Deltagarlista!$K$3=2,
IF(ISBLANK(Deltagarlista!$C16),"",IF(ISBLANK(Arrangörslista!L$143),"",IF($GV60=BL$64," DNS ",IFERROR(VLOOKUP($F60,Arrangörslista!L$143:$AG$180,16,FALSE), "DNS")))), IF(Deltagarlista!$K$3=1,IF(ISBLANK(Deltagarlista!$C16),"",IF(ISBLANK(Arrangörslista!L$143),"",IFERROR(VLOOKUP($F60,Arrangörslista!L$143:$AG$180,16,FALSE), "DNS"))),""))</f>
        <v/>
      </c>
      <c r="BM60" s="5" t="str">
        <f>IF(Deltagarlista!$K$3=2,
IF(ISBLANK(Deltagarlista!$C16),"",IF(ISBLANK(Arrangörslista!M$143),"",IF($GV60=BM$64," DNS ",IFERROR(VLOOKUP($F60,Arrangörslista!M$143:$AG$180,16,FALSE), "DNS")))), IF(Deltagarlista!$K$3=1,IF(ISBLANK(Deltagarlista!$C16),"",IF(ISBLANK(Arrangörslista!M$143),"",IFERROR(VLOOKUP($F60,Arrangörslista!M$143:$AG$180,16,FALSE), "DNS"))),""))</f>
        <v/>
      </c>
      <c r="BN60" s="5" t="str">
        <f>IF(Deltagarlista!$K$3=2,
IF(ISBLANK(Deltagarlista!$C16),"",IF(ISBLANK(Arrangörslista!N$143),"",IF($GV60=BN$64," DNS ",IFERROR(VLOOKUP($F60,Arrangörslista!N$143:$AG$180,16,FALSE), "DNS")))), IF(Deltagarlista!$K$3=1,IF(ISBLANK(Deltagarlista!$C16),"",IF(ISBLANK(Arrangörslista!N$143),"",IFERROR(VLOOKUP($F60,Arrangörslista!N$143:$AG$180,16,FALSE), "DNS"))),""))</f>
        <v/>
      </c>
      <c r="BO60" s="5" t="str">
        <f>IF(Deltagarlista!$K$3=2,
IF(ISBLANK(Deltagarlista!$C16),"",IF(ISBLANK(Arrangörslista!O$143),"",IF($GV60=BO$64," DNS ",IFERROR(VLOOKUP($F60,Arrangörslista!O$143:$AG$180,16,FALSE), "DNS")))), IF(Deltagarlista!$K$3=1,IF(ISBLANK(Deltagarlista!$C16),"",IF(ISBLANK(Arrangörslista!O$143),"",IFERROR(VLOOKUP($F60,Arrangörslista!O$143:$AG$180,16,FALSE), "DNS"))),""))</f>
        <v/>
      </c>
      <c r="BP60" s="5" t="str">
        <f>IF(Deltagarlista!$K$3=2,
IF(ISBLANK(Deltagarlista!$C16),"",IF(ISBLANK(Arrangörslista!P$143),"",IF($GV60=BP$64," DNS ",IFERROR(VLOOKUP($F60,Arrangörslista!P$143:$AG$180,16,FALSE), "DNS")))), IF(Deltagarlista!$K$3=1,IF(ISBLANK(Deltagarlista!$C16),"",IF(ISBLANK(Arrangörslista!P$143),"",IFERROR(VLOOKUP($F60,Arrangörslista!P$143:$AG$180,16,FALSE), "DNS"))),""))</f>
        <v/>
      </c>
      <c r="BQ60" s="80" t="str">
        <f>IF(Deltagarlista!$K$3=2,
IF(ISBLANK(Deltagarlista!$C16),"",IF(ISBLANK(Arrangörslista!Q$143),"",IF($GV60=BQ$64," DNS ",IFERROR(VLOOKUP($F60,Arrangörslista!Q$143:$AG$180,16,FALSE), "DNS")))), IF(Deltagarlista!$K$3=1,IF(ISBLANK(Deltagarlista!$C16),"",IF(ISBLANK(Arrangörslista!Q$143),"",IFERROR(VLOOKUP($F60,Arrangörslista!Q$143:$AG$180,16,FALSE), "DNS"))),""))</f>
        <v/>
      </c>
      <c r="BR60" s="51"/>
      <c r="BS60" s="50" t="str">
        <f t="shared" si="125"/>
        <v>2</v>
      </c>
      <c r="BT60" s="51"/>
      <c r="BU60" s="71">
        <f t="shared" si="126"/>
        <v>0</v>
      </c>
      <c r="BV60" s="61">
        <f t="shared" si="127"/>
        <v>0</v>
      </c>
      <c r="BW60" s="61">
        <f t="shared" si="128"/>
        <v>0</v>
      </c>
      <c r="BX60" s="61">
        <f t="shared" si="129"/>
        <v>0</v>
      </c>
      <c r="BY60" s="61">
        <f t="shared" si="130"/>
        <v>0</v>
      </c>
      <c r="BZ60" s="61">
        <f t="shared" si="131"/>
        <v>0</v>
      </c>
      <c r="CA60" s="61">
        <f t="shared" si="132"/>
        <v>0</v>
      </c>
      <c r="CB60" s="61">
        <f t="shared" si="133"/>
        <v>0</v>
      </c>
      <c r="CC60" s="61">
        <f t="shared" si="134"/>
        <v>0</v>
      </c>
      <c r="CD60" s="61">
        <f t="shared" si="135"/>
        <v>0</v>
      </c>
      <c r="CE60" s="61">
        <f t="shared" si="136"/>
        <v>0</v>
      </c>
      <c r="CF60" s="61">
        <f t="shared" si="137"/>
        <v>0</v>
      </c>
      <c r="CG60" s="61">
        <f t="shared" si="138"/>
        <v>0</v>
      </c>
      <c r="CH60" s="61">
        <f t="shared" si="139"/>
        <v>0</v>
      </c>
      <c r="CI60" s="61">
        <f t="shared" si="140"/>
        <v>0</v>
      </c>
      <c r="CJ60" s="61">
        <f t="shared" si="141"/>
        <v>0</v>
      </c>
      <c r="CK60" s="61">
        <f t="shared" si="142"/>
        <v>0</v>
      </c>
      <c r="CL60" s="61">
        <f t="shared" si="143"/>
        <v>0</v>
      </c>
      <c r="CM60" s="61">
        <f t="shared" si="144"/>
        <v>0</v>
      </c>
      <c r="CN60" s="61">
        <f t="shared" si="145"/>
        <v>0</v>
      </c>
      <c r="CO60" s="61">
        <f t="shared" si="146"/>
        <v>0</v>
      </c>
      <c r="CP60" s="61">
        <f t="shared" si="147"/>
        <v>0</v>
      </c>
      <c r="CQ60" s="61">
        <f t="shared" si="148"/>
        <v>0</v>
      </c>
      <c r="CR60" s="61">
        <f t="shared" si="149"/>
        <v>0</v>
      </c>
      <c r="CS60" s="61">
        <f t="shared" si="150"/>
        <v>0</v>
      </c>
      <c r="CT60" s="61">
        <f t="shared" si="151"/>
        <v>0</v>
      </c>
      <c r="CU60" s="61">
        <f t="shared" si="152"/>
        <v>0</v>
      </c>
      <c r="CV60" s="61">
        <f t="shared" si="153"/>
        <v>0</v>
      </c>
      <c r="CW60" s="61">
        <f t="shared" si="154"/>
        <v>0</v>
      </c>
      <c r="CX60" s="61">
        <f t="shared" si="155"/>
        <v>0</v>
      </c>
      <c r="CY60" s="61">
        <f t="shared" si="156"/>
        <v>0</v>
      </c>
      <c r="CZ60" s="61">
        <f t="shared" si="157"/>
        <v>0</v>
      </c>
      <c r="DA60" s="61">
        <f t="shared" si="158"/>
        <v>0</v>
      </c>
      <c r="DB60" s="61">
        <f t="shared" si="159"/>
        <v>0</v>
      </c>
      <c r="DC60" s="61">
        <f t="shared" si="160"/>
        <v>0</v>
      </c>
      <c r="DD60" s="61">
        <f t="shared" si="161"/>
        <v>0</v>
      </c>
      <c r="DE60" s="61">
        <f t="shared" si="162"/>
        <v>0</v>
      </c>
      <c r="DF60" s="61">
        <f t="shared" si="163"/>
        <v>0</v>
      </c>
      <c r="DG60" s="61">
        <f t="shared" si="164"/>
        <v>0</v>
      </c>
      <c r="DH60" s="61">
        <f t="shared" si="165"/>
        <v>0</v>
      </c>
      <c r="DI60" s="61">
        <f t="shared" si="166"/>
        <v>0</v>
      </c>
      <c r="DJ60" s="61">
        <f t="shared" si="167"/>
        <v>0</v>
      </c>
      <c r="DK60" s="61">
        <f t="shared" si="168"/>
        <v>0</v>
      </c>
      <c r="DL60" s="61">
        <f t="shared" si="169"/>
        <v>0</v>
      </c>
      <c r="DM60" s="61">
        <f t="shared" si="170"/>
        <v>0</v>
      </c>
      <c r="DN60" s="61">
        <f t="shared" si="171"/>
        <v>0</v>
      </c>
      <c r="DO60" s="61">
        <f t="shared" si="172"/>
        <v>0</v>
      </c>
      <c r="DP60" s="61">
        <f t="shared" si="173"/>
        <v>0</v>
      </c>
      <c r="DQ60" s="61">
        <f t="shared" si="174"/>
        <v>0</v>
      </c>
      <c r="DR60" s="61">
        <f t="shared" si="175"/>
        <v>0</v>
      </c>
      <c r="DS60" s="61">
        <f t="shared" si="176"/>
        <v>0</v>
      </c>
      <c r="DT60" s="61">
        <f t="shared" si="177"/>
        <v>0</v>
      </c>
      <c r="DU60" s="61">
        <f t="shared" si="178"/>
        <v>0</v>
      </c>
      <c r="DV60" s="61">
        <f t="shared" si="179"/>
        <v>0</v>
      </c>
      <c r="DW60" s="61">
        <f t="shared" si="180"/>
        <v>0</v>
      </c>
      <c r="DX60" s="61">
        <f t="shared" si="181"/>
        <v>0</v>
      </c>
      <c r="DY60" s="61">
        <f t="shared" si="182"/>
        <v>0</v>
      </c>
      <c r="DZ60" s="61">
        <f t="shared" si="183"/>
        <v>0</v>
      </c>
      <c r="EA60" s="61">
        <f t="shared" si="184"/>
        <v>0</v>
      </c>
      <c r="EB60" s="61">
        <f t="shared" si="185"/>
        <v>0</v>
      </c>
      <c r="EC60" s="61">
        <f t="shared" si="186"/>
        <v>0</v>
      </c>
      <c r="EE60" s="61">
        <f xml:space="preserve">
IF(OR(Deltagarlista!$K$3=3,Deltagarlista!$K$3=4),
IF(Arrangörslista!$U$5&lt;8,0,
IF(Arrangörslista!$U$5&lt;16,SUM(LARGE(BV60:CJ60,1)),
IF(Arrangörslista!$U$5&lt;24,SUM(LARGE(BV60:CR60,{1;2})),
IF(Arrangörslista!$U$5&lt;32,SUM(LARGE(BV60:CZ60,{1;2;3})),
IF(Arrangörslista!$U$5&lt;40,SUM(LARGE(BV60:DH60,{1;2;3;4})),
IF(Arrangörslista!$U$5&lt;48,SUM(LARGE(BV60:DP60,{1;2;3;4;5})),
IF(Arrangörslista!$U$5&lt;56,SUM(LARGE(BV60:DX60,{1;2;3;4;5;6})),
IF(Arrangörslista!$U$5&lt;64,SUM(LARGE(BV60:EC60,{1;2;3;4;5;6;7})),0)))))))),
IF(Deltagarlista!$K$3=2,
IF(Arrangörslista!$U$5&lt;4,LARGE(BV60:BX60,1),
IF(Arrangörslista!$U$5&lt;7,SUM(LARGE(BV60:CA60,{1;2;3})),
IF(Arrangörslista!$U$5&lt;10,SUM(LARGE(BV60:CD60,{1;2;3;4})),
IF(Arrangörslista!$U$5&lt;13,SUM(LARGE(BV60:CG60,{1;2;3;4;5;6})),
IF(Arrangörslista!$U$5&lt;16,SUM(LARGE(BV60:CJ60,{1;2;3;4;5;6;7})),
IF(Arrangörslista!$U$5&lt;19,SUM(LARGE(BV60:CM60,{1;2;3;4;5;6;7;8;9})),
IF(Arrangörslista!$U$5&lt;22,SUM(LARGE(BV60:CP60,{1;2;3;4;5;6;7;8;9;10})),
IF(Arrangörslista!$U$5&lt;25,SUM(LARGE(BV60:CS60,{1;2;3;4;5;6;7;8;9;10;11;12})),
IF(Arrangörslista!$U$5&lt;28,SUM(LARGE(BV60:CV60,{1;2;3;4;5;6;7;8;9;10;11;12;13})),
IF(Arrangörslista!$U$5&lt;31,SUM(LARGE(BV60:CY60,{1;2;3;4;5;6;7;8;9;10;11;12;13;14;15})),
IF(Arrangörslista!$U$5&lt;34,SUM(LARGE(BV60:DB60,{1;2;3;4;5;6;7;8;9;10;11;12;13;14;15;16})),
IF(Arrangörslista!$U$5&lt;37,SUM(LARGE(BV60:DE60,{1;2;3;4;5;6;7;8;9;10;11;12;13;14;15;16;17;18})),
IF(Arrangörslista!$U$5&lt;40,SUM(LARGE(BV60:DH60,{1;2;3;4;5;6;7;8;9;10;11;12;13;14;15;16;17;18;19})),
IF(Arrangörslista!$U$5&lt;43,SUM(LARGE(BV60:DK60,{1;2;3;4;5;6;7;8;9;10;11;12;13;14;15;16;17;18;19;20;21})),
IF(Arrangörslista!$U$5&lt;46,SUM(LARGE(BV60:DN60,{1;2;3;4;5;6;7;8;9;10;11;12;13;14;15;16;17;18;19;20;21;22})),
IF(Arrangörslista!$U$5&lt;49,SUM(LARGE(BV60:DQ60,{1;2;3;4;5;6;7;8;9;10;11;12;13;14;15;16;17;18;19;20;21;22;23;24})),
IF(Arrangörslista!$U$5&lt;52,SUM(LARGE(BV60:DT60,{1;2;3;4;5;6;7;8;9;10;11;12;13;14;15;16;17;18;19;20;21;22;23;24;25})),
IF(Arrangörslista!$U$5&lt;55,SUM(LARGE(BV60:DW60,{1;2;3;4;5;6;7;8;9;10;11;12;13;14;15;16;17;18;19;20;21;22;23;24;25;26;27})),
IF(Arrangörslista!$U$5&lt;58,SUM(LARGE(BV60:DZ60,{1;2;3;4;5;6;7;8;9;10;11;12;13;14;15;16;17;18;19;20;21;22;23;24;25;26;27;28})),
IF(Arrangörslista!$U$5&lt;61,SUM(LARGE(BV60:EC60,{1;2;3;4;5;6;7;8;9;10;11;12;13;14;15;16;17;18;19;20;21;22;23;24;25;26;27;28;29;30})),0)))))))))))))))))))),
IF(Arrangörslista!$U$5&lt;4,0,
IF(Arrangörslista!$U$5&lt;8,SUM(LARGE(BV60:CB60,1)),
IF(Arrangörslista!$U$5&lt;12,SUM(LARGE(BV60:CF60,{1;2})),
IF(Arrangörslista!$U$5&lt;16,SUM(LARGE(BV60:CJ60,{1;2;3})),
IF(Arrangörslista!$U$5&lt;20,SUM(LARGE(BV60:CN60,{1;2;3;4})),
IF(Arrangörslista!$U$5&lt;24,SUM(LARGE(BV60:CR60,{1;2;3;4;5})),
IF(Arrangörslista!$U$5&lt;28,SUM(LARGE(BV60:CV60,{1;2;3;4;5;6})),
IF(Arrangörslista!$U$5&lt;32,SUM(LARGE(BV60:CZ60,{1;2;3;4;5;6;7})),
IF(Arrangörslista!$U$5&lt;36,SUM(LARGE(BV60:DD60,{1;2;3;4;5;6;7;8})),
IF(Arrangörslista!$U$5&lt;40,SUM(LARGE(BV60:DH60,{1;2;3;4;5;6;7;8;9})),
IF(Arrangörslista!$U$5&lt;44,SUM(LARGE(BV60:DL60,{1;2;3;4;5;6;7;8;9;10})),
IF(Arrangörslista!$U$5&lt;48,SUM(LARGE(BV60:DP60,{1;2;3;4;5;6;7;8;9;10;11})),
IF(Arrangörslista!$U$5&lt;52,SUM(LARGE(BV60:DT60,{1;2;3;4;5;6;7;8;9;10;11;12})),
IF(Arrangörslista!$U$5&lt;56,SUM(LARGE(BV60:DX60,{1;2;3;4;5;6;7;8;9;10;11;12;13})),
IF(Arrangörslista!$U$5&lt;60,SUM(LARGE(BV60:EB60,{1;2;3;4;5;6;7;8;9;10;11;12;13;14})),
IF(Arrangörslista!$U$5=60,SUM(LARGE(BV60:EC60,{1;2;3;4;5;6;7;8;9;10;11;12;13;14;15})),0))))))))))))))))))</f>
        <v>0</v>
      </c>
      <c r="EG60" s="67">
        <f t="shared" si="187"/>
        <v>0</v>
      </c>
      <c r="EH60" s="61"/>
      <c r="EI60" s="61"/>
      <c r="EK60" s="62">
        <f t="shared" si="188"/>
        <v>61</v>
      </c>
      <c r="EL60" s="62">
        <f t="shared" si="189"/>
        <v>61</v>
      </c>
      <c r="EM60" s="62">
        <f t="shared" si="190"/>
        <v>61</v>
      </c>
      <c r="EN60" s="62">
        <f t="shared" si="191"/>
        <v>61</v>
      </c>
      <c r="EO60" s="62">
        <f t="shared" si="192"/>
        <v>61</v>
      </c>
      <c r="EP60" s="62">
        <f t="shared" si="193"/>
        <v>61</v>
      </c>
      <c r="EQ60" s="62">
        <f t="shared" si="194"/>
        <v>61</v>
      </c>
      <c r="ER60" s="62">
        <f t="shared" si="195"/>
        <v>61</v>
      </c>
      <c r="ES60" s="62">
        <f t="shared" si="196"/>
        <v>61</v>
      </c>
      <c r="ET60" s="62">
        <f t="shared" si="197"/>
        <v>61</v>
      </c>
      <c r="EU60" s="62">
        <f t="shared" si="198"/>
        <v>61</v>
      </c>
      <c r="EV60" s="62">
        <f t="shared" si="199"/>
        <v>61</v>
      </c>
      <c r="EW60" s="62">
        <f t="shared" si="200"/>
        <v>61</v>
      </c>
      <c r="EX60" s="62">
        <f t="shared" si="201"/>
        <v>61</v>
      </c>
      <c r="EY60" s="62">
        <f t="shared" si="202"/>
        <v>61</v>
      </c>
      <c r="EZ60" s="62">
        <f t="shared" si="203"/>
        <v>61</v>
      </c>
      <c r="FA60" s="62">
        <f t="shared" si="204"/>
        <v>61</v>
      </c>
      <c r="FB60" s="62">
        <f t="shared" si="205"/>
        <v>61</v>
      </c>
      <c r="FC60" s="62">
        <f t="shared" si="206"/>
        <v>61</v>
      </c>
      <c r="FD60" s="62">
        <f t="shared" si="207"/>
        <v>61</v>
      </c>
      <c r="FE60" s="62">
        <f t="shared" si="208"/>
        <v>61</v>
      </c>
      <c r="FF60" s="62">
        <f t="shared" si="209"/>
        <v>61</v>
      </c>
      <c r="FG60" s="62">
        <f t="shared" si="210"/>
        <v>61</v>
      </c>
      <c r="FH60" s="62">
        <f t="shared" si="211"/>
        <v>61</v>
      </c>
      <c r="FI60" s="62">
        <f t="shared" si="212"/>
        <v>61</v>
      </c>
      <c r="FJ60" s="62">
        <f t="shared" si="213"/>
        <v>61</v>
      </c>
      <c r="FK60" s="62">
        <f t="shared" si="214"/>
        <v>61</v>
      </c>
      <c r="FL60" s="62">
        <f t="shared" si="215"/>
        <v>61</v>
      </c>
      <c r="FM60" s="62">
        <f t="shared" si="216"/>
        <v>61</v>
      </c>
      <c r="FN60" s="62">
        <f t="shared" si="217"/>
        <v>61</v>
      </c>
      <c r="FO60" s="62">
        <f t="shared" si="218"/>
        <v>61</v>
      </c>
      <c r="FP60" s="62">
        <f t="shared" si="219"/>
        <v>61</v>
      </c>
      <c r="FQ60" s="62">
        <f t="shared" si="220"/>
        <v>61</v>
      </c>
      <c r="FR60" s="62">
        <f t="shared" si="221"/>
        <v>61</v>
      </c>
      <c r="FS60" s="62">
        <f t="shared" si="222"/>
        <v>61</v>
      </c>
      <c r="FT60" s="62">
        <f t="shared" si="223"/>
        <v>61</v>
      </c>
      <c r="FU60" s="62">
        <f t="shared" si="224"/>
        <v>61</v>
      </c>
      <c r="FV60" s="62">
        <f t="shared" si="225"/>
        <v>61</v>
      </c>
      <c r="FW60" s="62">
        <f t="shared" si="226"/>
        <v>61</v>
      </c>
      <c r="FX60" s="62">
        <f t="shared" si="227"/>
        <v>61</v>
      </c>
      <c r="FY60" s="62">
        <f t="shared" si="228"/>
        <v>61</v>
      </c>
      <c r="FZ60" s="62">
        <f t="shared" si="229"/>
        <v>61</v>
      </c>
      <c r="GA60" s="62">
        <f t="shared" si="230"/>
        <v>61</v>
      </c>
      <c r="GB60" s="62">
        <f t="shared" si="231"/>
        <v>61</v>
      </c>
      <c r="GC60" s="62">
        <f t="shared" si="232"/>
        <v>61</v>
      </c>
      <c r="GD60" s="62">
        <f t="shared" si="233"/>
        <v>61</v>
      </c>
      <c r="GE60" s="62">
        <f t="shared" si="234"/>
        <v>61</v>
      </c>
      <c r="GF60" s="62">
        <f t="shared" si="235"/>
        <v>61</v>
      </c>
      <c r="GG60" s="62">
        <f t="shared" si="236"/>
        <v>61</v>
      </c>
      <c r="GH60" s="62">
        <f t="shared" si="237"/>
        <v>61</v>
      </c>
      <c r="GI60" s="62">
        <f t="shared" si="238"/>
        <v>61</v>
      </c>
      <c r="GJ60" s="62">
        <f t="shared" si="239"/>
        <v>61</v>
      </c>
      <c r="GK60" s="62">
        <f t="shared" si="240"/>
        <v>61</v>
      </c>
      <c r="GL60" s="62">
        <f t="shared" si="241"/>
        <v>61</v>
      </c>
      <c r="GM60" s="62">
        <f t="shared" si="242"/>
        <v>61</v>
      </c>
      <c r="GN60" s="62">
        <f t="shared" si="243"/>
        <v>61</v>
      </c>
      <c r="GO60" s="62">
        <f t="shared" si="244"/>
        <v>61</v>
      </c>
      <c r="GP60" s="62">
        <f t="shared" si="245"/>
        <v>61</v>
      </c>
      <c r="GQ60" s="62">
        <f t="shared" si="246"/>
        <v>61</v>
      </c>
      <c r="GR60" s="62">
        <f t="shared" si="247"/>
        <v>61</v>
      </c>
      <c r="GT60" s="62">
        <f>IF(Deltagarlista!$K$3=2,
IF(GW60="1",
      IF(Arrangörslista!$U$5=1,J123,
IF(Arrangörslista!$U$5=2,K123,
IF(Arrangörslista!$U$5=3,L123,
IF(Arrangörslista!$U$5=4,M123,
IF(Arrangörslista!$U$5=5,N123,
IF(Arrangörslista!$U$5=6,O123,
IF(Arrangörslista!$U$5=7,P123,
IF(Arrangörslista!$U$5=8,Q123,
IF(Arrangörslista!$U$5=9,R123,
IF(Arrangörslista!$U$5=10,S123,
IF(Arrangörslista!$U$5=11,T123,
IF(Arrangörslista!$U$5=12,U123,
IF(Arrangörslista!$U$5=13,V123,
IF(Arrangörslista!$U$5=14,W123,
IF(Arrangörslista!$U$5=15,X123,
IF(Arrangörslista!$U$5=16,Y123,IF(Arrangörslista!$U$5=17,Z123,IF(Arrangörslista!$U$5=18,AA123,IF(Arrangörslista!$U$5=19,AB123,IF(Arrangörslista!$U$5=20,AC123,IF(Arrangörslista!$U$5=21,AD123,IF(Arrangörslista!$U$5=22,AE123,IF(Arrangörslista!$U$5=23,AF123, IF(Arrangörslista!$U$5=24,AG123, IF(Arrangörslista!$U$5=25,AH123, IF(Arrangörslista!$U$5=26,AI123, IF(Arrangörslista!$U$5=27,AJ123, IF(Arrangörslista!$U$5=28,AK123, IF(Arrangörslista!$U$5=29,AL123, IF(Arrangörslista!$U$5=30,AM123, IF(Arrangörslista!$U$5=31,AN123, IF(Arrangörslista!$U$5=32,AO123, IF(Arrangörslista!$U$5=33,AP123, IF(Arrangörslista!$U$5=34,AQ123, IF(Arrangörslista!$U$5=35,AR123, IF(Arrangörslista!$U$5=36,AS123, IF(Arrangörslista!$U$5=37,AT123, IF(Arrangörslista!$U$5=38,AU123, IF(Arrangörslista!$U$5=39,AV123, IF(Arrangörslista!$U$5=40,AW123, IF(Arrangörslista!$U$5=41,AX123, IF(Arrangörslista!$U$5=42,AY123, IF(Arrangörslista!$U$5=43,AZ123, IF(Arrangörslista!$U$5=44,BA123, IF(Arrangörslista!$U$5=45,BB123, IF(Arrangörslista!$U$5=46,BC123, IF(Arrangörslista!$U$5=47,BD123, IF(Arrangörslista!$U$5=48,BE123, IF(Arrangörslista!$U$5=49,BF123, IF(Arrangörslista!$U$5=50,BG123, IF(Arrangörslista!$U$5=51,BH123, IF(Arrangörslista!$U$5=52,BI123, IF(Arrangörslista!$U$5=53,BJ123, IF(Arrangörslista!$U$5=54,BK123, IF(Arrangörslista!$U$5=55,BL123, IF(Arrangörslista!$U$5=56,BM123, IF(Arrangörslista!$U$5=57,BN123, IF(Arrangörslista!$U$5=58,BO123, IF(Arrangörslista!$U$5=59,BP123, IF(Arrangörslista!$U$5=60,BQ123,0))))))))))))))))))))))))))))))))))))))))))))))))))))))))))))),IF(Deltagarlista!$K$3=4, IF(Arrangörslista!$U$5=1,J123,
IF(Arrangörslista!$U$5=2,J123,
IF(Arrangörslista!$U$5=3,K123,
IF(Arrangörslista!$U$5=4,K123,
IF(Arrangörslista!$U$5=5,L123,
IF(Arrangörslista!$U$5=6,L123,
IF(Arrangörslista!$U$5=7,M123,
IF(Arrangörslista!$U$5=8,M123,
IF(Arrangörslista!$U$5=9,N123,
IF(Arrangörslista!$U$5=10,N123,
IF(Arrangörslista!$U$5=11,O123,
IF(Arrangörslista!$U$5=12,O123,
IF(Arrangörslista!$U$5=13,P123,
IF(Arrangörslista!$U$5=14,P123,
IF(Arrangörslista!$U$5=15,Q123,
IF(Arrangörslista!$U$5=16,Q123,
IF(Arrangörslista!$U$5=17,R123,
IF(Arrangörslista!$U$5=18,R123,
IF(Arrangörslista!$U$5=19,S123,
IF(Arrangörslista!$U$5=20,S123,
IF(Arrangörslista!$U$5=21,T123,
IF(Arrangörslista!$U$5=22,T123,IF(Arrangörslista!$U$5=23,U123, IF(Arrangörslista!$U$5=24,U123, IF(Arrangörslista!$U$5=25,V123, IF(Arrangörslista!$U$5=26,V123, IF(Arrangörslista!$U$5=27,W123, IF(Arrangörslista!$U$5=28,W123, IF(Arrangörslista!$U$5=29,X123, IF(Arrangörslista!$U$5=30,X123, IF(Arrangörslista!$U$5=31,X123, IF(Arrangörslista!$U$5=32,Y123, IF(Arrangörslista!$U$5=33,AO123, IF(Arrangörslista!$U$5=34,Y123, IF(Arrangörslista!$U$5=35,Z123, IF(Arrangörslista!$U$5=36,AR123, IF(Arrangörslista!$U$5=37,Z123, IF(Arrangörslista!$U$5=38,AA123, IF(Arrangörslista!$U$5=39,AU123, IF(Arrangörslista!$U$5=40,AA123, IF(Arrangörslista!$U$5=41,AB123, IF(Arrangörslista!$U$5=42,AX123, IF(Arrangörslista!$U$5=43,AB123, IF(Arrangörslista!$U$5=44,AC123, IF(Arrangörslista!$U$5=45,BA123, IF(Arrangörslista!$U$5=46,AC123, IF(Arrangörslista!$U$5=47,AD123, IF(Arrangörslista!$U$5=48,BD123, IF(Arrangörslista!$U$5=49,AD123, IF(Arrangörslista!$U$5=50,AE123, IF(Arrangörslista!$U$5=51,BG123, IF(Arrangörslista!$U$5=52,AE123, IF(Arrangörslista!$U$5=53,AF123, IF(Arrangörslista!$U$5=54,BJ123, IF(Arrangörslista!$U$5=55,AF123, IF(Arrangörslista!$U$5=56,AG123, IF(Arrangörslista!$U$5=57,BM123, IF(Arrangörslista!$U$5=58,AG123, IF(Arrangörslista!$U$5=59,AH123, IF(Arrangörslista!$U$5=60,AH123,0)))))))))))))))))))))))))))))))))))))))))))))))))))))))))))),IF(Arrangörslista!$U$5=1,J123,
IF(Arrangörslista!$U$5=2,K123,
IF(Arrangörslista!$U$5=3,L123,
IF(Arrangörslista!$U$5=4,M123,
IF(Arrangörslista!$U$5=5,N123,
IF(Arrangörslista!$U$5=6,O123,
IF(Arrangörslista!$U$5=7,P123,
IF(Arrangörslista!$U$5=8,Q123,
IF(Arrangörslista!$U$5=9,R123,
IF(Arrangörslista!$U$5=10,S123,
IF(Arrangörslista!$U$5=11,T123,
IF(Arrangörslista!$U$5=12,U123,
IF(Arrangörslista!$U$5=13,V123,
IF(Arrangörslista!$U$5=14,W123,
IF(Arrangörslista!$U$5=15,X123,
IF(Arrangörslista!$U$5=16,Y123,IF(Arrangörslista!$U$5=17,Z123,IF(Arrangörslista!$U$5=18,AA123,IF(Arrangörslista!$U$5=19,AB123,IF(Arrangörslista!$U$5=20,AC123,IF(Arrangörslista!$U$5=21,AD123,IF(Arrangörslista!$U$5=22,AE123,IF(Arrangörslista!$U$5=23,AF123, IF(Arrangörslista!$U$5=24,AG123, IF(Arrangörslista!$U$5=25,AH123, IF(Arrangörslista!$U$5=26,AI123, IF(Arrangörslista!$U$5=27,AJ123, IF(Arrangörslista!$U$5=28,AK123, IF(Arrangörslista!$U$5=29,AL123, IF(Arrangörslista!$U$5=30,AM123, IF(Arrangörslista!$U$5=31,AN123, IF(Arrangörslista!$U$5=32,AO123, IF(Arrangörslista!$U$5=33,AP123, IF(Arrangörslista!$U$5=34,AQ123, IF(Arrangörslista!$U$5=35,AR123, IF(Arrangörslista!$U$5=36,AS123, IF(Arrangörslista!$U$5=37,AT123, IF(Arrangörslista!$U$5=38,AU123, IF(Arrangörslista!$U$5=39,AV123, IF(Arrangörslista!$U$5=40,AW123, IF(Arrangörslista!$U$5=41,AX123, IF(Arrangörslista!$U$5=42,AY123, IF(Arrangörslista!$U$5=43,AZ123, IF(Arrangörslista!$U$5=44,BA123, IF(Arrangörslista!$U$5=45,BB123, IF(Arrangörslista!$U$5=46,BC123, IF(Arrangörslista!$U$5=47,BD123, IF(Arrangörslista!$U$5=48,BE123, IF(Arrangörslista!$U$5=49,BF123, IF(Arrangörslista!$U$5=50,BG123, IF(Arrangörslista!$U$5=51,BH123, IF(Arrangörslista!$U$5=52,BI123, IF(Arrangörslista!$U$5=53,BJ123, IF(Arrangörslista!$U$5=54,BK123, IF(Arrangörslista!$U$5=55,BL123, IF(Arrangörslista!$U$5=56,BM123, IF(Arrangörslista!$U$5=57,BN123, IF(Arrangörslista!$U$5=58,BO123, IF(Arrangörslista!$U$5=59,BP123, IF(Arrangörslista!$U$5=60,BQ123,0))))))))))))))))))))))))))))))))))))))))))))))))))))))))))))
))</f>
        <v>0</v>
      </c>
      <c r="GV60" s="65" t="str">
        <f>IFERROR(IF(VLOOKUP(F60,Deltagarlista!$E$5:$I$64,5,FALSE)="Grön","Gr",IF(VLOOKUP(F60,Deltagarlista!$E$5:$I$64,5,FALSE)="Röd","R",IF(VLOOKUP(F60,Deltagarlista!$E$5:$I$64,5,FALSE)="Blå","B","Gu"))),"")</f>
        <v/>
      </c>
      <c r="GW60" s="62" t="str">
        <f t="shared" si="124"/>
        <v/>
      </c>
    </row>
    <row r="61" spans="2:205" ht="15.75" customHeight="1" x14ac:dyDescent="0.3">
      <c r="B61" s="23" t="str">
        <f>IF((COUNTIF(Deltagarlista!$H$5:$H$64,"GM"))&gt;57,58,"")</f>
        <v/>
      </c>
      <c r="C61" s="92" t="str">
        <f>IF(ISBLANK(Deltagarlista!C7),"",Deltagarlista!C7)</f>
        <v/>
      </c>
      <c r="D61" s="109" t="str">
        <f>CONCATENATE(IF(Deltagarlista!H7="GM","GM   ",""), IF(OR(Deltagarlista!$K$3=4,Deltagarlista!$K$3=2),Deltagarlista!I7,""))</f>
        <v/>
      </c>
      <c r="E61" s="8" t="str">
        <f>IF(ISBLANK(Deltagarlista!D7),"",Deltagarlista!D7)</f>
        <v/>
      </c>
      <c r="F61" s="8" t="str">
        <f>IF(ISBLANK(Deltagarlista!E7),"",Deltagarlista!E7)</f>
        <v/>
      </c>
      <c r="G61" s="95" t="str">
        <f>IF(ISBLANK(Deltagarlista!F7),"",Deltagarlista!F7)</f>
        <v/>
      </c>
      <c r="H61" s="72" t="str">
        <f>IF(ISBLANK(Deltagarlista!C7),"",BU61-EE61)</f>
        <v/>
      </c>
      <c r="I61" s="13" t="str">
        <f>IF(ISBLANK(Deltagarlista!C7),"",IF(AND(Deltagarlista!$K$3=2,Deltagarlista!$L$3&lt;37),SUM(SUM(BV61:EC61)-(ROUNDDOWN(Arrangörslista!$U$5/3,1))*($BW$3+1)),SUM(BV61:EC61)))</f>
        <v/>
      </c>
      <c r="J61" s="79" t="str">
        <f>IF(Deltagarlista!$K$3=4,IF(ISBLANK(Deltagarlista!$C7),"",IF(ISBLANK(Arrangörslista!C$8),"",IFERROR(VLOOKUP($F61,Arrangörslista!C$8:$AG$45,16,FALSE),IF(ISBLANK(Deltagarlista!$C7),"",IF(ISBLANK(Arrangörslista!C$8),"",IFERROR(VLOOKUP($F61,Arrangörslista!D$8:$AG$45,16,FALSE),"DNS")))))),IF(Deltagarlista!$K$3=2,
IF(ISBLANK(Deltagarlista!$C7),"",IF(ISBLANK(Arrangörslista!C$8),"",IF($GV61=J$64," DNS ",IFERROR(VLOOKUP($F61,Arrangörslista!C$8:$AG$45,16,FALSE),"DNS")))),IF(ISBLANK(Deltagarlista!$C7),"",IF(ISBLANK(Arrangörslista!C$8),"",IFERROR(VLOOKUP($F61,Arrangörslista!C$8:$AG$45,16,FALSE),"DNS")))))</f>
        <v/>
      </c>
      <c r="K61" s="5" t="str">
        <f>IF(Deltagarlista!$K$3=4,IF(ISBLANK(Deltagarlista!$C7),"",IF(ISBLANK(Arrangörslista!E$8),"",IFERROR(VLOOKUP($F61,Arrangörslista!E$8:$AG$45,16,FALSE),IF(ISBLANK(Deltagarlista!$C7),"",IF(ISBLANK(Arrangörslista!E$8),"",IFERROR(VLOOKUP($F61,Arrangörslista!F$8:$AG$45,16,FALSE),"DNS")))))),IF(Deltagarlista!$K$3=2,
IF(ISBLANK(Deltagarlista!$C7),"",IF(ISBLANK(Arrangörslista!D$8),"",IF($GV61=K$64," DNS ",IFERROR(VLOOKUP($F61,Arrangörslista!D$8:$AG$45,16,FALSE),"DNS")))),IF(ISBLANK(Deltagarlista!$C7),"",IF(ISBLANK(Arrangörslista!D$8),"",IFERROR(VLOOKUP($F61,Arrangörslista!D$8:$AG$45,16,FALSE),"DNS")))))</f>
        <v/>
      </c>
      <c r="L61" s="5" t="str">
        <f>IF(Deltagarlista!$K$3=4,IF(ISBLANK(Deltagarlista!$C7),"",IF(ISBLANK(Arrangörslista!G$8),"",IFERROR(VLOOKUP($F61,Arrangörslista!G$8:$AG$45,16,FALSE),IF(ISBLANK(Deltagarlista!$C7),"",IF(ISBLANK(Arrangörslista!G$8),"",IFERROR(VLOOKUP($F61,Arrangörslista!H$8:$AG$45,16,FALSE),"DNS")))))),IF(Deltagarlista!$K$3=2,
IF(ISBLANK(Deltagarlista!$C7),"",IF(ISBLANK(Arrangörslista!E$8),"",IF($GV61=L$64," DNS ",IFERROR(VLOOKUP($F61,Arrangörslista!E$8:$AG$45,16,FALSE),"DNS")))),IF(ISBLANK(Deltagarlista!$C7),"",IF(ISBLANK(Arrangörslista!E$8),"",IFERROR(VLOOKUP($F61,Arrangörslista!E$8:$AG$45,16,FALSE),"DNS")))))</f>
        <v/>
      </c>
      <c r="M61" s="5" t="str">
        <f>IF(Deltagarlista!$K$3=4,IF(ISBLANK(Deltagarlista!$C7),"",IF(ISBLANK(Arrangörslista!I$8),"",IFERROR(VLOOKUP($F61,Arrangörslista!I$8:$AG$45,16,FALSE),IF(ISBLANK(Deltagarlista!$C7),"",IF(ISBLANK(Arrangörslista!I$8),"",IFERROR(VLOOKUP($F61,Arrangörslista!J$8:$AG$45,16,FALSE),"DNS")))))),IF(Deltagarlista!$K$3=2,
IF(ISBLANK(Deltagarlista!$C7),"",IF(ISBLANK(Arrangörslista!F$8),"",IF($GV61=M$64," DNS ",IFERROR(VLOOKUP($F61,Arrangörslista!F$8:$AG$45,16,FALSE),"DNS")))),IF(ISBLANK(Deltagarlista!$C7),"",IF(ISBLANK(Arrangörslista!F$8),"",IFERROR(VLOOKUP($F61,Arrangörslista!F$8:$AG$45,16,FALSE),"DNS")))))</f>
        <v/>
      </c>
      <c r="N61" s="5" t="str">
        <f>IF(Deltagarlista!$K$3=4,IF(ISBLANK(Deltagarlista!$C7),"",IF(ISBLANK(Arrangörslista!K$8),"",IFERROR(VLOOKUP($F61,Arrangörslista!K$8:$AG$45,16,FALSE),IF(ISBLANK(Deltagarlista!$C7),"",IF(ISBLANK(Arrangörslista!K$8),"",IFERROR(VLOOKUP($F61,Arrangörslista!L$8:$AG$45,16,FALSE),"DNS")))))),IF(Deltagarlista!$K$3=2,
IF(ISBLANK(Deltagarlista!$C7),"",IF(ISBLANK(Arrangörslista!G$8),"",IF($GV61=N$64," DNS ",IFERROR(VLOOKUP($F61,Arrangörslista!G$8:$AG$45,16,FALSE),"DNS")))),IF(ISBLANK(Deltagarlista!$C7),"",IF(ISBLANK(Arrangörslista!G$8),"",IFERROR(VLOOKUP($F61,Arrangörslista!G$8:$AG$45,16,FALSE),"DNS")))))</f>
        <v/>
      </c>
      <c r="O61" s="5" t="str">
        <f>IF(Deltagarlista!$K$3=4,IF(ISBLANK(Deltagarlista!$C7),"",IF(ISBLANK(Arrangörslista!M$8),"",IFERROR(VLOOKUP($F61,Arrangörslista!M$8:$AG$45,16,FALSE),IF(ISBLANK(Deltagarlista!$C7),"",IF(ISBLANK(Arrangörslista!M$8),"",IFERROR(VLOOKUP($F61,Arrangörslista!N$8:$AG$45,16,FALSE),"DNS")))))),IF(Deltagarlista!$K$3=2,
IF(ISBLANK(Deltagarlista!$C7),"",IF(ISBLANK(Arrangörslista!H$8),"",IF($GV61=O$64," DNS ",IFERROR(VLOOKUP($F61,Arrangörslista!H$8:$AG$45,16,FALSE),"DNS")))),IF(ISBLANK(Deltagarlista!$C7),"",IF(ISBLANK(Arrangörslista!H$8),"",IFERROR(VLOOKUP($F61,Arrangörslista!H$8:$AG$45,16,FALSE),"DNS")))))</f>
        <v/>
      </c>
      <c r="P61" s="5" t="str">
        <f>IF(Deltagarlista!$K$3=4,IF(ISBLANK(Deltagarlista!$C7),"",IF(ISBLANK(Arrangörslista!O$8),"",IFERROR(VLOOKUP($F61,Arrangörslista!O$8:$AG$45,16,FALSE),IF(ISBLANK(Deltagarlista!$C7),"",IF(ISBLANK(Arrangörslista!O$8),"",IFERROR(VLOOKUP($F61,Arrangörslista!P$8:$AG$45,16,FALSE),"DNS")))))),IF(Deltagarlista!$K$3=2,
IF(ISBLANK(Deltagarlista!$C7),"",IF(ISBLANK(Arrangörslista!I$8),"",IF($GV61=P$64," DNS ",IFERROR(VLOOKUP($F61,Arrangörslista!I$8:$AG$45,16,FALSE),"DNS")))),IF(ISBLANK(Deltagarlista!$C7),"",IF(ISBLANK(Arrangörslista!I$8),"",IFERROR(VLOOKUP($F61,Arrangörslista!I$8:$AG$45,16,FALSE),"DNS")))))</f>
        <v/>
      </c>
      <c r="Q61" s="5" t="str">
        <f>IF(Deltagarlista!$K$3=4,IF(ISBLANK(Deltagarlista!$C7),"",IF(ISBLANK(Arrangörslista!Q$8),"",IFERROR(VLOOKUP($F61,Arrangörslista!Q$8:$AG$45,16,FALSE),IF(ISBLANK(Deltagarlista!$C7),"",IF(ISBLANK(Arrangörslista!Q$8),"",IFERROR(VLOOKUP($F61,Arrangörslista!C$53:$AG$90,16,FALSE),"DNS")))))),IF(Deltagarlista!$K$3=2,
IF(ISBLANK(Deltagarlista!$C7),"",IF(ISBLANK(Arrangörslista!J$8),"",IF($GV61=Q$64," DNS ",IFERROR(VLOOKUP($F61,Arrangörslista!J$8:$AG$45,16,FALSE),"DNS")))),IF(ISBLANK(Deltagarlista!$C7),"",IF(ISBLANK(Arrangörslista!J$8),"",IFERROR(VLOOKUP($F61,Arrangörslista!J$8:$AG$45,16,FALSE),"DNS")))))</f>
        <v/>
      </c>
      <c r="R61" s="5" t="str">
        <f>IF(Deltagarlista!$K$3=4,IF(ISBLANK(Deltagarlista!$C7),"",IF(ISBLANK(Arrangörslista!D$53),"",IFERROR(VLOOKUP($F61,Arrangörslista!D$53:$AG$90,16,FALSE),IF(ISBLANK(Deltagarlista!$C7),"",IF(ISBLANK(Arrangörslista!D$53),"",IFERROR(VLOOKUP($F61,Arrangörslista!E$53:$AG$90,16,FALSE),"DNS")))))),IF(Deltagarlista!$K$3=2,
IF(ISBLANK(Deltagarlista!$C7),"",IF(ISBLANK(Arrangörslista!K$8),"",IF($GV61=R$64," DNS ",IFERROR(VLOOKUP($F61,Arrangörslista!K$8:$AG$45,16,FALSE),"DNS")))),IF(ISBLANK(Deltagarlista!$C7),"",IF(ISBLANK(Arrangörslista!K$8),"",IFERROR(VLOOKUP($F61,Arrangörslista!K$8:$AG$45,16,FALSE),"DNS")))))</f>
        <v/>
      </c>
      <c r="S61" s="5" t="str">
        <f>IF(Deltagarlista!$K$3=4,IF(ISBLANK(Deltagarlista!$C7),"",IF(ISBLANK(Arrangörslista!F$53),"",IFERROR(VLOOKUP($F61,Arrangörslista!F$53:$AG$90,16,FALSE),IF(ISBLANK(Deltagarlista!$C7),"",IF(ISBLANK(Arrangörslista!F$53),"",IFERROR(VLOOKUP($F61,Arrangörslista!G$53:$AG$90,16,FALSE),"DNS")))))),IF(Deltagarlista!$K$3=2,
IF(ISBLANK(Deltagarlista!$C7),"",IF(ISBLANK(Arrangörslista!L$8),"",IF($GV61=S$64," DNS ",IFERROR(VLOOKUP($F61,Arrangörslista!L$8:$AG$45,16,FALSE),"DNS")))),IF(ISBLANK(Deltagarlista!$C7),"",IF(ISBLANK(Arrangörslista!L$8),"",IFERROR(VLOOKUP($F61,Arrangörslista!L$8:$AG$45,16,FALSE),"DNS")))))</f>
        <v/>
      </c>
      <c r="T61" s="5" t="str">
        <f>IF(Deltagarlista!$K$3=4,IF(ISBLANK(Deltagarlista!$C7),"",IF(ISBLANK(Arrangörslista!H$53),"",IFERROR(VLOOKUP($F61,Arrangörslista!H$53:$AG$90,16,FALSE),IF(ISBLANK(Deltagarlista!$C7),"",IF(ISBLANK(Arrangörslista!H$53),"",IFERROR(VLOOKUP($F61,Arrangörslista!I$53:$AG$90,16,FALSE),"DNS")))))),IF(Deltagarlista!$K$3=2,
IF(ISBLANK(Deltagarlista!$C7),"",IF(ISBLANK(Arrangörslista!M$8),"",IF($GV61=T$64," DNS ",IFERROR(VLOOKUP($F61,Arrangörslista!M$8:$AG$45,16,FALSE),"DNS")))),IF(ISBLANK(Deltagarlista!$C7),"",IF(ISBLANK(Arrangörslista!M$8),"",IFERROR(VLOOKUP($F61,Arrangörslista!M$8:$AG$45,16,FALSE),"DNS")))))</f>
        <v/>
      </c>
      <c r="U61" s="5" t="str">
        <f>IF(Deltagarlista!$K$3=4,IF(ISBLANK(Deltagarlista!$C7),"",IF(ISBLANK(Arrangörslista!J$53),"",IFERROR(VLOOKUP($F61,Arrangörslista!J$53:$AG$90,16,FALSE),IF(ISBLANK(Deltagarlista!$C7),"",IF(ISBLANK(Arrangörslista!J$53),"",IFERROR(VLOOKUP($F61,Arrangörslista!K$53:$AG$90,16,FALSE),"DNS")))))),IF(Deltagarlista!$K$3=2,
IF(ISBLANK(Deltagarlista!$C7),"",IF(ISBLANK(Arrangörslista!N$8),"",IF($GV61=U$64," DNS ",IFERROR(VLOOKUP($F61,Arrangörslista!N$8:$AG$45,16,FALSE),"DNS")))),IF(ISBLANK(Deltagarlista!$C7),"",IF(ISBLANK(Arrangörslista!N$8),"",IFERROR(VLOOKUP($F61,Arrangörslista!N$8:$AG$45,16,FALSE),"DNS")))))</f>
        <v/>
      </c>
      <c r="V61" s="5" t="str">
        <f>IF(Deltagarlista!$K$3=4,IF(ISBLANK(Deltagarlista!$C7),"",IF(ISBLANK(Arrangörslista!L$53),"",IFERROR(VLOOKUP($F61,Arrangörslista!L$53:$AG$90,16,FALSE),IF(ISBLANK(Deltagarlista!$C7),"",IF(ISBLANK(Arrangörslista!L$53),"",IFERROR(VLOOKUP($F61,Arrangörslista!M$53:$AG$90,16,FALSE),"DNS")))))),IF(Deltagarlista!$K$3=2,
IF(ISBLANK(Deltagarlista!$C7),"",IF(ISBLANK(Arrangörslista!O$8),"",IF($GV61=V$64," DNS ",IFERROR(VLOOKUP($F61,Arrangörslista!O$8:$AG$45,16,FALSE),"DNS")))),IF(ISBLANK(Deltagarlista!$C7),"",IF(ISBLANK(Arrangörslista!O$8),"",IFERROR(VLOOKUP($F61,Arrangörslista!O$8:$AG$45,16,FALSE),"DNS")))))</f>
        <v/>
      </c>
      <c r="W61" s="5" t="str">
        <f>IF(Deltagarlista!$K$3=4,IF(ISBLANK(Deltagarlista!$C7),"",IF(ISBLANK(Arrangörslista!N$53),"",IFERROR(VLOOKUP($F61,Arrangörslista!N$53:$AG$90,16,FALSE),IF(ISBLANK(Deltagarlista!$C7),"",IF(ISBLANK(Arrangörslista!N$53),"",IFERROR(VLOOKUP($F61,Arrangörslista!O$53:$AG$90,16,FALSE),"DNS")))))),IF(Deltagarlista!$K$3=2,
IF(ISBLANK(Deltagarlista!$C7),"",IF(ISBLANK(Arrangörslista!P$8),"",IF($GV61=W$64," DNS ",IFERROR(VLOOKUP($F61,Arrangörslista!P$8:$AG$45,16,FALSE),"DNS")))),IF(ISBLANK(Deltagarlista!$C7),"",IF(ISBLANK(Arrangörslista!P$8),"",IFERROR(VLOOKUP($F61,Arrangörslista!P$8:$AG$45,16,FALSE),"DNS")))))</f>
        <v/>
      </c>
      <c r="X61" s="5" t="str">
        <f>IF(Deltagarlista!$K$3=4,IF(ISBLANK(Deltagarlista!$C7),"",IF(ISBLANK(Arrangörslista!P$53),"",IFERROR(VLOOKUP($F61,Arrangörslista!P$53:$AG$90,16,FALSE),IF(ISBLANK(Deltagarlista!$C7),"",IF(ISBLANK(Arrangörslista!P$53),"",IFERROR(VLOOKUP($F61,Arrangörslista!Q$53:$AG$90,16,FALSE),"DNS")))))),IF(Deltagarlista!$K$3=2,
IF(ISBLANK(Deltagarlista!$C7),"",IF(ISBLANK(Arrangörslista!Q$8),"",IF($GV61=X$64," DNS ",IFERROR(VLOOKUP($F61,Arrangörslista!Q$8:$AG$45,16,FALSE),"DNS")))),IF(ISBLANK(Deltagarlista!$C7),"",IF(ISBLANK(Arrangörslista!Q$8),"",IFERROR(VLOOKUP($F61,Arrangörslista!Q$8:$AG$45,16,FALSE),"DNS")))))</f>
        <v/>
      </c>
      <c r="Y61" s="5" t="str">
        <f>IF(Deltagarlista!$K$3=4,IF(ISBLANK(Deltagarlista!$C7),"",IF(ISBLANK(Arrangörslista!C$98),"",IFERROR(VLOOKUP($F61,Arrangörslista!C$98:$AG$135,16,FALSE),IF(ISBLANK(Deltagarlista!$C7),"",IF(ISBLANK(Arrangörslista!C$98),"",IFERROR(VLOOKUP($F61,Arrangörslista!D$98:$AG$135,16,FALSE),"DNS")))))),IF(Deltagarlista!$K$3=2,
IF(ISBLANK(Deltagarlista!$C7),"",IF(ISBLANK(Arrangörslista!C$53),"",IF($GV61=Y$64," DNS ",IFERROR(VLOOKUP($F61,Arrangörslista!C$53:$AG$90,16,FALSE),"DNS")))),IF(ISBLANK(Deltagarlista!$C7),"",IF(ISBLANK(Arrangörslista!C$53),"",IFERROR(VLOOKUP($F61,Arrangörslista!C$53:$AG$90,16,FALSE),"DNS")))))</f>
        <v/>
      </c>
      <c r="Z61" s="5" t="str">
        <f>IF(Deltagarlista!$K$3=4,IF(ISBLANK(Deltagarlista!$C7),"",IF(ISBLANK(Arrangörslista!E$98),"",IFERROR(VLOOKUP($F61,Arrangörslista!E$98:$AG$135,16,FALSE),IF(ISBLANK(Deltagarlista!$C7),"",IF(ISBLANK(Arrangörslista!E$98),"",IFERROR(VLOOKUP($F61,Arrangörslista!F$98:$AG$135,16,FALSE),"DNS")))))),IF(Deltagarlista!$K$3=2,
IF(ISBLANK(Deltagarlista!$C7),"",IF(ISBLANK(Arrangörslista!D$53),"",IF($GV61=Z$64," DNS ",IFERROR(VLOOKUP($F61,Arrangörslista!D$53:$AG$90,16,FALSE),"DNS")))),IF(ISBLANK(Deltagarlista!$C7),"",IF(ISBLANK(Arrangörslista!D$53),"",IFERROR(VLOOKUP($F61,Arrangörslista!D$53:$AG$90,16,FALSE),"DNS")))))</f>
        <v/>
      </c>
      <c r="AA61" s="5" t="str">
        <f>IF(Deltagarlista!$K$3=4,IF(ISBLANK(Deltagarlista!$C7),"",IF(ISBLANK(Arrangörslista!G$98),"",IFERROR(VLOOKUP($F61,Arrangörslista!G$98:$AG$135,16,FALSE),IF(ISBLANK(Deltagarlista!$C7),"",IF(ISBLANK(Arrangörslista!G$98),"",IFERROR(VLOOKUP($F61,Arrangörslista!H$98:$AG$135,16,FALSE),"DNS")))))),IF(Deltagarlista!$K$3=2,
IF(ISBLANK(Deltagarlista!$C7),"",IF(ISBLANK(Arrangörslista!E$53),"",IF($GV61=AA$64," DNS ",IFERROR(VLOOKUP($F61,Arrangörslista!E$53:$AG$90,16,FALSE),"DNS")))),IF(ISBLANK(Deltagarlista!$C7),"",IF(ISBLANK(Arrangörslista!E$53),"",IFERROR(VLOOKUP($F61,Arrangörslista!E$53:$AG$90,16,FALSE),"DNS")))))</f>
        <v/>
      </c>
      <c r="AB61" s="5" t="str">
        <f>IF(Deltagarlista!$K$3=4,IF(ISBLANK(Deltagarlista!$C7),"",IF(ISBLANK(Arrangörslista!I$98),"",IFERROR(VLOOKUP($F61,Arrangörslista!I$98:$AG$135,16,FALSE),IF(ISBLANK(Deltagarlista!$C7),"",IF(ISBLANK(Arrangörslista!I$98),"",IFERROR(VLOOKUP($F61,Arrangörslista!J$98:$AG$135,16,FALSE),"DNS")))))),IF(Deltagarlista!$K$3=2,
IF(ISBLANK(Deltagarlista!$C7),"",IF(ISBLANK(Arrangörslista!F$53),"",IF($GV61=AB$64," DNS ",IFERROR(VLOOKUP($F61,Arrangörslista!F$53:$AG$90,16,FALSE),"DNS")))),IF(ISBLANK(Deltagarlista!$C7),"",IF(ISBLANK(Arrangörslista!F$53),"",IFERROR(VLOOKUP($F61,Arrangörslista!F$53:$AG$90,16,FALSE),"DNS")))))</f>
        <v/>
      </c>
      <c r="AC61" s="5" t="str">
        <f>IF(Deltagarlista!$K$3=4,IF(ISBLANK(Deltagarlista!$C7),"",IF(ISBLANK(Arrangörslista!K$98),"",IFERROR(VLOOKUP($F61,Arrangörslista!K$98:$AG$135,16,FALSE),IF(ISBLANK(Deltagarlista!$C7),"",IF(ISBLANK(Arrangörslista!K$98),"",IFERROR(VLOOKUP($F61,Arrangörslista!L$98:$AG$135,16,FALSE),"DNS")))))),IF(Deltagarlista!$K$3=2,
IF(ISBLANK(Deltagarlista!$C7),"",IF(ISBLANK(Arrangörslista!G$53),"",IF($GV61=AC$64," DNS ",IFERROR(VLOOKUP($F61,Arrangörslista!G$53:$AG$90,16,FALSE),"DNS")))),IF(ISBLANK(Deltagarlista!$C7),"",IF(ISBLANK(Arrangörslista!G$53),"",IFERROR(VLOOKUP($F61,Arrangörslista!G$53:$AG$90,16,FALSE),"DNS")))))</f>
        <v/>
      </c>
      <c r="AD61" s="5" t="str">
        <f>IF(Deltagarlista!$K$3=4,IF(ISBLANK(Deltagarlista!$C7),"",IF(ISBLANK(Arrangörslista!M$98),"",IFERROR(VLOOKUP($F61,Arrangörslista!M$98:$AG$135,16,FALSE),IF(ISBLANK(Deltagarlista!$C7),"",IF(ISBLANK(Arrangörslista!M$98),"",IFERROR(VLOOKUP($F61,Arrangörslista!N$98:$AG$135,16,FALSE),"DNS")))))),IF(Deltagarlista!$K$3=2,
IF(ISBLANK(Deltagarlista!$C7),"",IF(ISBLANK(Arrangörslista!H$53),"",IF($GV61=AD$64," DNS ",IFERROR(VLOOKUP($F61,Arrangörslista!H$53:$AG$90,16,FALSE),"DNS")))),IF(ISBLANK(Deltagarlista!$C7),"",IF(ISBLANK(Arrangörslista!H$53),"",IFERROR(VLOOKUP($F61,Arrangörslista!H$53:$AG$90,16,FALSE),"DNS")))))</f>
        <v/>
      </c>
      <c r="AE61" s="5" t="str">
        <f>IF(Deltagarlista!$K$3=4,IF(ISBLANK(Deltagarlista!$C7),"",IF(ISBLANK(Arrangörslista!O$98),"",IFERROR(VLOOKUP($F61,Arrangörslista!O$98:$AG$135,16,FALSE),IF(ISBLANK(Deltagarlista!$C7),"",IF(ISBLANK(Arrangörslista!O$98),"",IFERROR(VLOOKUP($F61,Arrangörslista!P$98:$AG$135,16,FALSE),"DNS")))))),IF(Deltagarlista!$K$3=2,
IF(ISBLANK(Deltagarlista!$C7),"",IF(ISBLANK(Arrangörslista!I$53),"",IF($GV61=AE$64," DNS ",IFERROR(VLOOKUP($F61,Arrangörslista!I$53:$AG$90,16,FALSE),"DNS")))),IF(ISBLANK(Deltagarlista!$C7),"",IF(ISBLANK(Arrangörslista!I$53),"",IFERROR(VLOOKUP($F61,Arrangörslista!I$53:$AG$90,16,FALSE),"DNS")))))</f>
        <v/>
      </c>
      <c r="AF61" s="5" t="str">
        <f>IF(Deltagarlista!$K$3=4,IF(ISBLANK(Deltagarlista!$C7),"",IF(ISBLANK(Arrangörslista!Q$98),"",IFERROR(VLOOKUP($F61,Arrangörslista!Q$98:$AG$135,16,FALSE),IF(ISBLANK(Deltagarlista!$C7),"",IF(ISBLANK(Arrangörslista!Q$98),"",IFERROR(VLOOKUP($F61,Arrangörslista!C$143:$AG$180,16,FALSE),"DNS")))))),IF(Deltagarlista!$K$3=2,
IF(ISBLANK(Deltagarlista!$C7),"",IF(ISBLANK(Arrangörslista!J$53),"",IF($GV61=AF$64," DNS ",IFERROR(VLOOKUP($F61,Arrangörslista!J$53:$AG$90,16,FALSE),"DNS")))),IF(ISBLANK(Deltagarlista!$C7),"",IF(ISBLANK(Arrangörslista!J$53),"",IFERROR(VLOOKUP($F61,Arrangörslista!J$53:$AG$90,16,FALSE),"DNS")))))</f>
        <v/>
      </c>
      <c r="AG61" s="5" t="str">
        <f>IF(Deltagarlista!$K$3=4,IF(ISBLANK(Deltagarlista!$C7),"",IF(ISBLANK(Arrangörslista!D$143),"",IFERROR(VLOOKUP($F61,Arrangörslista!D$143:$AG$180,16,FALSE),IF(ISBLANK(Deltagarlista!$C7),"",IF(ISBLANK(Arrangörslista!D$143),"",IFERROR(VLOOKUP($F61,Arrangörslista!E$143:$AG$180,16,FALSE),"DNS")))))),IF(Deltagarlista!$K$3=2,
IF(ISBLANK(Deltagarlista!$C7),"",IF(ISBLANK(Arrangörslista!K$53),"",IF($GV61=AG$64," DNS ",IFERROR(VLOOKUP($F61,Arrangörslista!K$53:$AG$90,16,FALSE),"DNS")))),IF(ISBLANK(Deltagarlista!$C7),"",IF(ISBLANK(Arrangörslista!K$53),"",IFERROR(VLOOKUP($F61,Arrangörslista!K$53:$AG$90,16,FALSE),"DNS")))))</f>
        <v/>
      </c>
      <c r="AH61" s="5" t="str">
        <f>IF(Deltagarlista!$K$3=4,IF(ISBLANK(Deltagarlista!$C7),"",IF(ISBLANK(Arrangörslista!F$143),"",IFERROR(VLOOKUP($F61,Arrangörslista!F$143:$AG$180,16,FALSE),IF(ISBLANK(Deltagarlista!$C7),"",IF(ISBLANK(Arrangörslista!F$143),"",IFERROR(VLOOKUP($F61,Arrangörslista!G$143:$AG$180,16,FALSE),"DNS")))))),IF(Deltagarlista!$K$3=2,
IF(ISBLANK(Deltagarlista!$C7),"",IF(ISBLANK(Arrangörslista!L$53),"",IF($GV61=AH$64," DNS ",IFERROR(VLOOKUP($F61,Arrangörslista!L$53:$AG$90,16,FALSE),"DNS")))),IF(ISBLANK(Deltagarlista!$C7),"",IF(ISBLANK(Arrangörslista!L$53),"",IFERROR(VLOOKUP($F61,Arrangörslista!L$53:$AG$90,16,FALSE),"DNS")))))</f>
        <v/>
      </c>
      <c r="AI61" s="5" t="str">
        <f>IF(Deltagarlista!$K$3=4,IF(ISBLANK(Deltagarlista!$C7),"",IF(ISBLANK(Arrangörslista!H$143),"",IFERROR(VLOOKUP($F61,Arrangörslista!H$143:$AG$180,16,FALSE),IF(ISBLANK(Deltagarlista!$C7),"",IF(ISBLANK(Arrangörslista!H$143),"",IFERROR(VLOOKUP($F61,Arrangörslista!I$143:$AG$180,16,FALSE),"DNS")))))),IF(Deltagarlista!$K$3=2,
IF(ISBLANK(Deltagarlista!$C7),"",IF(ISBLANK(Arrangörslista!M$53),"",IF($GV61=AI$64," DNS ",IFERROR(VLOOKUP($F61,Arrangörslista!M$53:$AG$90,16,FALSE),"DNS")))),IF(ISBLANK(Deltagarlista!$C7),"",IF(ISBLANK(Arrangörslista!M$53),"",IFERROR(VLOOKUP($F61,Arrangörslista!M$53:$AG$90,16,FALSE),"DNS")))))</f>
        <v/>
      </c>
      <c r="AJ61" s="5" t="str">
        <f>IF(Deltagarlista!$K$3=4,IF(ISBLANK(Deltagarlista!$C7),"",IF(ISBLANK(Arrangörslista!J$143),"",IFERROR(VLOOKUP($F61,Arrangörslista!J$143:$AG$180,16,FALSE),IF(ISBLANK(Deltagarlista!$C7),"",IF(ISBLANK(Arrangörslista!J$143),"",IFERROR(VLOOKUP($F61,Arrangörslista!K$143:$AG$180,16,FALSE),"DNS")))))),IF(Deltagarlista!$K$3=2,
IF(ISBLANK(Deltagarlista!$C7),"",IF(ISBLANK(Arrangörslista!N$53),"",IF($GV61=AJ$64," DNS ",IFERROR(VLOOKUP($F61,Arrangörslista!N$53:$AG$90,16,FALSE),"DNS")))),IF(ISBLANK(Deltagarlista!$C7),"",IF(ISBLANK(Arrangörslista!N$53),"",IFERROR(VLOOKUP($F61,Arrangörslista!N$53:$AG$90,16,FALSE),"DNS")))))</f>
        <v/>
      </c>
      <c r="AK61" s="5" t="str">
        <f>IF(Deltagarlista!$K$3=4,IF(ISBLANK(Deltagarlista!$C7),"",IF(ISBLANK(Arrangörslista!L$143),"",IFERROR(VLOOKUP($F61,Arrangörslista!L$143:$AG$180,16,FALSE),IF(ISBLANK(Deltagarlista!$C7),"",IF(ISBLANK(Arrangörslista!L$143),"",IFERROR(VLOOKUP($F61,Arrangörslista!M$143:$AG$180,16,FALSE),"DNS")))))),IF(Deltagarlista!$K$3=2,
IF(ISBLANK(Deltagarlista!$C7),"",IF(ISBLANK(Arrangörslista!O$53),"",IF($GV61=AK$64," DNS ",IFERROR(VLOOKUP($F61,Arrangörslista!O$53:$AG$90,16,FALSE),"DNS")))),IF(ISBLANK(Deltagarlista!$C7),"",IF(ISBLANK(Arrangörslista!O$53),"",IFERROR(VLOOKUP($F61,Arrangörslista!O$53:$AG$90,16,FALSE),"DNS")))))</f>
        <v/>
      </c>
      <c r="AL61" s="5" t="str">
        <f>IF(Deltagarlista!$K$3=4,IF(ISBLANK(Deltagarlista!$C7),"",IF(ISBLANK(Arrangörslista!N$143),"",IFERROR(VLOOKUP($F61,Arrangörslista!N$143:$AG$180,16,FALSE),IF(ISBLANK(Deltagarlista!$C7),"",IF(ISBLANK(Arrangörslista!N$143),"",IFERROR(VLOOKUP($F61,Arrangörslista!O$143:$AG$180,16,FALSE),"DNS")))))),IF(Deltagarlista!$K$3=2,
IF(ISBLANK(Deltagarlista!$C7),"",IF(ISBLANK(Arrangörslista!P$53),"",IF($GV61=AL$64," DNS ",IFERROR(VLOOKUP($F61,Arrangörslista!P$53:$AG$90,16,FALSE),"DNS")))),IF(ISBLANK(Deltagarlista!$C7),"",IF(ISBLANK(Arrangörslista!P$53),"",IFERROR(VLOOKUP($F61,Arrangörslista!P$53:$AG$90,16,FALSE),"DNS")))))</f>
        <v/>
      </c>
      <c r="AM61" s="5" t="str">
        <f>IF(Deltagarlista!$K$3=4,IF(ISBLANK(Deltagarlista!$C7),"",IF(ISBLANK(Arrangörslista!P$143),"",IFERROR(VLOOKUP($F61,Arrangörslista!P$143:$AG$180,16,FALSE),IF(ISBLANK(Deltagarlista!$C7),"",IF(ISBLANK(Arrangörslista!P$143),"",IFERROR(VLOOKUP($F61,Arrangörslista!Q$143:$AG$180,16,FALSE),"DNS")))))),IF(Deltagarlista!$K$3=2,
IF(ISBLANK(Deltagarlista!$C7),"",IF(ISBLANK(Arrangörslista!Q$53),"",IF($GV61=AM$64," DNS ",IFERROR(VLOOKUP($F61,Arrangörslista!Q$53:$AG$90,16,FALSE),"DNS")))),IF(ISBLANK(Deltagarlista!$C7),"",IF(ISBLANK(Arrangörslista!Q$53),"",IFERROR(VLOOKUP($F61,Arrangörslista!Q$53:$AG$90,16,FALSE),"DNS")))))</f>
        <v/>
      </c>
      <c r="AN61" s="5" t="str">
        <f>IF(Deltagarlista!$K$3=2,
IF(ISBLANK(Deltagarlista!$C7),"",IF(ISBLANK(Arrangörslista!C$98),"",IF($GV61=AN$64," DNS ",IFERROR(VLOOKUP($F61,Arrangörslista!C$98:$AG$135,16,FALSE), "DNS")))), IF(Deltagarlista!$K$3=1,IF(ISBLANK(Deltagarlista!$C7),"",IF(ISBLANK(Arrangörslista!C$98),"",IFERROR(VLOOKUP($F61,Arrangörslista!C$98:$AG$135,16,FALSE), "DNS"))),""))</f>
        <v/>
      </c>
      <c r="AO61" s="5" t="str">
        <f>IF(Deltagarlista!$K$3=2,
IF(ISBLANK(Deltagarlista!$C7),"",IF(ISBLANK(Arrangörslista!D$98),"",IF($GV61=AO$64," DNS ",IFERROR(VLOOKUP($F61,Arrangörslista!D$98:$AG$135,16,FALSE), "DNS")))), IF(Deltagarlista!$K$3=1,IF(ISBLANK(Deltagarlista!$C7),"",IF(ISBLANK(Arrangörslista!D$98),"",IFERROR(VLOOKUP($F61,Arrangörslista!D$98:$AG$135,16,FALSE), "DNS"))),""))</f>
        <v/>
      </c>
      <c r="AP61" s="5" t="str">
        <f>IF(Deltagarlista!$K$3=2,
IF(ISBLANK(Deltagarlista!$C7),"",IF(ISBLANK(Arrangörslista!E$98),"",IF($GV61=AP$64," DNS ",IFERROR(VLOOKUP($F61,Arrangörslista!E$98:$AG$135,16,FALSE), "DNS")))), IF(Deltagarlista!$K$3=1,IF(ISBLANK(Deltagarlista!$C7),"",IF(ISBLANK(Arrangörslista!E$98),"",IFERROR(VLOOKUP($F61,Arrangörslista!E$98:$AG$135,16,FALSE), "DNS"))),""))</f>
        <v/>
      </c>
      <c r="AQ61" s="5" t="str">
        <f>IF(Deltagarlista!$K$3=2,
IF(ISBLANK(Deltagarlista!$C7),"",IF(ISBLANK(Arrangörslista!F$98),"",IF($GV61=AQ$64," DNS ",IFERROR(VLOOKUP($F61,Arrangörslista!F$98:$AG$135,16,FALSE), "DNS")))), IF(Deltagarlista!$K$3=1,IF(ISBLANK(Deltagarlista!$C7),"",IF(ISBLANK(Arrangörslista!F$98),"",IFERROR(VLOOKUP($F61,Arrangörslista!F$98:$AG$135,16,FALSE), "DNS"))),""))</f>
        <v/>
      </c>
      <c r="AR61" s="5" t="str">
        <f>IF(Deltagarlista!$K$3=2,
IF(ISBLANK(Deltagarlista!$C7),"",IF(ISBLANK(Arrangörslista!G$98),"",IF($GV61=AR$64," DNS ",IFERROR(VLOOKUP($F61,Arrangörslista!G$98:$AG$135,16,FALSE), "DNS")))), IF(Deltagarlista!$K$3=1,IF(ISBLANK(Deltagarlista!$C7),"",IF(ISBLANK(Arrangörslista!G$98),"",IFERROR(VLOOKUP($F61,Arrangörslista!G$98:$AG$135,16,FALSE), "DNS"))),""))</f>
        <v/>
      </c>
      <c r="AS61" s="5" t="str">
        <f>IF(Deltagarlista!$K$3=2,
IF(ISBLANK(Deltagarlista!$C7),"",IF(ISBLANK(Arrangörslista!H$98),"",IF($GV61=AS$64," DNS ",IFERROR(VLOOKUP($F61,Arrangörslista!H$98:$AG$135,16,FALSE), "DNS")))), IF(Deltagarlista!$K$3=1,IF(ISBLANK(Deltagarlista!$C7),"",IF(ISBLANK(Arrangörslista!H$98),"",IFERROR(VLOOKUP($F61,Arrangörslista!H$98:$AG$135,16,FALSE), "DNS"))),""))</f>
        <v/>
      </c>
      <c r="AT61" s="5" t="str">
        <f>IF(Deltagarlista!$K$3=2,
IF(ISBLANK(Deltagarlista!$C7),"",IF(ISBLANK(Arrangörslista!I$98),"",IF($GV61=AT$64," DNS ",IFERROR(VLOOKUP($F61,Arrangörslista!I$98:$AG$135,16,FALSE), "DNS")))), IF(Deltagarlista!$K$3=1,IF(ISBLANK(Deltagarlista!$C7),"",IF(ISBLANK(Arrangörslista!I$98),"",IFERROR(VLOOKUP($F61,Arrangörslista!I$98:$AG$135,16,FALSE), "DNS"))),""))</f>
        <v/>
      </c>
      <c r="AU61" s="5" t="str">
        <f>IF(Deltagarlista!$K$3=2,
IF(ISBLANK(Deltagarlista!$C7),"",IF(ISBLANK(Arrangörslista!J$98),"",IF($GV61=AU$64," DNS ",IFERROR(VLOOKUP($F61,Arrangörslista!J$98:$AG$135,16,FALSE), "DNS")))), IF(Deltagarlista!$K$3=1,IF(ISBLANK(Deltagarlista!$C7),"",IF(ISBLANK(Arrangörslista!J$98),"",IFERROR(VLOOKUP($F61,Arrangörslista!J$98:$AG$135,16,FALSE), "DNS"))),""))</f>
        <v/>
      </c>
      <c r="AV61" s="5" t="str">
        <f>IF(Deltagarlista!$K$3=2,
IF(ISBLANK(Deltagarlista!$C7),"",IF(ISBLANK(Arrangörslista!K$98),"",IF($GV61=AV$64," DNS ",IFERROR(VLOOKUP($F61,Arrangörslista!K$98:$AG$135,16,FALSE), "DNS")))), IF(Deltagarlista!$K$3=1,IF(ISBLANK(Deltagarlista!$C7),"",IF(ISBLANK(Arrangörslista!K$98),"",IFERROR(VLOOKUP($F61,Arrangörslista!K$98:$AG$135,16,FALSE), "DNS"))),""))</f>
        <v/>
      </c>
      <c r="AW61" s="5" t="str">
        <f>IF(Deltagarlista!$K$3=2,
IF(ISBLANK(Deltagarlista!$C7),"",IF(ISBLANK(Arrangörslista!L$98),"",IF($GV61=AW$64," DNS ",IFERROR(VLOOKUP($F61,Arrangörslista!L$98:$AG$135,16,FALSE), "DNS")))), IF(Deltagarlista!$K$3=1,IF(ISBLANK(Deltagarlista!$C7),"",IF(ISBLANK(Arrangörslista!L$98),"",IFERROR(VLOOKUP($F61,Arrangörslista!L$98:$AG$135,16,FALSE), "DNS"))),""))</f>
        <v/>
      </c>
      <c r="AX61" s="5" t="str">
        <f>IF(Deltagarlista!$K$3=2,
IF(ISBLANK(Deltagarlista!$C7),"",IF(ISBLANK(Arrangörslista!M$98),"",IF($GV61=AX$64," DNS ",IFERROR(VLOOKUP($F61,Arrangörslista!M$98:$AG$135,16,FALSE), "DNS")))), IF(Deltagarlista!$K$3=1,IF(ISBLANK(Deltagarlista!$C7),"",IF(ISBLANK(Arrangörslista!M$98),"",IFERROR(VLOOKUP($F61,Arrangörslista!M$98:$AG$135,16,FALSE), "DNS"))),""))</f>
        <v/>
      </c>
      <c r="AY61" s="5" t="str">
        <f>IF(Deltagarlista!$K$3=2,
IF(ISBLANK(Deltagarlista!$C7),"",IF(ISBLANK(Arrangörslista!N$98),"",IF($GV61=AY$64," DNS ",IFERROR(VLOOKUP($F61,Arrangörslista!N$98:$AG$135,16,FALSE), "DNS")))), IF(Deltagarlista!$K$3=1,IF(ISBLANK(Deltagarlista!$C7),"",IF(ISBLANK(Arrangörslista!N$98),"",IFERROR(VLOOKUP($F61,Arrangörslista!N$98:$AG$135,16,FALSE), "DNS"))),""))</f>
        <v/>
      </c>
      <c r="AZ61" s="5" t="str">
        <f>IF(Deltagarlista!$K$3=2,
IF(ISBLANK(Deltagarlista!$C7),"",IF(ISBLANK(Arrangörslista!O$98),"",IF($GV61=AZ$64," DNS ",IFERROR(VLOOKUP($F61,Arrangörslista!O$98:$AG$135,16,FALSE), "DNS")))), IF(Deltagarlista!$K$3=1,IF(ISBLANK(Deltagarlista!$C7),"",IF(ISBLANK(Arrangörslista!O$98),"",IFERROR(VLOOKUP($F61,Arrangörslista!O$98:$AG$135,16,FALSE), "DNS"))),""))</f>
        <v/>
      </c>
      <c r="BA61" s="5" t="str">
        <f>IF(Deltagarlista!$K$3=2,
IF(ISBLANK(Deltagarlista!$C7),"",IF(ISBLANK(Arrangörslista!P$98),"",IF($GV61=BA$64," DNS ",IFERROR(VLOOKUP($F61,Arrangörslista!P$98:$AG$135,16,FALSE), "DNS")))), IF(Deltagarlista!$K$3=1,IF(ISBLANK(Deltagarlista!$C7),"",IF(ISBLANK(Arrangörslista!P$98),"",IFERROR(VLOOKUP($F61,Arrangörslista!P$98:$AG$135,16,FALSE), "DNS"))),""))</f>
        <v/>
      </c>
      <c r="BB61" s="5" t="str">
        <f>IF(Deltagarlista!$K$3=2,
IF(ISBLANK(Deltagarlista!$C7),"",IF(ISBLANK(Arrangörslista!Q$98),"",IF($GV61=BB$64," DNS ",IFERROR(VLOOKUP($F61,Arrangörslista!Q$98:$AG$135,16,FALSE), "DNS")))), IF(Deltagarlista!$K$3=1,IF(ISBLANK(Deltagarlista!$C7),"",IF(ISBLANK(Arrangörslista!Q$98),"",IFERROR(VLOOKUP($F61,Arrangörslista!Q$98:$AG$135,16,FALSE), "DNS"))),""))</f>
        <v/>
      </c>
      <c r="BC61" s="5" t="str">
        <f>IF(Deltagarlista!$K$3=2,
IF(ISBLANK(Deltagarlista!$C7),"",IF(ISBLANK(Arrangörslista!C$143),"",IF($GV61=BC$64," DNS ",IFERROR(VLOOKUP($F61,Arrangörslista!C$143:$AG$180,16,FALSE), "DNS")))), IF(Deltagarlista!$K$3=1,IF(ISBLANK(Deltagarlista!$C7),"",IF(ISBLANK(Arrangörslista!C$143),"",IFERROR(VLOOKUP($F61,Arrangörslista!C$143:$AG$180,16,FALSE), "DNS"))),""))</f>
        <v/>
      </c>
      <c r="BD61" s="5" t="str">
        <f>IF(Deltagarlista!$K$3=2,
IF(ISBLANK(Deltagarlista!$C7),"",IF(ISBLANK(Arrangörslista!D$143),"",IF($GV61=BD$64," DNS ",IFERROR(VLOOKUP($F61,Arrangörslista!D$143:$AG$180,16,FALSE), "DNS")))), IF(Deltagarlista!$K$3=1,IF(ISBLANK(Deltagarlista!$C7),"",IF(ISBLANK(Arrangörslista!D$143),"",IFERROR(VLOOKUP($F61,Arrangörslista!D$143:$AG$180,16,FALSE), "DNS"))),""))</f>
        <v/>
      </c>
      <c r="BE61" s="5" t="str">
        <f>IF(Deltagarlista!$K$3=2,
IF(ISBLANK(Deltagarlista!$C7),"",IF(ISBLANK(Arrangörslista!E$143),"",IF($GV61=BE$64," DNS ",IFERROR(VLOOKUP($F61,Arrangörslista!E$143:$AG$180,16,FALSE), "DNS")))), IF(Deltagarlista!$K$3=1,IF(ISBLANK(Deltagarlista!$C7),"",IF(ISBLANK(Arrangörslista!E$143),"",IFERROR(VLOOKUP($F61,Arrangörslista!E$143:$AG$180,16,FALSE), "DNS"))),""))</f>
        <v/>
      </c>
      <c r="BF61" s="5" t="str">
        <f>IF(Deltagarlista!$K$3=2,
IF(ISBLANK(Deltagarlista!$C7),"",IF(ISBLANK(Arrangörslista!F$143),"",IF($GV61=BF$64," DNS ",IFERROR(VLOOKUP($F61,Arrangörslista!F$143:$AG$180,16,FALSE), "DNS")))), IF(Deltagarlista!$K$3=1,IF(ISBLANK(Deltagarlista!$C7),"",IF(ISBLANK(Arrangörslista!F$143),"",IFERROR(VLOOKUP($F61,Arrangörslista!F$143:$AG$180,16,FALSE), "DNS"))),""))</f>
        <v/>
      </c>
      <c r="BG61" s="5" t="str">
        <f>IF(Deltagarlista!$K$3=2,
IF(ISBLANK(Deltagarlista!$C7),"",IF(ISBLANK(Arrangörslista!G$143),"",IF($GV61=BG$64," DNS ",IFERROR(VLOOKUP($F61,Arrangörslista!G$143:$AG$180,16,FALSE), "DNS")))), IF(Deltagarlista!$K$3=1,IF(ISBLANK(Deltagarlista!$C7),"",IF(ISBLANK(Arrangörslista!G$143),"",IFERROR(VLOOKUP($F61,Arrangörslista!G$143:$AG$180,16,FALSE), "DNS"))),""))</f>
        <v/>
      </c>
      <c r="BH61" s="5" t="str">
        <f>IF(Deltagarlista!$K$3=2,
IF(ISBLANK(Deltagarlista!$C7),"",IF(ISBLANK(Arrangörslista!H$143),"",IF($GV61=BH$64," DNS ",IFERROR(VLOOKUP($F61,Arrangörslista!H$143:$AG$180,16,FALSE), "DNS")))), IF(Deltagarlista!$K$3=1,IF(ISBLANK(Deltagarlista!$C7),"",IF(ISBLANK(Arrangörslista!H$143),"",IFERROR(VLOOKUP($F61,Arrangörslista!H$143:$AG$180,16,FALSE), "DNS"))),""))</f>
        <v/>
      </c>
      <c r="BI61" s="5" t="str">
        <f>IF(Deltagarlista!$K$3=2,
IF(ISBLANK(Deltagarlista!$C7),"",IF(ISBLANK(Arrangörslista!I$143),"",IF($GV61=BI$64," DNS ",IFERROR(VLOOKUP($F61,Arrangörslista!I$143:$AG$180,16,FALSE), "DNS")))), IF(Deltagarlista!$K$3=1,IF(ISBLANK(Deltagarlista!$C7),"",IF(ISBLANK(Arrangörslista!I$143),"",IFERROR(VLOOKUP($F61,Arrangörslista!I$143:$AG$180,16,FALSE), "DNS"))),""))</f>
        <v/>
      </c>
      <c r="BJ61" s="5" t="str">
        <f>IF(Deltagarlista!$K$3=2,
IF(ISBLANK(Deltagarlista!$C7),"",IF(ISBLANK(Arrangörslista!J$143),"",IF($GV61=BJ$64," DNS ",IFERROR(VLOOKUP($F61,Arrangörslista!J$143:$AG$180,16,FALSE), "DNS")))), IF(Deltagarlista!$K$3=1,IF(ISBLANK(Deltagarlista!$C7),"",IF(ISBLANK(Arrangörslista!J$143),"",IFERROR(VLOOKUP($F61,Arrangörslista!J$143:$AG$180,16,FALSE), "DNS"))),""))</f>
        <v/>
      </c>
      <c r="BK61" s="5" t="str">
        <f>IF(Deltagarlista!$K$3=2,
IF(ISBLANK(Deltagarlista!$C7),"",IF(ISBLANK(Arrangörslista!K$143),"",IF($GV61=BK$64," DNS ",IFERROR(VLOOKUP($F61,Arrangörslista!K$143:$AG$180,16,FALSE), "DNS")))), IF(Deltagarlista!$K$3=1,IF(ISBLANK(Deltagarlista!$C7),"",IF(ISBLANK(Arrangörslista!K$143),"",IFERROR(VLOOKUP($F61,Arrangörslista!K$143:$AG$180,16,FALSE), "DNS"))),""))</f>
        <v/>
      </c>
      <c r="BL61" s="5" t="str">
        <f>IF(Deltagarlista!$K$3=2,
IF(ISBLANK(Deltagarlista!$C7),"",IF(ISBLANK(Arrangörslista!L$143),"",IF($GV61=BL$64," DNS ",IFERROR(VLOOKUP($F61,Arrangörslista!L$143:$AG$180,16,FALSE), "DNS")))), IF(Deltagarlista!$K$3=1,IF(ISBLANK(Deltagarlista!$C7),"",IF(ISBLANK(Arrangörslista!L$143),"",IFERROR(VLOOKUP($F61,Arrangörslista!L$143:$AG$180,16,FALSE), "DNS"))),""))</f>
        <v/>
      </c>
      <c r="BM61" s="5" t="str">
        <f>IF(Deltagarlista!$K$3=2,
IF(ISBLANK(Deltagarlista!$C7),"",IF(ISBLANK(Arrangörslista!M$143),"",IF($GV61=BM$64," DNS ",IFERROR(VLOOKUP($F61,Arrangörslista!M$143:$AG$180,16,FALSE), "DNS")))), IF(Deltagarlista!$K$3=1,IF(ISBLANK(Deltagarlista!$C7),"",IF(ISBLANK(Arrangörslista!M$143),"",IFERROR(VLOOKUP($F61,Arrangörslista!M$143:$AG$180,16,FALSE), "DNS"))),""))</f>
        <v/>
      </c>
      <c r="BN61" s="5" t="str">
        <f>IF(Deltagarlista!$K$3=2,
IF(ISBLANK(Deltagarlista!$C7),"",IF(ISBLANK(Arrangörslista!N$143),"",IF($GV61=BN$64," DNS ",IFERROR(VLOOKUP($F61,Arrangörslista!N$143:$AG$180,16,FALSE), "DNS")))), IF(Deltagarlista!$K$3=1,IF(ISBLANK(Deltagarlista!$C7),"",IF(ISBLANK(Arrangörslista!N$143),"",IFERROR(VLOOKUP($F61,Arrangörslista!N$143:$AG$180,16,FALSE), "DNS"))),""))</f>
        <v/>
      </c>
      <c r="BO61" s="5" t="str">
        <f>IF(Deltagarlista!$K$3=2,
IF(ISBLANK(Deltagarlista!$C7),"",IF(ISBLANK(Arrangörslista!O$143),"",IF($GV61=BO$64," DNS ",IFERROR(VLOOKUP($F61,Arrangörslista!O$143:$AG$180,16,FALSE), "DNS")))), IF(Deltagarlista!$K$3=1,IF(ISBLANK(Deltagarlista!$C7),"",IF(ISBLANK(Arrangörslista!O$143),"",IFERROR(VLOOKUP($F61,Arrangörslista!O$143:$AG$180,16,FALSE), "DNS"))),""))</f>
        <v/>
      </c>
      <c r="BP61" s="5" t="str">
        <f>IF(Deltagarlista!$K$3=2,
IF(ISBLANK(Deltagarlista!$C7),"",IF(ISBLANK(Arrangörslista!P$143),"",IF($GV61=BP$64," DNS ",IFERROR(VLOOKUP($F61,Arrangörslista!P$143:$AG$180,16,FALSE), "DNS")))), IF(Deltagarlista!$K$3=1,IF(ISBLANK(Deltagarlista!$C7),"",IF(ISBLANK(Arrangörslista!P$143),"",IFERROR(VLOOKUP($F61,Arrangörslista!P$143:$AG$180,16,FALSE), "DNS"))),""))</f>
        <v/>
      </c>
      <c r="BQ61" s="80" t="str">
        <f>IF(Deltagarlista!$K$3=2,
IF(ISBLANK(Deltagarlista!$C7),"",IF(ISBLANK(Arrangörslista!Q$143),"",IF($GV61=BQ$64," DNS ",IFERROR(VLOOKUP($F61,Arrangörslista!Q$143:$AG$180,16,FALSE), "DNS")))), IF(Deltagarlista!$K$3=1,IF(ISBLANK(Deltagarlista!$C7),"",IF(ISBLANK(Arrangörslista!Q$143),"",IFERROR(VLOOKUP($F61,Arrangörslista!Q$143:$AG$180,16,FALSE), "DNS"))),""))</f>
        <v/>
      </c>
      <c r="BR61" s="51"/>
      <c r="BS61" s="50" t="str">
        <f t="shared" si="125"/>
        <v>2</v>
      </c>
      <c r="BT61" s="51"/>
      <c r="BU61" s="71">
        <f t="shared" si="126"/>
        <v>0</v>
      </c>
      <c r="BV61" s="61">
        <f t="shared" si="127"/>
        <v>0</v>
      </c>
      <c r="BW61" s="61">
        <f t="shared" si="128"/>
        <v>0</v>
      </c>
      <c r="BX61" s="61">
        <f t="shared" si="129"/>
        <v>0</v>
      </c>
      <c r="BY61" s="61">
        <f t="shared" si="130"/>
        <v>0</v>
      </c>
      <c r="BZ61" s="61">
        <f t="shared" si="131"/>
        <v>0</v>
      </c>
      <c r="CA61" s="61">
        <f t="shared" si="132"/>
        <v>0</v>
      </c>
      <c r="CB61" s="61">
        <f t="shared" si="133"/>
        <v>0</v>
      </c>
      <c r="CC61" s="61">
        <f t="shared" si="134"/>
        <v>0</v>
      </c>
      <c r="CD61" s="61">
        <f t="shared" si="135"/>
        <v>0</v>
      </c>
      <c r="CE61" s="61">
        <f t="shared" si="136"/>
        <v>0</v>
      </c>
      <c r="CF61" s="61">
        <f t="shared" si="137"/>
        <v>0</v>
      </c>
      <c r="CG61" s="61">
        <f t="shared" si="138"/>
        <v>0</v>
      </c>
      <c r="CH61" s="61">
        <f t="shared" si="139"/>
        <v>0</v>
      </c>
      <c r="CI61" s="61">
        <f t="shared" si="140"/>
        <v>0</v>
      </c>
      <c r="CJ61" s="61">
        <f t="shared" si="141"/>
        <v>0</v>
      </c>
      <c r="CK61" s="61">
        <f t="shared" si="142"/>
        <v>0</v>
      </c>
      <c r="CL61" s="61">
        <f t="shared" si="143"/>
        <v>0</v>
      </c>
      <c r="CM61" s="61">
        <f t="shared" si="144"/>
        <v>0</v>
      </c>
      <c r="CN61" s="61">
        <f t="shared" si="145"/>
        <v>0</v>
      </c>
      <c r="CO61" s="61">
        <f t="shared" si="146"/>
        <v>0</v>
      </c>
      <c r="CP61" s="61">
        <f t="shared" si="147"/>
        <v>0</v>
      </c>
      <c r="CQ61" s="61">
        <f t="shared" si="148"/>
        <v>0</v>
      </c>
      <c r="CR61" s="61">
        <f t="shared" si="149"/>
        <v>0</v>
      </c>
      <c r="CS61" s="61">
        <f t="shared" si="150"/>
        <v>0</v>
      </c>
      <c r="CT61" s="61">
        <f t="shared" si="151"/>
        <v>0</v>
      </c>
      <c r="CU61" s="61">
        <f t="shared" si="152"/>
        <v>0</v>
      </c>
      <c r="CV61" s="61">
        <f t="shared" si="153"/>
        <v>0</v>
      </c>
      <c r="CW61" s="61">
        <f t="shared" si="154"/>
        <v>0</v>
      </c>
      <c r="CX61" s="61">
        <f t="shared" si="155"/>
        <v>0</v>
      </c>
      <c r="CY61" s="61">
        <f t="shared" si="156"/>
        <v>0</v>
      </c>
      <c r="CZ61" s="61">
        <f t="shared" si="157"/>
        <v>0</v>
      </c>
      <c r="DA61" s="61">
        <f t="shared" si="158"/>
        <v>0</v>
      </c>
      <c r="DB61" s="61">
        <f t="shared" si="159"/>
        <v>0</v>
      </c>
      <c r="DC61" s="61">
        <f t="shared" si="160"/>
        <v>0</v>
      </c>
      <c r="DD61" s="61">
        <f t="shared" si="161"/>
        <v>0</v>
      </c>
      <c r="DE61" s="61">
        <f t="shared" si="162"/>
        <v>0</v>
      </c>
      <c r="DF61" s="61">
        <f t="shared" si="163"/>
        <v>0</v>
      </c>
      <c r="DG61" s="61">
        <f t="shared" si="164"/>
        <v>0</v>
      </c>
      <c r="DH61" s="61">
        <f t="shared" si="165"/>
        <v>0</v>
      </c>
      <c r="DI61" s="61">
        <f t="shared" si="166"/>
        <v>0</v>
      </c>
      <c r="DJ61" s="61">
        <f t="shared" si="167"/>
        <v>0</v>
      </c>
      <c r="DK61" s="61">
        <f t="shared" si="168"/>
        <v>0</v>
      </c>
      <c r="DL61" s="61">
        <f t="shared" si="169"/>
        <v>0</v>
      </c>
      <c r="DM61" s="61">
        <f t="shared" si="170"/>
        <v>0</v>
      </c>
      <c r="DN61" s="61">
        <f t="shared" si="171"/>
        <v>0</v>
      </c>
      <c r="DO61" s="61">
        <f t="shared" si="172"/>
        <v>0</v>
      </c>
      <c r="DP61" s="61">
        <f t="shared" si="173"/>
        <v>0</v>
      </c>
      <c r="DQ61" s="61">
        <f t="shared" si="174"/>
        <v>0</v>
      </c>
      <c r="DR61" s="61">
        <f t="shared" si="175"/>
        <v>0</v>
      </c>
      <c r="DS61" s="61">
        <f t="shared" si="176"/>
        <v>0</v>
      </c>
      <c r="DT61" s="61">
        <f t="shared" si="177"/>
        <v>0</v>
      </c>
      <c r="DU61" s="61">
        <f t="shared" si="178"/>
        <v>0</v>
      </c>
      <c r="DV61" s="61">
        <f t="shared" si="179"/>
        <v>0</v>
      </c>
      <c r="DW61" s="61">
        <f t="shared" si="180"/>
        <v>0</v>
      </c>
      <c r="DX61" s="61">
        <f t="shared" si="181"/>
        <v>0</v>
      </c>
      <c r="DY61" s="61">
        <f t="shared" si="182"/>
        <v>0</v>
      </c>
      <c r="DZ61" s="61">
        <f t="shared" si="183"/>
        <v>0</v>
      </c>
      <c r="EA61" s="61">
        <f t="shared" si="184"/>
        <v>0</v>
      </c>
      <c r="EB61" s="61">
        <f t="shared" si="185"/>
        <v>0</v>
      </c>
      <c r="EC61" s="61">
        <f t="shared" si="186"/>
        <v>0</v>
      </c>
      <c r="EE61" s="61">
        <f xml:space="preserve">
IF(OR(Deltagarlista!$K$3=3,Deltagarlista!$K$3=4),
IF(Arrangörslista!$U$5&lt;8,0,
IF(Arrangörslista!$U$5&lt;16,SUM(LARGE(BV61:CJ61,1)),
IF(Arrangörslista!$U$5&lt;24,SUM(LARGE(BV61:CR61,{1;2})),
IF(Arrangörslista!$U$5&lt;32,SUM(LARGE(BV61:CZ61,{1;2;3})),
IF(Arrangörslista!$U$5&lt;40,SUM(LARGE(BV61:DH61,{1;2;3;4})),
IF(Arrangörslista!$U$5&lt;48,SUM(LARGE(BV61:DP61,{1;2;3;4;5})),
IF(Arrangörslista!$U$5&lt;56,SUM(LARGE(BV61:DX61,{1;2;3;4;5;6})),
IF(Arrangörslista!$U$5&lt;64,SUM(LARGE(BV61:EC61,{1;2;3;4;5;6;7})),0)))))))),
IF(Deltagarlista!$K$3=2,
IF(Arrangörslista!$U$5&lt;4,LARGE(BV61:BX61,1),
IF(Arrangörslista!$U$5&lt;7,SUM(LARGE(BV61:CA61,{1;2;3})),
IF(Arrangörslista!$U$5&lt;10,SUM(LARGE(BV61:CD61,{1;2;3;4})),
IF(Arrangörslista!$U$5&lt;13,SUM(LARGE(BV61:CG61,{1;2;3;4;5;6})),
IF(Arrangörslista!$U$5&lt;16,SUM(LARGE(BV61:CJ61,{1;2;3;4;5;6;7})),
IF(Arrangörslista!$U$5&lt;19,SUM(LARGE(BV61:CM61,{1;2;3;4;5;6;7;8;9})),
IF(Arrangörslista!$U$5&lt;22,SUM(LARGE(BV61:CP61,{1;2;3;4;5;6;7;8;9;10})),
IF(Arrangörslista!$U$5&lt;25,SUM(LARGE(BV61:CS61,{1;2;3;4;5;6;7;8;9;10;11;12})),
IF(Arrangörslista!$U$5&lt;28,SUM(LARGE(BV61:CV61,{1;2;3;4;5;6;7;8;9;10;11;12;13})),
IF(Arrangörslista!$U$5&lt;31,SUM(LARGE(BV61:CY61,{1;2;3;4;5;6;7;8;9;10;11;12;13;14;15})),
IF(Arrangörslista!$U$5&lt;34,SUM(LARGE(BV61:DB61,{1;2;3;4;5;6;7;8;9;10;11;12;13;14;15;16})),
IF(Arrangörslista!$U$5&lt;37,SUM(LARGE(BV61:DE61,{1;2;3;4;5;6;7;8;9;10;11;12;13;14;15;16;17;18})),
IF(Arrangörslista!$U$5&lt;40,SUM(LARGE(BV61:DH61,{1;2;3;4;5;6;7;8;9;10;11;12;13;14;15;16;17;18;19})),
IF(Arrangörslista!$U$5&lt;43,SUM(LARGE(BV61:DK61,{1;2;3;4;5;6;7;8;9;10;11;12;13;14;15;16;17;18;19;20;21})),
IF(Arrangörslista!$U$5&lt;46,SUM(LARGE(BV61:DN61,{1;2;3;4;5;6;7;8;9;10;11;12;13;14;15;16;17;18;19;20;21;22})),
IF(Arrangörslista!$U$5&lt;49,SUM(LARGE(BV61:DQ61,{1;2;3;4;5;6;7;8;9;10;11;12;13;14;15;16;17;18;19;20;21;22;23;24})),
IF(Arrangörslista!$U$5&lt;52,SUM(LARGE(BV61:DT61,{1;2;3;4;5;6;7;8;9;10;11;12;13;14;15;16;17;18;19;20;21;22;23;24;25})),
IF(Arrangörslista!$U$5&lt;55,SUM(LARGE(BV61:DW61,{1;2;3;4;5;6;7;8;9;10;11;12;13;14;15;16;17;18;19;20;21;22;23;24;25;26;27})),
IF(Arrangörslista!$U$5&lt;58,SUM(LARGE(BV61:DZ61,{1;2;3;4;5;6;7;8;9;10;11;12;13;14;15;16;17;18;19;20;21;22;23;24;25;26;27;28})),
IF(Arrangörslista!$U$5&lt;61,SUM(LARGE(BV61:EC61,{1;2;3;4;5;6;7;8;9;10;11;12;13;14;15;16;17;18;19;20;21;22;23;24;25;26;27;28;29;30})),0)))))))))))))))))))),
IF(Arrangörslista!$U$5&lt;4,0,
IF(Arrangörslista!$U$5&lt;8,SUM(LARGE(BV61:CB61,1)),
IF(Arrangörslista!$U$5&lt;12,SUM(LARGE(BV61:CF61,{1;2})),
IF(Arrangörslista!$U$5&lt;16,SUM(LARGE(BV61:CJ61,{1;2;3})),
IF(Arrangörslista!$U$5&lt;20,SUM(LARGE(BV61:CN61,{1;2;3;4})),
IF(Arrangörslista!$U$5&lt;24,SUM(LARGE(BV61:CR61,{1;2;3;4;5})),
IF(Arrangörslista!$U$5&lt;28,SUM(LARGE(BV61:CV61,{1;2;3;4;5;6})),
IF(Arrangörslista!$U$5&lt;32,SUM(LARGE(BV61:CZ61,{1;2;3;4;5;6;7})),
IF(Arrangörslista!$U$5&lt;36,SUM(LARGE(BV61:DD61,{1;2;3;4;5;6;7;8})),
IF(Arrangörslista!$U$5&lt;40,SUM(LARGE(BV61:DH61,{1;2;3;4;5;6;7;8;9})),
IF(Arrangörslista!$U$5&lt;44,SUM(LARGE(BV61:DL61,{1;2;3;4;5;6;7;8;9;10})),
IF(Arrangörslista!$U$5&lt;48,SUM(LARGE(BV61:DP61,{1;2;3;4;5;6;7;8;9;10;11})),
IF(Arrangörslista!$U$5&lt;52,SUM(LARGE(BV61:DT61,{1;2;3;4;5;6;7;8;9;10;11;12})),
IF(Arrangörslista!$U$5&lt;56,SUM(LARGE(BV61:DX61,{1;2;3;4;5;6;7;8;9;10;11;12;13})),
IF(Arrangörslista!$U$5&lt;60,SUM(LARGE(BV61:EB61,{1;2;3;4;5;6;7;8;9;10;11;12;13;14})),
IF(Arrangörslista!$U$5=60,SUM(LARGE(BV61:EC61,{1;2;3;4;5;6;7;8;9;10;11;12;13;14;15})),0))))))))))))))))))</f>
        <v>0</v>
      </c>
      <c r="EG61" s="67">
        <f t="shared" si="187"/>
        <v>0</v>
      </c>
      <c r="EH61" s="61"/>
      <c r="EI61" s="61"/>
      <c r="EK61" s="62">
        <f t="shared" si="188"/>
        <v>61</v>
      </c>
      <c r="EL61" s="62">
        <f t="shared" si="189"/>
        <v>61</v>
      </c>
      <c r="EM61" s="62">
        <f t="shared" si="190"/>
        <v>61</v>
      </c>
      <c r="EN61" s="62">
        <f t="shared" si="191"/>
        <v>61</v>
      </c>
      <c r="EO61" s="62">
        <f t="shared" si="192"/>
        <v>61</v>
      </c>
      <c r="EP61" s="62">
        <f t="shared" si="193"/>
        <v>61</v>
      </c>
      <c r="EQ61" s="62">
        <f t="shared" si="194"/>
        <v>61</v>
      </c>
      <c r="ER61" s="62">
        <f t="shared" si="195"/>
        <v>61</v>
      </c>
      <c r="ES61" s="62">
        <f t="shared" si="196"/>
        <v>61</v>
      </c>
      <c r="ET61" s="62">
        <f t="shared" si="197"/>
        <v>61</v>
      </c>
      <c r="EU61" s="62">
        <f t="shared" si="198"/>
        <v>61</v>
      </c>
      <c r="EV61" s="62">
        <f t="shared" si="199"/>
        <v>61</v>
      </c>
      <c r="EW61" s="62">
        <f t="shared" si="200"/>
        <v>61</v>
      </c>
      <c r="EX61" s="62">
        <f t="shared" si="201"/>
        <v>61</v>
      </c>
      <c r="EY61" s="62">
        <f t="shared" si="202"/>
        <v>61</v>
      </c>
      <c r="EZ61" s="62">
        <f t="shared" si="203"/>
        <v>61</v>
      </c>
      <c r="FA61" s="62">
        <f t="shared" si="204"/>
        <v>61</v>
      </c>
      <c r="FB61" s="62">
        <f t="shared" si="205"/>
        <v>61</v>
      </c>
      <c r="FC61" s="62">
        <f t="shared" si="206"/>
        <v>61</v>
      </c>
      <c r="FD61" s="62">
        <f t="shared" si="207"/>
        <v>61</v>
      </c>
      <c r="FE61" s="62">
        <f t="shared" si="208"/>
        <v>61</v>
      </c>
      <c r="FF61" s="62">
        <f t="shared" si="209"/>
        <v>61</v>
      </c>
      <c r="FG61" s="62">
        <f t="shared" si="210"/>
        <v>61</v>
      </c>
      <c r="FH61" s="62">
        <f t="shared" si="211"/>
        <v>61</v>
      </c>
      <c r="FI61" s="62">
        <f t="shared" si="212"/>
        <v>61</v>
      </c>
      <c r="FJ61" s="62">
        <f t="shared" si="213"/>
        <v>61</v>
      </c>
      <c r="FK61" s="62">
        <f t="shared" si="214"/>
        <v>61</v>
      </c>
      <c r="FL61" s="62">
        <f t="shared" si="215"/>
        <v>61</v>
      </c>
      <c r="FM61" s="62">
        <f t="shared" si="216"/>
        <v>61</v>
      </c>
      <c r="FN61" s="62">
        <f t="shared" si="217"/>
        <v>61</v>
      </c>
      <c r="FO61" s="62">
        <f t="shared" si="218"/>
        <v>61</v>
      </c>
      <c r="FP61" s="62">
        <f t="shared" si="219"/>
        <v>61</v>
      </c>
      <c r="FQ61" s="62">
        <f t="shared" si="220"/>
        <v>61</v>
      </c>
      <c r="FR61" s="62">
        <f t="shared" si="221"/>
        <v>61</v>
      </c>
      <c r="FS61" s="62">
        <f t="shared" si="222"/>
        <v>61</v>
      </c>
      <c r="FT61" s="62">
        <f t="shared" si="223"/>
        <v>61</v>
      </c>
      <c r="FU61" s="62">
        <f t="shared" si="224"/>
        <v>61</v>
      </c>
      <c r="FV61" s="62">
        <f t="shared" si="225"/>
        <v>61</v>
      </c>
      <c r="FW61" s="62">
        <f t="shared" si="226"/>
        <v>61</v>
      </c>
      <c r="FX61" s="62">
        <f t="shared" si="227"/>
        <v>61</v>
      </c>
      <c r="FY61" s="62">
        <f t="shared" si="228"/>
        <v>61</v>
      </c>
      <c r="FZ61" s="62">
        <f t="shared" si="229"/>
        <v>61</v>
      </c>
      <c r="GA61" s="62">
        <f t="shared" si="230"/>
        <v>61</v>
      </c>
      <c r="GB61" s="62">
        <f t="shared" si="231"/>
        <v>61</v>
      </c>
      <c r="GC61" s="62">
        <f t="shared" si="232"/>
        <v>61</v>
      </c>
      <c r="GD61" s="62">
        <f t="shared" si="233"/>
        <v>61</v>
      </c>
      <c r="GE61" s="62">
        <f t="shared" si="234"/>
        <v>61</v>
      </c>
      <c r="GF61" s="62">
        <f t="shared" si="235"/>
        <v>61</v>
      </c>
      <c r="GG61" s="62">
        <f t="shared" si="236"/>
        <v>61</v>
      </c>
      <c r="GH61" s="62">
        <f t="shared" si="237"/>
        <v>61</v>
      </c>
      <c r="GI61" s="62">
        <f t="shared" si="238"/>
        <v>61</v>
      </c>
      <c r="GJ61" s="62">
        <f t="shared" si="239"/>
        <v>61</v>
      </c>
      <c r="GK61" s="62">
        <f t="shared" si="240"/>
        <v>61</v>
      </c>
      <c r="GL61" s="62">
        <f t="shared" si="241"/>
        <v>61</v>
      </c>
      <c r="GM61" s="62">
        <f t="shared" si="242"/>
        <v>61</v>
      </c>
      <c r="GN61" s="62">
        <f t="shared" si="243"/>
        <v>61</v>
      </c>
      <c r="GO61" s="62">
        <f t="shared" si="244"/>
        <v>61</v>
      </c>
      <c r="GP61" s="62">
        <f t="shared" si="245"/>
        <v>61</v>
      </c>
      <c r="GQ61" s="62">
        <f t="shared" si="246"/>
        <v>61</v>
      </c>
      <c r="GR61" s="62">
        <f t="shared" si="247"/>
        <v>61</v>
      </c>
      <c r="GT61" s="62">
        <f>IF(Deltagarlista!$K$3=2,
IF(GW61="1",
      IF(Arrangörslista!$U$5=1,J124,
IF(Arrangörslista!$U$5=2,K124,
IF(Arrangörslista!$U$5=3,L124,
IF(Arrangörslista!$U$5=4,M124,
IF(Arrangörslista!$U$5=5,N124,
IF(Arrangörslista!$U$5=6,O124,
IF(Arrangörslista!$U$5=7,P124,
IF(Arrangörslista!$U$5=8,Q124,
IF(Arrangörslista!$U$5=9,R124,
IF(Arrangörslista!$U$5=10,S124,
IF(Arrangörslista!$U$5=11,T124,
IF(Arrangörslista!$U$5=12,U124,
IF(Arrangörslista!$U$5=13,V124,
IF(Arrangörslista!$U$5=14,W124,
IF(Arrangörslista!$U$5=15,X124,
IF(Arrangörslista!$U$5=16,Y124,IF(Arrangörslista!$U$5=17,Z124,IF(Arrangörslista!$U$5=18,AA124,IF(Arrangörslista!$U$5=19,AB124,IF(Arrangörslista!$U$5=20,AC124,IF(Arrangörslista!$U$5=21,AD124,IF(Arrangörslista!$U$5=22,AE124,IF(Arrangörslista!$U$5=23,AF124, IF(Arrangörslista!$U$5=24,AG124, IF(Arrangörslista!$U$5=25,AH124, IF(Arrangörslista!$U$5=26,AI124, IF(Arrangörslista!$U$5=27,AJ124, IF(Arrangörslista!$U$5=28,AK124, IF(Arrangörslista!$U$5=29,AL124, IF(Arrangörslista!$U$5=30,AM124, IF(Arrangörslista!$U$5=31,AN124, IF(Arrangörslista!$U$5=32,AO124, IF(Arrangörslista!$U$5=33,AP124, IF(Arrangörslista!$U$5=34,AQ124, IF(Arrangörslista!$U$5=35,AR124, IF(Arrangörslista!$U$5=36,AS124, IF(Arrangörslista!$U$5=37,AT124, IF(Arrangörslista!$U$5=38,AU124, IF(Arrangörslista!$U$5=39,AV124, IF(Arrangörslista!$U$5=40,AW124, IF(Arrangörslista!$U$5=41,AX124, IF(Arrangörslista!$U$5=42,AY124, IF(Arrangörslista!$U$5=43,AZ124, IF(Arrangörslista!$U$5=44,BA124, IF(Arrangörslista!$U$5=45,BB124, IF(Arrangörslista!$U$5=46,BC124, IF(Arrangörslista!$U$5=47,BD124, IF(Arrangörslista!$U$5=48,BE124, IF(Arrangörslista!$U$5=49,BF124, IF(Arrangörslista!$U$5=50,BG124, IF(Arrangörslista!$U$5=51,BH124, IF(Arrangörslista!$U$5=52,BI124, IF(Arrangörslista!$U$5=53,BJ124, IF(Arrangörslista!$U$5=54,BK124, IF(Arrangörslista!$U$5=55,BL124, IF(Arrangörslista!$U$5=56,BM124, IF(Arrangörslista!$U$5=57,BN124, IF(Arrangörslista!$U$5=58,BO124, IF(Arrangörslista!$U$5=59,BP124, IF(Arrangörslista!$U$5=60,BQ124,0))))))))))))))))))))))))))))))))))))))))))))))))))))))))))))),IF(Deltagarlista!$K$3=4, IF(Arrangörslista!$U$5=1,J124,
IF(Arrangörslista!$U$5=2,J124,
IF(Arrangörslista!$U$5=3,K124,
IF(Arrangörslista!$U$5=4,K124,
IF(Arrangörslista!$U$5=5,L124,
IF(Arrangörslista!$U$5=6,L124,
IF(Arrangörslista!$U$5=7,M124,
IF(Arrangörslista!$U$5=8,M124,
IF(Arrangörslista!$U$5=9,N124,
IF(Arrangörslista!$U$5=10,N124,
IF(Arrangörslista!$U$5=11,O124,
IF(Arrangörslista!$U$5=12,O124,
IF(Arrangörslista!$U$5=13,P124,
IF(Arrangörslista!$U$5=14,P124,
IF(Arrangörslista!$U$5=15,Q124,
IF(Arrangörslista!$U$5=16,Q124,
IF(Arrangörslista!$U$5=17,R124,
IF(Arrangörslista!$U$5=18,R124,
IF(Arrangörslista!$U$5=19,S124,
IF(Arrangörslista!$U$5=20,S124,
IF(Arrangörslista!$U$5=21,T124,
IF(Arrangörslista!$U$5=22,T124,IF(Arrangörslista!$U$5=23,U124, IF(Arrangörslista!$U$5=24,U124, IF(Arrangörslista!$U$5=25,V124, IF(Arrangörslista!$U$5=26,V124, IF(Arrangörslista!$U$5=27,W124, IF(Arrangörslista!$U$5=28,W124, IF(Arrangörslista!$U$5=29,X124, IF(Arrangörslista!$U$5=30,X124, IF(Arrangörslista!$U$5=31,X124, IF(Arrangörslista!$U$5=32,Y124, IF(Arrangörslista!$U$5=33,AO124, IF(Arrangörslista!$U$5=34,Y124, IF(Arrangörslista!$U$5=35,Z124, IF(Arrangörslista!$U$5=36,AR124, IF(Arrangörslista!$U$5=37,Z124, IF(Arrangörslista!$U$5=38,AA124, IF(Arrangörslista!$U$5=39,AU124, IF(Arrangörslista!$U$5=40,AA124, IF(Arrangörslista!$U$5=41,AB124, IF(Arrangörslista!$U$5=42,AX124, IF(Arrangörslista!$U$5=43,AB124, IF(Arrangörslista!$U$5=44,AC124, IF(Arrangörslista!$U$5=45,BA124, IF(Arrangörslista!$U$5=46,AC124, IF(Arrangörslista!$U$5=47,AD124, IF(Arrangörslista!$U$5=48,BD124, IF(Arrangörslista!$U$5=49,AD124, IF(Arrangörslista!$U$5=50,AE124, IF(Arrangörslista!$U$5=51,BG124, IF(Arrangörslista!$U$5=52,AE124, IF(Arrangörslista!$U$5=53,AF124, IF(Arrangörslista!$U$5=54,BJ124, IF(Arrangörslista!$U$5=55,AF124, IF(Arrangörslista!$U$5=56,AG124, IF(Arrangörslista!$U$5=57,BM124, IF(Arrangörslista!$U$5=58,AG124, IF(Arrangörslista!$U$5=59,AH124, IF(Arrangörslista!$U$5=60,AH124,0)))))))))))))))))))))))))))))))))))))))))))))))))))))))))))),IF(Arrangörslista!$U$5=1,J124,
IF(Arrangörslista!$U$5=2,K124,
IF(Arrangörslista!$U$5=3,L124,
IF(Arrangörslista!$U$5=4,M124,
IF(Arrangörslista!$U$5=5,N124,
IF(Arrangörslista!$U$5=6,O124,
IF(Arrangörslista!$U$5=7,P124,
IF(Arrangörslista!$U$5=8,Q124,
IF(Arrangörslista!$U$5=9,R124,
IF(Arrangörslista!$U$5=10,S124,
IF(Arrangörslista!$U$5=11,T124,
IF(Arrangörslista!$U$5=12,U124,
IF(Arrangörslista!$U$5=13,V124,
IF(Arrangörslista!$U$5=14,W124,
IF(Arrangörslista!$U$5=15,X124,
IF(Arrangörslista!$U$5=16,Y124,IF(Arrangörslista!$U$5=17,Z124,IF(Arrangörslista!$U$5=18,AA124,IF(Arrangörslista!$U$5=19,AB124,IF(Arrangörslista!$U$5=20,AC124,IF(Arrangörslista!$U$5=21,AD124,IF(Arrangörslista!$U$5=22,AE124,IF(Arrangörslista!$U$5=23,AF124, IF(Arrangörslista!$U$5=24,AG124, IF(Arrangörslista!$U$5=25,AH124, IF(Arrangörslista!$U$5=26,AI124, IF(Arrangörslista!$U$5=27,AJ124, IF(Arrangörslista!$U$5=28,AK124, IF(Arrangörslista!$U$5=29,AL124, IF(Arrangörslista!$U$5=30,AM124, IF(Arrangörslista!$U$5=31,AN124, IF(Arrangörslista!$U$5=32,AO124, IF(Arrangörslista!$U$5=33,AP124, IF(Arrangörslista!$U$5=34,AQ124, IF(Arrangörslista!$U$5=35,AR124, IF(Arrangörslista!$U$5=36,AS124, IF(Arrangörslista!$U$5=37,AT124, IF(Arrangörslista!$U$5=38,AU124, IF(Arrangörslista!$U$5=39,AV124, IF(Arrangörslista!$U$5=40,AW124, IF(Arrangörslista!$U$5=41,AX124, IF(Arrangörslista!$U$5=42,AY124, IF(Arrangörslista!$U$5=43,AZ124, IF(Arrangörslista!$U$5=44,BA124, IF(Arrangörslista!$U$5=45,BB124, IF(Arrangörslista!$U$5=46,BC124, IF(Arrangörslista!$U$5=47,BD124, IF(Arrangörslista!$U$5=48,BE124, IF(Arrangörslista!$U$5=49,BF124, IF(Arrangörslista!$U$5=50,BG124, IF(Arrangörslista!$U$5=51,BH124, IF(Arrangörslista!$U$5=52,BI124, IF(Arrangörslista!$U$5=53,BJ124, IF(Arrangörslista!$U$5=54,BK124, IF(Arrangörslista!$U$5=55,BL124, IF(Arrangörslista!$U$5=56,BM124, IF(Arrangörslista!$U$5=57,BN124, IF(Arrangörslista!$U$5=58,BO124, IF(Arrangörslista!$U$5=59,BP124, IF(Arrangörslista!$U$5=60,BQ124,0))))))))))))))))))))))))))))))))))))))))))))))))))))))))))))
))</f>
        <v>0</v>
      </c>
      <c r="GV61" s="65" t="str">
        <f>IFERROR(IF(VLOOKUP(F61,Deltagarlista!$E$5:$I$64,5,FALSE)="Grön","Gr",IF(VLOOKUP(F61,Deltagarlista!$E$5:$I$64,5,FALSE)="Röd","R",IF(VLOOKUP(F61,Deltagarlista!$E$5:$I$64,5,FALSE)="Blå","B","Gu"))),"")</f>
        <v/>
      </c>
      <c r="GW61" s="62" t="str">
        <f t="shared" si="124"/>
        <v/>
      </c>
    </row>
    <row r="62" spans="2:205" ht="15.75" customHeight="1" x14ac:dyDescent="0.3">
      <c r="B62" s="23" t="str">
        <f>IF((COUNTIF(Deltagarlista!$H$5:$H$64,"GM"))&gt;58,59,"")</f>
        <v/>
      </c>
      <c r="C62" s="92" t="str">
        <f>IF(ISBLANK(Deltagarlista!C8),"",Deltagarlista!C8)</f>
        <v/>
      </c>
      <c r="D62" s="109" t="str">
        <f>CONCATENATE(IF(Deltagarlista!H8="GM","GM   ",""), IF(OR(Deltagarlista!$K$3=4,Deltagarlista!$K$3=2),Deltagarlista!I8,""))</f>
        <v/>
      </c>
      <c r="E62" s="8" t="str">
        <f>IF(ISBLANK(Deltagarlista!D8),"",Deltagarlista!D8)</f>
        <v/>
      </c>
      <c r="F62" s="8" t="str">
        <f>IF(ISBLANK(Deltagarlista!E8),"",Deltagarlista!E8)</f>
        <v/>
      </c>
      <c r="G62" s="95" t="str">
        <f>IF(ISBLANK(Deltagarlista!F8),"",Deltagarlista!F8)</f>
        <v/>
      </c>
      <c r="H62" s="72" t="str">
        <f>IF(ISBLANK(Deltagarlista!C8),"",BU62-EE62)</f>
        <v/>
      </c>
      <c r="I62" s="13" t="str">
        <f>IF(ISBLANK(Deltagarlista!C8),"",IF(AND(Deltagarlista!$K$3=2,Deltagarlista!$L$3&lt;37),SUM(SUM(BV62:EC62)-(ROUNDDOWN(Arrangörslista!$U$5/3,1))*($BW$3+1)),SUM(BV62:EC62)))</f>
        <v/>
      </c>
      <c r="J62" s="79" t="str">
        <f>IF(Deltagarlista!$K$3=4,IF(ISBLANK(Deltagarlista!$C8),"",IF(ISBLANK(Arrangörslista!C$8),"",IFERROR(VLOOKUP($F62,Arrangörslista!C$8:$AG$45,16,FALSE),IF(ISBLANK(Deltagarlista!$C8),"",IF(ISBLANK(Arrangörslista!C$8),"",IFERROR(VLOOKUP($F62,Arrangörslista!D$8:$AG$45,16,FALSE),"DNS")))))),IF(Deltagarlista!$K$3=2,
IF(ISBLANK(Deltagarlista!$C8),"",IF(ISBLANK(Arrangörslista!C$8),"",IF($GV62=J$64," DNS ",IFERROR(VLOOKUP($F62,Arrangörslista!C$8:$AG$45,16,FALSE),"DNS")))),IF(ISBLANK(Deltagarlista!$C8),"",IF(ISBLANK(Arrangörslista!C$8),"",IFERROR(VLOOKUP($F62,Arrangörslista!C$8:$AG$45,16,FALSE),"DNS")))))</f>
        <v/>
      </c>
      <c r="K62" s="5" t="str">
        <f>IF(Deltagarlista!$K$3=4,IF(ISBLANK(Deltagarlista!$C8),"",IF(ISBLANK(Arrangörslista!E$8),"",IFERROR(VLOOKUP($F62,Arrangörslista!E$8:$AG$45,16,FALSE),IF(ISBLANK(Deltagarlista!$C8),"",IF(ISBLANK(Arrangörslista!E$8),"",IFERROR(VLOOKUP($F62,Arrangörslista!F$8:$AG$45,16,FALSE),"DNS")))))),IF(Deltagarlista!$K$3=2,
IF(ISBLANK(Deltagarlista!$C8),"",IF(ISBLANK(Arrangörslista!D$8),"",IF($GV62=K$64," DNS ",IFERROR(VLOOKUP($F62,Arrangörslista!D$8:$AG$45,16,FALSE),"DNS")))),IF(ISBLANK(Deltagarlista!$C8),"",IF(ISBLANK(Arrangörslista!D$8),"",IFERROR(VLOOKUP($F62,Arrangörslista!D$8:$AG$45,16,FALSE),"DNS")))))</f>
        <v/>
      </c>
      <c r="L62" s="5" t="str">
        <f>IF(Deltagarlista!$K$3=4,IF(ISBLANK(Deltagarlista!$C8),"",IF(ISBLANK(Arrangörslista!G$8),"",IFERROR(VLOOKUP($F62,Arrangörslista!G$8:$AG$45,16,FALSE),IF(ISBLANK(Deltagarlista!$C8),"",IF(ISBLANK(Arrangörslista!G$8),"",IFERROR(VLOOKUP($F62,Arrangörslista!H$8:$AG$45,16,FALSE),"DNS")))))),IF(Deltagarlista!$K$3=2,
IF(ISBLANK(Deltagarlista!$C8),"",IF(ISBLANK(Arrangörslista!E$8),"",IF($GV62=L$64," DNS ",IFERROR(VLOOKUP($F62,Arrangörslista!E$8:$AG$45,16,FALSE),"DNS")))),IF(ISBLANK(Deltagarlista!$C8),"",IF(ISBLANK(Arrangörslista!E$8),"",IFERROR(VLOOKUP($F62,Arrangörslista!E$8:$AG$45,16,FALSE),"DNS")))))</f>
        <v/>
      </c>
      <c r="M62" s="5" t="str">
        <f>IF(Deltagarlista!$K$3=4,IF(ISBLANK(Deltagarlista!$C8),"",IF(ISBLANK(Arrangörslista!I$8),"",IFERROR(VLOOKUP($F62,Arrangörslista!I$8:$AG$45,16,FALSE),IF(ISBLANK(Deltagarlista!$C8),"",IF(ISBLANK(Arrangörslista!I$8),"",IFERROR(VLOOKUP($F62,Arrangörslista!J$8:$AG$45,16,FALSE),"DNS")))))),IF(Deltagarlista!$K$3=2,
IF(ISBLANK(Deltagarlista!$C8),"",IF(ISBLANK(Arrangörslista!F$8),"",IF($GV62=M$64," DNS ",IFERROR(VLOOKUP($F62,Arrangörslista!F$8:$AG$45,16,FALSE),"DNS")))),IF(ISBLANK(Deltagarlista!$C8),"",IF(ISBLANK(Arrangörslista!F$8),"",IFERROR(VLOOKUP($F62,Arrangörslista!F$8:$AG$45,16,FALSE),"DNS")))))</f>
        <v/>
      </c>
      <c r="N62" s="5" t="str">
        <f>IF(Deltagarlista!$K$3=4,IF(ISBLANK(Deltagarlista!$C8),"",IF(ISBLANK(Arrangörslista!K$8),"",IFERROR(VLOOKUP($F62,Arrangörslista!K$8:$AG$45,16,FALSE),IF(ISBLANK(Deltagarlista!$C8),"",IF(ISBLANK(Arrangörslista!K$8),"",IFERROR(VLOOKUP($F62,Arrangörslista!L$8:$AG$45,16,FALSE),"DNS")))))),IF(Deltagarlista!$K$3=2,
IF(ISBLANK(Deltagarlista!$C8),"",IF(ISBLANK(Arrangörslista!G$8),"",IF($GV62=N$64," DNS ",IFERROR(VLOOKUP($F62,Arrangörslista!G$8:$AG$45,16,FALSE),"DNS")))),IF(ISBLANK(Deltagarlista!$C8),"",IF(ISBLANK(Arrangörslista!G$8),"",IFERROR(VLOOKUP($F62,Arrangörslista!G$8:$AG$45,16,FALSE),"DNS")))))</f>
        <v/>
      </c>
      <c r="O62" s="5" t="str">
        <f>IF(Deltagarlista!$K$3=4,IF(ISBLANK(Deltagarlista!$C8),"",IF(ISBLANK(Arrangörslista!M$8),"",IFERROR(VLOOKUP($F62,Arrangörslista!M$8:$AG$45,16,FALSE),IF(ISBLANK(Deltagarlista!$C8),"",IF(ISBLANK(Arrangörslista!M$8),"",IFERROR(VLOOKUP($F62,Arrangörslista!N$8:$AG$45,16,FALSE),"DNS")))))),IF(Deltagarlista!$K$3=2,
IF(ISBLANK(Deltagarlista!$C8),"",IF(ISBLANK(Arrangörslista!H$8),"",IF($GV62=O$64," DNS ",IFERROR(VLOOKUP($F62,Arrangörslista!H$8:$AG$45,16,FALSE),"DNS")))),IF(ISBLANK(Deltagarlista!$C8),"",IF(ISBLANK(Arrangörslista!H$8),"",IFERROR(VLOOKUP($F62,Arrangörslista!H$8:$AG$45,16,FALSE),"DNS")))))</f>
        <v/>
      </c>
      <c r="P62" s="5" t="str">
        <f>IF(Deltagarlista!$K$3=4,IF(ISBLANK(Deltagarlista!$C8),"",IF(ISBLANK(Arrangörslista!O$8),"",IFERROR(VLOOKUP($F62,Arrangörslista!O$8:$AG$45,16,FALSE),IF(ISBLANK(Deltagarlista!$C8),"",IF(ISBLANK(Arrangörslista!O$8),"",IFERROR(VLOOKUP($F62,Arrangörslista!P$8:$AG$45,16,FALSE),"DNS")))))),IF(Deltagarlista!$K$3=2,
IF(ISBLANK(Deltagarlista!$C8),"",IF(ISBLANK(Arrangörslista!I$8),"",IF($GV62=P$64," DNS ",IFERROR(VLOOKUP($F62,Arrangörslista!I$8:$AG$45,16,FALSE),"DNS")))),IF(ISBLANK(Deltagarlista!$C8),"",IF(ISBLANK(Arrangörslista!I$8),"",IFERROR(VLOOKUP($F62,Arrangörslista!I$8:$AG$45,16,FALSE),"DNS")))))</f>
        <v/>
      </c>
      <c r="Q62" s="5" t="str">
        <f>IF(Deltagarlista!$K$3=4,IF(ISBLANK(Deltagarlista!$C8),"",IF(ISBLANK(Arrangörslista!Q$8),"",IFERROR(VLOOKUP($F62,Arrangörslista!Q$8:$AG$45,16,FALSE),IF(ISBLANK(Deltagarlista!$C8),"",IF(ISBLANK(Arrangörslista!Q$8),"",IFERROR(VLOOKUP($F62,Arrangörslista!C$53:$AG$90,16,FALSE),"DNS")))))),IF(Deltagarlista!$K$3=2,
IF(ISBLANK(Deltagarlista!$C8),"",IF(ISBLANK(Arrangörslista!J$8),"",IF($GV62=Q$64," DNS ",IFERROR(VLOOKUP($F62,Arrangörslista!J$8:$AG$45,16,FALSE),"DNS")))),IF(ISBLANK(Deltagarlista!$C8),"",IF(ISBLANK(Arrangörslista!J$8),"",IFERROR(VLOOKUP($F62,Arrangörslista!J$8:$AG$45,16,FALSE),"DNS")))))</f>
        <v/>
      </c>
      <c r="R62" s="5" t="str">
        <f>IF(Deltagarlista!$K$3=4,IF(ISBLANK(Deltagarlista!$C8),"",IF(ISBLANK(Arrangörslista!D$53),"",IFERROR(VLOOKUP($F62,Arrangörslista!D$53:$AG$90,16,FALSE),IF(ISBLANK(Deltagarlista!$C8),"",IF(ISBLANK(Arrangörslista!D$53),"",IFERROR(VLOOKUP($F62,Arrangörslista!E$53:$AG$90,16,FALSE),"DNS")))))),IF(Deltagarlista!$K$3=2,
IF(ISBLANK(Deltagarlista!$C8),"",IF(ISBLANK(Arrangörslista!K$8),"",IF($GV62=R$64," DNS ",IFERROR(VLOOKUP($F62,Arrangörslista!K$8:$AG$45,16,FALSE),"DNS")))),IF(ISBLANK(Deltagarlista!$C8),"",IF(ISBLANK(Arrangörslista!K$8),"",IFERROR(VLOOKUP($F62,Arrangörslista!K$8:$AG$45,16,FALSE),"DNS")))))</f>
        <v/>
      </c>
      <c r="S62" s="5" t="str">
        <f>IF(Deltagarlista!$K$3=4,IF(ISBLANK(Deltagarlista!$C8),"",IF(ISBLANK(Arrangörslista!F$53),"",IFERROR(VLOOKUP($F62,Arrangörslista!F$53:$AG$90,16,FALSE),IF(ISBLANK(Deltagarlista!$C8),"",IF(ISBLANK(Arrangörslista!F$53),"",IFERROR(VLOOKUP($F62,Arrangörslista!G$53:$AG$90,16,FALSE),"DNS")))))),IF(Deltagarlista!$K$3=2,
IF(ISBLANK(Deltagarlista!$C8),"",IF(ISBLANK(Arrangörslista!L$8),"",IF($GV62=S$64," DNS ",IFERROR(VLOOKUP($F62,Arrangörslista!L$8:$AG$45,16,FALSE),"DNS")))),IF(ISBLANK(Deltagarlista!$C8),"",IF(ISBLANK(Arrangörslista!L$8),"",IFERROR(VLOOKUP($F62,Arrangörslista!L$8:$AG$45,16,FALSE),"DNS")))))</f>
        <v/>
      </c>
      <c r="T62" s="5" t="str">
        <f>IF(Deltagarlista!$K$3=4,IF(ISBLANK(Deltagarlista!$C8),"",IF(ISBLANK(Arrangörslista!H$53),"",IFERROR(VLOOKUP($F62,Arrangörslista!H$53:$AG$90,16,FALSE),IF(ISBLANK(Deltagarlista!$C8),"",IF(ISBLANK(Arrangörslista!H$53),"",IFERROR(VLOOKUP($F62,Arrangörslista!I$53:$AG$90,16,FALSE),"DNS")))))),IF(Deltagarlista!$K$3=2,
IF(ISBLANK(Deltagarlista!$C8),"",IF(ISBLANK(Arrangörslista!M$8),"",IF($GV62=T$64," DNS ",IFERROR(VLOOKUP($F62,Arrangörslista!M$8:$AG$45,16,FALSE),"DNS")))),IF(ISBLANK(Deltagarlista!$C8),"",IF(ISBLANK(Arrangörslista!M$8),"",IFERROR(VLOOKUP($F62,Arrangörslista!M$8:$AG$45,16,FALSE),"DNS")))))</f>
        <v/>
      </c>
      <c r="U62" s="5" t="str">
        <f>IF(Deltagarlista!$K$3=4,IF(ISBLANK(Deltagarlista!$C8),"",IF(ISBLANK(Arrangörslista!J$53),"",IFERROR(VLOOKUP($F62,Arrangörslista!J$53:$AG$90,16,FALSE),IF(ISBLANK(Deltagarlista!$C8),"",IF(ISBLANK(Arrangörslista!J$53),"",IFERROR(VLOOKUP($F62,Arrangörslista!K$53:$AG$90,16,FALSE),"DNS")))))),IF(Deltagarlista!$K$3=2,
IF(ISBLANK(Deltagarlista!$C8),"",IF(ISBLANK(Arrangörslista!N$8),"",IF($GV62=U$64," DNS ",IFERROR(VLOOKUP($F62,Arrangörslista!N$8:$AG$45,16,FALSE),"DNS")))),IF(ISBLANK(Deltagarlista!$C8),"",IF(ISBLANK(Arrangörslista!N$8),"",IFERROR(VLOOKUP($F62,Arrangörslista!N$8:$AG$45,16,FALSE),"DNS")))))</f>
        <v/>
      </c>
      <c r="V62" s="5" t="str">
        <f>IF(Deltagarlista!$K$3=4,IF(ISBLANK(Deltagarlista!$C8),"",IF(ISBLANK(Arrangörslista!L$53),"",IFERROR(VLOOKUP($F62,Arrangörslista!L$53:$AG$90,16,FALSE),IF(ISBLANK(Deltagarlista!$C8),"",IF(ISBLANK(Arrangörslista!L$53),"",IFERROR(VLOOKUP($F62,Arrangörslista!M$53:$AG$90,16,FALSE),"DNS")))))),IF(Deltagarlista!$K$3=2,
IF(ISBLANK(Deltagarlista!$C8),"",IF(ISBLANK(Arrangörslista!O$8),"",IF($GV62=V$64," DNS ",IFERROR(VLOOKUP($F62,Arrangörslista!O$8:$AG$45,16,FALSE),"DNS")))),IF(ISBLANK(Deltagarlista!$C8),"",IF(ISBLANK(Arrangörslista!O$8),"",IFERROR(VLOOKUP($F62,Arrangörslista!O$8:$AG$45,16,FALSE),"DNS")))))</f>
        <v/>
      </c>
      <c r="W62" s="5" t="str">
        <f>IF(Deltagarlista!$K$3=4,IF(ISBLANK(Deltagarlista!$C8),"",IF(ISBLANK(Arrangörslista!N$53),"",IFERROR(VLOOKUP($F62,Arrangörslista!N$53:$AG$90,16,FALSE),IF(ISBLANK(Deltagarlista!$C8),"",IF(ISBLANK(Arrangörslista!N$53),"",IFERROR(VLOOKUP($F62,Arrangörslista!O$53:$AG$90,16,FALSE),"DNS")))))),IF(Deltagarlista!$K$3=2,
IF(ISBLANK(Deltagarlista!$C8),"",IF(ISBLANK(Arrangörslista!P$8),"",IF($GV62=W$64," DNS ",IFERROR(VLOOKUP($F62,Arrangörslista!P$8:$AG$45,16,FALSE),"DNS")))),IF(ISBLANK(Deltagarlista!$C8),"",IF(ISBLANK(Arrangörslista!P$8),"",IFERROR(VLOOKUP($F62,Arrangörslista!P$8:$AG$45,16,FALSE),"DNS")))))</f>
        <v/>
      </c>
      <c r="X62" s="5" t="str">
        <f>IF(Deltagarlista!$K$3=4,IF(ISBLANK(Deltagarlista!$C8),"",IF(ISBLANK(Arrangörslista!P$53),"",IFERROR(VLOOKUP($F62,Arrangörslista!P$53:$AG$90,16,FALSE),IF(ISBLANK(Deltagarlista!$C8),"",IF(ISBLANK(Arrangörslista!P$53),"",IFERROR(VLOOKUP($F62,Arrangörslista!Q$53:$AG$90,16,FALSE),"DNS")))))),IF(Deltagarlista!$K$3=2,
IF(ISBLANK(Deltagarlista!$C8),"",IF(ISBLANK(Arrangörslista!Q$8),"",IF($GV62=X$64," DNS ",IFERROR(VLOOKUP($F62,Arrangörslista!Q$8:$AG$45,16,FALSE),"DNS")))),IF(ISBLANK(Deltagarlista!$C8),"",IF(ISBLANK(Arrangörslista!Q$8),"",IFERROR(VLOOKUP($F62,Arrangörslista!Q$8:$AG$45,16,FALSE),"DNS")))))</f>
        <v/>
      </c>
      <c r="Y62" s="5" t="str">
        <f>IF(Deltagarlista!$K$3=4,IF(ISBLANK(Deltagarlista!$C8),"",IF(ISBLANK(Arrangörslista!C$98),"",IFERROR(VLOOKUP($F62,Arrangörslista!C$98:$AG$135,16,FALSE),IF(ISBLANK(Deltagarlista!$C8),"",IF(ISBLANK(Arrangörslista!C$98),"",IFERROR(VLOOKUP($F62,Arrangörslista!D$98:$AG$135,16,FALSE),"DNS")))))),IF(Deltagarlista!$K$3=2,
IF(ISBLANK(Deltagarlista!$C8),"",IF(ISBLANK(Arrangörslista!C$53),"",IF($GV62=Y$64," DNS ",IFERROR(VLOOKUP($F62,Arrangörslista!C$53:$AG$90,16,FALSE),"DNS")))),IF(ISBLANK(Deltagarlista!$C8),"",IF(ISBLANK(Arrangörslista!C$53),"",IFERROR(VLOOKUP($F62,Arrangörslista!C$53:$AG$90,16,FALSE),"DNS")))))</f>
        <v/>
      </c>
      <c r="Z62" s="5" t="str">
        <f>IF(Deltagarlista!$K$3=4,IF(ISBLANK(Deltagarlista!$C8),"",IF(ISBLANK(Arrangörslista!E$98),"",IFERROR(VLOOKUP($F62,Arrangörslista!E$98:$AG$135,16,FALSE),IF(ISBLANK(Deltagarlista!$C8),"",IF(ISBLANK(Arrangörslista!E$98),"",IFERROR(VLOOKUP($F62,Arrangörslista!F$98:$AG$135,16,FALSE),"DNS")))))),IF(Deltagarlista!$K$3=2,
IF(ISBLANK(Deltagarlista!$C8),"",IF(ISBLANK(Arrangörslista!D$53),"",IF($GV62=Z$64," DNS ",IFERROR(VLOOKUP($F62,Arrangörslista!D$53:$AG$90,16,FALSE),"DNS")))),IF(ISBLANK(Deltagarlista!$C8),"",IF(ISBLANK(Arrangörslista!D$53),"",IFERROR(VLOOKUP($F62,Arrangörslista!D$53:$AG$90,16,FALSE),"DNS")))))</f>
        <v/>
      </c>
      <c r="AA62" s="5" t="str">
        <f>IF(Deltagarlista!$K$3=4,IF(ISBLANK(Deltagarlista!$C8),"",IF(ISBLANK(Arrangörslista!G$98),"",IFERROR(VLOOKUP($F62,Arrangörslista!G$98:$AG$135,16,FALSE),IF(ISBLANK(Deltagarlista!$C8),"",IF(ISBLANK(Arrangörslista!G$98),"",IFERROR(VLOOKUP($F62,Arrangörslista!H$98:$AG$135,16,FALSE),"DNS")))))),IF(Deltagarlista!$K$3=2,
IF(ISBLANK(Deltagarlista!$C8),"",IF(ISBLANK(Arrangörslista!E$53),"",IF($GV62=AA$64," DNS ",IFERROR(VLOOKUP($F62,Arrangörslista!E$53:$AG$90,16,FALSE),"DNS")))),IF(ISBLANK(Deltagarlista!$C8),"",IF(ISBLANK(Arrangörslista!E$53),"",IFERROR(VLOOKUP($F62,Arrangörslista!E$53:$AG$90,16,FALSE),"DNS")))))</f>
        <v/>
      </c>
      <c r="AB62" s="5" t="str">
        <f>IF(Deltagarlista!$K$3=4,IF(ISBLANK(Deltagarlista!$C8),"",IF(ISBLANK(Arrangörslista!I$98),"",IFERROR(VLOOKUP($F62,Arrangörslista!I$98:$AG$135,16,FALSE),IF(ISBLANK(Deltagarlista!$C8),"",IF(ISBLANK(Arrangörslista!I$98),"",IFERROR(VLOOKUP($F62,Arrangörslista!J$98:$AG$135,16,FALSE),"DNS")))))),IF(Deltagarlista!$K$3=2,
IF(ISBLANK(Deltagarlista!$C8),"",IF(ISBLANK(Arrangörslista!F$53),"",IF($GV62=AB$64," DNS ",IFERROR(VLOOKUP($F62,Arrangörslista!F$53:$AG$90,16,FALSE),"DNS")))),IF(ISBLANK(Deltagarlista!$C8),"",IF(ISBLANK(Arrangörslista!F$53),"",IFERROR(VLOOKUP($F62,Arrangörslista!F$53:$AG$90,16,FALSE),"DNS")))))</f>
        <v/>
      </c>
      <c r="AC62" s="5" t="str">
        <f>IF(Deltagarlista!$K$3=4,IF(ISBLANK(Deltagarlista!$C8),"",IF(ISBLANK(Arrangörslista!K$98),"",IFERROR(VLOOKUP($F62,Arrangörslista!K$98:$AG$135,16,FALSE),IF(ISBLANK(Deltagarlista!$C8),"",IF(ISBLANK(Arrangörslista!K$98),"",IFERROR(VLOOKUP($F62,Arrangörslista!L$98:$AG$135,16,FALSE),"DNS")))))),IF(Deltagarlista!$K$3=2,
IF(ISBLANK(Deltagarlista!$C8),"",IF(ISBLANK(Arrangörslista!G$53),"",IF($GV62=AC$64," DNS ",IFERROR(VLOOKUP($F62,Arrangörslista!G$53:$AG$90,16,FALSE),"DNS")))),IF(ISBLANK(Deltagarlista!$C8),"",IF(ISBLANK(Arrangörslista!G$53),"",IFERROR(VLOOKUP($F62,Arrangörslista!G$53:$AG$90,16,FALSE),"DNS")))))</f>
        <v/>
      </c>
      <c r="AD62" s="5" t="str">
        <f>IF(Deltagarlista!$K$3=4,IF(ISBLANK(Deltagarlista!$C8),"",IF(ISBLANK(Arrangörslista!M$98),"",IFERROR(VLOOKUP($F62,Arrangörslista!M$98:$AG$135,16,FALSE),IF(ISBLANK(Deltagarlista!$C8),"",IF(ISBLANK(Arrangörslista!M$98),"",IFERROR(VLOOKUP($F62,Arrangörslista!N$98:$AG$135,16,FALSE),"DNS")))))),IF(Deltagarlista!$K$3=2,
IF(ISBLANK(Deltagarlista!$C8),"",IF(ISBLANK(Arrangörslista!H$53),"",IF($GV62=AD$64," DNS ",IFERROR(VLOOKUP($F62,Arrangörslista!H$53:$AG$90,16,FALSE),"DNS")))),IF(ISBLANK(Deltagarlista!$C8),"",IF(ISBLANK(Arrangörslista!H$53),"",IFERROR(VLOOKUP($F62,Arrangörslista!H$53:$AG$90,16,FALSE),"DNS")))))</f>
        <v/>
      </c>
      <c r="AE62" s="5" t="str">
        <f>IF(Deltagarlista!$K$3=4,IF(ISBLANK(Deltagarlista!$C8),"",IF(ISBLANK(Arrangörslista!O$98),"",IFERROR(VLOOKUP($F62,Arrangörslista!O$98:$AG$135,16,FALSE),IF(ISBLANK(Deltagarlista!$C8),"",IF(ISBLANK(Arrangörslista!O$98),"",IFERROR(VLOOKUP($F62,Arrangörslista!P$98:$AG$135,16,FALSE),"DNS")))))),IF(Deltagarlista!$K$3=2,
IF(ISBLANK(Deltagarlista!$C8),"",IF(ISBLANK(Arrangörslista!I$53),"",IF($GV62=AE$64," DNS ",IFERROR(VLOOKUP($F62,Arrangörslista!I$53:$AG$90,16,FALSE),"DNS")))),IF(ISBLANK(Deltagarlista!$C8),"",IF(ISBLANK(Arrangörslista!I$53),"",IFERROR(VLOOKUP($F62,Arrangörslista!I$53:$AG$90,16,FALSE),"DNS")))))</f>
        <v/>
      </c>
      <c r="AF62" s="5" t="str">
        <f>IF(Deltagarlista!$K$3=4,IF(ISBLANK(Deltagarlista!$C8),"",IF(ISBLANK(Arrangörslista!Q$98),"",IFERROR(VLOOKUP($F62,Arrangörslista!Q$98:$AG$135,16,FALSE),IF(ISBLANK(Deltagarlista!$C8),"",IF(ISBLANK(Arrangörslista!Q$98),"",IFERROR(VLOOKUP($F62,Arrangörslista!C$143:$AG$180,16,FALSE),"DNS")))))),IF(Deltagarlista!$K$3=2,
IF(ISBLANK(Deltagarlista!$C8),"",IF(ISBLANK(Arrangörslista!J$53),"",IF($GV62=AF$64," DNS ",IFERROR(VLOOKUP($F62,Arrangörslista!J$53:$AG$90,16,FALSE),"DNS")))),IF(ISBLANK(Deltagarlista!$C8),"",IF(ISBLANK(Arrangörslista!J$53),"",IFERROR(VLOOKUP($F62,Arrangörslista!J$53:$AG$90,16,FALSE),"DNS")))))</f>
        <v/>
      </c>
      <c r="AG62" s="5" t="str">
        <f>IF(Deltagarlista!$K$3=4,IF(ISBLANK(Deltagarlista!$C8),"",IF(ISBLANK(Arrangörslista!D$143),"",IFERROR(VLOOKUP($F62,Arrangörslista!D$143:$AG$180,16,FALSE),IF(ISBLANK(Deltagarlista!$C8),"",IF(ISBLANK(Arrangörslista!D$143),"",IFERROR(VLOOKUP($F62,Arrangörslista!E$143:$AG$180,16,FALSE),"DNS")))))),IF(Deltagarlista!$K$3=2,
IF(ISBLANK(Deltagarlista!$C8),"",IF(ISBLANK(Arrangörslista!K$53),"",IF($GV62=AG$64," DNS ",IFERROR(VLOOKUP($F62,Arrangörslista!K$53:$AG$90,16,FALSE),"DNS")))),IF(ISBLANK(Deltagarlista!$C8),"",IF(ISBLANK(Arrangörslista!K$53),"",IFERROR(VLOOKUP($F62,Arrangörslista!K$53:$AG$90,16,FALSE),"DNS")))))</f>
        <v/>
      </c>
      <c r="AH62" s="5" t="str">
        <f>IF(Deltagarlista!$K$3=4,IF(ISBLANK(Deltagarlista!$C8),"",IF(ISBLANK(Arrangörslista!F$143),"",IFERROR(VLOOKUP($F62,Arrangörslista!F$143:$AG$180,16,FALSE),IF(ISBLANK(Deltagarlista!$C8),"",IF(ISBLANK(Arrangörslista!F$143),"",IFERROR(VLOOKUP($F62,Arrangörslista!G$143:$AG$180,16,FALSE),"DNS")))))),IF(Deltagarlista!$K$3=2,
IF(ISBLANK(Deltagarlista!$C8),"",IF(ISBLANK(Arrangörslista!L$53),"",IF($GV62=AH$64," DNS ",IFERROR(VLOOKUP($F62,Arrangörslista!L$53:$AG$90,16,FALSE),"DNS")))),IF(ISBLANK(Deltagarlista!$C8),"",IF(ISBLANK(Arrangörslista!L$53),"",IFERROR(VLOOKUP($F62,Arrangörslista!L$53:$AG$90,16,FALSE),"DNS")))))</f>
        <v/>
      </c>
      <c r="AI62" s="5" t="str">
        <f>IF(Deltagarlista!$K$3=4,IF(ISBLANK(Deltagarlista!$C8),"",IF(ISBLANK(Arrangörslista!H$143),"",IFERROR(VLOOKUP($F62,Arrangörslista!H$143:$AG$180,16,FALSE),IF(ISBLANK(Deltagarlista!$C8),"",IF(ISBLANK(Arrangörslista!H$143),"",IFERROR(VLOOKUP($F62,Arrangörslista!I$143:$AG$180,16,FALSE),"DNS")))))),IF(Deltagarlista!$K$3=2,
IF(ISBLANK(Deltagarlista!$C8),"",IF(ISBLANK(Arrangörslista!M$53),"",IF($GV62=AI$64," DNS ",IFERROR(VLOOKUP($F62,Arrangörslista!M$53:$AG$90,16,FALSE),"DNS")))),IF(ISBLANK(Deltagarlista!$C8),"",IF(ISBLANK(Arrangörslista!M$53),"",IFERROR(VLOOKUP($F62,Arrangörslista!M$53:$AG$90,16,FALSE),"DNS")))))</f>
        <v/>
      </c>
      <c r="AJ62" s="5" t="str">
        <f>IF(Deltagarlista!$K$3=4,IF(ISBLANK(Deltagarlista!$C8),"",IF(ISBLANK(Arrangörslista!J$143),"",IFERROR(VLOOKUP($F62,Arrangörslista!J$143:$AG$180,16,FALSE),IF(ISBLANK(Deltagarlista!$C8),"",IF(ISBLANK(Arrangörslista!J$143),"",IFERROR(VLOOKUP($F62,Arrangörslista!K$143:$AG$180,16,FALSE),"DNS")))))),IF(Deltagarlista!$K$3=2,
IF(ISBLANK(Deltagarlista!$C8),"",IF(ISBLANK(Arrangörslista!N$53),"",IF($GV62=AJ$64," DNS ",IFERROR(VLOOKUP($F62,Arrangörslista!N$53:$AG$90,16,FALSE),"DNS")))),IF(ISBLANK(Deltagarlista!$C8),"",IF(ISBLANK(Arrangörslista!N$53),"",IFERROR(VLOOKUP($F62,Arrangörslista!N$53:$AG$90,16,FALSE),"DNS")))))</f>
        <v/>
      </c>
      <c r="AK62" s="5" t="str">
        <f>IF(Deltagarlista!$K$3=4,IF(ISBLANK(Deltagarlista!$C8),"",IF(ISBLANK(Arrangörslista!L$143),"",IFERROR(VLOOKUP($F62,Arrangörslista!L$143:$AG$180,16,FALSE),IF(ISBLANK(Deltagarlista!$C8),"",IF(ISBLANK(Arrangörslista!L$143),"",IFERROR(VLOOKUP($F62,Arrangörslista!M$143:$AG$180,16,FALSE),"DNS")))))),IF(Deltagarlista!$K$3=2,
IF(ISBLANK(Deltagarlista!$C8),"",IF(ISBLANK(Arrangörslista!O$53),"",IF($GV62=AK$64," DNS ",IFERROR(VLOOKUP($F62,Arrangörslista!O$53:$AG$90,16,FALSE),"DNS")))),IF(ISBLANK(Deltagarlista!$C8),"",IF(ISBLANK(Arrangörslista!O$53),"",IFERROR(VLOOKUP($F62,Arrangörslista!O$53:$AG$90,16,FALSE),"DNS")))))</f>
        <v/>
      </c>
      <c r="AL62" s="5" t="str">
        <f>IF(Deltagarlista!$K$3=4,IF(ISBLANK(Deltagarlista!$C8),"",IF(ISBLANK(Arrangörslista!N$143),"",IFERROR(VLOOKUP($F62,Arrangörslista!N$143:$AG$180,16,FALSE),IF(ISBLANK(Deltagarlista!$C8),"",IF(ISBLANK(Arrangörslista!N$143),"",IFERROR(VLOOKUP($F62,Arrangörslista!O$143:$AG$180,16,FALSE),"DNS")))))),IF(Deltagarlista!$K$3=2,
IF(ISBLANK(Deltagarlista!$C8),"",IF(ISBLANK(Arrangörslista!P$53),"",IF($GV62=AL$64," DNS ",IFERROR(VLOOKUP($F62,Arrangörslista!P$53:$AG$90,16,FALSE),"DNS")))),IF(ISBLANK(Deltagarlista!$C8),"",IF(ISBLANK(Arrangörslista!P$53),"",IFERROR(VLOOKUP($F62,Arrangörslista!P$53:$AG$90,16,FALSE),"DNS")))))</f>
        <v/>
      </c>
      <c r="AM62" s="5" t="str">
        <f>IF(Deltagarlista!$K$3=4,IF(ISBLANK(Deltagarlista!$C8),"",IF(ISBLANK(Arrangörslista!P$143),"",IFERROR(VLOOKUP($F62,Arrangörslista!P$143:$AG$180,16,FALSE),IF(ISBLANK(Deltagarlista!$C8),"",IF(ISBLANK(Arrangörslista!P$143),"",IFERROR(VLOOKUP($F62,Arrangörslista!Q$143:$AG$180,16,FALSE),"DNS")))))),IF(Deltagarlista!$K$3=2,
IF(ISBLANK(Deltagarlista!$C8),"",IF(ISBLANK(Arrangörslista!Q$53),"",IF($GV62=AM$64," DNS ",IFERROR(VLOOKUP($F62,Arrangörslista!Q$53:$AG$90,16,FALSE),"DNS")))),IF(ISBLANK(Deltagarlista!$C8),"",IF(ISBLANK(Arrangörslista!Q$53),"",IFERROR(VLOOKUP($F62,Arrangörslista!Q$53:$AG$90,16,FALSE),"DNS")))))</f>
        <v/>
      </c>
      <c r="AN62" s="5" t="str">
        <f>IF(Deltagarlista!$K$3=2,
IF(ISBLANK(Deltagarlista!$C8),"",IF(ISBLANK(Arrangörslista!C$98),"",IF($GV62=AN$64," DNS ",IFERROR(VLOOKUP($F62,Arrangörslista!C$98:$AG$135,16,FALSE), "DNS")))), IF(Deltagarlista!$K$3=1,IF(ISBLANK(Deltagarlista!$C8),"",IF(ISBLANK(Arrangörslista!C$98),"",IFERROR(VLOOKUP($F62,Arrangörslista!C$98:$AG$135,16,FALSE), "DNS"))),""))</f>
        <v/>
      </c>
      <c r="AO62" s="5" t="str">
        <f>IF(Deltagarlista!$K$3=2,
IF(ISBLANK(Deltagarlista!$C8),"",IF(ISBLANK(Arrangörslista!D$98),"",IF($GV62=AO$64," DNS ",IFERROR(VLOOKUP($F62,Arrangörslista!D$98:$AG$135,16,FALSE), "DNS")))), IF(Deltagarlista!$K$3=1,IF(ISBLANK(Deltagarlista!$C8),"",IF(ISBLANK(Arrangörslista!D$98),"",IFERROR(VLOOKUP($F62,Arrangörslista!D$98:$AG$135,16,FALSE), "DNS"))),""))</f>
        <v/>
      </c>
      <c r="AP62" s="5" t="str">
        <f>IF(Deltagarlista!$K$3=2,
IF(ISBLANK(Deltagarlista!$C8),"",IF(ISBLANK(Arrangörslista!E$98),"",IF($GV62=AP$64," DNS ",IFERROR(VLOOKUP($F62,Arrangörslista!E$98:$AG$135,16,FALSE), "DNS")))), IF(Deltagarlista!$K$3=1,IF(ISBLANK(Deltagarlista!$C8),"",IF(ISBLANK(Arrangörslista!E$98),"",IFERROR(VLOOKUP($F62,Arrangörslista!E$98:$AG$135,16,FALSE), "DNS"))),""))</f>
        <v/>
      </c>
      <c r="AQ62" s="5" t="str">
        <f>IF(Deltagarlista!$K$3=2,
IF(ISBLANK(Deltagarlista!$C8),"",IF(ISBLANK(Arrangörslista!F$98),"",IF($GV62=AQ$64," DNS ",IFERROR(VLOOKUP($F62,Arrangörslista!F$98:$AG$135,16,FALSE), "DNS")))), IF(Deltagarlista!$K$3=1,IF(ISBLANK(Deltagarlista!$C8),"",IF(ISBLANK(Arrangörslista!F$98),"",IFERROR(VLOOKUP($F62,Arrangörslista!F$98:$AG$135,16,FALSE), "DNS"))),""))</f>
        <v/>
      </c>
      <c r="AR62" s="5" t="str">
        <f>IF(Deltagarlista!$K$3=2,
IF(ISBLANK(Deltagarlista!$C8),"",IF(ISBLANK(Arrangörslista!G$98),"",IF($GV62=AR$64," DNS ",IFERROR(VLOOKUP($F62,Arrangörslista!G$98:$AG$135,16,FALSE), "DNS")))), IF(Deltagarlista!$K$3=1,IF(ISBLANK(Deltagarlista!$C8),"",IF(ISBLANK(Arrangörslista!G$98),"",IFERROR(VLOOKUP($F62,Arrangörslista!G$98:$AG$135,16,FALSE), "DNS"))),""))</f>
        <v/>
      </c>
      <c r="AS62" s="5" t="str">
        <f>IF(Deltagarlista!$K$3=2,
IF(ISBLANK(Deltagarlista!$C8),"",IF(ISBLANK(Arrangörslista!H$98),"",IF($GV62=AS$64," DNS ",IFERROR(VLOOKUP($F62,Arrangörslista!H$98:$AG$135,16,FALSE), "DNS")))), IF(Deltagarlista!$K$3=1,IF(ISBLANK(Deltagarlista!$C8),"",IF(ISBLANK(Arrangörslista!H$98),"",IFERROR(VLOOKUP($F62,Arrangörslista!H$98:$AG$135,16,FALSE), "DNS"))),""))</f>
        <v/>
      </c>
      <c r="AT62" s="5" t="str">
        <f>IF(Deltagarlista!$K$3=2,
IF(ISBLANK(Deltagarlista!$C8),"",IF(ISBLANK(Arrangörslista!I$98),"",IF($GV62=AT$64," DNS ",IFERROR(VLOOKUP($F62,Arrangörslista!I$98:$AG$135,16,FALSE), "DNS")))), IF(Deltagarlista!$K$3=1,IF(ISBLANK(Deltagarlista!$C8),"",IF(ISBLANK(Arrangörslista!I$98),"",IFERROR(VLOOKUP($F62,Arrangörslista!I$98:$AG$135,16,FALSE), "DNS"))),""))</f>
        <v/>
      </c>
      <c r="AU62" s="5" t="str">
        <f>IF(Deltagarlista!$K$3=2,
IF(ISBLANK(Deltagarlista!$C8),"",IF(ISBLANK(Arrangörslista!J$98),"",IF($GV62=AU$64," DNS ",IFERROR(VLOOKUP($F62,Arrangörslista!J$98:$AG$135,16,FALSE), "DNS")))), IF(Deltagarlista!$K$3=1,IF(ISBLANK(Deltagarlista!$C8),"",IF(ISBLANK(Arrangörslista!J$98),"",IFERROR(VLOOKUP($F62,Arrangörslista!J$98:$AG$135,16,FALSE), "DNS"))),""))</f>
        <v/>
      </c>
      <c r="AV62" s="5" t="str">
        <f>IF(Deltagarlista!$K$3=2,
IF(ISBLANK(Deltagarlista!$C8),"",IF(ISBLANK(Arrangörslista!K$98),"",IF($GV62=AV$64," DNS ",IFERROR(VLOOKUP($F62,Arrangörslista!K$98:$AG$135,16,FALSE), "DNS")))), IF(Deltagarlista!$K$3=1,IF(ISBLANK(Deltagarlista!$C8),"",IF(ISBLANK(Arrangörslista!K$98),"",IFERROR(VLOOKUP($F62,Arrangörslista!K$98:$AG$135,16,FALSE), "DNS"))),""))</f>
        <v/>
      </c>
      <c r="AW62" s="5" t="str">
        <f>IF(Deltagarlista!$K$3=2,
IF(ISBLANK(Deltagarlista!$C8),"",IF(ISBLANK(Arrangörslista!L$98),"",IF($GV62=AW$64," DNS ",IFERROR(VLOOKUP($F62,Arrangörslista!L$98:$AG$135,16,FALSE), "DNS")))), IF(Deltagarlista!$K$3=1,IF(ISBLANK(Deltagarlista!$C8),"",IF(ISBLANK(Arrangörslista!L$98),"",IFERROR(VLOOKUP($F62,Arrangörslista!L$98:$AG$135,16,FALSE), "DNS"))),""))</f>
        <v/>
      </c>
      <c r="AX62" s="5" t="str">
        <f>IF(Deltagarlista!$K$3=2,
IF(ISBLANK(Deltagarlista!$C8),"",IF(ISBLANK(Arrangörslista!M$98),"",IF($GV62=AX$64," DNS ",IFERROR(VLOOKUP($F62,Arrangörslista!M$98:$AG$135,16,FALSE), "DNS")))), IF(Deltagarlista!$K$3=1,IF(ISBLANK(Deltagarlista!$C8),"",IF(ISBLANK(Arrangörslista!M$98),"",IFERROR(VLOOKUP($F62,Arrangörslista!M$98:$AG$135,16,FALSE), "DNS"))),""))</f>
        <v/>
      </c>
      <c r="AY62" s="5" t="str">
        <f>IF(Deltagarlista!$K$3=2,
IF(ISBLANK(Deltagarlista!$C8),"",IF(ISBLANK(Arrangörslista!N$98),"",IF($GV62=AY$64," DNS ",IFERROR(VLOOKUP($F62,Arrangörslista!N$98:$AG$135,16,FALSE), "DNS")))), IF(Deltagarlista!$K$3=1,IF(ISBLANK(Deltagarlista!$C8),"",IF(ISBLANK(Arrangörslista!N$98),"",IFERROR(VLOOKUP($F62,Arrangörslista!N$98:$AG$135,16,FALSE), "DNS"))),""))</f>
        <v/>
      </c>
      <c r="AZ62" s="5" t="str">
        <f>IF(Deltagarlista!$K$3=2,
IF(ISBLANK(Deltagarlista!$C8),"",IF(ISBLANK(Arrangörslista!O$98),"",IF($GV62=AZ$64," DNS ",IFERROR(VLOOKUP($F62,Arrangörslista!O$98:$AG$135,16,FALSE), "DNS")))), IF(Deltagarlista!$K$3=1,IF(ISBLANK(Deltagarlista!$C8),"",IF(ISBLANK(Arrangörslista!O$98),"",IFERROR(VLOOKUP($F62,Arrangörslista!O$98:$AG$135,16,FALSE), "DNS"))),""))</f>
        <v/>
      </c>
      <c r="BA62" s="5" t="str">
        <f>IF(Deltagarlista!$K$3=2,
IF(ISBLANK(Deltagarlista!$C8),"",IF(ISBLANK(Arrangörslista!P$98),"",IF($GV62=BA$64," DNS ",IFERROR(VLOOKUP($F62,Arrangörslista!P$98:$AG$135,16,FALSE), "DNS")))), IF(Deltagarlista!$K$3=1,IF(ISBLANK(Deltagarlista!$C8),"",IF(ISBLANK(Arrangörslista!P$98),"",IFERROR(VLOOKUP($F62,Arrangörslista!P$98:$AG$135,16,FALSE), "DNS"))),""))</f>
        <v/>
      </c>
      <c r="BB62" s="5" t="str">
        <f>IF(Deltagarlista!$K$3=2,
IF(ISBLANK(Deltagarlista!$C8),"",IF(ISBLANK(Arrangörslista!Q$98),"",IF($GV62=BB$64," DNS ",IFERROR(VLOOKUP($F62,Arrangörslista!Q$98:$AG$135,16,FALSE), "DNS")))), IF(Deltagarlista!$K$3=1,IF(ISBLANK(Deltagarlista!$C8),"",IF(ISBLANK(Arrangörslista!Q$98),"",IFERROR(VLOOKUP($F62,Arrangörslista!Q$98:$AG$135,16,FALSE), "DNS"))),""))</f>
        <v/>
      </c>
      <c r="BC62" s="5" t="str">
        <f>IF(Deltagarlista!$K$3=2,
IF(ISBLANK(Deltagarlista!$C8),"",IF(ISBLANK(Arrangörslista!C$143),"",IF($GV62=BC$64," DNS ",IFERROR(VLOOKUP($F62,Arrangörslista!C$143:$AG$180,16,FALSE), "DNS")))), IF(Deltagarlista!$K$3=1,IF(ISBLANK(Deltagarlista!$C8),"",IF(ISBLANK(Arrangörslista!C$143),"",IFERROR(VLOOKUP($F62,Arrangörslista!C$143:$AG$180,16,FALSE), "DNS"))),""))</f>
        <v/>
      </c>
      <c r="BD62" s="5" t="str">
        <f>IF(Deltagarlista!$K$3=2,
IF(ISBLANK(Deltagarlista!$C8),"",IF(ISBLANK(Arrangörslista!D$143),"",IF($GV62=BD$64," DNS ",IFERROR(VLOOKUP($F62,Arrangörslista!D$143:$AG$180,16,FALSE), "DNS")))), IF(Deltagarlista!$K$3=1,IF(ISBLANK(Deltagarlista!$C8),"",IF(ISBLANK(Arrangörslista!D$143),"",IFERROR(VLOOKUP($F62,Arrangörslista!D$143:$AG$180,16,FALSE), "DNS"))),""))</f>
        <v/>
      </c>
      <c r="BE62" s="5" t="str">
        <f>IF(Deltagarlista!$K$3=2,
IF(ISBLANK(Deltagarlista!$C8),"",IF(ISBLANK(Arrangörslista!E$143),"",IF($GV62=BE$64," DNS ",IFERROR(VLOOKUP($F62,Arrangörslista!E$143:$AG$180,16,FALSE), "DNS")))), IF(Deltagarlista!$K$3=1,IF(ISBLANK(Deltagarlista!$C8),"",IF(ISBLANK(Arrangörslista!E$143),"",IFERROR(VLOOKUP($F62,Arrangörslista!E$143:$AG$180,16,FALSE), "DNS"))),""))</f>
        <v/>
      </c>
      <c r="BF62" s="5" t="str">
        <f>IF(Deltagarlista!$K$3=2,
IF(ISBLANK(Deltagarlista!$C8),"",IF(ISBLANK(Arrangörslista!F$143),"",IF($GV62=BF$64," DNS ",IFERROR(VLOOKUP($F62,Arrangörslista!F$143:$AG$180,16,FALSE), "DNS")))), IF(Deltagarlista!$K$3=1,IF(ISBLANK(Deltagarlista!$C8),"",IF(ISBLANK(Arrangörslista!F$143),"",IFERROR(VLOOKUP($F62,Arrangörslista!F$143:$AG$180,16,FALSE), "DNS"))),""))</f>
        <v/>
      </c>
      <c r="BG62" s="5" t="str">
        <f>IF(Deltagarlista!$K$3=2,
IF(ISBLANK(Deltagarlista!$C8),"",IF(ISBLANK(Arrangörslista!G$143),"",IF($GV62=BG$64," DNS ",IFERROR(VLOOKUP($F62,Arrangörslista!G$143:$AG$180,16,FALSE), "DNS")))), IF(Deltagarlista!$K$3=1,IF(ISBLANK(Deltagarlista!$C8),"",IF(ISBLANK(Arrangörslista!G$143),"",IFERROR(VLOOKUP($F62,Arrangörslista!G$143:$AG$180,16,FALSE), "DNS"))),""))</f>
        <v/>
      </c>
      <c r="BH62" s="5" t="str">
        <f>IF(Deltagarlista!$K$3=2,
IF(ISBLANK(Deltagarlista!$C8),"",IF(ISBLANK(Arrangörslista!H$143),"",IF($GV62=BH$64," DNS ",IFERROR(VLOOKUP($F62,Arrangörslista!H$143:$AG$180,16,FALSE), "DNS")))), IF(Deltagarlista!$K$3=1,IF(ISBLANK(Deltagarlista!$C8),"",IF(ISBLANK(Arrangörslista!H$143),"",IFERROR(VLOOKUP($F62,Arrangörslista!H$143:$AG$180,16,FALSE), "DNS"))),""))</f>
        <v/>
      </c>
      <c r="BI62" s="5" t="str">
        <f>IF(Deltagarlista!$K$3=2,
IF(ISBLANK(Deltagarlista!$C8),"",IF(ISBLANK(Arrangörslista!I$143),"",IF($GV62=BI$64," DNS ",IFERROR(VLOOKUP($F62,Arrangörslista!I$143:$AG$180,16,FALSE), "DNS")))), IF(Deltagarlista!$K$3=1,IF(ISBLANK(Deltagarlista!$C8),"",IF(ISBLANK(Arrangörslista!I$143),"",IFERROR(VLOOKUP($F62,Arrangörslista!I$143:$AG$180,16,FALSE), "DNS"))),""))</f>
        <v/>
      </c>
      <c r="BJ62" s="5" t="str">
        <f>IF(Deltagarlista!$K$3=2,
IF(ISBLANK(Deltagarlista!$C8),"",IF(ISBLANK(Arrangörslista!J$143),"",IF($GV62=BJ$64," DNS ",IFERROR(VLOOKUP($F62,Arrangörslista!J$143:$AG$180,16,FALSE), "DNS")))), IF(Deltagarlista!$K$3=1,IF(ISBLANK(Deltagarlista!$C8),"",IF(ISBLANK(Arrangörslista!J$143),"",IFERROR(VLOOKUP($F62,Arrangörslista!J$143:$AG$180,16,FALSE), "DNS"))),""))</f>
        <v/>
      </c>
      <c r="BK62" s="5" t="str">
        <f>IF(Deltagarlista!$K$3=2,
IF(ISBLANK(Deltagarlista!$C8),"",IF(ISBLANK(Arrangörslista!K$143),"",IF($GV62=BK$64," DNS ",IFERROR(VLOOKUP($F62,Arrangörslista!K$143:$AG$180,16,FALSE), "DNS")))), IF(Deltagarlista!$K$3=1,IF(ISBLANK(Deltagarlista!$C8),"",IF(ISBLANK(Arrangörslista!K$143),"",IFERROR(VLOOKUP($F62,Arrangörslista!K$143:$AG$180,16,FALSE), "DNS"))),""))</f>
        <v/>
      </c>
      <c r="BL62" s="5" t="str">
        <f>IF(Deltagarlista!$K$3=2,
IF(ISBLANK(Deltagarlista!$C8),"",IF(ISBLANK(Arrangörslista!L$143),"",IF($GV62=BL$64," DNS ",IFERROR(VLOOKUP($F62,Arrangörslista!L$143:$AG$180,16,FALSE), "DNS")))), IF(Deltagarlista!$K$3=1,IF(ISBLANK(Deltagarlista!$C8),"",IF(ISBLANK(Arrangörslista!L$143),"",IFERROR(VLOOKUP($F62,Arrangörslista!L$143:$AG$180,16,FALSE), "DNS"))),""))</f>
        <v/>
      </c>
      <c r="BM62" s="5" t="str">
        <f>IF(Deltagarlista!$K$3=2,
IF(ISBLANK(Deltagarlista!$C8),"",IF(ISBLANK(Arrangörslista!M$143),"",IF($GV62=BM$64," DNS ",IFERROR(VLOOKUP($F62,Arrangörslista!M$143:$AG$180,16,FALSE), "DNS")))), IF(Deltagarlista!$K$3=1,IF(ISBLANK(Deltagarlista!$C8),"",IF(ISBLANK(Arrangörslista!M$143),"",IFERROR(VLOOKUP($F62,Arrangörslista!M$143:$AG$180,16,FALSE), "DNS"))),""))</f>
        <v/>
      </c>
      <c r="BN62" s="5" t="str">
        <f>IF(Deltagarlista!$K$3=2,
IF(ISBLANK(Deltagarlista!$C8),"",IF(ISBLANK(Arrangörslista!N$143),"",IF($GV62=BN$64," DNS ",IFERROR(VLOOKUP($F62,Arrangörslista!N$143:$AG$180,16,FALSE), "DNS")))), IF(Deltagarlista!$K$3=1,IF(ISBLANK(Deltagarlista!$C8),"",IF(ISBLANK(Arrangörslista!N$143),"",IFERROR(VLOOKUP($F62,Arrangörslista!N$143:$AG$180,16,FALSE), "DNS"))),""))</f>
        <v/>
      </c>
      <c r="BO62" s="5" t="str">
        <f>IF(Deltagarlista!$K$3=2,
IF(ISBLANK(Deltagarlista!$C8),"",IF(ISBLANK(Arrangörslista!O$143),"",IF($GV62=BO$64," DNS ",IFERROR(VLOOKUP($F62,Arrangörslista!O$143:$AG$180,16,FALSE), "DNS")))), IF(Deltagarlista!$K$3=1,IF(ISBLANK(Deltagarlista!$C8),"",IF(ISBLANK(Arrangörslista!O$143),"",IFERROR(VLOOKUP($F62,Arrangörslista!O$143:$AG$180,16,FALSE), "DNS"))),""))</f>
        <v/>
      </c>
      <c r="BP62" s="5" t="str">
        <f>IF(Deltagarlista!$K$3=2,
IF(ISBLANK(Deltagarlista!$C8),"",IF(ISBLANK(Arrangörslista!P$143),"",IF($GV62=BP$64," DNS ",IFERROR(VLOOKUP($F62,Arrangörslista!P$143:$AG$180,16,FALSE), "DNS")))), IF(Deltagarlista!$K$3=1,IF(ISBLANK(Deltagarlista!$C8),"",IF(ISBLANK(Arrangörslista!P$143),"",IFERROR(VLOOKUP($F62,Arrangörslista!P$143:$AG$180,16,FALSE), "DNS"))),""))</f>
        <v/>
      </c>
      <c r="BQ62" s="80" t="str">
        <f>IF(Deltagarlista!$K$3=2,
IF(ISBLANK(Deltagarlista!$C8),"",IF(ISBLANK(Arrangörslista!Q$143),"",IF($GV62=BQ$64," DNS ",IFERROR(VLOOKUP($F62,Arrangörslista!Q$143:$AG$180,16,FALSE), "DNS")))), IF(Deltagarlista!$K$3=1,IF(ISBLANK(Deltagarlista!$C8),"",IF(ISBLANK(Arrangörslista!Q$143),"",IFERROR(VLOOKUP($F62,Arrangörslista!Q$143:$AG$180,16,FALSE), "DNS"))),""))</f>
        <v/>
      </c>
      <c r="BR62" s="51"/>
      <c r="BS62" s="50" t="str">
        <f t="shared" si="125"/>
        <v>2</v>
      </c>
      <c r="BT62" s="51"/>
      <c r="BU62" s="71">
        <f t="shared" si="126"/>
        <v>0</v>
      </c>
      <c r="BV62" s="61">
        <f t="shared" si="127"/>
        <v>0</v>
      </c>
      <c r="BW62" s="61">
        <f t="shared" si="128"/>
        <v>0</v>
      </c>
      <c r="BX62" s="61">
        <f t="shared" si="129"/>
        <v>0</v>
      </c>
      <c r="BY62" s="61">
        <f t="shared" si="130"/>
        <v>0</v>
      </c>
      <c r="BZ62" s="61">
        <f t="shared" si="131"/>
        <v>0</v>
      </c>
      <c r="CA62" s="61">
        <f t="shared" si="132"/>
        <v>0</v>
      </c>
      <c r="CB62" s="61">
        <f t="shared" si="133"/>
        <v>0</v>
      </c>
      <c r="CC62" s="61">
        <f t="shared" si="134"/>
        <v>0</v>
      </c>
      <c r="CD62" s="61">
        <f t="shared" si="135"/>
        <v>0</v>
      </c>
      <c r="CE62" s="61">
        <f t="shared" si="136"/>
        <v>0</v>
      </c>
      <c r="CF62" s="61">
        <f t="shared" si="137"/>
        <v>0</v>
      </c>
      <c r="CG62" s="61">
        <f t="shared" si="138"/>
        <v>0</v>
      </c>
      <c r="CH62" s="61">
        <f t="shared" si="139"/>
        <v>0</v>
      </c>
      <c r="CI62" s="61">
        <f t="shared" si="140"/>
        <v>0</v>
      </c>
      <c r="CJ62" s="61">
        <f t="shared" si="141"/>
        <v>0</v>
      </c>
      <c r="CK62" s="61">
        <f t="shared" si="142"/>
        <v>0</v>
      </c>
      <c r="CL62" s="61">
        <f t="shared" si="143"/>
        <v>0</v>
      </c>
      <c r="CM62" s="61">
        <f t="shared" si="144"/>
        <v>0</v>
      </c>
      <c r="CN62" s="61">
        <f t="shared" si="145"/>
        <v>0</v>
      </c>
      <c r="CO62" s="61">
        <f t="shared" si="146"/>
        <v>0</v>
      </c>
      <c r="CP62" s="61">
        <f t="shared" si="147"/>
        <v>0</v>
      </c>
      <c r="CQ62" s="61">
        <f t="shared" si="148"/>
        <v>0</v>
      </c>
      <c r="CR62" s="61">
        <f t="shared" si="149"/>
        <v>0</v>
      </c>
      <c r="CS62" s="61">
        <f t="shared" si="150"/>
        <v>0</v>
      </c>
      <c r="CT62" s="61">
        <f t="shared" si="151"/>
        <v>0</v>
      </c>
      <c r="CU62" s="61">
        <f t="shared" si="152"/>
        <v>0</v>
      </c>
      <c r="CV62" s="61">
        <f t="shared" si="153"/>
        <v>0</v>
      </c>
      <c r="CW62" s="61">
        <f t="shared" si="154"/>
        <v>0</v>
      </c>
      <c r="CX62" s="61">
        <f t="shared" si="155"/>
        <v>0</v>
      </c>
      <c r="CY62" s="61">
        <f t="shared" si="156"/>
        <v>0</v>
      </c>
      <c r="CZ62" s="61">
        <f t="shared" si="157"/>
        <v>0</v>
      </c>
      <c r="DA62" s="61">
        <f t="shared" si="158"/>
        <v>0</v>
      </c>
      <c r="DB62" s="61">
        <f t="shared" si="159"/>
        <v>0</v>
      </c>
      <c r="DC62" s="61">
        <f t="shared" si="160"/>
        <v>0</v>
      </c>
      <c r="DD62" s="61">
        <f t="shared" si="161"/>
        <v>0</v>
      </c>
      <c r="DE62" s="61">
        <f t="shared" si="162"/>
        <v>0</v>
      </c>
      <c r="DF62" s="61">
        <f t="shared" si="163"/>
        <v>0</v>
      </c>
      <c r="DG62" s="61">
        <f t="shared" si="164"/>
        <v>0</v>
      </c>
      <c r="DH62" s="61">
        <f t="shared" si="165"/>
        <v>0</v>
      </c>
      <c r="DI62" s="61">
        <f t="shared" si="166"/>
        <v>0</v>
      </c>
      <c r="DJ62" s="61">
        <f t="shared" si="167"/>
        <v>0</v>
      </c>
      <c r="DK62" s="61">
        <f t="shared" si="168"/>
        <v>0</v>
      </c>
      <c r="DL62" s="61">
        <f t="shared" si="169"/>
        <v>0</v>
      </c>
      <c r="DM62" s="61">
        <f t="shared" si="170"/>
        <v>0</v>
      </c>
      <c r="DN62" s="61">
        <f t="shared" si="171"/>
        <v>0</v>
      </c>
      <c r="DO62" s="61">
        <f t="shared" si="172"/>
        <v>0</v>
      </c>
      <c r="DP62" s="61">
        <f t="shared" si="173"/>
        <v>0</v>
      </c>
      <c r="DQ62" s="61">
        <f t="shared" si="174"/>
        <v>0</v>
      </c>
      <c r="DR62" s="61">
        <f t="shared" si="175"/>
        <v>0</v>
      </c>
      <c r="DS62" s="61">
        <f t="shared" si="176"/>
        <v>0</v>
      </c>
      <c r="DT62" s="61">
        <f t="shared" si="177"/>
        <v>0</v>
      </c>
      <c r="DU62" s="61">
        <f t="shared" si="178"/>
        <v>0</v>
      </c>
      <c r="DV62" s="61">
        <f t="shared" si="179"/>
        <v>0</v>
      </c>
      <c r="DW62" s="61">
        <f t="shared" si="180"/>
        <v>0</v>
      </c>
      <c r="DX62" s="61">
        <f t="shared" si="181"/>
        <v>0</v>
      </c>
      <c r="DY62" s="61">
        <f t="shared" si="182"/>
        <v>0</v>
      </c>
      <c r="DZ62" s="61">
        <f t="shared" si="183"/>
        <v>0</v>
      </c>
      <c r="EA62" s="61">
        <f t="shared" si="184"/>
        <v>0</v>
      </c>
      <c r="EB62" s="61">
        <f t="shared" si="185"/>
        <v>0</v>
      </c>
      <c r="EC62" s="61">
        <f t="shared" si="186"/>
        <v>0</v>
      </c>
      <c r="EE62" s="61">
        <f xml:space="preserve">
IF(OR(Deltagarlista!$K$3=3,Deltagarlista!$K$3=4),
IF(Arrangörslista!$U$5&lt;8,0,
IF(Arrangörslista!$U$5&lt;16,SUM(LARGE(BV62:CJ62,1)),
IF(Arrangörslista!$U$5&lt;24,SUM(LARGE(BV62:CR62,{1;2})),
IF(Arrangörslista!$U$5&lt;32,SUM(LARGE(BV62:CZ62,{1;2;3})),
IF(Arrangörslista!$U$5&lt;40,SUM(LARGE(BV62:DH62,{1;2;3;4})),
IF(Arrangörslista!$U$5&lt;48,SUM(LARGE(BV62:DP62,{1;2;3;4;5})),
IF(Arrangörslista!$U$5&lt;56,SUM(LARGE(BV62:DX62,{1;2;3;4;5;6})),
IF(Arrangörslista!$U$5&lt;64,SUM(LARGE(BV62:EC62,{1;2;3;4;5;6;7})),0)))))))),
IF(Deltagarlista!$K$3=2,
IF(Arrangörslista!$U$5&lt;4,LARGE(BV62:BX62,1),
IF(Arrangörslista!$U$5&lt;7,SUM(LARGE(BV62:CA62,{1;2;3})),
IF(Arrangörslista!$U$5&lt;10,SUM(LARGE(BV62:CD62,{1;2;3;4})),
IF(Arrangörslista!$U$5&lt;13,SUM(LARGE(BV62:CG62,{1;2;3;4;5;6})),
IF(Arrangörslista!$U$5&lt;16,SUM(LARGE(BV62:CJ62,{1;2;3;4;5;6;7})),
IF(Arrangörslista!$U$5&lt;19,SUM(LARGE(BV62:CM62,{1;2;3;4;5;6;7;8;9})),
IF(Arrangörslista!$U$5&lt;22,SUM(LARGE(BV62:CP62,{1;2;3;4;5;6;7;8;9;10})),
IF(Arrangörslista!$U$5&lt;25,SUM(LARGE(BV62:CS62,{1;2;3;4;5;6;7;8;9;10;11;12})),
IF(Arrangörslista!$U$5&lt;28,SUM(LARGE(BV62:CV62,{1;2;3;4;5;6;7;8;9;10;11;12;13})),
IF(Arrangörslista!$U$5&lt;31,SUM(LARGE(BV62:CY62,{1;2;3;4;5;6;7;8;9;10;11;12;13;14;15})),
IF(Arrangörslista!$U$5&lt;34,SUM(LARGE(BV62:DB62,{1;2;3;4;5;6;7;8;9;10;11;12;13;14;15;16})),
IF(Arrangörslista!$U$5&lt;37,SUM(LARGE(BV62:DE62,{1;2;3;4;5;6;7;8;9;10;11;12;13;14;15;16;17;18})),
IF(Arrangörslista!$U$5&lt;40,SUM(LARGE(BV62:DH62,{1;2;3;4;5;6;7;8;9;10;11;12;13;14;15;16;17;18;19})),
IF(Arrangörslista!$U$5&lt;43,SUM(LARGE(BV62:DK62,{1;2;3;4;5;6;7;8;9;10;11;12;13;14;15;16;17;18;19;20;21})),
IF(Arrangörslista!$U$5&lt;46,SUM(LARGE(BV62:DN62,{1;2;3;4;5;6;7;8;9;10;11;12;13;14;15;16;17;18;19;20;21;22})),
IF(Arrangörslista!$U$5&lt;49,SUM(LARGE(BV62:DQ62,{1;2;3;4;5;6;7;8;9;10;11;12;13;14;15;16;17;18;19;20;21;22;23;24})),
IF(Arrangörslista!$U$5&lt;52,SUM(LARGE(BV62:DT62,{1;2;3;4;5;6;7;8;9;10;11;12;13;14;15;16;17;18;19;20;21;22;23;24;25})),
IF(Arrangörslista!$U$5&lt;55,SUM(LARGE(BV62:DW62,{1;2;3;4;5;6;7;8;9;10;11;12;13;14;15;16;17;18;19;20;21;22;23;24;25;26;27})),
IF(Arrangörslista!$U$5&lt;58,SUM(LARGE(BV62:DZ62,{1;2;3;4;5;6;7;8;9;10;11;12;13;14;15;16;17;18;19;20;21;22;23;24;25;26;27;28})),
IF(Arrangörslista!$U$5&lt;61,SUM(LARGE(BV62:EC62,{1;2;3;4;5;6;7;8;9;10;11;12;13;14;15;16;17;18;19;20;21;22;23;24;25;26;27;28;29;30})),0)))))))))))))))))))),
IF(Arrangörslista!$U$5&lt;4,0,
IF(Arrangörslista!$U$5&lt;8,SUM(LARGE(BV62:CB62,1)),
IF(Arrangörslista!$U$5&lt;12,SUM(LARGE(BV62:CF62,{1;2})),
IF(Arrangörslista!$U$5&lt;16,SUM(LARGE(BV62:CJ62,{1;2;3})),
IF(Arrangörslista!$U$5&lt;20,SUM(LARGE(BV62:CN62,{1;2;3;4})),
IF(Arrangörslista!$U$5&lt;24,SUM(LARGE(BV62:CR62,{1;2;3;4;5})),
IF(Arrangörslista!$U$5&lt;28,SUM(LARGE(BV62:CV62,{1;2;3;4;5;6})),
IF(Arrangörslista!$U$5&lt;32,SUM(LARGE(BV62:CZ62,{1;2;3;4;5;6;7})),
IF(Arrangörslista!$U$5&lt;36,SUM(LARGE(BV62:DD62,{1;2;3;4;5;6;7;8})),
IF(Arrangörslista!$U$5&lt;40,SUM(LARGE(BV62:DH62,{1;2;3;4;5;6;7;8;9})),
IF(Arrangörslista!$U$5&lt;44,SUM(LARGE(BV62:DL62,{1;2;3;4;5;6;7;8;9;10})),
IF(Arrangörslista!$U$5&lt;48,SUM(LARGE(BV62:DP62,{1;2;3;4;5;6;7;8;9;10;11})),
IF(Arrangörslista!$U$5&lt;52,SUM(LARGE(BV62:DT62,{1;2;3;4;5;6;7;8;9;10;11;12})),
IF(Arrangörslista!$U$5&lt;56,SUM(LARGE(BV62:DX62,{1;2;3;4;5;6;7;8;9;10;11;12;13})),
IF(Arrangörslista!$U$5&lt;60,SUM(LARGE(BV62:EB62,{1;2;3;4;5;6;7;8;9;10;11;12;13;14})),
IF(Arrangörslista!$U$5=60,SUM(LARGE(BV62:EC62,{1;2;3;4;5;6;7;8;9;10;11;12;13;14;15})),0))))))))))))))))))</f>
        <v>0</v>
      </c>
      <c r="EG62" s="67">
        <f t="shared" si="187"/>
        <v>0</v>
      </c>
      <c r="EH62" s="61"/>
      <c r="EI62" s="61"/>
      <c r="EK62" s="62">
        <f t="shared" si="188"/>
        <v>61</v>
      </c>
      <c r="EL62" s="62">
        <f t="shared" si="189"/>
        <v>61</v>
      </c>
      <c r="EM62" s="62">
        <f t="shared" si="190"/>
        <v>61</v>
      </c>
      <c r="EN62" s="62">
        <f t="shared" si="191"/>
        <v>61</v>
      </c>
      <c r="EO62" s="62">
        <f t="shared" si="192"/>
        <v>61</v>
      </c>
      <c r="EP62" s="62">
        <f t="shared" si="193"/>
        <v>61</v>
      </c>
      <c r="EQ62" s="62">
        <f t="shared" si="194"/>
        <v>61</v>
      </c>
      <c r="ER62" s="62">
        <f t="shared" si="195"/>
        <v>61</v>
      </c>
      <c r="ES62" s="62">
        <f t="shared" si="196"/>
        <v>61</v>
      </c>
      <c r="ET62" s="62">
        <f t="shared" si="197"/>
        <v>61</v>
      </c>
      <c r="EU62" s="62">
        <f t="shared" si="198"/>
        <v>61</v>
      </c>
      <c r="EV62" s="62">
        <f t="shared" si="199"/>
        <v>61</v>
      </c>
      <c r="EW62" s="62">
        <f t="shared" si="200"/>
        <v>61</v>
      </c>
      <c r="EX62" s="62">
        <f t="shared" si="201"/>
        <v>61</v>
      </c>
      <c r="EY62" s="62">
        <f t="shared" si="202"/>
        <v>61</v>
      </c>
      <c r="EZ62" s="62">
        <f t="shared" si="203"/>
        <v>61</v>
      </c>
      <c r="FA62" s="62">
        <f t="shared" si="204"/>
        <v>61</v>
      </c>
      <c r="FB62" s="62">
        <f t="shared" si="205"/>
        <v>61</v>
      </c>
      <c r="FC62" s="62">
        <f t="shared" si="206"/>
        <v>61</v>
      </c>
      <c r="FD62" s="62">
        <f t="shared" si="207"/>
        <v>61</v>
      </c>
      <c r="FE62" s="62">
        <f t="shared" si="208"/>
        <v>61</v>
      </c>
      <c r="FF62" s="62">
        <f t="shared" si="209"/>
        <v>61</v>
      </c>
      <c r="FG62" s="62">
        <f t="shared" si="210"/>
        <v>61</v>
      </c>
      <c r="FH62" s="62">
        <f t="shared" si="211"/>
        <v>61</v>
      </c>
      <c r="FI62" s="62">
        <f t="shared" si="212"/>
        <v>61</v>
      </c>
      <c r="FJ62" s="62">
        <f t="shared" si="213"/>
        <v>61</v>
      </c>
      <c r="FK62" s="62">
        <f t="shared" si="214"/>
        <v>61</v>
      </c>
      <c r="FL62" s="62">
        <f t="shared" si="215"/>
        <v>61</v>
      </c>
      <c r="FM62" s="62">
        <f t="shared" si="216"/>
        <v>61</v>
      </c>
      <c r="FN62" s="62">
        <f t="shared" si="217"/>
        <v>61</v>
      </c>
      <c r="FO62" s="62">
        <f t="shared" si="218"/>
        <v>61</v>
      </c>
      <c r="FP62" s="62">
        <f t="shared" si="219"/>
        <v>61</v>
      </c>
      <c r="FQ62" s="62">
        <f t="shared" si="220"/>
        <v>61</v>
      </c>
      <c r="FR62" s="62">
        <f t="shared" si="221"/>
        <v>61</v>
      </c>
      <c r="FS62" s="62">
        <f t="shared" si="222"/>
        <v>61</v>
      </c>
      <c r="FT62" s="62">
        <f t="shared" si="223"/>
        <v>61</v>
      </c>
      <c r="FU62" s="62">
        <f t="shared" si="224"/>
        <v>61</v>
      </c>
      <c r="FV62" s="62">
        <f t="shared" si="225"/>
        <v>61</v>
      </c>
      <c r="FW62" s="62">
        <f t="shared" si="226"/>
        <v>61</v>
      </c>
      <c r="FX62" s="62">
        <f t="shared" si="227"/>
        <v>61</v>
      </c>
      <c r="FY62" s="62">
        <f t="shared" si="228"/>
        <v>61</v>
      </c>
      <c r="FZ62" s="62">
        <f t="shared" si="229"/>
        <v>61</v>
      </c>
      <c r="GA62" s="62">
        <f t="shared" si="230"/>
        <v>61</v>
      </c>
      <c r="GB62" s="62">
        <f t="shared" si="231"/>
        <v>61</v>
      </c>
      <c r="GC62" s="62">
        <f t="shared" si="232"/>
        <v>61</v>
      </c>
      <c r="GD62" s="62">
        <f t="shared" si="233"/>
        <v>61</v>
      </c>
      <c r="GE62" s="62">
        <f t="shared" si="234"/>
        <v>61</v>
      </c>
      <c r="GF62" s="62">
        <f t="shared" si="235"/>
        <v>61</v>
      </c>
      <c r="GG62" s="62">
        <f t="shared" si="236"/>
        <v>61</v>
      </c>
      <c r="GH62" s="62">
        <f t="shared" si="237"/>
        <v>61</v>
      </c>
      <c r="GI62" s="62">
        <f t="shared" si="238"/>
        <v>61</v>
      </c>
      <c r="GJ62" s="62">
        <f t="shared" si="239"/>
        <v>61</v>
      </c>
      <c r="GK62" s="62">
        <f t="shared" si="240"/>
        <v>61</v>
      </c>
      <c r="GL62" s="62">
        <f t="shared" si="241"/>
        <v>61</v>
      </c>
      <c r="GM62" s="62">
        <f t="shared" si="242"/>
        <v>61</v>
      </c>
      <c r="GN62" s="62">
        <f t="shared" si="243"/>
        <v>61</v>
      </c>
      <c r="GO62" s="62">
        <f t="shared" si="244"/>
        <v>61</v>
      </c>
      <c r="GP62" s="62">
        <f t="shared" si="245"/>
        <v>61</v>
      </c>
      <c r="GQ62" s="62">
        <f t="shared" si="246"/>
        <v>61</v>
      </c>
      <c r="GR62" s="62">
        <f t="shared" si="247"/>
        <v>61</v>
      </c>
      <c r="GT62" s="62">
        <f>IF(Deltagarlista!$K$3=2,
IF(GW62="1",
      IF(Arrangörslista!$U$5=1,J125,
IF(Arrangörslista!$U$5=2,K125,
IF(Arrangörslista!$U$5=3,L125,
IF(Arrangörslista!$U$5=4,M125,
IF(Arrangörslista!$U$5=5,N125,
IF(Arrangörslista!$U$5=6,O125,
IF(Arrangörslista!$U$5=7,P125,
IF(Arrangörslista!$U$5=8,Q125,
IF(Arrangörslista!$U$5=9,R125,
IF(Arrangörslista!$U$5=10,S125,
IF(Arrangörslista!$U$5=11,T125,
IF(Arrangörslista!$U$5=12,U125,
IF(Arrangörslista!$U$5=13,V125,
IF(Arrangörslista!$U$5=14,W125,
IF(Arrangörslista!$U$5=15,X125,
IF(Arrangörslista!$U$5=16,Y125,IF(Arrangörslista!$U$5=17,Z125,IF(Arrangörslista!$U$5=18,AA125,IF(Arrangörslista!$U$5=19,AB125,IF(Arrangörslista!$U$5=20,AC125,IF(Arrangörslista!$U$5=21,AD125,IF(Arrangörslista!$U$5=22,AE125,IF(Arrangörslista!$U$5=23,AF125, IF(Arrangörslista!$U$5=24,AG125, IF(Arrangörslista!$U$5=25,AH125, IF(Arrangörslista!$U$5=26,AI125, IF(Arrangörslista!$U$5=27,AJ125, IF(Arrangörslista!$U$5=28,AK125, IF(Arrangörslista!$U$5=29,AL125, IF(Arrangörslista!$U$5=30,AM125, IF(Arrangörslista!$U$5=31,AN125, IF(Arrangörslista!$U$5=32,AO125, IF(Arrangörslista!$U$5=33,AP125, IF(Arrangörslista!$U$5=34,AQ125, IF(Arrangörslista!$U$5=35,AR125, IF(Arrangörslista!$U$5=36,AS125, IF(Arrangörslista!$U$5=37,AT125, IF(Arrangörslista!$U$5=38,AU125, IF(Arrangörslista!$U$5=39,AV125, IF(Arrangörslista!$U$5=40,AW125, IF(Arrangörslista!$U$5=41,AX125, IF(Arrangörslista!$U$5=42,AY125, IF(Arrangörslista!$U$5=43,AZ125, IF(Arrangörslista!$U$5=44,BA125, IF(Arrangörslista!$U$5=45,BB125, IF(Arrangörslista!$U$5=46,BC125, IF(Arrangörslista!$U$5=47,BD125, IF(Arrangörslista!$U$5=48,BE125, IF(Arrangörslista!$U$5=49,BF125, IF(Arrangörslista!$U$5=50,BG125, IF(Arrangörslista!$U$5=51,BH125, IF(Arrangörslista!$U$5=52,BI125, IF(Arrangörslista!$U$5=53,BJ125, IF(Arrangörslista!$U$5=54,BK125, IF(Arrangörslista!$U$5=55,BL125, IF(Arrangörslista!$U$5=56,BM125, IF(Arrangörslista!$U$5=57,BN125, IF(Arrangörslista!$U$5=58,BO125, IF(Arrangörslista!$U$5=59,BP125, IF(Arrangörslista!$U$5=60,BQ125,0))))))))))))))))))))))))))))))))))))))))))))))))))))))))))))),IF(Deltagarlista!$K$3=4, IF(Arrangörslista!$U$5=1,J125,
IF(Arrangörslista!$U$5=2,J125,
IF(Arrangörslista!$U$5=3,K125,
IF(Arrangörslista!$U$5=4,K125,
IF(Arrangörslista!$U$5=5,L125,
IF(Arrangörslista!$U$5=6,L125,
IF(Arrangörslista!$U$5=7,M125,
IF(Arrangörslista!$U$5=8,M125,
IF(Arrangörslista!$U$5=9,N125,
IF(Arrangörslista!$U$5=10,N125,
IF(Arrangörslista!$U$5=11,O125,
IF(Arrangörslista!$U$5=12,O125,
IF(Arrangörslista!$U$5=13,P125,
IF(Arrangörslista!$U$5=14,P125,
IF(Arrangörslista!$U$5=15,Q125,
IF(Arrangörslista!$U$5=16,Q125,
IF(Arrangörslista!$U$5=17,R125,
IF(Arrangörslista!$U$5=18,R125,
IF(Arrangörslista!$U$5=19,S125,
IF(Arrangörslista!$U$5=20,S125,
IF(Arrangörslista!$U$5=21,T125,
IF(Arrangörslista!$U$5=22,T125,IF(Arrangörslista!$U$5=23,U125, IF(Arrangörslista!$U$5=24,U125, IF(Arrangörslista!$U$5=25,V125, IF(Arrangörslista!$U$5=26,V125, IF(Arrangörslista!$U$5=27,W125, IF(Arrangörslista!$U$5=28,W125, IF(Arrangörslista!$U$5=29,X125, IF(Arrangörslista!$U$5=30,X125, IF(Arrangörslista!$U$5=31,X125, IF(Arrangörslista!$U$5=32,Y125, IF(Arrangörslista!$U$5=33,AO125, IF(Arrangörslista!$U$5=34,Y125, IF(Arrangörslista!$U$5=35,Z125, IF(Arrangörslista!$U$5=36,AR125, IF(Arrangörslista!$U$5=37,Z125, IF(Arrangörslista!$U$5=38,AA125, IF(Arrangörslista!$U$5=39,AU125, IF(Arrangörslista!$U$5=40,AA125, IF(Arrangörslista!$U$5=41,AB125, IF(Arrangörslista!$U$5=42,AX125, IF(Arrangörslista!$U$5=43,AB125, IF(Arrangörslista!$U$5=44,AC125, IF(Arrangörslista!$U$5=45,BA125, IF(Arrangörslista!$U$5=46,AC125, IF(Arrangörslista!$U$5=47,AD125, IF(Arrangörslista!$U$5=48,BD125, IF(Arrangörslista!$U$5=49,AD125, IF(Arrangörslista!$U$5=50,AE125, IF(Arrangörslista!$U$5=51,BG125, IF(Arrangörslista!$U$5=52,AE125, IF(Arrangörslista!$U$5=53,AF125, IF(Arrangörslista!$U$5=54,BJ125, IF(Arrangörslista!$U$5=55,AF125, IF(Arrangörslista!$U$5=56,AG125, IF(Arrangörslista!$U$5=57,BM125, IF(Arrangörslista!$U$5=58,AG125, IF(Arrangörslista!$U$5=59,AH125, IF(Arrangörslista!$U$5=60,AH125,0)))))))))))))))))))))))))))))))))))))))))))))))))))))))))))),IF(Arrangörslista!$U$5=1,J125,
IF(Arrangörslista!$U$5=2,K125,
IF(Arrangörslista!$U$5=3,L125,
IF(Arrangörslista!$U$5=4,M125,
IF(Arrangörslista!$U$5=5,N125,
IF(Arrangörslista!$U$5=6,O125,
IF(Arrangörslista!$U$5=7,P125,
IF(Arrangörslista!$U$5=8,Q125,
IF(Arrangörslista!$U$5=9,R125,
IF(Arrangörslista!$U$5=10,S125,
IF(Arrangörslista!$U$5=11,T125,
IF(Arrangörslista!$U$5=12,U125,
IF(Arrangörslista!$U$5=13,V125,
IF(Arrangörslista!$U$5=14,W125,
IF(Arrangörslista!$U$5=15,X125,
IF(Arrangörslista!$U$5=16,Y125,IF(Arrangörslista!$U$5=17,Z125,IF(Arrangörslista!$U$5=18,AA125,IF(Arrangörslista!$U$5=19,AB125,IF(Arrangörslista!$U$5=20,AC125,IF(Arrangörslista!$U$5=21,AD125,IF(Arrangörslista!$U$5=22,AE125,IF(Arrangörslista!$U$5=23,AF125, IF(Arrangörslista!$U$5=24,AG125, IF(Arrangörslista!$U$5=25,AH125, IF(Arrangörslista!$U$5=26,AI125, IF(Arrangörslista!$U$5=27,AJ125, IF(Arrangörslista!$U$5=28,AK125, IF(Arrangörslista!$U$5=29,AL125, IF(Arrangörslista!$U$5=30,AM125, IF(Arrangörslista!$U$5=31,AN125, IF(Arrangörslista!$U$5=32,AO125, IF(Arrangörslista!$U$5=33,AP125, IF(Arrangörslista!$U$5=34,AQ125, IF(Arrangörslista!$U$5=35,AR125, IF(Arrangörslista!$U$5=36,AS125, IF(Arrangörslista!$U$5=37,AT125, IF(Arrangörslista!$U$5=38,AU125, IF(Arrangörslista!$U$5=39,AV125, IF(Arrangörslista!$U$5=40,AW125, IF(Arrangörslista!$U$5=41,AX125, IF(Arrangörslista!$U$5=42,AY125, IF(Arrangörslista!$U$5=43,AZ125, IF(Arrangörslista!$U$5=44,BA125, IF(Arrangörslista!$U$5=45,BB125, IF(Arrangörslista!$U$5=46,BC125, IF(Arrangörslista!$U$5=47,BD125, IF(Arrangörslista!$U$5=48,BE125, IF(Arrangörslista!$U$5=49,BF125, IF(Arrangörslista!$U$5=50,BG125, IF(Arrangörslista!$U$5=51,BH125, IF(Arrangörslista!$U$5=52,BI125, IF(Arrangörslista!$U$5=53,BJ125, IF(Arrangörslista!$U$5=54,BK125, IF(Arrangörslista!$U$5=55,BL125, IF(Arrangörslista!$U$5=56,BM125, IF(Arrangörslista!$U$5=57,BN125, IF(Arrangörslista!$U$5=58,BO125, IF(Arrangörslista!$U$5=59,BP125, IF(Arrangörslista!$U$5=60,BQ125,0))))))))))))))))))))))))))))))))))))))))))))))))))))))))))))
))</f>
        <v>0</v>
      </c>
      <c r="GV62" s="65" t="str">
        <f>IFERROR(IF(VLOOKUP(F62,Deltagarlista!$E$5:$I$64,5,FALSE)="Grön","Gr",IF(VLOOKUP(F62,Deltagarlista!$E$5:$I$64,5,FALSE)="Röd","R",IF(VLOOKUP(F62,Deltagarlista!$E$5:$I$64,5,FALSE)="Blå","B","Gu"))),"")</f>
        <v/>
      </c>
      <c r="GW62" s="62" t="str">
        <f t="shared" si="124"/>
        <v/>
      </c>
    </row>
    <row r="63" spans="2:205" ht="15.75" customHeight="1" thickBot="1" x14ac:dyDescent="0.35">
      <c r="B63" s="85" t="str">
        <f>IF((COUNTIF(Deltagarlista!$H$5:$H$64,"GM"))&gt;59,60,"")</f>
        <v/>
      </c>
      <c r="C63" s="93" t="str">
        <f>IF(ISBLANK(Deltagarlista!C14),"",Deltagarlista!C14)</f>
        <v/>
      </c>
      <c r="D63" s="108" t="str">
        <f>CONCATENATE(IF(Deltagarlista!H14="GM","GM   ",""), IF(OR(Deltagarlista!$K$3=4,Deltagarlista!$K$3=2),Deltagarlista!I14,""))</f>
        <v/>
      </c>
      <c r="E63" s="86" t="str">
        <f>IF(ISBLANK(Deltagarlista!D14),"",Deltagarlista!D14)</f>
        <v/>
      </c>
      <c r="F63" s="86" t="str">
        <f>IF(ISBLANK(Deltagarlista!E14),"",Deltagarlista!E14)</f>
        <v/>
      </c>
      <c r="G63" s="96" t="str">
        <f>IF(ISBLANK(Deltagarlista!F14),"",Deltagarlista!F14)</f>
        <v/>
      </c>
      <c r="H63" s="87" t="str">
        <f>IF(ISBLANK(Deltagarlista!C14),"",BU63-EE63)</f>
        <v/>
      </c>
      <c r="I63" s="88" t="str">
        <f>IF(ISBLANK(Deltagarlista!C14),"",IF(AND(Deltagarlista!$K$3=2,Deltagarlista!$L$3&lt;37),SUM(SUM(BV63:EC63)-(ROUNDDOWN(Arrangörslista!$U$5/3,1))*($BW$3+1)),SUM(BV63:EC63)))</f>
        <v/>
      </c>
      <c r="J63" s="81" t="str">
        <f>IF(Deltagarlista!$K$3=4,IF(ISBLANK(Deltagarlista!$C14),"",IF(ISBLANK(Arrangörslista!C$8),"",IFERROR(VLOOKUP($F63,Arrangörslista!C$8:$AG$45,16,FALSE),IF(ISBLANK(Deltagarlista!$C14),"",IF(ISBLANK(Arrangörslista!C$8),"",IFERROR(VLOOKUP($F63,Arrangörslista!D$8:$AG$45,16,FALSE),"DNS")))))),IF(Deltagarlista!$K$3=2,
IF(ISBLANK(Deltagarlista!$C14),"",IF(ISBLANK(Arrangörslista!C$8),"",IF($GV63=J$64," DNS ",IFERROR(VLOOKUP($F63,Arrangörslista!C$8:$AG$45,16,FALSE),"DNS")))),IF(ISBLANK(Deltagarlista!$C14),"",IF(ISBLANK(Arrangörslista!C$8),"",IFERROR(VLOOKUP($F63,Arrangörslista!C$8:$AG$45,16,FALSE),"DNS")))))</f>
        <v/>
      </c>
      <c r="K63" s="82" t="str">
        <f>IF(Deltagarlista!$K$3=4,IF(ISBLANK(Deltagarlista!$C14),"",IF(ISBLANK(Arrangörslista!E$8),"",IFERROR(VLOOKUP($F63,Arrangörslista!E$8:$AG$45,16,FALSE),IF(ISBLANK(Deltagarlista!$C14),"",IF(ISBLANK(Arrangörslista!E$8),"",IFERROR(VLOOKUP($F63,Arrangörslista!F$8:$AG$45,16,FALSE),"DNS")))))),IF(Deltagarlista!$K$3=2,
IF(ISBLANK(Deltagarlista!$C14),"",IF(ISBLANK(Arrangörslista!D$8),"",IF($GV63=K$64," DNS ",IFERROR(VLOOKUP($F63,Arrangörslista!D$8:$AG$45,16,FALSE),"DNS")))),IF(ISBLANK(Deltagarlista!$C14),"",IF(ISBLANK(Arrangörslista!D$8),"",IFERROR(VLOOKUP($F63,Arrangörslista!D$8:$AG$45,16,FALSE),"DNS")))))</f>
        <v/>
      </c>
      <c r="L63" s="82" t="str">
        <f>IF(Deltagarlista!$K$3=4,IF(ISBLANK(Deltagarlista!$C14),"",IF(ISBLANK(Arrangörslista!G$8),"",IFERROR(VLOOKUP($F63,Arrangörslista!G$8:$AG$45,16,FALSE),IF(ISBLANK(Deltagarlista!$C14),"",IF(ISBLANK(Arrangörslista!G$8),"",IFERROR(VLOOKUP($F63,Arrangörslista!H$8:$AG$45,16,FALSE),"DNS")))))),IF(Deltagarlista!$K$3=2,
IF(ISBLANK(Deltagarlista!$C14),"",IF(ISBLANK(Arrangörslista!E$8),"",IF($GV63=L$64," DNS ",IFERROR(VLOOKUP($F63,Arrangörslista!E$8:$AG$45,16,FALSE),"DNS")))),IF(ISBLANK(Deltagarlista!$C14),"",IF(ISBLANK(Arrangörslista!E$8),"",IFERROR(VLOOKUP($F63,Arrangörslista!E$8:$AG$45,16,FALSE),"DNS")))))</f>
        <v/>
      </c>
      <c r="M63" s="82" t="str">
        <f>IF(Deltagarlista!$K$3=4,IF(ISBLANK(Deltagarlista!$C14),"",IF(ISBLANK(Arrangörslista!I$8),"",IFERROR(VLOOKUP($F63,Arrangörslista!I$8:$AG$45,16,FALSE),IF(ISBLANK(Deltagarlista!$C14),"",IF(ISBLANK(Arrangörslista!I$8),"",IFERROR(VLOOKUP($F63,Arrangörslista!J$8:$AG$45,16,FALSE),"DNS")))))),IF(Deltagarlista!$K$3=2,
IF(ISBLANK(Deltagarlista!$C14),"",IF(ISBLANK(Arrangörslista!F$8),"",IF($GV63=M$64," DNS ",IFERROR(VLOOKUP($F63,Arrangörslista!F$8:$AG$45,16,FALSE),"DNS")))),IF(ISBLANK(Deltagarlista!$C14),"",IF(ISBLANK(Arrangörslista!F$8),"",IFERROR(VLOOKUP($F63,Arrangörslista!F$8:$AG$45,16,FALSE),"DNS")))))</f>
        <v/>
      </c>
      <c r="N63" s="82" t="str">
        <f>IF(Deltagarlista!$K$3=4,IF(ISBLANK(Deltagarlista!$C14),"",IF(ISBLANK(Arrangörslista!K$8),"",IFERROR(VLOOKUP($F63,Arrangörslista!K$8:$AG$45,16,FALSE),IF(ISBLANK(Deltagarlista!$C14),"",IF(ISBLANK(Arrangörslista!K$8),"",IFERROR(VLOOKUP($F63,Arrangörslista!L$8:$AG$45,16,FALSE),"DNS")))))),IF(Deltagarlista!$K$3=2,
IF(ISBLANK(Deltagarlista!$C14),"",IF(ISBLANK(Arrangörslista!G$8),"",IF($GV63=N$64," DNS ",IFERROR(VLOOKUP($F63,Arrangörslista!G$8:$AG$45,16,FALSE),"DNS")))),IF(ISBLANK(Deltagarlista!$C14),"",IF(ISBLANK(Arrangörslista!G$8),"",IFERROR(VLOOKUP($F63,Arrangörslista!G$8:$AG$45,16,FALSE),"DNS")))))</f>
        <v/>
      </c>
      <c r="O63" s="82" t="str">
        <f>IF(Deltagarlista!$K$3=4,IF(ISBLANK(Deltagarlista!$C14),"",IF(ISBLANK(Arrangörslista!M$8),"",IFERROR(VLOOKUP($F63,Arrangörslista!M$8:$AG$45,16,FALSE),IF(ISBLANK(Deltagarlista!$C14),"",IF(ISBLANK(Arrangörslista!M$8),"",IFERROR(VLOOKUP($F63,Arrangörslista!N$8:$AG$45,16,FALSE),"DNS")))))),IF(Deltagarlista!$K$3=2,
IF(ISBLANK(Deltagarlista!$C14),"",IF(ISBLANK(Arrangörslista!H$8),"",IF($GV63=O$64," DNS ",IFERROR(VLOOKUP($F63,Arrangörslista!H$8:$AG$45,16,FALSE),"DNS")))),IF(ISBLANK(Deltagarlista!$C14),"",IF(ISBLANK(Arrangörslista!H$8),"",IFERROR(VLOOKUP($F63,Arrangörslista!H$8:$AG$45,16,FALSE),"DNS")))))</f>
        <v/>
      </c>
      <c r="P63" s="82" t="str">
        <f>IF(Deltagarlista!$K$3=4,IF(ISBLANK(Deltagarlista!$C14),"",IF(ISBLANK(Arrangörslista!O$8),"",IFERROR(VLOOKUP($F63,Arrangörslista!O$8:$AG$45,16,FALSE),IF(ISBLANK(Deltagarlista!$C14),"",IF(ISBLANK(Arrangörslista!O$8),"",IFERROR(VLOOKUP($F63,Arrangörslista!P$8:$AG$45,16,FALSE),"DNS")))))),IF(Deltagarlista!$K$3=2,
IF(ISBLANK(Deltagarlista!$C14),"",IF(ISBLANK(Arrangörslista!I$8),"",IF($GV63=P$64," DNS ",IFERROR(VLOOKUP($F63,Arrangörslista!I$8:$AG$45,16,FALSE),"DNS")))),IF(ISBLANK(Deltagarlista!$C14),"",IF(ISBLANK(Arrangörslista!I$8),"",IFERROR(VLOOKUP($F63,Arrangörslista!I$8:$AG$45,16,FALSE),"DNS")))))</f>
        <v/>
      </c>
      <c r="Q63" s="82" t="str">
        <f>IF(Deltagarlista!$K$3=4,IF(ISBLANK(Deltagarlista!$C14),"",IF(ISBLANK(Arrangörslista!Q$8),"",IFERROR(VLOOKUP($F63,Arrangörslista!Q$8:$AG$45,16,FALSE),IF(ISBLANK(Deltagarlista!$C14),"",IF(ISBLANK(Arrangörslista!Q$8),"",IFERROR(VLOOKUP($F63,Arrangörslista!C$53:$AG$90,16,FALSE),"DNS")))))),IF(Deltagarlista!$K$3=2,
IF(ISBLANK(Deltagarlista!$C14),"",IF(ISBLANK(Arrangörslista!J$8),"",IF($GV63=Q$64," DNS ",IFERROR(VLOOKUP($F63,Arrangörslista!J$8:$AG$45,16,FALSE),"DNS")))),IF(ISBLANK(Deltagarlista!$C14),"",IF(ISBLANK(Arrangörslista!J$8),"",IFERROR(VLOOKUP($F63,Arrangörslista!J$8:$AG$45,16,FALSE),"DNS")))))</f>
        <v/>
      </c>
      <c r="R63" s="82" t="str">
        <f>IF(Deltagarlista!$K$3=4,IF(ISBLANK(Deltagarlista!$C14),"",IF(ISBLANK(Arrangörslista!D$53),"",IFERROR(VLOOKUP($F63,Arrangörslista!D$53:$AG$90,16,FALSE),IF(ISBLANK(Deltagarlista!$C14),"",IF(ISBLANK(Arrangörslista!D$53),"",IFERROR(VLOOKUP($F63,Arrangörslista!E$53:$AG$90,16,FALSE),"DNS")))))),IF(Deltagarlista!$K$3=2,
IF(ISBLANK(Deltagarlista!$C14),"",IF(ISBLANK(Arrangörslista!K$8),"",IF($GV63=R$64," DNS ",IFERROR(VLOOKUP($F63,Arrangörslista!K$8:$AG$45,16,FALSE),"DNS")))),IF(ISBLANK(Deltagarlista!$C14),"",IF(ISBLANK(Arrangörslista!K$8),"",IFERROR(VLOOKUP($F63,Arrangörslista!K$8:$AG$45,16,FALSE),"DNS")))))</f>
        <v/>
      </c>
      <c r="S63" s="82" t="str">
        <f>IF(Deltagarlista!$K$3=4,IF(ISBLANK(Deltagarlista!$C14),"",IF(ISBLANK(Arrangörslista!F$53),"",IFERROR(VLOOKUP($F63,Arrangörslista!F$53:$AG$90,16,FALSE),IF(ISBLANK(Deltagarlista!$C14),"",IF(ISBLANK(Arrangörslista!F$53),"",IFERROR(VLOOKUP($F63,Arrangörslista!G$53:$AG$90,16,FALSE),"DNS")))))),IF(Deltagarlista!$K$3=2,
IF(ISBLANK(Deltagarlista!$C14),"",IF(ISBLANK(Arrangörslista!L$8),"",IF($GV63=S$64," DNS ",IFERROR(VLOOKUP($F63,Arrangörslista!L$8:$AG$45,16,FALSE),"DNS")))),IF(ISBLANK(Deltagarlista!$C14),"",IF(ISBLANK(Arrangörslista!L$8),"",IFERROR(VLOOKUP($F63,Arrangörslista!L$8:$AG$45,16,FALSE),"DNS")))))</f>
        <v/>
      </c>
      <c r="T63" s="82" t="str">
        <f>IF(Deltagarlista!$K$3=4,IF(ISBLANK(Deltagarlista!$C14),"",IF(ISBLANK(Arrangörslista!H$53),"",IFERROR(VLOOKUP($F63,Arrangörslista!H$53:$AG$90,16,FALSE),IF(ISBLANK(Deltagarlista!$C14),"",IF(ISBLANK(Arrangörslista!H$53),"",IFERROR(VLOOKUP($F63,Arrangörslista!I$53:$AG$90,16,FALSE),"DNS")))))),IF(Deltagarlista!$K$3=2,
IF(ISBLANK(Deltagarlista!$C14),"",IF(ISBLANK(Arrangörslista!M$8),"",IF($GV63=T$64," DNS ",IFERROR(VLOOKUP($F63,Arrangörslista!M$8:$AG$45,16,FALSE),"DNS")))),IF(ISBLANK(Deltagarlista!$C14),"",IF(ISBLANK(Arrangörslista!M$8),"",IFERROR(VLOOKUP($F63,Arrangörslista!M$8:$AG$45,16,FALSE),"DNS")))))</f>
        <v/>
      </c>
      <c r="U63" s="82" t="str">
        <f>IF(Deltagarlista!$K$3=4,IF(ISBLANK(Deltagarlista!$C14),"",IF(ISBLANK(Arrangörslista!J$53),"",IFERROR(VLOOKUP($F63,Arrangörslista!J$53:$AG$90,16,FALSE),IF(ISBLANK(Deltagarlista!$C14),"",IF(ISBLANK(Arrangörslista!J$53),"",IFERROR(VLOOKUP($F63,Arrangörslista!K$53:$AG$90,16,FALSE),"DNS")))))),IF(Deltagarlista!$K$3=2,
IF(ISBLANK(Deltagarlista!$C14),"",IF(ISBLANK(Arrangörslista!N$8),"",IF($GV63=U$64," DNS ",IFERROR(VLOOKUP($F63,Arrangörslista!N$8:$AG$45,16,FALSE),"DNS")))),IF(ISBLANK(Deltagarlista!$C14),"",IF(ISBLANK(Arrangörslista!N$8),"",IFERROR(VLOOKUP($F63,Arrangörslista!N$8:$AG$45,16,FALSE),"DNS")))))</f>
        <v/>
      </c>
      <c r="V63" s="82" t="str">
        <f>IF(Deltagarlista!$K$3=4,IF(ISBLANK(Deltagarlista!$C14),"",IF(ISBLANK(Arrangörslista!L$53),"",IFERROR(VLOOKUP($F63,Arrangörslista!L$53:$AG$90,16,FALSE),IF(ISBLANK(Deltagarlista!$C14),"",IF(ISBLANK(Arrangörslista!L$53),"",IFERROR(VLOOKUP($F63,Arrangörslista!M$53:$AG$90,16,FALSE),"DNS")))))),IF(Deltagarlista!$K$3=2,
IF(ISBLANK(Deltagarlista!$C14),"",IF(ISBLANK(Arrangörslista!O$8),"",IF($GV63=V$64," DNS ",IFERROR(VLOOKUP($F63,Arrangörslista!O$8:$AG$45,16,FALSE),"DNS")))),IF(ISBLANK(Deltagarlista!$C14),"",IF(ISBLANK(Arrangörslista!O$8),"",IFERROR(VLOOKUP($F63,Arrangörslista!O$8:$AG$45,16,FALSE),"DNS")))))</f>
        <v/>
      </c>
      <c r="W63" s="82" t="str">
        <f>IF(Deltagarlista!$K$3=4,IF(ISBLANK(Deltagarlista!$C14),"",IF(ISBLANK(Arrangörslista!N$53),"",IFERROR(VLOOKUP($F63,Arrangörslista!N$53:$AG$90,16,FALSE),IF(ISBLANK(Deltagarlista!$C14),"",IF(ISBLANK(Arrangörslista!N$53),"",IFERROR(VLOOKUP($F63,Arrangörslista!O$53:$AG$90,16,FALSE),"DNS")))))),IF(Deltagarlista!$K$3=2,
IF(ISBLANK(Deltagarlista!$C14),"",IF(ISBLANK(Arrangörslista!P$8),"",IF($GV63=W$64," DNS ",IFERROR(VLOOKUP($F63,Arrangörslista!P$8:$AG$45,16,FALSE),"DNS")))),IF(ISBLANK(Deltagarlista!$C14),"",IF(ISBLANK(Arrangörslista!P$8),"",IFERROR(VLOOKUP($F63,Arrangörslista!P$8:$AG$45,16,FALSE),"DNS")))))</f>
        <v/>
      </c>
      <c r="X63" s="82" t="str">
        <f>IF(Deltagarlista!$K$3=4,IF(ISBLANK(Deltagarlista!$C14),"",IF(ISBLANK(Arrangörslista!P$53),"",IFERROR(VLOOKUP($F63,Arrangörslista!P$53:$AG$90,16,FALSE),IF(ISBLANK(Deltagarlista!$C14),"",IF(ISBLANK(Arrangörslista!P$53),"",IFERROR(VLOOKUP($F63,Arrangörslista!Q$53:$AG$90,16,FALSE),"DNS")))))),IF(Deltagarlista!$K$3=2,
IF(ISBLANK(Deltagarlista!$C14),"",IF(ISBLANK(Arrangörslista!Q$8),"",IF($GV63=X$64," DNS ",IFERROR(VLOOKUP($F63,Arrangörslista!Q$8:$AG$45,16,FALSE),"DNS")))),IF(ISBLANK(Deltagarlista!$C14),"",IF(ISBLANK(Arrangörslista!Q$8),"",IFERROR(VLOOKUP($F63,Arrangörslista!Q$8:$AG$45,16,FALSE),"DNS")))))</f>
        <v/>
      </c>
      <c r="Y63" s="82" t="str">
        <f>IF(Deltagarlista!$K$3=4,IF(ISBLANK(Deltagarlista!$C14),"",IF(ISBLANK(Arrangörslista!C$98),"",IFERROR(VLOOKUP($F63,Arrangörslista!C$98:$AG$135,16,FALSE),IF(ISBLANK(Deltagarlista!$C14),"",IF(ISBLANK(Arrangörslista!C$98),"",IFERROR(VLOOKUP($F63,Arrangörslista!D$98:$AG$135,16,FALSE),"DNS")))))),IF(Deltagarlista!$K$3=2,
IF(ISBLANK(Deltagarlista!$C14),"",IF(ISBLANK(Arrangörslista!C$53),"",IF($GV63=Y$64," DNS ",IFERROR(VLOOKUP($F63,Arrangörslista!C$53:$AG$90,16,FALSE),"DNS")))),IF(ISBLANK(Deltagarlista!$C14),"",IF(ISBLANK(Arrangörslista!C$53),"",IFERROR(VLOOKUP($F63,Arrangörslista!C$53:$AG$90,16,FALSE),"DNS")))))</f>
        <v/>
      </c>
      <c r="Z63" s="82" t="str">
        <f>IF(Deltagarlista!$K$3=4,IF(ISBLANK(Deltagarlista!$C14),"",IF(ISBLANK(Arrangörslista!E$98),"",IFERROR(VLOOKUP($F63,Arrangörslista!E$98:$AG$135,16,FALSE),IF(ISBLANK(Deltagarlista!$C14),"",IF(ISBLANK(Arrangörslista!E$98),"",IFERROR(VLOOKUP($F63,Arrangörslista!F$98:$AG$135,16,FALSE),"DNS")))))),IF(Deltagarlista!$K$3=2,
IF(ISBLANK(Deltagarlista!$C14),"",IF(ISBLANK(Arrangörslista!D$53),"",IF($GV63=Z$64," DNS ",IFERROR(VLOOKUP($F63,Arrangörslista!D$53:$AG$90,16,FALSE),"DNS")))),IF(ISBLANK(Deltagarlista!$C14),"",IF(ISBLANK(Arrangörslista!D$53),"",IFERROR(VLOOKUP($F63,Arrangörslista!D$53:$AG$90,16,FALSE),"DNS")))))</f>
        <v/>
      </c>
      <c r="AA63" s="82" t="str">
        <f>IF(Deltagarlista!$K$3=4,IF(ISBLANK(Deltagarlista!$C14),"",IF(ISBLANK(Arrangörslista!G$98),"",IFERROR(VLOOKUP($F63,Arrangörslista!G$98:$AG$135,16,FALSE),IF(ISBLANK(Deltagarlista!$C14),"",IF(ISBLANK(Arrangörslista!G$98),"",IFERROR(VLOOKUP($F63,Arrangörslista!H$98:$AG$135,16,FALSE),"DNS")))))),IF(Deltagarlista!$K$3=2,
IF(ISBLANK(Deltagarlista!$C14),"",IF(ISBLANK(Arrangörslista!E$53),"",IF($GV63=AA$64," DNS ",IFERROR(VLOOKUP($F63,Arrangörslista!E$53:$AG$90,16,FALSE),"DNS")))),IF(ISBLANK(Deltagarlista!$C14),"",IF(ISBLANK(Arrangörslista!E$53),"",IFERROR(VLOOKUP($F63,Arrangörslista!E$53:$AG$90,16,FALSE),"DNS")))))</f>
        <v/>
      </c>
      <c r="AB63" s="82" t="str">
        <f>IF(Deltagarlista!$K$3=4,IF(ISBLANK(Deltagarlista!$C14),"",IF(ISBLANK(Arrangörslista!I$98),"",IFERROR(VLOOKUP($F63,Arrangörslista!I$98:$AG$135,16,FALSE),IF(ISBLANK(Deltagarlista!$C14),"",IF(ISBLANK(Arrangörslista!I$98),"",IFERROR(VLOOKUP($F63,Arrangörslista!J$98:$AG$135,16,FALSE),"DNS")))))),IF(Deltagarlista!$K$3=2,
IF(ISBLANK(Deltagarlista!$C14),"",IF(ISBLANK(Arrangörslista!F$53),"",IF($GV63=AB$64," DNS ",IFERROR(VLOOKUP($F63,Arrangörslista!F$53:$AG$90,16,FALSE),"DNS")))),IF(ISBLANK(Deltagarlista!$C14),"",IF(ISBLANK(Arrangörslista!F$53),"",IFERROR(VLOOKUP($F63,Arrangörslista!F$53:$AG$90,16,FALSE),"DNS")))))</f>
        <v/>
      </c>
      <c r="AC63" s="82" t="str">
        <f>IF(Deltagarlista!$K$3=4,IF(ISBLANK(Deltagarlista!$C14),"",IF(ISBLANK(Arrangörslista!K$98),"",IFERROR(VLOOKUP($F63,Arrangörslista!K$98:$AG$135,16,FALSE),IF(ISBLANK(Deltagarlista!$C14),"",IF(ISBLANK(Arrangörslista!K$98),"",IFERROR(VLOOKUP($F63,Arrangörslista!L$98:$AG$135,16,FALSE),"DNS")))))),IF(Deltagarlista!$K$3=2,
IF(ISBLANK(Deltagarlista!$C14),"",IF(ISBLANK(Arrangörslista!G$53),"",IF($GV63=AC$64," DNS ",IFERROR(VLOOKUP($F63,Arrangörslista!G$53:$AG$90,16,FALSE),"DNS")))),IF(ISBLANK(Deltagarlista!$C14),"",IF(ISBLANK(Arrangörslista!G$53),"",IFERROR(VLOOKUP($F63,Arrangörslista!G$53:$AG$90,16,FALSE),"DNS")))))</f>
        <v/>
      </c>
      <c r="AD63" s="82" t="str">
        <f>IF(Deltagarlista!$K$3=4,IF(ISBLANK(Deltagarlista!$C14),"",IF(ISBLANK(Arrangörslista!M$98),"",IFERROR(VLOOKUP($F63,Arrangörslista!M$98:$AG$135,16,FALSE),IF(ISBLANK(Deltagarlista!$C14),"",IF(ISBLANK(Arrangörslista!M$98),"",IFERROR(VLOOKUP($F63,Arrangörslista!N$98:$AG$135,16,FALSE),"DNS")))))),IF(Deltagarlista!$K$3=2,
IF(ISBLANK(Deltagarlista!$C14),"",IF(ISBLANK(Arrangörslista!H$53),"",IF($GV63=AD$64," DNS ",IFERROR(VLOOKUP($F63,Arrangörslista!H$53:$AG$90,16,FALSE),"DNS")))),IF(ISBLANK(Deltagarlista!$C14),"",IF(ISBLANK(Arrangörslista!H$53),"",IFERROR(VLOOKUP($F63,Arrangörslista!H$53:$AG$90,16,FALSE),"DNS")))))</f>
        <v/>
      </c>
      <c r="AE63" s="82" t="str">
        <f>IF(Deltagarlista!$K$3=4,IF(ISBLANK(Deltagarlista!$C14),"",IF(ISBLANK(Arrangörslista!O$98),"",IFERROR(VLOOKUP($F63,Arrangörslista!O$98:$AG$135,16,FALSE),IF(ISBLANK(Deltagarlista!$C14),"",IF(ISBLANK(Arrangörslista!O$98),"",IFERROR(VLOOKUP($F63,Arrangörslista!P$98:$AG$135,16,FALSE),"DNS")))))),IF(Deltagarlista!$K$3=2,
IF(ISBLANK(Deltagarlista!$C14),"",IF(ISBLANK(Arrangörslista!I$53),"",IF($GV63=AE$64," DNS ",IFERROR(VLOOKUP($F63,Arrangörslista!I$53:$AG$90,16,FALSE),"DNS")))),IF(ISBLANK(Deltagarlista!$C14),"",IF(ISBLANK(Arrangörslista!I$53),"",IFERROR(VLOOKUP($F63,Arrangörslista!I$53:$AG$90,16,FALSE),"DNS")))))</f>
        <v/>
      </c>
      <c r="AF63" s="82" t="str">
        <f>IF(Deltagarlista!$K$3=4,IF(ISBLANK(Deltagarlista!$C14),"",IF(ISBLANK(Arrangörslista!Q$98),"",IFERROR(VLOOKUP($F63,Arrangörslista!Q$98:$AG$135,16,FALSE),IF(ISBLANK(Deltagarlista!$C14),"",IF(ISBLANK(Arrangörslista!Q$98),"",IFERROR(VLOOKUP($F63,Arrangörslista!C$143:$AG$180,16,FALSE),"DNS")))))),IF(Deltagarlista!$K$3=2,
IF(ISBLANK(Deltagarlista!$C14),"",IF(ISBLANK(Arrangörslista!J$53),"",IF($GV63=AF$64," DNS ",IFERROR(VLOOKUP($F63,Arrangörslista!J$53:$AG$90,16,FALSE),"DNS")))),IF(ISBLANK(Deltagarlista!$C14),"",IF(ISBLANK(Arrangörslista!J$53),"",IFERROR(VLOOKUP($F63,Arrangörslista!J$53:$AG$90,16,FALSE),"DNS")))))</f>
        <v/>
      </c>
      <c r="AG63" s="82" t="str">
        <f>IF(Deltagarlista!$K$3=4,IF(ISBLANK(Deltagarlista!$C14),"",IF(ISBLANK(Arrangörslista!D$143),"",IFERROR(VLOOKUP($F63,Arrangörslista!D$143:$AG$180,16,FALSE),IF(ISBLANK(Deltagarlista!$C14),"",IF(ISBLANK(Arrangörslista!D$143),"",IFERROR(VLOOKUP($F63,Arrangörslista!E$143:$AG$180,16,FALSE),"DNS")))))),IF(Deltagarlista!$K$3=2,
IF(ISBLANK(Deltagarlista!$C14),"",IF(ISBLANK(Arrangörslista!K$53),"",IF($GV63=AG$64," DNS ",IFERROR(VLOOKUP($F63,Arrangörslista!K$53:$AG$90,16,FALSE),"DNS")))),IF(ISBLANK(Deltagarlista!$C14),"",IF(ISBLANK(Arrangörslista!K$53),"",IFERROR(VLOOKUP($F63,Arrangörslista!K$53:$AG$90,16,FALSE),"DNS")))))</f>
        <v/>
      </c>
      <c r="AH63" s="82" t="str">
        <f>IF(Deltagarlista!$K$3=4,IF(ISBLANK(Deltagarlista!$C14),"",IF(ISBLANK(Arrangörslista!F$143),"",IFERROR(VLOOKUP($F63,Arrangörslista!F$143:$AG$180,16,FALSE),IF(ISBLANK(Deltagarlista!$C14),"",IF(ISBLANK(Arrangörslista!F$143),"",IFERROR(VLOOKUP($F63,Arrangörslista!G$143:$AG$180,16,FALSE),"DNS")))))),IF(Deltagarlista!$K$3=2,
IF(ISBLANK(Deltagarlista!$C14),"",IF(ISBLANK(Arrangörslista!L$53),"",IF($GV63=AH$64," DNS ",IFERROR(VLOOKUP($F63,Arrangörslista!L$53:$AG$90,16,FALSE),"DNS")))),IF(ISBLANK(Deltagarlista!$C14),"",IF(ISBLANK(Arrangörslista!L$53),"",IFERROR(VLOOKUP($F63,Arrangörslista!L$53:$AG$90,16,FALSE),"DNS")))))</f>
        <v/>
      </c>
      <c r="AI63" s="82" t="str">
        <f>IF(Deltagarlista!$K$3=4,IF(ISBLANK(Deltagarlista!$C14),"",IF(ISBLANK(Arrangörslista!H$143),"",IFERROR(VLOOKUP($F63,Arrangörslista!H$143:$AG$180,16,FALSE),IF(ISBLANK(Deltagarlista!$C14),"",IF(ISBLANK(Arrangörslista!H$143),"",IFERROR(VLOOKUP($F63,Arrangörslista!I$143:$AG$180,16,FALSE),"DNS")))))),IF(Deltagarlista!$K$3=2,
IF(ISBLANK(Deltagarlista!$C14),"",IF(ISBLANK(Arrangörslista!M$53),"",IF($GV63=AI$64," DNS ",IFERROR(VLOOKUP($F63,Arrangörslista!M$53:$AG$90,16,FALSE),"DNS")))),IF(ISBLANK(Deltagarlista!$C14),"",IF(ISBLANK(Arrangörslista!M$53),"",IFERROR(VLOOKUP($F63,Arrangörslista!M$53:$AG$90,16,FALSE),"DNS")))))</f>
        <v/>
      </c>
      <c r="AJ63" s="82" t="str">
        <f>IF(Deltagarlista!$K$3=4,IF(ISBLANK(Deltagarlista!$C14),"",IF(ISBLANK(Arrangörslista!J$143),"",IFERROR(VLOOKUP($F63,Arrangörslista!J$143:$AG$180,16,FALSE),IF(ISBLANK(Deltagarlista!$C14),"",IF(ISBLANK(Arrangörslista!J$143),"",IFERROR(VLOOKUP($F63,Arrangörslista!K$143:$AG$180,16,FALSE),"DNS")))))),IF(Deltagarlista!$K$3=2,
IF(ISBLANK(Deltagarlista!$C14),"",IF(ISBLANK(Arrangörslista!N$53),"",IF($GV63=AJ$64," DNS ",IFERROR(VLOOKUP($F63,Arrangörslista!N$53:$AG$90,16,FALSE),"DNS")))),IF(ISBLANK(Deltagarlista!$C14),"",IF(ISBLANK(Arrangörslista!N$53),"",IFERROR(VLOOKUP($F63,Arrangörslista!N$53:$AG$90,16,FALSE),"DNS")))))</f>
        <v/>
      </c>
      <c r="AK63" s="82" t="str">
        <f>IF(Deltagarlista!$K$3=4,IF(ISBLANK(Deltagarlista!$C14),"",IF(ISBLANK(Arrangörslista!L$143),"",IFERROR(VLOOKUP($F63,Arrangörslista!L$143:$AG$180,16,FALSE),IF(ISBLANK(Deltagarlista!$C14),"",IF(ISBLANK(Arrangörslista!L$143),"",IFERROR(VLOOKUP($F63,Arrangörslista!M$143:$AG$180,16,FALSE),"DNS")))))),IF(Deltagarlista!$K$3=2,
IF(ISBLANK(Deltagarlista!$C14),"",IF(ISBLANK(Arrangörslista!O$53),"",IF($GV63=AK$64," DNS ",IFERROR(VLOOKUP($F63,Arrangörslista!O$53:$AG$90,16,FALSE),"DNS")))),IF(ISBLANK(Deltagarlista!$C14),"",IF(ISBLANK(Arrangörslista!O$53),"",IFERROR(VLOOKUP($F63,Arrangörslista!O$53:$AG$90,16,FALSE),"DNS")))))</f>
        <v/>
      </c>
      <c r="AL63" s="82" t="str">
        <f>IF(Deltagarlista!$K$3=4,IF(ISBLANK(Deltagarlista!$C14),"",IF(ISBLANK(Arrangörslista!N$143),"",IFERROR(VLOOKUP($F63,Arrangörslista!N$143:$AG$180,16,FALSE),IF(ISBLANK(Deltagarlista!$C14),"",IF(ISBLANK(Arrangörslista!N$143),"",IFERROR(VLOOKUP($F63,Arrangörslista!O$143:$AG$180,16,FALSE),"DNS")))))),IF(Deltagarlista!$K$3=2,
IF(ISBLANK(Deltagarlista!$C14),"",IF(ISBLANK(Arrangörslista!P$53),"",IF($GV63=AL$64," DNS ",IFERROR(VLOOKUP($F63,Arrangörslista!P$53:$AG$90,16,FALSE),"DNS")))),IF(ISBLANK(Deltagarlista!$C14),"",IF(ISBLANK(Arrangörslista!P$53),"",IFERROR(VLOOKUP($F63,Arrangörslista!P$53:$AG$90,16,FALSE),"DNS")))))</f>
        <v/>
      </c>
      <c r="AM63" s="82" t="str">
        <f>IF(Deltagarlista!$K$3=4,IF(ISBLANK(Deltagarlista!$C14),"",IF(ISBLANK(Arrangörslista!P$143),"",IFERROR(VLOOKUP($F63,Arrangörslista!P$143:$AG$180,16,FALSE),IF(ISBLANK(Deltagarlista!$C14),"",IF(ISBLANK(Arrangörslista!P$143),"",IFERROR(VLOOKUP($F63,Arrangörslista!Q$143:$AG$180,16,FALSE),"DNS")))))),IF(Deltagarlista!$K$3=2,
IF(ISBLANK(Deltagarlista!$C14),"",IF(ISBLANK(Arrangörslista!Q$53),"",IF($GV63=AM$64," DNS ",IFERROR(VLOOKUP($F63,Arrangörslista!Q$53:$AG$90,16,FALSE),"DNS")))),IF(ISBLANK(Deltagarlista!$C14),"",IF(ISBLANK(Arrangörslista!Q$53),"",IFERROR(VLOOKUP($F63,Arrangörslista!Q$53:$AG$90,16,FALSE),"DNS")))))</f>
        <v/>
      </c>
      <c r="AN63" s="82" t="str">
        <f>IF(Deltagarlista!$K$3=2,
IF(ISBLANK(Deltagarlista!$C14),"",IF(ISBLANK(Arrangörslista!C$98),"",IF($GV63=AN$64," DNS ",IFERROR(VLOOKUP($F63,Arrangörslista!C$98:$AG$135,16,FALSE), "DNS")))), IF(Deltagarlista!$K$3=1,IF(ISBLANK(Deltagarlista!$C14),"",IF(ISBLANK(Arrangörslista!C$98),"",IFERROR(VLOOKUP($F63,Arrangörslista!C$98:$AG$135,16,FALSE), "DNS"))),""))</f>
        <v/>
      </c>
      <c r="AO63" s="82" t="str">
        <f>IF(Deltagarlista!$K$3=2,
IF(ISBLANK(Deltagarlista!$C14),"",IF(ISBLANK(Arrangörslista!D$98),"",IF($GV63=AO$64," DNS ",IFERROR(VLOOKUP($F63,Arrangörslista!D$98:$AG$135,16,FALSE), "DNS")))), IF(Deltagarlista!$K$3=1,IF(ISBLANK(Deltagarlista!$C14),"",IF(ISBLANK(Arrangörslista!D$98),"",IFERROR(VLOOKUP($F63,Arrangörslista!D$98:$AG$135,16,FALSE), "DNS"))),""))</f>
        <v/>
      </c>
      <c r="AP63" s="82" t="str">
        <f>IF(Deltagarlista!$K$3=2,
IF(ISBLANK(Deltagarlista!$C14),"",IF(ISBLANK(Arrangörslista!E$98),"",IF($GV63=AP$64," DNS ",IFERROR(VLOOKUP($F63,Arrangörslista!E$98:$AG$135,16,FALSE), "DNS")))), IF(Deltagarlista!$K$3=1,IF(ISBLANK(Deltagarlista!$C14),"",IF(ISBLANK(Arrangörslista!E$98),"",IFERROR(VLOOKUP($F63,Arrangörslista!E$98:$AG$135,16,FALSE), "DNS"))),""))</f>
        <v/>
      </c>
      <c r="AQ63" s="82" t="str">
        <f>IF(Deltagarlista!$K$3=2,
IF(ISBLANK(Deltagarlista!$C14),"",IF(ISBLANK(Arrangörslista!F$98),"",IF($GV63=AQ$64," DNS ",IFERROR(VLOOKUP($F63,Arrangörslista!F$98:$AG$135,16,FALSE), "DNS")))), IF(Deltagarlista!$K$3=1,IF(ISBLANK(Deltagarlista!$C14),"",IF(ISBLANK(Arrangörslista!F$98),"",IFERROR(VLOOKUP($F63,Arrangörslista!F$98:$AG$135,16,FALSE), "DNS"))),""))</f>
        <v/>
      </c>
      <c r="AR63" s="82" t="str">
        <f>IF(Deltagarlista!$K$3=2,
IF(ISBLANK(Deltagarlista!$C14),"",IF(ISBLANK(Arrangörslista!G$98),"",IF($GV63=AR$64," DNS ",IFERROR(VLOOKUP($F63,Arrangörslista!G$98:$AG$135,16,FALSE), "DNS")))), IF(Deltagarlista!$K$3=1,IF(ISBLANK(Deltagarlista!$C14),"",IF(ISBLANK(Arrangörslista!G$98),"",IFERROR(VLOOKUP($F63,Arrangörslista!G$98:$AG$135,16,FALSE), "DNS"))),""))</f>
        <v/>
      </c>
      <c r="AS63" s="82" t="str">
        <f>IF(Deltagarlista!$K$3=2,
IF(ISBLANK(Deltagarlista!$C14),"",IF(ISBLANK(Arrangörslista!H$98),"",IF($GV63=AS$64," DNS ",IFERROR(VLOOKUP($F63,Arrangörslista!H$98:$AG$135,16,FALSE), "DNS")))), IF(Deltagarlista!$K$3=1,IF(ISBLANK(Deltagarlista!$C14),"",IF(ISBLANK(Arrangörslista!H$98),"",IFERROR(VLOOKUP($F63,Arrangörslista!H$98:$AG$135,16,FALSE), "DNS"))),""))</f>
        <v/>
      </c>
      <c r="AT63" s="82" t="str">
        <f>IF(Deltagarlista!$K$3=2,
IF(ISBLANK(Deltagarlista!$C14),"",IF(ISBLANK(Arrangörslista!I$98),"",IF($GV63=AT$64," DNS ",IFERROR(VLOOKUP($F63,Arrangörslista!I$98:$AG$135,16,FALSE), "DNS")))), IF(Deltagarlista!$K$3=1,IF(ISBLANK(Deltagarlista!$C14),"",IF(ISBLANK(Arrangörslista!I$98),"",IFERROR(VLOOKUP($F63,Arrangörslista!I$98:$AG$135,16,FALSE), "DNS"))),""))</f>
        <v/>
      </c>
      <c r="AU63" s="82" t="str">
        <f>IF(Deltagarlista!$K$3=2,
IF(ISBLANK(Deltagarlista!$C14),"",IF(ISBLANK(Arrangörslista!J$98),"",IF($GV63=AU$64," DNS ",IFERROR(VLOOKUP($F63,Arrangörslista!J$98:$AG$135,16,FALSE), "DNS")))), IF(Deltagarlista!$K$3=1,IF(ISBLANK(Deltagarlista!$C14),"",IF(ISBLANK(Arrangörslista!J$98),"",IFERROR(VLOOKUP($F63,Arrangörslista!J$98:$AG$135,16,FALSE), "DNS"))),""))</f>
        <v/>
      </c>
      <c r="AV63" s="82" t="str">
        <f>IF(Deltagarlista!$K$3=2,
IF(ISBLANK(Deltagarlista!$C14),"",IF(ISBLANK(Arrangörslista!K$98),"",IF($GV63=AV$64," DNS ",IFERROR(VLOOKUP($F63,Arrangörslista!K$98:$AG$135,16,FALSE), "DNS")))), IF(Deltagarlista!$K$3=1,IF(ISBLANK(Deltagarlista!$C14),"",IF(ISBLANK(Arrangörslista!K$98),"",IFERROR(VLOOKUP($F63,Arrangörslista!K$98:$AG$135,16,FALSE), "DNS"))),""))</f>
        <v/>
      </c>
      <c r="AW63" s="82" t="str">
        <f>IF(Deltagarlista!$K$3=2,
IF(ISBLANK(Deltagarlista!$C14),"",IF(ISBLANK(Arrangörslista!L$98),"",IF($GV63=AW$64," DNS ",IFERROR(VLOOKUP($F63,Arrangörslista!L$98:$AG$135,16,FALSE), "DNS")))), IF(Deltagarlista!$K$3=1,IF(ISBLANK(Deltagarlista!$C14),"",IF(ISBLANK(Arrangörslista!L$98),"",IFERROR(VLOOKUP($F63,Arrangörslista!L$98:$AG$135,16,FALSE), "DNS"))),""))</f>
        <v/>
      </c>
      <c r="AX63" s="82" t="str">
        <f>IF(Deltagarlista!$K$3=2,
IF(ISBLANK(Deltagarlista!$C14),"",IF(ISBLANK(Arrangörslista!M$98),"",IF($GV63=AX$64," DNS ",IFERROR(VLOOKUP($F63,Arrangörslista!M$98:$AG$135,16,FALSE), "DNS")))), IF(Deltagarlista!$K$3=1,IF(ISBLANK(Deltagarlista!$C14),"",IF(ISBLANK(Arrangörslista!M$98),"",IFERROR(VLOOKUP($F63,Arrangörslista!M$98:$AG$135,16,FALSE), "DNS"))),""))</f>
        <v/>
      </c>
      <c r="AY63" s="82" t="str">
        <f>IF(Deltagarlista!$K$3=2,
IF(ISBLANK(Deltagarlista!$C14),"",IF(ISBLANK(Arrangörslista!N$98),"",IF($GV63=AY$64," DNS ",IFERROR(VLOOKUP($F63,Arrangörslista!N$98:$AG$135,16,FALSE), "DNS")))), IF(Deltagarlista!$K$3=1,IF(ISBLANK(Deltagarlista!$C14),"",IF(ISBLANK(Arrangörslista!N$98),"",IFERROR(VLOOKUP($F63,Arrangörslista!N$98:$AG$135,16,FALSE), "DNS"))),""))</f>
        <v/>
      </c>
      <c r="AZ63" s="82" t="str">
        <f>IF(Deltagarlista!$K$3=2,
IF(ISBLANK(Deltagarlista!$C14),"",IF(ISBLANK(Arrangörslista!O$98),"",IF($GV63=AZ$64," DNS ",IFERROR(VLOOKUP($F63,Arrangörslista!O$98:$AG$135,16,FALSE), "DNS")))), IF(Deltagarlista!$K$3=1,IF(ISBLANK(Deltagarlista!$C14),"",IF(ISBLANK(Arrangörslista!O$98),"",IFERROR(VLOOKUP($F63,Arrangörslista!O$98:$AG$135,16,FALSE), "DNS"))),""))</f>
        <v/>
      </c>
      <c r="BA63" s="82" t="str">
        <f>IF(Deltagarlista!$K$3=2,
IF(ISBLANK(Deltagarlista!$C14),"",IF(ISBLANK(Arrangörslista!P$98),"",IF($GV63=BA$64," DNS ",IFERROR(VLOOKUP($F63,Arrangörslista!P$98:$AG$135,16,FALSE), "DNS")))), IF(Deltagarlista!$K$3=1,IF(ISBLANK(Deltagarlista!$C14),"",IF(ISBLANK(Arrangörslista!P$98),"",IFERROR(VLOOKUP($F63,Arrangörslista!P$98:$AG$135,16,FALSE), "DNS"))),""))</f>
        <v/>
      </c>
      <c r="BB63" s="82" t="str">
        <f>IF(Deltagarlista!$K$3=2,
IF(ISBLANK(Deltagarlista!$C14),"",IF(ISBLANK(Arrangörslista!Q$98),"",IF($GV63=BB$64," DNS ",IFERROR(VLOOKUP($F63,Arrangörslista!Q$98:$AG$135,16,FALSE), "DNS")))), IF(Deltagarlista!$K$3=1,IF(ISBLANK(Deltagarlista!$C14),"",IF(ISBLANK(Arrangörslista!Q$98),"",IFERROR(VLOOKUP($F63,Arrangörslista!Q$98:$AG$135,16,FALSE), "DNS"))),""))</f>
        <v/>
      </c>
      <c r="BC63" s="82" t="str">
        <f>IF(Deltagarlista!$K$3=2,
IF(ISBLANK(Deltagarlista!$C14),"",IF(ISBLANK(Arrangörslista!C$143),"",IF($GV63=BC$64," DNS ",IFERROR(VLOOKUP($F63,Arrangörslista!C$143:$AG$180,16,FALSE), "DNS")))), IF(Deltagarlista!$K$3=1,IF(ISBLANK(Deltagarlista!$C14),"",IF(ISBLANK(Arrangörslista!C$143),"",IFERROR(VLOOKUP($F63,Arrangörslista!C$143:$AG$180,16,FALSE), "DNS"))),""))</f>
        <v/>
      </c>
      <c r="BD63" s="82" t="str">
        <f>IF(Deltagarlista!$K$3=2,
IF(ISBLANK(Deltagarlista!$C14),"",IF(ISBLANK(Arrangörslista!D$143),"",IF($GV63=BD$64," DNS ",IFERROR(VLOOKUP($F63,Arrangörslista!D$143:$AG$180,16,FALSE), "DNS")))), IF(Deltagarlista!$K$3=1,IF(ISBLANK(Deltagarlista!$C14),"",IF(ISBLANK(Arrangörslista!D$143),"",IFERROR(VLOOKUP($F63,Arrangörslista!D$143:$AG$180,16,FALSE), "DNS"))),""))</f>
        <v/>
      </c>
      <c r="BE63" s="82" t="str">
        <f>IF(Deltagarlista!$K$3=2,
IF(ISBLANK(Deltagarlista!$C14),"",IF(ISBLANK(Arrangörslista!E$143),"",IF($GV63=BE$64," DNS ",IFERROR(VLOOKUP($F63,Arrangörslista!E$143:$AG$180,16,FALSE), "DNS")))), IF(Deltagarlista!$K$3=1,IF(ISBLANK(Deltagarlista!$C14),"",IF(ISBLANK(Arrangörslista!E$143),"",IFERROR(VLOOKUP($F63,Arrangörslista!E$143:$AG$180,16,FALSE), "DNS"))),""))</f>
        <v/>
      </c>
      <c r="BF63" s="82" t="str">
        <f>IF(Deltagarlista!$K$3=2,
IF(ISBLANK(Deltagarlista!$C14),"",IF(ISBLANK(Arrangörslista!F$143),"",IF($GV63=BF$64," DNS ",IFERROR(VLOOKUP($F63,Arrangörslista!F$143:$AG$180,16,FALSE), "DNS")))), IF(Deltagarlista!$K$3=1,IF(ISBLANK(Deltagarlista!$C14),"",IF(ISBLANK(Arrangörslista!F$143),"",IFERROR(VLOOKUP($F63,Arrangörslista!F$143:$AG$180,16,FALSE), "DNS"))),""))</f>
        <v/>
      </c>
      <c r="BG63" s="82" t="str">
        <f>IF(Deltagarlista!$K$3=2,
IF(ISBLANK(Deltagarlista!$C14),"",IF(ISBLANK(Arrangörslista!G$143),"",IF($GV63=BG$64," DNS ",IFERROR(VLOOKUP($F63,Arrangörslista!G$143:$AG$180,16,FALSE), "DNS")))), IF(Deltagarlista!$K$3=1,IF(ISBLANK(Deltagarlista!$C14),"",IF(ISBLANK(Arrangörslista!G$143),"",IFERROR(VLOOKUP($F63,Arrangörslista!G$143:$AG$180,16,FALSE), "DNS"))),""))</f>
        <v/>
      </c>
      <c r="BH63" s="82" t="str">
        <f>IF(Deltagarlista!$K$3=2,
IF(ISBLANK(Deltagarlista!$C14),"",IF(ISBLANK(Arrangörslista!H$143),"",IF($GV63=BH$64," DNS ",IFERROR(VLOOKUP($F63,Arrangörslista!H$143:$AG$180,16,FALSE), "DNS")))), IF(Deltagarlista!$K$3=1,IF(ISBLANK(Deltagarlista!$C14),"",IF(ISBLANK(Arrangörslista!H$143),"",IFERROR(VLOOKUP($F63,Arrangörslista!H$143:$AG$180,16,FALSE), "DNS"))),""))</f>
        <v/>
      </c>
      <c r="BI63" s="82" t="str">
        <f>IF(Deltagarlista!$K$3=2,
IF(ISBLANK(Deltagarlista!$C14),"",IF(ISBLANK(Arrangörslista!I$143),"",IF($GV63=BI$64," DNS ",IFERROR(VLOOKUP($F63,Arrangörslista!I$143:$AG$180,16,FALSE), "DNS")))), IF(Deltagarlista!$K$3=1,IF(ISBLANK(Deltagarlista!$C14),"",IF(ISBLANK(Arrangörslista!I$143),"",IFERROR(VLOOKUP($F63,Arrangörslista!I$143:$AG$180,16,FALSE), "DNS"))),""))</f>
        <v/>
      </c>
      <c r="BJ63" s="82" t="str">
        <f>IF(Deltagarlista!$K$3=2,
IF(ISBLANK(Deltagarlista!$C14),"",IF(ISBLANK(Arrangörslista!J$143),"",IF($GV63=BJ$64," DNS ",IFERROR(VLOOKUP($F63,Arrangörslista!J$143:$AG$180,16,FALSE), "DNS")))), IF(Deltagarlista!$K$3=1,IF(ISBLANK(Deltagarlista!$C14),"",IF(ISBLANK(Arrangörslista!J$143),"",IFERROR(VLOOKUP($F63,Arrangörslista!J$143:$AG$180,16,FALSE), "DNS"))),""))</f>
        <v/>
      </c>
      <c r="BK63" s="82" t="str">
        <f>IF(Deltagarlista!$K$3=2,
IF(ISBLANK(Deltagarlista!$C14),"",IF(ISBLANK(Arrangörslista!K$143),"",IF($GV63=BK$64," DNS ",IFERROR(VLOOKUP($F63,Arrangörslista!K$143:$AG$180,16,FALSE), "DNS")))), IF(Deltagarlista!$K$3=1,IF(ISBLANK(Deltagarlista!$C14),"",IF(ISBLANK(Arrangörslista!K$143),"",IFERROR(VLOOKUP($F63,Arrangörslista!K$143:$AG$180,16,FALSE), "DNS"))),""))</f>
        <v/>
      </c>
      <c r="BL63" s="82" t="str">
        <f>IF(Deltagarlista!$K$3=2,
IF(ISBLANK(Deltagarlista!$C14),"",IF(ISBLANK(Arrangörslista!L$143),"",IF($GV63=BL$64," DNS ",IFERROR(VLOOKUP($F63,Arrangörslista!L$143:$AG$180,16,FALSE), "DNS")))), IF(Deltagarlista!$K$3=1,IF(ISBLANK(Deltagarlista!$C14),"",IF(ISBLANK(Arrangörslista!L$143),"",IFERROR(VLOOKUP($F63,Arrangörslista!L$143:$AG$180,16,FALSE), "DNS"))),""))</f>
        <v/>
      </c>
      <c r="BM63" s="82" t="str">
        <f>IF(Deltagarlista!$K$3=2,
IF(ISBLANK(Deltagarlista!$C14),"",IF(ISBLANK(Arrangörslista!M$143),"",IF($GV63=BM$64," DNS ",IFERROR(VLOOKUP($F63,Arrangörslista!M$143:$AG$180,16,FALSE), "DNS")))), IF(Deltagarlista!$K$3=1,IF(ISBLANK(Deltagarlista!$C14),"",IF(ISBLANK(Arrangörslista!M$143),"",IFERROR(VLOOKUP($F63,Arrangörslista!M$143:$AG$180,16,FALSE), "DNS"))),""))</f>
        <v/>
      </c>
      <c r="BN63" s="82" t="str">
        <f>IF(Deltagarlista!$K$3=2,
IF(ISBLANK(Deltagarlista!$C14),"",IF(ISBLANK(Arrangörslista!N$143),"",IF($GV63=BN$64," DNS ",IFERROR(VLOOKUP($F63,Arrangörslista!N$143:$AG$180,16,FALSE), "DNS")))), IF(Deltagarlista!$K$3=1,IF(ISBLANK(Deltagarlista!$C14),"",IF(ISBLANK(Arrangörslista!N$143),"",IFERROR(VLOOKUP($F63,Arrangörslista!N$143:$AG$180,16,FALSE), "DNS"))),""))</f>
        <v/>
      </c>
      <c r="BO63" s="82" t="str">
        <f>IF(Deltagarlista!$K$3=2,
IF(ISBLANK(Deltagarlista!$C14),"",IF(ISBLANK(Arrangörslista!O$143),"",IF($GV63=BO$64," DNS ",IFERROR(VLOOKUP($F63,Arrangörslista!O$143:$AG$180,16,FALSE), "DNS")))), IF(Deltagarlista!$K$3=1,IF(ISBLANK(Deltagarlista!$C14),"",IF(ISBLANK(Arrangörslista!O$143),"",IFERROR(VLOOKUP($F63,Arrangörslista!O$143:$AG$180,16,FALSE), "DNS"))),""))</f>
        <v/>
      </c>
      <c r="BP63" s="82" t="str">
        <f>IF(Deltagarlista!$K$3=2,
IF(ISBLANK(Deltagarlista!$C14),"",IF(ISBLANK(Arrangörslista!P$143),"",IF($GV63=BP$64," DNS ",IFERROR(VLOOKUP($F63,Arrangörslista!P$143:$AG$180,16,FALSE), "DNS")))), IF(Deltagarlista!$K$3=1,IF(ISBLANK(Deltagarlista!$C14),"",IF(ISBLANK(Arrangörslista!P$143),"",IFERROR(VLOOKUP($F63,Arrangörslista!P$143:$AG$180,16,FALSE), "DNS"))),""))</f>
        <v/>
      </c>
      <c r="BQ63" s="83" t="str">
        <f>IF(Deltagarlista!$K$3=2,
IF(ISBLANK(Deltagarlista!$C14),"",IF(ISBLANK(Arrangörslista!Q$143),"",IF($GV63=BQ$64," DNS ",IFERROR(VLOOKUP($F63,Arrangörslista!Q$143:$AG$180,16,FALSE), "DNS")))), IF(Deltagarlista!$K$3=1,IF(ISBLANK(Deltagarlista!$C14),"",IF(ISBLANK(Arrangörslista!Q$143),"",IFERROR(VLOOKUP($F63,Arrangörslista!Q$143:$AG$180,16,FALSE), "DNS"))),""))</f>
        <v/>
      </c>
      <c r="BR63" s="51"/>
      <c r="BS63" s="50" t="str">
        <f t="shared" si="125"/>
        <v>2</v>
      </c>
      <c r="BT63" s="51"/>
      <c r="BU63" s="71">
        <f t="shared" si="126"/>
        <v>0</v>
      </c>
      <c r="BV63" s="61">
        <f t="shared" si="127"/>
        <v>0</v>
      </c>
      <c r="BW63" s="61">
        <f t="shared" si="128"/>
        <v>0</v>
      </c>
      <c r="BX63" s="61">
        <f t="shared" si="129"/>
        <v>0</v>
      </c>
      <c r="BY63" s="61">
        <f t="shared" si="130"/>
        <v>0</v>
      </c>
      <c r="BZ63" s="61">
        <f t="shared" si="131"/>
        <v>0</v>
      </c>
      <c r="CA63" s="61">
        <f t="shared" si="132"/>
        <v>0</v>
      </c>
      <c r="CB63" s="61">
        <f t="shared" si="133"/>
        <v>0</v>
      </c>
      <c r="CC63" s="61">
        <f t="shared" si="134"/>
        <v>0</v>
      </c>
      <c r="CD63" s="61">
        <f t="shared" si="135"/>
        <v>0</v>
      </c>
      <c r="CE63" s="61">
        <f t="shared" si="136"/>
        <v>0</v>
      </c>
      <c r="CF63" s="61">
        <f t="shared" si="137"/>
        <v>0</v>
      </c>
      <c r="CG63" s="61">
        <f t="shared" si="138"/>
        <v>0</v>
      </c>
      <c r="CH63" s="61">
        <f t="shared" si="139"/>
        <v>0</v>
      </c>
      <c r="CI63" s="61">
        <f t="shared" si="140"/>
        <v>0</v>
      </c>
      <c r="CJ63" s="61">
        <f t="shared" si="141"/>
        <v>0</v>
      </c>
      <c r="CK63" s="61">
        <f t="shared" si="142"/>
        <v>0</v>
      </c>
      <c r="CL63" s="61">
        <f t="shared" si="143"/>
        <v>0</v>
      </c>
      <c r="CM63" s="61">
        <f t="shared" si="144"/>
        <v>0</v>
      </c>
      <c r="CN63" s="61">
        <f t="shared" si="145"/>
        <v>0</v>
      </c>
      <c r="CO63" s="61">
        <f t="shared" si="146"/>
        <v>0</v>
      </c>
      <c r="CP63" s="61">
        <f t="shared" si="147"/>
        <v>0</v>
      </c>
      <c r="CQ63" s="61">
        <f t="shared" si="148"/>
        <v>0</v>
      </c>
      <c r="CR63" s="61">
        <f t="shared" si="149"/>
        <v>0</v>
      </c>
      <c r="CS63" s="61">
        <f t="shared" si="150"/>
        <v>0</v>
      </c>
      <c r="CT63" s="61">
        <f t="shared" si="151"/>
        <v>0</v>
      </c>
      <c r="CU63" s="61">
        <f t="shared" si="152"/>
        <v>0</v>
      </c>
      <c r="CV63" s="61">
        <f t="shared" si="153"/>
        <v>0</v>
      </c>
      <c r="CW63" s="61">
        <f t="shared" si="154"/>
        <v>0</v>
      </c>
      <c r="CX63" s="61">
        <f t="shared" si="155"/>
        <v>0</v>
      </c>
      <c r="CY63" s="61">
        <f t="shared" si="156"/>
        <v>0</v>
      </c>
      <c r="CZ63" s="61">
        <f t="shared" si="157"/>
        <v>0</v>
      </c>
      <c r="DA63" s="61">
        <f t="shared" si="158"/>
        <v>0</v>
      </c>
      <c r="DB63" s="61">
        <f t="shared" si="159"/>
        <v>0</v>
      </c>
      <c r="DC63" s="61">
        <f t="shared" si="160"/>
        <v>0</v>
      </c>
      <c r="DD63" s="61">
        <f t="shared" si="161"/>
        <v>0</v>
      </c>
      <c r="DE63" s="61">
        <f t="shared" si="162"/>
        <v>0</v>
      </c>
      <c r="DF63" s="61">
        <f t="shared" si="163"/>
        <v>0</v>
      </c>
      <c r="DG63" s="61">
        <f t="shared" si="164"/>
        <v>0</v>
      </c>
      <c r="DH63" s="61">
        <f t="shared" si="165"/>
        <v>0</v>
      </c>
      <c r="DI63" s="61">
        <f t="shared" si="166"/>
        <v>0</v>
      </c>
      <c r="DJ63" s="61">
        <f t="shared" si="167"/>
        <v>0</v>
      </c>
      <c r="DK63" s="61">
        <f t="shared" si="168"/>
        <v>0</v>
      </c>
      <c r="DL63" s="61">
        <f t="shared" si="169"/>
        <v>0</v>
      </c>
      <c r="DM63" s="61">
        <f t="shared" si="170"/>
        <v>0</v>
      </c>
      <c r="DN63" s="61">
        <f t="shared" si="171"/>
        <v>0</v>
      </c>
      <c r="DO63" s="61">
        <f t="shared" si="172"/>
        <v>0</v>
      </c>
      <c r="DP63" s="61">
        <f t="shared" si="173"/>
        <v>0</v>
      </c>
      <c r="DQ63" s="61">
        <f t="shared" si="174"/>
        <v>0</v>
      </c>
      <c r="DR63" s="61">
        <f t="shared" si="175"/>
        <v>0</v>
      </c>
      <c r="DS63" s="61">
        <f t="shared" si="176"/>
        <v>0</v>
      </c>
      <c r="DT63" s="61">
        <f t="shared" si="177"/>
        <v>0</v>
      </c>
      <c r="DU63" s="61">
        <f t="shared" si="178"/>
        <v>0</v>
      </c>
      <c r="DV63" s="61">
        <f t="shared" si="179"/>
        <v>0</v>
      </c>
      <c r="DW63" s="61">
        <f t="shared" si="180"/>
        <v>0</v>
      </c>
      <c r="DX63" s="61">
        <f t="shared" si="181"/>
        <v>0</v>
      </c>
      <c r="DY63" s="61">
        <f t="shared" si="182"/>
        <v>0</v>
      </c>
      <c r="DZ63" s="61">
        <f t="shared" si="183"/>
        <v>0</v>
      </c>
      <c r="EA63" s="61">
        <f t="shared" si="184"/>
        <v>0</v>
      </c>
      <c r="EB63" s="61">
        <f t="shared" si="185"/>
        <v>0</v>
      </c>
      <c r="EC63" s="61">
        <f t="shared" si="186"/>
        <v>0</v>
      </c>
      <c r="EE63" s="61">
        <f xml:space="preserve">
IF(OR(Deltagarlista!$K$3=3,Deltagarlista!$K$3=4),
IF(Arrangörslista!$U$5&lt;8,0,
IF(Arrangörslista!$U$5&lt;16,SUM(LARGE(BV63:CJ63,1)),
IF(Arrangörslista!$U$5&lt;24,SUM(LARGE(BV63:CR63,{1;2})),
IF(Arrangörslista!$U$5&lt;32,SUM(LARGE(BV63:CZ63,{1;2;3})),
IF(Arrangörslista!$U$5&lt;40,SUM(LARGE(BV63:DH63,{1;2;3;4})),
IF(Arrangörslista!$U$5&lt;48,SUM(LARGE(BV63:DP63,{1;2;3;4;5})),
IF(Arrangörslista!$U$5&lt;56,SUM(LARGE(BV63:DX63,{1;2;3;4;5;6})),
IF(Arrangörslista!$U$5&lt;64,SUM(LARGE(BV63:EC63,{1;2;3;4;5;6;7})),0)))))))),
IF(Deltagarlista!$K$3=2,
IF(Arrangörslista!$U$5&lt;4,LARGE(BV63:BX63,1),
IF(Arrangörslista!$U$5&lt;7,SUM(LARGE(BV63:CA63,{1;2;3})),
IF(Arrangörslista!$U$5&lt;10,SUM(LARGE(BV63:CD63,{1;2;3;4})),
IF(Arrangörslista!$U$5&lt;13,SUM(LARGE(BV63:CG63,{1;2;3;4;5;6})),
IF(Arrangörslista!$U$5&lt;16,SUM(LARGE(BV63:CJ63,{1;2;3;4;5;6;7})),
IF(Arrangörslista!$U$5&lt;19,SUM(LARGE(BV63:CM63,{1;2;3;4;5;6;7;8;9})),
IF(Arrangörslista!$U$5&lt;22,SUM(LARGE(BV63:CP63,{1;2;3;4;5;6;7;8;9;10})),
IF(Arrangörslista!$U$5&lt;25,SUM(LARGE(BV63:CS63,{1;2;3;4;5;6;7;8;9;10;11;12})),
IF(Arrangörslista!$U$5&lt;28,SUM(LARGE(BV63:CV63,{1;2;3;4;5;6;7;8;9;10;11;12;13})),
IF(Arrangörslista!$U$5&lt;31,SUM(LARGE(BV63:CY63,{1;2;3;4;5;6;7;8;9;10;11;12;13;14;15})),
IF(Arrangörslista!$U$5&lt;34,SUM(LARGE(BV63:DB63,{1;2;3;4;5;6;7;8;9;10;11;12;13;14;15;16})),
IF(Arrangörslista!$U$5&lt;37,SUM(LARGE(BV63:DE63,{1;2;3;4;5;6;7;8;9;10;11;12;13;14;15;16;17;18})),
IF(Arrangörslista!$U$5&lt;40,SUM(LARGE(BV63:DH63,{1;2;3;4;5;6;7;8;9;10;11;12;13;14;15;16;17;18;19})),
IF(Arrangörslista!$U$5&lt;43,SUM(LARGE(BV63:DK63,{1;2;3;4;5;6;7;8;9;10;11;12;13;14;15;16;17;18;19;20;21})),
IF(Arrangörslista!$U$5&lt;46,SUM(LARGE(BV63:DN63,{1;2;3;4;5;6;7;8;9;10;11;12;13;14;15;16;17;18;19;20;21;22})),
IF(Arrangörslista!$U$5&lt;49,SUM(LARGE(BV63:DQ63,{1;2;3;4;5;6;7;8;9;10;11;12;13;14;15;16;17;18;19;20;21;22;23;24})),
IF(Arrangörslista!$U$5&lt;52,SUM(LARGE(BV63:DT63,{1;2;3;4;5;6;7;8;9;10;11;12;13;14;15;16;17;18;19;20;21;22;23;24;25})),
IF(Arrangörslista!$U$5&lt;55,SUM(LARGE(BV63:DW63,{1;2;3;4;5;6;7;8;9;10;11;12;13;14;15;16;17;18;19;20;21;22;23;24;25;26;27})),
IF(Arrangörslista!$U$5&lt;58,SUM(LARGE(BV63:DZ63,{1;2;3;4;5;6;7;8;9;10;11;12;13;14;15;16;17;18;19;20;21;22;23;24;25;26;27;28})),
IF(Arrangörslista!$U$5&lt;61,SUM(LARGE(BV63:EC63,{1;2;3;4;5;6;7;8;9;10;11;12;13;14;15;16;17;18;19;20;21;22;23;24;25;26;27;28;29;30})),0)))))))))))))))))))),
IF(Arrangörslista!$U$5&lt;4,0,
IF(Arrangörslista!$U$5&lt;8,SUM(LARGE(BV63:CB63,1)),
IF(Arrangörslista!$U$5&lt;12,SUM(LARGE(BV63:CF63,{1;2})),
IF(Arrangörslista!$U$5&lt;16,SUM(LARGE(BV63:CJ63,{1;2;3})),
IF(Arrangörslista!$U$5&lt;20,SUM(LARGE(BV63:CN63,{1;2;3;4})),
IF(Arrangörslista!$U$5&lt;24,SUM(LARGE(BV63:CR63,{1;2;3;4;5})),
IF(Arrangörslista!$U$5&lt;28,SUM(LARGE(BV63:CV63,{1;2;3;4;5;6})),
IF(Arrangörslista!$U$5&lt;32,SUM(LARGE(BV63:CZ63,{1;2;3;4;5;6;7})),
IF(Arrangörslista!$U$5&lt;36,SUM(LARGE(BV63:DD63,{1;2;3;4;5;6;7;8})),
IF(Arrangörslista!$U$5&lt;40,SUM(LARGE(BV63:DH63,{1;2;3;4;5;6;7;8;9})),
IF(Arrangörslista!$U$5&lt;44,SUM(LARGE(BV63:DL63,{1;2;3;4;5;6;7;8;9;10})),
IF(Arrangörslista!$U$5&lt;48,SUM(LARGE(BV63:DP63,{1;2;3;4;5;6;7;8;9;10;11})),
IF(Arrangörslista!$U$5&lt;52,SUM(LARGE(BV63:DT63,{1;2;3;4;5;6;7;8;9;10;11;12})),
IF(Arrangörslista!$U$5&lt;56,SUM(LARGE(BV63:DX63,{1;2;3;4;5;6;7;8;9;10;11;12;13})),
IF(Arrangörslista!$U$5&lt;60,SUM(LARGE(BV63:EB63,{1;2;3;4;5;6;7;8;9;10;11;12;13;14})),
IF(Arrangörslista!$U$5=60,SUM(LARGE(BV63:EC63,{1;2;3;4;5;6;7;8;9;10;11;12;13;14;15})),0))))))))))))))))))</f>
        <v>0</v>
      </c>
      <c r="EG63" s="67">
        <f t="shared" si="187"/>
        <v>0</v>
      </c>
      <c r="EH63" s="61"/>
      <c r="EI63" s="61"/>
      <c r="EK63" s="62">
        <f t="shared" si="188"/>
        <v>61</v>
      </c>
      <c r="EL63" s="62">
        <f t="shared" si="189"/>
        <v>61</v>
      </c>
      <c r="EM63" s="62">
        <f t="shared" si="190"/>
        <v>61</v>
      </c>
      <c r="EN63" s="62">
        <f t="shared" si="191"/>
        <v>61</v>
      </c>
      <c r="EO63" s="62">
        <f t="shared" si="192"/>
        <v>61</v>
      </c>
      <c r="EP63" s="62">
        <f t="shared" si="193"/>
        <v>61</v>
      </c>
      <c r="EQ63" s="62">
        <f t="shared" si="194"/>
        <v>61</v>
      </c>
      <c r="ER63" s="62">
        <f t="shared" si="195"/>
        <v>61</v>
      </c>
      <c r="ES63" s="62">
        <f t="shared" si="196"/>
        <v>61</v>
      </c>
      <c r="ET63" s="62">
        <f t="shared" si="197"/>
        <v>61</v>
      </c>
      <c r="EU63" s="62">
        <f t="shared" si="198"/>
        <v>61</v>
      </c>
      <c r="EV63" s="62">
        <f t="shared" si="199"/>
        <v>61</v>
      </c>
      <c r="EW63" s="62">
        <f t="shared" si="200"/>
        <v>61</v>
      </c>
      <c r="EX63" s="62">
        <f t="shared" si="201"/>
        <v>61</v>
      </c>
      <c r="EY63" s="62">
        <f t="shared" si="202"/>
        <v>61</v>
      </c>
      <c r="EZ63" s="62">
        <f t="shared" si="203"/>
        <v>61</v>
      </c>
      <c r="FA63" s="62">
        <f t="shared" si="204"/>
        <v>61</v>
      </c>
      <c r="FB63" s="62">
        <f t="shared" si="205"/>
        <v>61</v>
      </c>
      <c r="FC63" s="62">
        <f t="shared" si="206"/>
        <v>61</v>
      </c>
      <c r="FD63" s="62">
        <f t="shared" si="207"/>
        <v>61</v>
      </c>
      <c r="FE63" s="62">
        <f t="shared" si="208"/>
        <v>61</v>
      </c>
      <c r="FF63" s="62">
        <f t="shared" si="209"/>
        <v>61</v>
      </c>
      <c r="FG63" s="62">
        <f t="shared" si="210"/>
        <v>61</v>
      </c>
      <c r="FH63" s="62">
        <f t="shared" si="211"/>
        <v>61</v>
      </c>
      <c r="FI63" s="62">
        <f t="shared" si="212"/>
        <v>61</v>
      </c>
      <c r="FJ63" s="62">
        <f t="shared" si="213"/>
        <v>61</v>
      </c>
      <c r="FK63" s="62">
        <f t="shared" si="214"/>
        <v>61</v>
      </c>
      <c r="FL63" s="62">
        <f t="shared" si="215"/>
        <v>61</v>
      </c>
      <c r="FM63" s="62">
        <f t="shared" si="216"/>
        <v>61</v>
      </c>
      <c r="FN63" s="62">
        <f t="shared" si="217"/>
        <v>61</v>
      </c>
      <c r="FO63" s="62">
        <f t="shared" si="218"/>
        <v>61</v>
      </c>
      <c r="FP63" s="62">
        <f t="shared" si="219"/>
        <v>61</v>
      </c>
      <c r="FQ63" s="62">
        <f t="shared" si="220"/>
        <v>61</v>
      </c>
      <c r="FR63" s="62">
        <f t="shared" si="221"/>
        <v>61</v>
      </c>
      <c r="FS63" s="62">
        <f t="shared" si="222"/>
        <v>61</v>
      </c>
      <c r="FT63" s="62">
        <f t="shared" si="223"/>
        <v>61</v>
      </c>
      <c r="FU63" s="62">
        <f t="shared" si="224"/>
        <v>61</v>
      </c>
      <c r="FV63" s="62">
        <f t="shared" si="225"/>
        <v>61</v>
      </c>
      <c r="FW63" s="62">
        <f t="shared" si="226"/>
        <v>61</v>
      </c>
      <c r="FX63" s="62">
        <f t="shared" si="227"/>
        <v>61</v>
      </c>
      <c r="FY63" s="62">
        <f t="shared" si="228"/>
        <v>61</v>
      </c>
      <c r="FZ63" s="62">
        <f t="shared" si="229"/>
        <v>61</v>
      </c>
      <c r="GA63" s="62">
        <f t="shared" si="230"/>
        <v>61</v>
      </c>
      <c r="GB63" s="62">
        <f t="shared" si="231"/>
        <v>61</v>
      </c>
      <c r="GC63" s="62">
        <f t="shared" si="232"/>
        <v>61</v>
      </c>
      <c r="GD63" s="62">
        <f t="shared" si="233"/>
        <v>61</v>
      </c>
      <c r="GE63" s="62">
        <f t="shared" si="234"/>
        <v>61</v>
      </c>
      <c r="GF63" s="62">
        <f t="shared" si="235"/>
        <v>61</v>
      </c>
      <c r="GG63" s="62">
        <f t="shared" si="236"/>
        <v>61</v>
      </c>
      <c r="GH63" s="62">
        <f t="shared" si="237"/>
        <v>61</v>
      </c>
      <c r="GI63" s="62">
        <f t="shared" si="238"/>
        <v>61</v>
      </c>
      <c r="GJ63" s="62">
        <f t="shared" si="239"/>
        <v>61</v>
      </c>
      <c r="GK63" s="62">
        <f t="shared" si="240"/>
        <v>61</v>
      </c>
      <c r="GL63" s="62">
        <f t="shared" si="241"/>
        <v>61</v>
      </c>
      <c r="GM63" s="62">
        <f t="shared" si="242"/>
        <v>61</v>
      </c>
      <c r="GN63" s="62">
        <f t="shared" si="243"/>
        <v>61</v>
      </c>
      <c r="GO63" s="62">
        <f t="shared" si="244"/>
        <v>61</v>
      </c>
      <c r="GP63" s="62">
        <f t="shared" si="245"/>
        <v>61</v>
      </c>
      <c r="GQ63" s="62">
        <f t="shared" si="246"/>
        <v>61</v>
      </c>
      <c r="GR63" s="62">
        <f t="shared" si="247"/>
        <v>61</v>
      </c>
      <c r="GT63" s="62">
        <f>IF(Deltagarlista!$K$3=2,
IF(GW63="1",
      IF(Arrangörslista!$U$5=1,J126,
IF(Arrangörslista!$U$5=2,K126,
IF(Arrangörslista!$U$5=3,L126,
IF(Arrangörslista!$U$5=4,M126,
IF(Arrangörslista!$U$5=5,N126,
IF(Arrangörslista!$U$5=6,O126,
IF(Arrangörslista!$U$5=7,P126,
IF(Arrangörslista!$U$5=8,Q126,
IF(Arrangörslista!$U$5=9,R126,
IF(Arrangörslista!$U$5=10,S126,
IF(Arrangörslista!$U$5=11,T126,
IF(Arrangörslista!$U$5=12,U126,
IF(Arrangörslista!$U$5=13,V126,
IF(Arrangörslista!$U$5=14,W126,
IF(Arrangörslista!$U$5=15,X126,
IF(Arrangörslista!$U$5=16,Y126,IF(Arrangörslista!$U$5=17,Z126,IF(Arrangörslista!$U$5=18,AA126,IF(Arrangörslista!$U$5=19,AB126,IF(Arrangörslista!$U$5=20,AC126,IF(Arrangörslista!$U$5=21,AD126,IF(Arrangörslista!$U$5=22,AE126,IF(Arrangörslista!$U$5=23,AF126, IF(Arrangörslista!$U$5=24,AG126, IF(Arrangörslista!$U$5=25,AH126, IF(Arrangörslista!$U$5=26,AI126, IF(Arrangörslista!$U$5=27,AJ126, IF(Arrangörslista!$U$5=28,AK126, IF(Arrangörslista!$U$5=29,AL126, IF(Arrangörslista!$U$5=30,AM126, IF(Arrangörslista!$U$5=31,AN126, IF(Arrangörslista!$U$5=32,AO126, IF(Arrangörslista!$U$5=33,AP126, IF(Arrangörslista!$U$5=34,AQ126, IF(Arrangörslista!$U$5=35,AR126, IF(Arrangörslista!$U$5=36,AS126, IF(Arrangörslista!$U$5=37,AT126, IF(Arrangörslista!$U$5=38,AU126, IF(Arrangörslista!$U$5=39,AV126, IF(Arrangörslista!$U$5=40,AW126, IF(Arrangörslista!$U$5=41,AX126, IF(Arrangörslista!$U$5=42,AY126, IF(Arrangörslista!$U$5=43,AZ126, IF(Arrangörslista!$U$5=44,BA126, IF(Arrangörslista!$U$5=45,BB126, IF(Arrangörslista!$U$5=46,BC126, IF(Arrangörslista!$U$5=47,BD126, IF(Arrangörslista!$U$5=48,BE126, IF(Arrangörslista!$U$5=49,BF126, IF(Arrangörslista!$U$5=50,BG126, IF(Arrangörslista!$U$5=51,BH126, IF(Arrangörslista!$U$5=52,BI126, IF(Arrangörslista!$U$5=53,BJ126, IF(Arrangörslista!$U$5=54,BK126, IF(Arrangörslista!$U$5=55,BL126, IF(Arrangörslista!$U$5=56,BM126, IF(Arrangörslista!$U$5=57,BN126, IF(Arrangörslista!$U$5=58,BO126, IF(Arrangörslista!$U$5=59,BP126, IF(Arrangörslista!$U$5=60,BQ126,0))))))))))))))))))))))))))))))))))))))))))))))))))))))))))))),IF(Deltagarlista!$K$3=4, IF(Arrangörslista!$U$5=1,J126,
IF(Arrangörslista!$U$5=2,J126,
IF(Arrangörslista!$U$5=3,K126,
IF(Arrangörslista!$U$5=4,K126,
IF(Arrangörslista!$U$5=5,L126,
IF(Arrangörslista!$U$5=6,L126,
IF(Arrangörslista!$U$5=7,M126,
IF(Arrangörslista!$U$5=8,M126,
IF(Arrangörslista!$U$5=9,N126,
IF(Arrangörslista!$U$5=10,N126,
IF(Arrangörslista!$U$5=11,O126,
IF(Arrangörslista!$U$5=12,O126,
IF(Arrangörslista!$U$5=13,P126,
IF(Arrangörslista!$U$5=14,P126,
IF(Arrangörslista!$U$5=15,Q126,
IF(Arrangörslista!$U$5=16,Q126,
IF(Arrangörslista!$U$5=17,R126,
IF(Arrangörslista!$U$5=18,R126,
IF(Arrangörslista!$U$5=19,S126,
IF(Arrangörslista!$U$5=20,S126,
IF(Arrangörslista!$U$5=21,T126,
IF(Arrangörslista!$U$5=22,T126,IF(Arrangörslista!$U$5=23,U126, IF(Arrangörslista!$U$5=24,U126, IF(Arrangörslista!$U$5=25,V126, IF(Arrangörslista!$U$5=26,V126, IF(Arrangörslista!$U$5=27,W126, IF(Arrangörslista!$U$5=28,W126, IF(Arrangörslista!$U$5=29,X126, IF(Arrangörslista!$U$5=30,X126, IF(Arrangörslista!$U$5=31,X126, IF(Arrangörslista!$U$5=32,Y126, IF(Arrangörslista!$U$5=33,AO126, IF(Arrangörslista!$U$5=34,Y126, IF(Arrangörslista!$U$5=35,Z126, IF(Arrangörslista!$U$5=36,AR126, IF(Arrangörslista!$U$5=37,Z126, IF(Arrangörslista!$U$5=38,AA126, IF(Arrangörslista!$U$5=39,AU126, IF(Arrangörslista!$U$5=40,AA126, IF(Arrangörslista!$U$5=41,AB126, IF(Arrangörslista!$U$5=42,AX126, IF(Arrangörslista!$U$5=43,AB126, IF(Arrangörslista!$U$5=44,AC126, IF(Arrangörslista!$U$5=45,BA126, IF(Arrangörslista!$U$5=46,AC126, IF(Arrangörslista!$U$5=47,AD126, IF(Arrangörslista!$U$5=48,BD126, IF(Arrangörslista!$U$5=49,AD126, IF(Arrangörslista!$U$5=50,AE126, IF(Arrangörslista!$U$5=51,BG126, IF(Arrangörslista!$U$5=52,AE126, IF(Arrangörslista!$U$5=53,AF126, IF(Arrangörslista!$U$5=54,BJ126, IF(Arrangörslista!$U$5=55,AF126, IF(Arrangörslista!$U$5=56,AG126, IF(Arrangörslista!$U$5=57,BM126, IF(Arrangörslista!$U$5=58,AG126, IF(Arrangörslista!$U$5=59,AH126, IF(Arrangörslista!$U$5=60,AH126,0)))))))))))))))))))))))))))))))))))))))))))))))))))))))))))),IF(Arrangörslista!$U$5=1,J126,
IF(Arrangörslista!$U$5=2,K126,
IF(Arrangörslista!$U$5=3,L126,
IF(Arrangörslista!$U$5=4,M126,
IF(Arrangörslista!$U$5=5,N126,
IF(Arrangörslista!$U$5=6,O126,
IF(Arrangörslista!$U$5=7,P126,
IF(Arrangörslista!$U$5=8,Q126,
IF(Arrangörslista!$U$5=9,R126,
IF(Arrangörslista!$U$5=10,S126,
IF(Arrangörslista!$U$5=11,T126,
IF(Arrangörslista!$U$5=12,U126,
IF(Arrangörslista!$U$5=13,V126,
IF(Arrangörslista!$U$5=14,W126,
IF(Arrangörslista!$U$5=15,X126,
IF(Arrangörslista!$U$5=16,Y126,IF(Arrangörslista!$U$5=17,Z126,IF(Arrangörslista!$U$5=18,AA126,IF(Arrangörslista!$U$5=19,AB126,IF(Arrangörslista!$U$5=20,AC126,IF(Arrangörslista!$U$5=21,AD126,IF(Arrangörslista!$U$5=22,AE126,IF(Arrangörslista!$U$5=23,AF126, IF(Arrangörslista!$U$5=24,AG126, IF(Arrangörslista!$U$5=25,AH126, IF(Arrangörslista!$U$5=26,AI126, IF(Arrangörslista!$U$5=27,AJ126, IF(Arrangörslista!$U$5=28,AK126, IF(Arrangörslista!$U$5=29,AL126, IF(Arrangörslista!$U$5=30,AM126, IF(Arrangörslista!$U$5=31,AN126, IF(Arrangörslista!$U$5=32,AO126, IF(Arrangörslista!$U$5=33,AP126, IF(Arrangörslista!$U$5=34,AQ126, IF(Arrangörslista!$U$5=35,AR126, IF(Arrangörslista!$U$5=36,AS126, IF(Arrangörslista!$U$5=37,AT126, IF(Arrangörslista!$U$5=38,AU126, IF(Arrangörslista!$U$5=39,AV126, IF(Arrangörslista!$U$5=40,AW126, IF(Arrangörslista!$U$5=41,AX126, IF(Arrangörslista!$U$5=42,AY126, IF(Arrangörslista!$U$5=43,AZ126, IF(Arrangörslista!$U$5=44,BA126, IF(Arrangörslista!$U$5=45,BB126, IF(Arrangörslista!$U$5=46,BC126, IF(Arrangörslista!$U$5=47,BD126, IF(Arrangörslista!$U$5=48,BE126, IF(Arrangörslista!$U$5=49,BF126, IF(Arrangörslista!$U$5=50,BG126, IF(Arrangörslista!$U$5=51,BH126, IF(Arrangörslista!$U$5=52,BI126, IF(Arrangörslista!$U$5=53,BJ126, IF(Arrangörslista!$U$5=54,BK126, IF(Arrangörslista!$U$5=55,BL126, IF(Arrangörslista!$U$5=56,BM126, IF(Arrangörslista!$U$5=57,BN126, IF(Arrangörslista!$U$5=58,BO126, IF(Arrangörslista!$U$5=59,BP126, IF(Arrangörslista!$U$5=60,BQ126,0))))))))))))))))))))))))))))))))))))))))))))))))))))))))))))
))</f>
        <v>0</v>
      </c>
      <c r="GV63" s="65" t="str">
        <f>IFERROR(IF(VLOOKUP(F63,Deltagarlista!$E$5:$I$64,5,FALSE)="Grön","Gr",IF(VLOOKUP(F63,Deltagarlista!$E$5:$I$64,5,FALSE)="Röd","R",IF(VLOOKUP(F63,Deltagarlista!$E$5:$I$64,5,FALSE)="Blå","B","Gu"))),"")</f>
        <v/>
      </c>
      <c r="GW63" s="62" t="str">
        <f t="shared" si="124"/>
        <v/>
      </c>
    </row>
    <row r="64" spans="2:205" ht="15.75" customHeight="1" x14ac:dyDescent="0.3">
      <c r="B64" s="21"/>
      <c r="C64" s="3"/>
      <c r="D64" s="3"/>
      <c r="E64" s="2"/>
      <c r="F64" s="90"/>
      <c r="G64" s="2"/>
      <c r="H64" s="2"/>
      <c r="I64" s="2"/>
      <c r="J64" s="2" t="s">
        <v>61</v>
      </c>
      <c r="K64" s="2" t="s">
        <v>62</v>
      </c>
      <c r="L64" s="2" t="s">
        <v>85</v>
      </c>
      <c r="M64" s="2" t="s">
        <v>61</v>
      </c>
      <c r="N64" s="2" t="s">
        <v>62</v>
      </c>
      <c r="O64" s="2" t="s">
        <v>85</v>
      </c>
      <c r="P64" s="2" t="s">
        <v>61</v>
      </c>
      <c r="Q64" s="2" t="s">
        <v>62</v>
      </c>
      <c r="R64" s="2" t="s">
        <v>85</v>
      </c>
      <c r="S64" s="2" t="s">
        <v>61</v>
      </c>
      <c r="T64" s="2" t="s">
        <v>62</v>
      </c>
      <c r="U64" s="2" t="s">
        <v>85</v>
      </c>
      <c r="V64" s="2" t="s">
        <v>61</v>
      </c>
      <c r="W64" s="2" t="s">
        <v>62</v>
      </c>
      <c r="X64" s="2" t="s">
        <v>85</v>
      </c>
      <c r="Y64" s="2" t="s">
        <v>61</v>
      </c>
      <c r="Z64" s="2" t="s">
        <v>62</v>
      </c>
      <c r="AA64" s="2" t="s">
        <v>85</v>
      </c>
      <c r="AB64" s="2" t="s">
        <v>61</v>
      </c>
      <c r="AC64" s="2" t="s">
        <v>62</v>
      </c>
      <c r="AD64" s="2" t="s">
        <v>85</v>
      </c>
      <c r="AE64" s="2" t="s">
        <v>61</v>
      </c>
      <c r="AF64" s="2" t="s">
        <v>62</v>
      </c>
      <c r="AG64" s="2" t="s">
        <v>85</v>
      </c>
      <c r="AH64" s="2" t="s">
        <v>61</v>
      </c>
      <c r="AI64" s="2" t="s">
        <v>62</v>
      </c>
      <c r="AJ64" s="2" t="s">
        <v>85</v>
      </c>
      <c r="AK64" s="2" t="s">
        <v>61</v>
      </c>
      <c r="AL64" s="2" t="s">
        <v>62</v>
      </c>
      <c r="AM64" s="2" t="s">
        <v>85</v>
      </c>
      <c r="AN64" s="2" t="s">
        <v>61</v>
      </c>
      <c r="AO64" s="2" t="s">
        <v>62</v>
      </c>
      <c r="AP64" s="2" t="s">
        <v>85</v>
      </c>
      <c r="AQ64" s="2" t="s">
        <v>61</v>
      </c>
      <c r="AR64" s="2" t="s">
        <v>62</v>
      </c>
      <c r="AS64" s="2" t="s">
        <v>85</v>
      </c>
      <c r="AT64" s="2" t="s">
        <v>61</v>
      </c>
      <c r="AU64" s="2" t="s">
        <v>62</v>
      </c>
      <c r="AV64" s="2" t="s">
        <v>85</v>
      </c>
      <c r="AW64" s="2" t="s">
        <v>61</v>
      </c>
      <c r="AX64" s="2" t="s">
        <v>62</v>
      </c>
      <c r="AY64" s="2" t="s">
        <v>85</v>
      </c>
      <c r="AZ64" s="2" t="s">
        <v>61</v>
      </c>
      <c r="BA64" s="2" t="s">
        <v>62</v>
      </c>
      <c r="BB64" s="2" t="s">
        <v>85</v>
      </c>
      <c r="BC64" s="2" t="s">
        <v>61</v>
      </c>
      <c r="BD64" s="2" t="s">
        <v>62</v>
      </c>
      <c r="BE64" s="2" t="s">
        <v>85</v>
      </c>
      <c r="BF64" s="2" t="s">
        <v>61</v>
      </c>
      <c r="BG64" s="2" t="s">
        <v>62</v>
      </c>
      <c r="BH64" s="2" t="s">
        <v>85</v>
      </c>
      <c r="BI64" s="2" t="s">
        <v>61</v>
      </c>
      <c r="BJ64" s="2" t="s">
        <v>62</v>
      </c>
      <c r="BK64" s="2" t="s">
        <v>85</v>
      </c>
      <c r="BL64" s="2" t="s">
        <v>61</v>
      </c>
      <c r="BM64" s="2" t="s">
        <v>62</v>
      </c>
      <c r="BN64" s="2" t="s">
        <v>85</v>
      </c>
      <c r="BO64" s="2" t="s">
        <v>61</v>
      </c>
      <c r="BP64" s="2" t="s">
        <v>62</v>
      </c>
      <c r="BQ64" s="2" t="s">
        <v>85</v>
      </c>
      <c r="BR64" s="2"/>
      <c r="BS64" s="2"/>
      <c r="EH64" s="61"/>
      <c r="EI64" s="61"/>
    </row>
    <row r="65" spans="2:139" ht="73.5" customHeight="1" x14ac:dyDescent="0.3">
      <c r="B65" s="21"/>
      <c r="C65" s="3"/>
      <c r="D65" s="3"/>
      <c r="G65" s="2"/>
      <c r="H65" s="2"/>
      <c r="I65" s="2"/>
      <c r="J65" s="5" t="str">
        <f>IF(Deltagarlista!$K$3=4,IF(ISBLANK(Deltagarlista!$C67),"",IF(ISBLANK(Arrangörslista!C$8),"",IFERROR(VLOOKUP($F65,Arrangörslista!C$8:$AG$45,16,FALSE),IF(ISBLANK(Deltagarlista!$C67),"",IF(ISBLANK(Arrangörslista!C$8),"",IFERROR(VLOOKUP($F65,Arrangörslista!D$8:$AG$45,16,FALSE),"DNS")))))),IF(Deltagarlista!$K$3=2,
IF(ISBLANK(Deltagarlista!$C67),"",IF(ISBLANK(Arrangörslista!C$8),"",IF($GV65=J$64," DNS ",IFERROR(VLOOKUP($F65,Arrangörslista!C$8:$AG$45,16,FALSE),"DNS")))),IF(ISBLANK(Deltagarlista!$C67),"",IF(ISBLANK(Arrangörslista!C$8),"",IFERROR(VLOOKUP($F65,Arrangörslista!C$8:$AG$45,16,FALSE),"DNS")))))</f>
        <v/>
      </c>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EH65" s="61"/>
      <c r="EI65" s="61"/>
    </row>
    <row r="66" spans="2:139" x14ac:dyDescent="0.3">
      <c r="B66" s="21" t="str">
        <f t="shared" ref="B66:B108" si="248">IF($BW$3&gt;38,39,"")</f>
        <v/>
      </c>
      <c r="C66" s="3"/>
      <c r="D66" s="3"/>
      <c r="G66" s="2"/>
      <c r="H66" s="2"/>
      <c r="I66" s="2"/>
      <c r="J66" s="5" t="str">
        <f>IF(Deltagarlista!$K$3=4,IF(ISBLANK(Deltagarlista!$C68),"",IF(ISBLANK(Arrangörslista!C$8),"",IFERROR(VLOOKUP($F66,Arrangörslista!C$8:$AG$45,16,FALSE),IF(ISBLANK(Deltagarlista!$C68),"",IF(ISBLANK(Arrangörslista!C$8),"",IFERROR(VLOOKUP($F66,Arrangörslista!D$8:$AG$45,16,FALSE),"DNS")))))),IF(Deltagarlista!$K$3=2,
IF(ISBLANK(Deltagarlista!$C68),"",IF(ISBLANK(Arrangörslista!C$8),"",IF($GV66=J$64," DNS ",IFERROR(VLOOKUP($F66,Arrangörslista!C$8:$AG$45,16,FALSE),"DNS")))),IF(ISBLANK(Deltagarlista!$C68),"",IF(ISBLANK(Arrangörslista!C$8),"",IFERROR(VLOOKUP($F66,Arrangörslista!C$8:$AG$45,16,FALSE),"DNS")))))</f>
        <v/>
      </c>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EH66" s="61"/>
      <c r="EI66" s="61"/>
    </row>
    <row r="67" spans="2:139" hidden="1" x14ac:dyDescent="0.3">
      <c r="B67" s="21" t="str">
        <f t="shared" si="248"/>
        <v/>
      </c>
      <c r="C67" s="3"/>
      <c r="D67" s="3"/>
      <c r="G67" s="2"/>
      <c r="H67" s="2"/>
      <c r="I67" s="2"/>
      <c r="J67" s="2">
        <f>IF(BV4=0,61,BV4)</f>
        <v>61</v>
      </c>
      <c r="K67" s="2">
        <f t="shared" ref="K67:BQ71" si="249">IF(BW4=0,61,BW4)</f>
        <v>61</v>
      </c>
      <c r="L67" s="2">
        <f t="shared" si="249"/>
        <v>61</v>
      </c>
      <c r="M67" s="2">
        <f t="shared" si="249"/>
        <v>61</v>
      </c>
      <c r="N67" s="2">
        <f t="shared" si="249"/>
        <v>61</v>
      </c>
      <c r="O67" s="2">
        <f t="shared" si="249"/>
        <v>61</v>
      </c>
      <c r="P67" s="2">
        <f t="shared" si="249"/>
        <v>61</v>
      </c>
      <c r="Q67" s="2">
        <f t="shared" si="249"/>
        <v>61</v>
      </c>
      <c r="R67" s="2">
        <f t="shared" si="249"/>
        <v>61</v>
      </c>
      <c r="S67" s="2">
        <f t="shared" si="249"/>
        <v>61</v>
      </c>
      <c r="T67" s="2">
        <f t="shared" si="249"/>
        <v>61</v>
      </c>
      <c r="U67" s="2">
        <f t="shared" si="249"/>
        <v>61</v>
      </c>
      <c r="V67" s="2">
        <f t="shared" si="249"/>
        <v>61</v>
      </c>
      <c r="W67" s="2">
        <f t="shared" si="249"/>
        <v>61</v>
      </c>
      <c r="X67" s="2">
        <f t="shared" si="249"/>
        <v>61</v>
      </c>
      <c r="Y67" s="2">
        <f t="shared" si="249"/>
        <v>61</v>
      </c>
      <c r="Z67" s="2">
        <f t="shared" si="249"/>
        <v>61</v>
      </c>
      <c r="AA67" s="2">
        <f t="shared" si="249"/>
        <v>61</v>
      </c>
      <c r="AB67" s="2">
        <f t="shared" si="249"/>
        <v>61</v>
      </c>
      <c r="AC67" s="2">
        <f t="shared" si="249"/>
        <v>61</v>
      </c>
      <c r="AD67" s="2">
        <f t="shared" si="249"/>
        <v>61</v>
      </c>
      <c r="AE67" s="2">
        <f t="shared" si="249"/>
        <v>61</v>
      </c>
      <c r="AF67" s="2">
        <f t="shared" si="249"/>
        <v>61</v>
      </c>
      <c r="AG67" s="2">
        <f t="shared" si="249"/>
        <v>61</v>
      </c>
      <c r="AH67" s="2">
        <f t="shared" si="249"/>
        <v>61</v>
      </c>
      <c r="AI67" s="2">
        <f t="shared" si="249"/>
        <v>61</v>
      </c>
      <c r="AJ67" s="2">
        <f t="shared" si="249"/>
        <v>61</v>
      </c>
      <c r="AK67" s="2">
        <f t="shared" si="249"/>
        <v>61</v>
      </c>
      <c r="AL67" s="2">
        <f t="shared" si="249"/>
        <v>61</v>
      </c>
      <c r="AM67" s="2">
        <f t="shared" si="249"/>
        <v>61</v>
      </c>
      <c r="AN67" s="2">
        <f t="shared" si="249"/>
        <v>61</v>
      </c>
      <c r="AO67" s="2">
        <f t="shared" si="249"/>
        <v>61</v>
      </c>
      <c r="AP67" s="2">
        <f t="shared" si="249"/>
        <v>61</v>
      </c>
      <c r="AQ67" s="2">
        <f t="shared" si="249"/>
        <v>61</v>
      </c>
      <c r="AR67" s="2">
        <f t="shared" si="249"/>
        <v>61</v>
      </c>
      <c r="AS67" s="2">
        <f t="shared" si="249"/>
        <v>61</v>
      </c>
      <c r="AT67" s="2">
        <f t="shared" si="249"/>
        <v>61</v>
      </c>
      <c r="AU67" s="2">
        <f t="shared" si="249"/>
        <v>61</v>
      </c>
      <c r="AV67" s="2">
        <f t="shared" si="249"/>
        <v>61</v>
      </c>
      <c r="AW67" s="2">
        <f t="shared" si="249"/>
        <v>61</v>
      </c>
      <c r="AX67" s="2">
        <f t="shared" si="249"/>
        <v>61</v>
      </c>
      <c r="AY67" s="2">
        <f t="shared" si="249"/>
        <v>61</v>
      </c>
      <c r="AZ67" s="2">
        <f t="shared" si="249"/>
        <v>61</v>
      </c>
      <c r="BA67" s="2">
        <f t="shared" si="249"/>
        <v>61</v>
      </c>
      <c r="BB67" s="2">
        <f t="shared" si="249"/>
        <v>61</v>
      </c>
      <c r="BC67" s="2">
        <f t="shared" si="249"/>
        <v>61</v>
      </c>
      <c r="BD67" s="2">
        <f t="shared" si="249"/>
        <v>61</v>
      </c>
      <c r="BE67" s="2">
        <f t="shared" si="249"/>
        <v>61</v>
      </c>
      <c r="BF67" s="2">
        <f t="shared" si="249"/>
        <v>61</v>
      </c>
      <c r="BG67" s="2">
        <f t="shared" si="249"/>
        <v>61</v>
      </c>
      <c r="BH67" s="2">
        <f t="shared" si="249"/>
        <v>61</v>
      </c>
      <c r="BI67" s="2">
        <f t="shared" si="249"/>
        <v>61</v>
      </c>
      <c r="BJ67" s="2">
        <f t="shared" si="249"/>
        <v>61</v>
      </c>
      <c r="BK67" s="2">
        <f t="shared" si="249"/>
        <v>61</v>
      </c>
      <c r="BL67" s="2">
        <f t="shared" si="249"/>
        <v>61</v>
      </c>
      <c r="BM67" s="2">
        <f t="shared" si="249"/>
        <v>61</v>
      </c>
      <c r="BN67" s="2">
        <f t="shared" si="249"/>
        <v>61</v>
      </c>
      <c r="BO67" s="2">
        <f t="shared" si="249"/>
        <v>61</v>
      </c>
      <c r="BP67" s="2">
        <f t="shared" si="249"/>
        <v>61</v>
      </c>
      <c r="BQ67" s="2">
        <f t="shared" si="249"/>
        <v>61</v>
      </c>
      <c r="EH67" s="61"/>
      <c r="EI67" s="61"/>
    </row>
    <row r="68" spans="2:139" hidden="1" x14ac:dyDescent="0.3">
      <c r="B68" s="21" t="str">
        <f t="shared" si="248"/>
        <v/>
      </c>
      <c r="G68" s="2"/>
      <c r="H68" s="2"/>
      <c r="I68" s="2"/>
      <c r="J68" s="2">
        <f t="shared" ref="J68:Y87" si="250">IF(BV5=0,61,BV5)</f>
        <v>61</v>
      </c>
      <c r="K68" s="2">
        <f t="shared" si="249"/>
        <v>61</v>
      </c>
      <c r="L68" s="2">
        <f t="shared" si="249"/>
        <v>61</v>
      </c>
      <c r="M68" s="2">
        <f t="shared" si="249"/>
        <v>61</v>
      </c>
      <c r="N68" s="2">
        <f t="shared" si="249"/>
        <v>61</v>
      </c>
      <c r="O68" s="2">
        <f t="shared" si="249"/>
        <v>61</v>
      </c>
      <c r="P68" s="2">
        <f t="shared" si="249"/>
        <v>61</v>
      </c>
      <c r="Q68" s="2">
        <f t="shared" si="249"/>
        <v>61</v>
      </c>
      <c r="R68" s="2">
        <f t="shared" si="249"/>
        <v>61</v>
      </c>
      <c r="S68" s="2">
        <f t="shared" si="249"/>
        <v>61</v>
      </c>
      <c r="T68" s="2">
        <f t="shared" si="249"/>
        <v>61</v>
      </c>
      <c r="U68" s="2">
        <f t="shared" si="249"/>
        <v>61</v>
      </c>
      <c r="V68" s="2">
        <f t="shared" si="249"/>
        <v>61</v>
      </c>
      <c r="W68" s="2">
        <f t="shared" si="249"/>
        <v>61</v>
      </c>
      <c r="X68" s="2">
        <f t="shared" si="249"/>
        <v>61</v>
      </c>
      <c r="Y68" s="2">
        <f t="shared" si="249"/>
        <v>61</v>
      </c>
      <c r="Z68" s="2">
        <f t="shared" si="249"/>
        <v>61</v>
      </c>
      <c r="AA68" s="2">
        <f t="shared" si="249"/>
        <v>61</v>
      </c>
      <c r="AB68" s="2">
        <f t="shared" si="249"/>
        <v>61</v>
      </c>
      <c r="AC68" s="2">
        <f t="shared" si="249"/>
        <v>61</v>
      </c>
      <c r="AD68" s="2">
        <f t="shared" si="249"/>
        <v>61</v>
      </c>
      <c r="AE68" s="2">
        <f t="shared" si="249"/>
        <v>61</v>
      </c>
      <c r="AF68" s="2">
        <f t="shared" si="249"/>
        <v>61</v>
      </c>
      <c r="AG68" s="2">
        <f t="shared" si="249"/>
        <v>61</v>
      </c>
      <c r="AH68" s="2">
        <f t="shared" si="249"/>
        <v>61</v>
      </c>
      <c r="AI68" s="2">
        <f t="shared" si="249"/>
        <v>61</v>
      </c>
      <c r="AJ68" s="2">
        <f t="shared" si="249"/>
        <v>61</v>
      </c>
      <c r="AK68" s="2">
        <f t="shared" si="249"/>
        <v>61</v>
      </c>
      <c r="AL68" s="2">
        <f t="shared" si="249"/>
        <v>61</v>
      </c>
      <c r="AM68" s="2">
        <f t="shared" si="249"/>
        <v>61</v>
      </c>
      <c r="AN68" s="2">
        <f t="shared" si="249"/>
        <v>61</v>
      </c>
      <c r="AO68" s="2">
        <f t="shared" si="249"/>
        <v>61</v>
      </c>
      <c r="AP68" s="2">
        <f t="shared" si="249"/>
        <v>61</v>
      </c>
      <c r="AQ68" s="2">
        <f t="shared" si="249"/>
        <v>61</v>
      </c>
      <c r="AR68" s="2">
        <f t="shared" si="249"/>
        <v>61</v>
      </c>
      <c r="AS68" s="2">
        <f t="shared" si="249"/>
        <v>61</v>
      </c>
      <c r="AT68" s="2">
        <f t="shared" si="249"/>
        <v>61</v>
      </c>
      <c r="AU68" s="2">
        <f t="shared" si="249"/>
        <v>61</v>
      </c>
      <c r="AV68" s="2">
        <f t="shared" si="249"/>
        <v>61</v>
      </c>
      <c r="AW68" s="2">
        <f t="shared" si="249"/>
        <v>61</v>
      </c>
      <c r="AX68" s="2">
        <f t="shared" si="249"/>
        <v>61</v>
      </c>
      <c r="AY68" s="2">
        <f t="shared" si="249"/>
        <v>61</v>
      </c>
      <c r="AZ68" s="2">
        <f t="shared" si="249"/>
        <v>61</v>
      </c>
      <c r="BA68" s="2">
        <f t="shared" si="249"/>
        <v>61</v>
      </c>
      <c r="BB68" s="2">
        <f t="shared" si="249"/>
        <v>61</v>
      </c>
      <c r="BC68" s="2">
        <f t="shared" si="249"/>
        <v>61</v>
      </c>
      <c r="BD68" s="2">
        <f t="shared" si="249"/>
        <v>61</v>
      </c>
      <c r="BE68" s="2">
        <f t="shared" si="249"/>
        <v>61</v>
      </c>
      <c r="BF68" s="2">
        <f t="shared" si="249"/>
        <v>61</v>
      </c>
      <c r="BG68" s="2">
        <f t="shared" si="249"/>
        <v>61</v>
      </c>
      <c r="BH68" s="2">
        <f t="shared" si="249"/>
        <v>61</v>
      </c>
      <c r="BI68" s="2">
        <f t="shared" si="249"/>
        <v>61</v>
      </c>
      <c r="BJ68" s="2">
        <f t="shared" si="249"/>
        <v>61</v>
      </c>
      <c r="BK68" s="2">
        <f t="shared" si="249"/>
        <v>61</v>
      </c>
      <c r="BL68" s="2">
        <f t="shared" si="249"/>
        <v>61</v>
      </c>
      <c r="BM68" s="2">
        <f t="shared" si="249"/>
        <v>61</v>
      </c>
      <c r="BN68" s="2">
        <f t="shared" si="249"/>
        <v>61</v>
      </c>
      <c r="BO68" s="2">
        <f t="shared" si="249"/>
        <v>61</v>
      </c>
      <c r="BP68" s="2">
        <f t="shared" si="249"/>
        <v>61</v>
      </c>
      <c r="BQ68" s="2">
        <f t="shared" si="249"/>
        <v>61</v>
      </c>
      <c r="EH68" s="61"/>
      <c r="EI68" s="61"/>
    </row>
    <row r="69" spans="2:139" hidden="1" x14ac:dyDescent="0.3">
      <c r="B69" s="21" t="str">
        <f t="shared" si="248"/>
        <v/>
      </c>
      <c r="G69" s="2"/>
      <c r="H69" s="2"/>
      <c r="I69" s="2"/>
      <c r="J69" s="2">
        <f t="shared" si="250"/>
        <v>61</v>
      </c>
      <c r="K69" s="2">
        <f t="shared" si="249"/>
        <v>61</v>
      </c>
      <c r="L69" s="2">
        <f t="shared" si="249"/>
        <v>61</v>
      </c>
      <c r="M69" s="2">
        <f t="shared" si="249"/>
        <v>61</v>
      </c>
      <c r="N69" s="2">
        <f t="shared" si="249"/>
        <v>61</v>
      </c>
      <c r="O69" s="2">
        <f t="shared" si="249"/>
        <v>61</v>
      </c>
      <c r="P69" s="2">
        <f t="shared" si="249"/>
        <v>61</v>
      </c>
      <c r="Q69" s="2">
        <f t="shared" si="249"/>
        <v>61</v>
      </c>
      <c r="R69" s="2">
        <f t="shared" si="249"/>
        <v>61</v>
      </c>
      <c r="S69" s="2">
        <f t="shared" si="249"/>
        <v>61</v>
      </c>
      <c r="T69" s="2">
        <f t="shared" si="249"/>
        <v>61</v>
      </c>
      <c r="U69" s="2">
        <f t="shared" si="249"/>
        <v>61</v>
      </c>
      <c r="V69" s="2">
        <f t="shared" si="249"/>
        <v>61</v>
      </c>
      <c r="W69" s="2">
        <f t="shared" si="249"/>
        <v>61</v>
      </c>
      <c r="X69" s="2">
        <f t="shared" si="249"/>
        <v>61</v>
      </c>
      <c r="Y69" s="2">
        <f t="shared" si="249"/>
        <v>61</v>
      </c>
      <c r="Z69" s="2">
        <f t="shared" si="249"/>
        <v>61</v>
      </c>
      <c r="AA69" s="2">
        <f t="shared" si="249"/>
        <v>61</v>
      </c>
      <c r="AB69" s="2">
        <f t="shared" si="249"/>
        <v>61</v>
      </c>
      <c r="AC69" s="2">
        <f t="shared" si="249"/>
        <v>61</v>
      </c>
      <c r="AD69" s="2">
        <f t="shared" si="249"/>
        <v>61</v>
      </c>
      <c r="AE69" s="2">
        <f t="shared" si="249"/>
        <v>61</v>
      </c>
      <c r="AF69" s="2">
        <f t="shared" si="249"/>
        <v>61</v>
      </c>
      <c r="AG69" s="2">
        <f t="shared" si="249"/>
        <v>61</v>
      </c>
      <c r="AH69" s="2">
        <f t="shared" si="249"/>
        <v>61</v>
      </c>
      <c r="AI69" s="2">
        <f t="shared" si="249"/>
        <v>61</v>
      </c>
      <c r="AJ69" s="2">
        <f t="shared" si="249"/>
        <v>61</v>
      </c>
      <c r="AK69" s="2">
        <f t="shared" si="249"/>
        <v>61</v>
      </c>
      <c r="AL69" s="2">
        <f t="shared" si="249"/>
        <v>61</v>
      </c>
      <c r="AM69" s="2">
        <f t="shared" si="249"/>
        <v>61</v>
      </c>
      <c r="AN69" s="2">
        <f t="shared" si="249"/>
        <v>61</v>
      </c>
      <c r="AO69" s="2">
        <f t="shared" si="249"/>
        <v>61</v>
      </c>
      <c r="AP69" s="2">
        <f t="shared" si="249"/>
        <v>61</v>
      </c>
      <c r="AQ69" s="2">
        <f t="shared" si="249"/>
        <v>61</v>
      </c>
      <c r="AR69" s="2">
        <f t="shared" si="249"/>
        <v>61</v>
      </c>
      <c r="AS69" s="2">
        <f t="shared" si="249"/>
        <v>61</v>
      </c>
      <c r="AT69" s="2">
        <f t="shared" si="249"/>
        <v>61</v>
      </c>
      <c r="AU69" s="2">
        <f t="shared" si="249"/>
        <v>61</v>
      </c>
      <c r="AV69" s="2">
        <f t="shared" si="249"/>
        <v>61</v>
      </c>
      <c r="AW69" s="2">
        <f t="shared" si="249"/>
        <v>61</v>
      </c>
      <c r="AX69" s="2">
        <f t="shared" si="249"/>
        <v>61</v>
      </c>
      <c r="AY69" s="2">
        <f t="shared" si="249"/>
        <v>61</v>
      </c>
      <c r="AZ69" s="2">
        <f t="shared" si="249"/>
        <v>61</v>
      </c>
      <c r="BA69" s="2">
        <f t="shared" si="249"/>
        <v>61</v>
      </c>
      <c r="BB69" s="2">
        <f t="shared" si="249"/>
        <v>61</v>
      </c>
      <c r="BC69" s="2">
        <f t="shared" si="249"/>
        <v>61</v>
      </c>
      <c r="BD69" s="2">
        <f t="shared" si="249"/>
        <v>61</v>
      </c>
      <c r="BE69" s="2">
        <f t="shared" si="249"/>
        <v>61</v>
      </c>
      <c r="BF69" s="2">
        <f t="shared" si="249"/>
        <v>61</v>
      </c>
      <c r="BG69" s="2">
        <f t="shared" si="249"/>
        <v>61</v>
      </c>
      <c r="BH69" s="2">
        <f t="shared" si="249"/>
        <v>61</v>
      </c>
      <c r="BI69" s="2">
        <f t="shared" si="249"/>
        <v>61</v>
      </c>
      <c r="BJ69" s="2">
        <f t="shared" si="249"/>
        <v>61</v>
      </c>
      <c r="BK69" s="2">
        <f t="shared" si="249"/>
        <v>61</v>
      </c>
      <c r="BL69" s="2">
        <f t="shared" si="249"/>
        <v>61</v>
      </c>
      <c r="BM69" s="2">
        <f t="shared" si="249"/>
        <v>61</v>
      </c>
      <c r="BN69" s="2">
        <f t="shared" si="249"/>
        <v>61</v>
      </c>
      <c r="BO69" s="2">
        <f t="shared" si="249"/>
        <v>61</v>
      </c>
      <c r="BP69" s="2">
        <f t="shared" si="249"/>
        <v>61</v>
      </c>
      <c r="BQ69" s="2">
        <f t="shared" si="249"/>
        <v>61</v>
      </c>
      <c r="EH69" s="61"/>
      <c r="EI69" s="61"/>
    </row>
    <row r="70" spans="2:139" hidden="1" x14ac:dyDescent="0.3">
      <c r="B70" s="21" t="str">
        <f t="shared" si="248"/>
        <v/>
      </c>
      <c r="G70" s="2"/>
      <c r="H70" s="2"/>
      <c r="I70" s="2"/>
      <c r="J70" s="2">
        <f t="shared" si="250"/>
        <v>61</v>
      </c>
      <c r="K70" s="2">
        <f t="shared" si="249"/>
        <v>61</v>
      </c>
      <c r="L70" s="2">
        <f t="shared" si="249"/>
        <v>61</v>
      </c>
      <c r="M70" s="2">
        <f t="shared" si="249"/>
        <v>61</v>
      </c>
      <c r="N70" s="2">
        <f t="shared" si="249"/>
        <v>61</v>
      </c>
      <c r="O70" s="2">
        <f t="shared" si="249"/>
        <v>61</v>
      </c>
      <c r="P70" s="2">
        <f t="shared" si="249"/>
        <v>61</v>
      </c>
      <c r="Q70" s="2">
        <f t="shared" si="249"/>
        <v>61</v>
      </c>
      <c r="R70" s="2">
        <f t="shared" si="249"/>
        <v>61</v>
      </c>
      <c r="S70" s="2">
        <f t="shared" si="249"/>
        <v>61</v>
      </c>
      <c r="T70" s="2">
        <f t="shared" si="249"/>
        <v>61</v>
      </c>
      <c r="U70" s="2">
        <f t="shared" si="249"/>
        <v>61</v>
      </c>
      <c r="V70" s="2">
        <f t="shared" si="249"/>
        <v>61</v>
      </c>
      <c r="W70" s="2">
        <f t="shared" si="249"/>
        <v>61</v>
      </c>
      <c r="X70" s="2">
        <f t="shared" si="249"/>
        <v>61</v>
      </c>
      <c r="Y70" s="2">
        <f t="shared" si="249"/>
        <v>61</v>
      </c>
      <c r="Z70" s="2">
        <f t="shared" si="249"/>
        <v>61</v>
      </c>
      <c r="AA70" s="2">
        <f t="shared" si="249"/>
        <v>61</v>
      </c>
      <c r="AB70" s="2">
        <f t="shared" si="249"/>
        <v>61</v>
      </c>
      <c r="AC70" s="2">
        <f t="shared" si="249"/>
        <v>61</v>
      </c>
      <c r="AD70" s="2">
        <f t="shared" si="249"/>
        <v>61</v>
      </c>
      <c r="AE70" s="2">
        <f t="shared" si="249"/>
        <v>61</v>
      </c>
      <c r="AF70" s="2">
        <f t="shared" si="249"/>
        <v>61</v>
      </c>
      <c r="AG70" s="2">
        <f t="shared" si="249"/>
        <v>61</v>
      </c>
      <c r="AH70" s="2">
        <f t="shared" si="249"/>
        <v>61</v>
      </c>
      <c r="AI70" s="2">
        <f t="shared" si="249"/>
        <v>61</v>
      </c>
      <c r="AJ70" s="2">
        <f t="shared" si="249"/>
        <v>61</v>
      </c>
      <c r="AK70" s="2">
        <f t="shared" si="249"/>
        <v>61</v>
      </c>
      <c r="AL70" s="2">
        <f t="shared" si="249"/>
        <v>61</v>
      </c>
      <c r="AM70" s="2">
        <f t="shared" si="249"/>
        <v>61</v>
      </c>
      <c r="AN70" s="2">
        <f t="shared" si="249"/>
        <v>61</v>
      </c>
      <c r="AO70" s="2">
        <f t="shared" si="249"/>
        <v>61</v>
      </c>
      <c r="AP70" s="2">
        <f t="shared" si="249"/>
        <v>61</v>
      </c>
      <c r="AQ70" s="2">
        <f t="shared" si="249"/>
        <v>61</v>
      </c>
      <c r="AR70" s="2">
        <f t="shared" si="249"/>
        <v>61</v>
      </c>
      <c r="AS70" s="2">
        <f t="shared" si="249"/>
        <v>61</v>
      </c>
      <c r="AT70" s="2">
        <f t="shared" si="249"/>
        <v>61</v>
      </c>
      <c r="AU70" s="2">
        <f t="shared" si="249"/>
        <v>61</v>
      </c>
      <c r="AV70" s="2">
        <f t="shared" si="249"/>
        <v>61</v>
      </c>
      <c r="AW70" s="2">
        <f t="shared" si="249"/>
        <v>61</v>
      </c>
      <c r="AX70" s="2">
        <f t="shared" si="249"/>
        <v>61</v>
      </c>
      <c r="AY70" s="2">
        <f t="shared" si="249"/>
        <v>61</v>
      </c>
      <c r="AZ70" s="2">
        <f t="shared" si="249"/>
        <v>61</v>
      </c>
      <c r="BA70" s="2">
        <f t="shared" si="249"/>
        <v>61</v>
      </c>
      <c r="BB70" s="2">
        <f t="shared" si="249"/>
        <v>61</v>
      </c>
      <c r="BC70" s="2">
        <f t="shared" si="249"/>
        <v>61</v>
      </c>
      <c r="BD70" s="2">
        <f t="shared" si="249"/>
        <v>61</v>
      </c>
      <c r="BE70" s="2">
        <f t="shared" si="249"/>
        <v>61</v>
      </c>
      <c r="BF70" s="2">
        <f t="shared" si="249"/>
        <v>61</v>
      </c>
      <c r="BG70" s="2">
        <f t="shared" si="249"/>
        <v>61</v>
      </c>
      <c r="BH70" s="2">
        <f t="shared" si="249"/>
        <v>61</v>
      </c>
      <c r="BI70" s="2">
        <f t="shared" si="249"/>
        <v>61</v>
      </c>
      <c r="BJ70" s="2">
        <f t="shared" si="249"/>
        <v>61</v>
      </c>
      <c r="BK70" s="2">
        <f t="shared" si="249"/>
        <v>61</v>
      </c>
      <c r="BL70" s="2">
        <f t="shared" si="249"/>
        <v>61</v>
      </c>
      <c r="BM70" s="2">
        <f t="shared" si="249"/>
        <v>61</v>
      </c>
      <c r="BN70" s="2">
        <f t="shared" si="249"/>
        <v>61</v>
      </c>
      <c r="BO70" s="2">
        <f t="shared" si="249"/>
        <v>61</v>
      </c>
      <c r="BP70" s="2">
        <f t="shared" si="249"/>
        <v>61</v>
      </c>
      <c r="BQ70" s="2">
        <f t="shared" si="249"/>
        <v>61</v>
      </c>
    </row>
    <row r="71" spans="2:139" hidden="1" x14ac:dyDescent="0.3">
      <c r="B71" s="21" t="str">
        <f t="shared" si="248"/>
        <v/>
      </c>
      <c r="G71" s="2"/>
      <c r="H71" s="2"/>
      <c r="I71" s="2"/>
      <c r="J71" s="2">
        <f t="shared" si="250"/>
        <v>61</v>
      </c>
      <c r="K71" s="2">
        <f t="shared" si="249"/>
        <v>61</v>
      </c>
      <c r="L71" s="2">
        <f t="shared" si="249"/>
        <v>61</v>
      </c>
      <c r="M71" s="2">
        <f t="shared" si="249"/>
        <v>61</v>
      </c>
      <c r="N71" s="2">
        <f t="shared" si="249"/>
        <v>61</v>
      </c>
      <c r="O71" s="2">
        <f t="shared" si="249"/>
        <v>61</v>
      </c>
      <c r="P71" s="2">
        <f t="shared" si="249"/>
        <v>61</v>
      </c>
      <c r="Q71" s="2">
        <f t="shared" si="249"/>
        <v>61</v>
      </c>
      <c r="R71" s="2">
        <f t="shared" si="249"/>
        <v>61</v>
      </c>
      <c r="S71" s="2">
        <f t="shared" si="249"/>
        <v>61</v>
      </c>
      <c r="T71" s="2">
        <f t="shared" si="249"/>
        <v>61</v>
      </c>
      <c r="U71" s="2">
        <f t="shared" si="249"/>
        <v>61</v>
      </c>
      <c r="V71" s="2">
        <f t="shared" si="249"/>
        <v>61</v>
      </c>
      <c r="W71" s="2">
        <f t="shared" si="249"/>
        <v>61</v>
      </c>
      <c r="X71" s="2">
        <f t="shared" si="249"/>
        <v>61</v>
      </c>
      <c r="Y71" s="2">
        <f t="shared" si="249"/>
        <v>61</v>
      </c>
      <c r="Z71" s="2">
        <f t="shared" si="249"/>
        <v>61</v>
      </c>
      <c r="AA71" s="2">
        <f t="shared" si="249"/>
        <v>61</v>
      </c>
      <c r="AB71" s="2">
        <f t="shared" si="249"/>
        <v>61</v>
      </c>
      <c r="AC71" s="2">
        <f t="shared" si="249"/>
        <v>61</v>
      </c>
      <c r="AD71" s="2">
        <f t="shared" ref="AD71:AS86" si="251">IF(CP8=0,61,CP8)</f>
        <v>61</v>
      </c>
      <c r="AE71" s="2">
        <f t="shared" si="251"/>
        <v>61</v>
      </c>
      <c r="AF71" s="2">
        <f t="shared" si="251"/>
        <v>61</v>
      </c>
      <c r="AG71" s="2">
        <f t="shared" si="251"/>
        <v>61</v>
      </c>
      <c r="AH71" s="2">
        <f t="shared" si="251"/>
        <v>61</v>
      </c>
      <c r="AI71" s="2">
        <f t="shared" si="251"/>
        <v>61</v>
      </c>
      <c r="AJ71" s="2">
        <f t="shared" si="251"/>
        <v>61</v>
      </c>
      <c r="AK71" s="2">
        <f t="shared" si="251"/>
        <v>61</v>
      </c>
      <c r="AL71" s="2">
        <f t="shared" si="251"/>
        <v>61</v>
      </c>
      <c r="AM71" s="2">
        <f t="shared" si="251"/>
        <v>61</v>
      </c>
      <c r="AN71" s="2">
        <f t="shared" si="251"/>
        <v>61</v>
      </c>
      <c r="AO71" s="2">
        <f t="shared" si="251"/>
        <v>61</v>
      </c>
      <c r="AP71" s="2">
        <f t="shared" si="251"/>
        <v>61</v>
      </c>
      <c r="AQ71" s="2">
        <f t="shared" si="251"/>
        <v>61</v>
      </c>
      <c r="AR71" s="2">
        <f t="shared" si="251"/>
        <v>61</v>
      </c>
      <c r="AS71" s="2">
        <f t="shared" si="251"/>
        <v>61</v>
      </c>
      <c r="AT71" s="2">
        <f t="shared" ref="AT71:BI86" si="252">IF(DF8=0,61,DF8)</f>
        <v>61</v>
      </c>
      <c r="AU71" s="2">
        <f t="shared" si="252"/>
        <v>61</v>
      </c>
      <c r="AV71" s="2">
        <f t="shared" si="252"/>
        <v>61</v>
      </c>
      <c r="AW71" s="2">
        <f t="shared" si="252"/>
        <v>61</v>
      </c>
      <c r="AX71" s="2">
        <f t="shared" si="252"/>
        <v>61</v>
      </c>
      <c r="AY71" s="2">
        <f t="shared" si="252"/>
        <v>61</v>
      </c>
      <c r="AZ71" s="2">
        <f t="shared" si="252"/>
        <v>61</v>
      </c>
      <c r="BA71" s="2">
        <f t="shared" si="252"/>
        <v>61</v>
      </c>
      <c r="BB71" s="2">
        <f t="shared" si="252"/>
        <v>61</v>
      </c>
      <c r="BC71" s="2">
        <f t="shared" si="252"/>
        <v>61</v>
      </c>
      <c r="BD71" s="2">
        <f t="shared" si="252"/>
        <v>61</v>
      </c>
      <c r="BE71" s="2">
        <f t="shared" si="252"/>
        <v>61</v>
      </c>
      <c r="BF71" s="2">
        <f t="shared" si="252"/>
        <v>61</v>
      </c>
      <c r="BG71" s="2">
        <f t="shared" si="252"/>
        <v>61</v>
      </c>
      <c r="BH71" s="2">
        <f t="shared" si="252"/>
        <v>61</v>
      </c>
      <c r="BI71" s="2">
        <f t="shared" si="252"/>
        <v>61</v>
      </c>
      <c r="BJ71" s="2">
        <f t="shared" ref="BJ71:BQ102" si="253">IF(DV8=0,61,DV8)</f>
        <v>61</v>
      </c>
      <c r="BK71" s="2">
        <f t="shared" si="253"/>
        <v>61</v>
      </c>
      <c r="BL71" s="2">
        <f t="shared" si="253"/>
        <v>61</v>
      </c>
      <c r="BM71" s="2">
        <f t="shared" si="253"/>
        <v>61</v>
      </c>
      <c r="BN71" s="2">
        <f t="shared" si="253"/>
        <v>61</v>
      </c>
      <c r="BO71" s="2">
        <f t="shared" si="253"/>
        <v>61</v>
      </c>
      <c r="BP71" s="2">
        <f t="shared" si="253"/>
        <v>61</v>
      </c>
      <c r="BQ71" s="2">
        <f t="shared" si="253"/>
        <v>61</v>
      </c>
    </row>
    <row r="72" spans="2:139" hidden="1" x14ac:dyDescent="0.3">
      <c r="B72" s="21" t="str">
        <f t="shared" si="248"/>
        <v/>
      </c>
      <c r="G72" s="2"/>
      <c r="H72" s="2"/>
      <c r="I72" s="2"/>
      <c r="J72" s="2">
        <f t="shared" si="250"/>
        <v>61</v>
      </c>
      <c r="K72" s="2">
        <f t="shared" si="250"/>
        <v>61</v>
      </c>
      <c r="L72" s="2">
        <f t="shared" si="250"/>
        <v>61</v>
      </c>
      <c r="M72" s="2">
        <f t="shared" si="250"/>
        <v>61</v>
      </c>
      <c r="N72" s="2">
        <f t="shared" si="250"/>
        <v>61</v>
      </c>
      <c r="O72" s="2">
        <f t="shared" si="250"/>
        <v>61</v>
      </c>
      <c r="P72" s="2">
        <f t="shared" si="250"/>
        <v>61</v>
      </c>
      <c r="Q72" s="2">
        <f t="shared" si="250"/>
        <v>61</v>
      </c>
      <c r="R72" s="2">
        <f t="shared" si="250"/>
        <v>61</v>
      </c>
      <c r="S72" s="2">
        <f t="shared" si="250"/>
        <v>61</v>
      </c>
      <c r="T72" s="2">
        <f t="shared" si="250"/>
        <v>61</v>
      </c>
      <c r="U72" s="2">
        <f t="shared" si="250"/>
        <v>61</v>
      </c>
      <c r="V72" s="2">
        <f t="shared" si="250"/>
        <v>61</v>
      </c>
      <c r="W72" s="2">
        <f t="shared" si="250"/>
        <v>61</v>
      </c>
      <c r="X72" s="2">
        <f t="shared" si="250"/>
        <v>61</v>
      </c>
      <c r="Y72" s="2">
        <f t="shared" si="250"/>
        <v>61</v>
      </c>
      <c r="Z72" s="2">
        <f t="shared" ref="Z72:AO99" si="254">IF(CL9=0,61,CL9)</f>
        <v>61</v>
      </c>
      <c r="AA72" s="2">
        <f t="shared" si="254"/>
        <v>61</v>
      </c>
      <c r="AB72" s="2">
        <f t="shared" si="254"/>
        <v>61</v>
      </c>
      <c r="AC72" s="2">
        <f t="shared" si="254"/>
        <v>61</v>
      </c>
      <c r="AD72" s="2">
        <f t="shared" si="251"/>
        <v>61</v>
      </c>
      <c r="AE72" s="2">
        <f t="shared" si="251"/>
        <v>61</v>
      </c>
      <c r="AF72" s="2">
        <f t="shared" si="251"/>
        <v>61</v>
      </c>
      <c r="AG72" s="2">
        <f t="shared" si="251"/>
        <v>61</v>
      </c>
      <c r="AH72" s="2">
        <f t="shared" si="251"/>
        <v>61</v>
      </c>
      <c r="AI72" s="2">
        <f t="shared" si="251"/>
        <v>61</v>
      </c>
      <c r="AJ72" s="2">
        <f t="shared" si="251"/>
        <v>61</v>
      </c>
      <c r="AK72" s="2">
        <f t="shared" si="251"/>
        <v>61</v>
      </c>
      <c r="AL72" s="2">
        <f t="shared" si="251"/>
        <v>61</v>
      </c>
      <c r="AM72" s="2">
        <f t="shared" si="251"/>
        <v>61</v>
      </c>
      <c r="AN72" s="2">
        <f t="shared" si="251"/>
        <v>61</v>
      </c>
      <c r="AO72" s="2">
        <f t="shared" si="251"/>
        <v>61</v>
      </c>
      <c r="AP72" s="2">
        <f t="shared" si="251"/>
        <v>61</v>
      </c>
      <c r="AQ72" s="2">
        <f t="shared" si="251"/>
        <v>61</v>
      </c>
      <c r="AR72" s="2">
        <f t="shared" si="251"/>
        <v>61</v>
      </c>
      <c r="AS72" s="2">
        <f t="shared" si="251"/>
        <v>61</v>
      </c>
      <c r="AT72" s="2">
        <f t="shared" si="252"/>
        <v>61</v>
      </c>
      <c r="AU72" s="2">
        <f t="shared" si="252"/>
        <v>61</v>
      </c>
      <c r="AV72" s="2">
        <f t="shared" si="252"/>
        <v>61</v>
      </c>
      <c r="AW72" s="2">
        <f t="shared" si="252"/>
        <v>61</v>
      </c>
      <c r="AX72" s="2">
        <f t="shared" si="252"/>
        <v>61</v>
      </c>
      <c r="AY72" s="2">
        <f t="shared" si="252"/>
        <v>61</v>
      </c>
      <c r="AZ72" s="2">
        <f t="shared" si="252"/>
        <v>61</v>
      </c>
      <c r="BA72" s="2">
        <f t="shared" si="252"/>
        <v>61</v>
      </c>
      <c r="BB72" s="2">
        <f t="shared" si="252"/>
        <v>61</v>
      </c>
      <c r="BC72" s="2">
        <f t="shared" si="252"/>
        <v>61</v>
      </c>
      <c r="BD72" s="2">
        <f t="shared" si="252"/>
        <v>61</v>
      </c>
      <c r="BE72" s="2">
        <f t="shared" si="252"/>
        <v>61</v>
      </c>
      <c r="BF72" s="2">
        <f t="shared" si="252"/>
        <v>61</v>
      </c>
      <c r="BG72" s="2">
        <f t="shared" si="252"/>
        <v>61</v>
      </c>
      <c r="BH72" s="2">
        <f t="shared" si="252"/>
        <v>61</v>
      </c>
      <c r="BI72" s="2">
        <f t="shared" si="252"/>
        <v>61</v>
      </c>
      <c r="BJ72" s="2">
        <f t="shared" si="253"/>
        <v>61</v>
      </c>
      <c r="BK72" s="2">
        <f t="shared" si="253"/>
        <v>61</v>
      </c>
      <c r="BL72" s="2">
        <f t="shared" si="253"/>
        <v>61</v>
      </c>
      <c r="BM72" s="2">
        <f t="shared" si="253"/>
        <v>61</v>
      </c>
      <c r="BN72" s="2">
        <f t="shared" si="253"/>
        <v>61</v>
      </c>
      <c r="BO72" s="2">
        <f t="shared" si="253"/>
        <v>61</v>
      </c>
      <c r="BP72" s="2">
        <f t="shared" si="253"/>
        <v>61</v>
      </c>
      <c r="BQ72" s="2">
        <f t="shared" si="253"/>
        <v>61</v>
      </c>
    </row>
    <row r="73" spans="2:139" hidden="1" x14ac:dyDescent="0.3">
      <c r="B73" s="21" t="str">
        <f t="shared" si="248"/>
        <v/>
      </c>
      <c r="G73" s="2"/>
      <c r="H73" s="2"/>
      <c r="I73" s="2"/>
      <c r="J73" s="2">
        <f t="shared" si="250"/>
        <v>61</v>
      </c>
      <c r="K73" s="2">
        <f t="shared" si="250"/>
        <v>61</v>
      </c>
      <c r="L73" s="2">
        <f t="shared" si="250"/>
        <v>61</v>
      </c>
      <c r="M73" s="2">
        <f t="shared" si="250"/>
        <v>61</v>
      </c>
      <c r="N73" s="2">
        <f t="shared" si="250"/>
        <v>61</v>
      </c>
      <c r="O73" s="2">
        <f t="shared" si="250"/>
        <v>61</v>
      </c>
      <c r="P73" s="2">
        <f t="shared" si="250"/>
        <v>61</v>
      </c>
      <c r="Q73" s="2">
        <f t="shared" si="250"/>
        <v>61</v>
      </c>
      <c r="R73" s="2">
        <f t="shared" si="250"/>
        <v>61</v>
      </c>
      <c r="S73" s="2">
        <f t="shared" si="250"/>
        <v>61</v>
      </c>
      <c r="T73" s="2">
        <f t="shared" si="250"/>
        <v>61</v>
      </c>
      <c r="U73" s="2">
        <f t="shared" si="250"/>
        <v>61</v>
      </c>
      <c r="V73" s="2">
        <f t="shared" si="250"/>
        <v>61</v>
      </c>
      <c r="W73" s="2">
        <f t="shared" si="250"/>
        <v>61</v>
      </c>
      <c r="X73" s="2">
        <f t="shared" si="250"/>
        <v>61</v>
      </c>
      <c r="Y73" s="2">
        <f t="shared" si="250"/>
        <v>61</v>
      </c>
      <c r="Z73" s="2">
        <f t="shared" si="254"/>
        <v>61</v>
      </c>
      <c r="AA73" s="2">
        <f t="shared" si="254"/>
        <v>61</v>
      </c>
      <c r="AB73" s="2">
        <f t="shared" si="254"/>
        <v>61</v>
      </c>
      <c r="AC73" s="2">
        <f t="shared" si="254"/>
        <v>61</v>
      </c>
      <c r="AD73" s="2">
        <f t="shared" si="251"/>
        <v>61</v>
      </c>
      <c r="AE73" s="2">
        <f t="shared" si="251"/>
        <v>61</v>
      </c>
      <c r="AF73" s="2">
        <f t="shared" si="251"/>
        <v>61</v>
      </c>
      <c r="AG73" s="2">
        <f t="shared" si="251"/>
        <v>61</v>
      </c>
      <c r="AH73" s="2">
        <f t="shared" si="251"/>
        <v>61</v>
      </c>
      <c r="AI73" s="2">
        <f t="shared" si="251"/>
        <v>61</v>
      </c>
      <c r="AJ73" s="2">
        <f t="shared" si="251"/>
        <v>61</v>
      </c>
      <c r="AK73" s="2">
        <f t="shared" si="251"/>
        <v>61</v>
      </c>
      <c r="AL73" s="2">
        <f t="shared" si="251"/>
        <v>61</v>
      </c>
      <c r="AM73" s="2">
        <f t="shared" si="251"/>
        <v>61</v>
      </c>
      <c r="AN73" s="2">
        <f t="shared" si="251"/>
        <v>61</v>
      </c>
      <c r="AO73" s="2">
        <f t="shared" si="251"/>
        <v>61</v>
      </c>
      <c r="AP73" s="2">
        <f t="shared" si="251"/>
        <v>61</v>
      </c>
      <c r="AQ73" s="2">
        <f t="shared" si="251"/>
        <v>61</v>
      </c>
      <c r="AR73" s="2">
        <f t="shared" si="251"/>
        <v>61</v>
      </c>
      <c r="AS73" s="2">
        <f t="shared" si="251"/>
        <v>61</v>
      </c>
      <c r="AT73" s="2">
        <f t="shared" si="252"/>
        <v>61</v>
      </c>
      <c r="AU73" s="2">
        <f t="shared" si="252"/>
        <v>61</v>
      </c>
      <c r="AV73" s="2">
        <f t="shared" si="252"/>
        <v>61</v>
      </c>
      <c r="AW73" s="2">
        <f t="shared" si="252"/>
        <v>61</v>
      </c>
      <c r="AX73" s="2">
        <f t="shared" si="252"/>
        <v>61</v>
      </c>
      <c r="AY73" s="2">
        <f t="shared" si="252"/>
        <v>61</v>
      </c>
      <c r="AZ73" s="2">
        <f t="shared" si="252"/>
        <v>61</v>
      </c>
      <c r="BA73" s="2">
        <f t="shared" si="252"/>
        <v>61</v>
      </c>
      <c r="BB73" s="2">
        <f t="shared" si="252"/>
        <v>61</v>
      </c>
      <c r="BC73" s="2">
        <f t="shared" si="252"/>
        <v>61</v>
      </c>
      <c r="BD73" s="2">
        <f t="shared" si="252"/>
        <v>61</v>
      </c>
      <c r="BE73" s="2">
        <f t="shared" si="252"/>
        <v>61</v>
      </c>
      <c r="BF73" s="2">
        <f t="shared" si="252"/>
        <v>61</v>
      </c>
      <c r="BG73" s="2">
        <f t="shared" si="252"/>
        <v>61</v>
      </c>
      <c r="BH73" s="2">
        <f t="shared" si="252"/>
        <v>61</v>
      </c>
      <c r="BI73" s="2">
        <f t="shared" si="252"/>
        <v>61</v>
      </c>
      <c r="BJ73" s="2">
        <f t="shared" si="253"/>
        <v>61</v>
      </c>
      <c r="BK73" s="2">
        <f t="shared" si="253"/>
        <v>61</v>
      </c>
      <c r="BL73" s="2">
        <f t="shared" si="253"/>
        <v>61</v>
      </c>
      <c r="BM73" s="2">
        <f t="shared" si="253"/>
        <v>61</v>
      </c>
      <c r="BN73" s="2">
        <f t="shared" si="253"/>
        <v>61</v>
      </c>
      <c r="BO73" s="2">
        <f t="shared" si="253"/>
        <v>61</v>
      </c>
      <c r="BP73" s="2">
        <f t="shared" si="253"/>
        <v>61</v>
      </c>
      <c r="BQ73" s="2">
        <f t="shared" si="253"/>
        <v>61</v>
      </c>
    </row>
    <row r="74" spans="2:139" hidden="1" x14ac:dyDescent="0.3">
      <c r="B74" s="21" t="str">
        <f t="shared" si="248"/>
        <v/>
      </c>
      <c r="G74" s="2"/>
      <c r="H74" s="2"/>
      <c r="I74" s="2"/>
      <c r="J74" s="2">
        <f t="shared" si="250"/>
        <v>61</v>
      </c>
      <c r="K74" s="2">
        <f t="shared" si="250"/>
        <v>61</v>
      </c>
      <c r="L74" s="2">
        <f t="shared" si="250"/>
        <v>61</v>
      </c>
      <c r="M74" s="2">
        <f t="shared" si="250"/>
        <v>61</v>
      </c>
      <c r="N74" s="2">
        <f t="shared" si="250"/>
        <v>61</v>
      </c>
      <c r="O74" s="2">
        <f t="shared" si="250"/>
        <v>61</v>
      </c>
      <c r="P74" s="2">
        <f t="shared" si="250"/>
        <v>61</v>
      </c>
      <c r="Q74" s="2">
        <f t="shared" si="250"/>
        <v>61</v>
      </c>
      <c r="R74" s="2">
        <f t="shared" si="250"/>
        <v>61</v>
      </c>
      <c r="S74" s="2">
        <f t="shared" si="250"/>
        <v>61</v>
      </c>
      <c r="T74" s="2">
        <f t="shared" si="250"/>
        <v>61</v>
      </c>
      <c r="U74" s="2">
        <f t="shared" si="250"/>
        <v>61</v>
      </c>
      <c r="V74" s="2">
        <f t="shared" si="250"/>
        <v>61</v>
      </c>
      <c r="W74" s="2">
        <f t="shared" si="250"/>
        <v>61</v>
      </c>
      <c r="X74" s="2">
        <f t="shared" si="250"/>
        <v>61</v>
      </c>
      <c r="Y74" s="2">
        <f t="shared" si="250"/>
        <v>61</v>
      </c>
      <c r="Z74" s="2">
        <f t="shared" si="254"/>
        <v>61</v>
      </c>
      <c r="AA74" s="2">
        <f t="shared" si="254"/>
        <v>61</v>
      </c>
      <c r="AB74" s="2">
        <f t="shared" si="254"/>
        <v>61</v>
      </c>
      <c r="AC74" s="2">
        <f t="shared" si="254"/>
        <v>61</v>
      </c>
      <c r="AD74" s="2">
        <f t="shared" si="251"/>
        <v>61</v>
      </c>
      <c r="AE74" s="2">
        <f t="shared" si="251"/>
        <v>61</v>
      </c>
      <c r="AF74" s="2">
        <f t="shared" si="251"/>
        <v>61</v>
      </c>
      <c r="AG74" s="2">
        <f t="shared" si="251"/>
        <v>61</v>
      </c>
      <c r="AH74" s="2">
        <f t="shared" si="251"/>
        <v>61</v>
      </c>
      <c r="AI74" s="2">
        <f t="shared" si="251"/>
        <v>61</v>
      </c>
      <c r="AJ74" s="2">
        <f t="shared" si="251"/>
        <v>61</v>
      </c>
      <c r="AK74" s="2">
        <f t="shared" si="251"/>
        <v>61</v>
      </c>
      <c r="AL74" s="2">
        <f t="shared" si="251"/>
        <v>61</v>
      </c>
      <c r="AM74" s="2">
        <f t="shared" si="251"/>
        <v>61</v>
      </c>
      <c r="AN74" s="2">
        <f t="shared" si="251"/>
        <v>61</v>
      </c>
      <c r="AO74" s="2">
        <f t="shared" si="251"/>
        <v>61</v>
      </c>
      <c r="AP74" s="2">
        <f t="shared" si="251"/>
        <v>61</v>
      </c>
      <c r="AQ74" s="2">
        <f t="shared" si="251"/>
        <v>61</v>
      </c>
      <c r="AR74" s="2">
        <f t="shared" si="251"/>
        <v>61</v>
      </c>
      <c r="AS74" s="2">
        <f t="shared" si="251"/>
        <v>61</v>
      </c>
      <c r="AT74" s="2">
        <f t="shared" si="252"/>
        <v>61</v>
      </c>
      <c r="AU74" s="2">
        <f t="shared" si="252"/>
        <v>61</v>
      </c>
      <c r="AV74" s="2">
        <f t="shared" si="252"/>
        <v>61</v>
      </c>
      <c r="AW74" s="2">
        <f t="shared" si="252"/>
        <v>61</v>
      </c>
      <c r="AX74" s="2">
        <f t="shared" si="252"/>
        <v>61</v>
      </c>
      <c r="AY74" s="2">
        <f t="shared" si="252"/>
        <v>61</v>
      </c>
      <c r="AZ74" s="2">
        <f t="shared" si="252"/>
        <v>61</v>
      </c>
      <c r="BA74" s="2">
        <f t="shared" si="252"/>
        <v>61</v>
      </c>
      <c r="BB74" s="2">
        <f t="shared" si="252"/>
        <v>61</v>
      </c>
      <c r="BC74" s="2">
        <f t="shared" si="252"/>
        <v>61</v>
      </c>
      <c r="BD74" s="2">
        <f t="shared" si="252"/>
        <v>61</v>
      </c>
      <c r="BE74" s="2">
        <f t="shared" si="252"/>
        <v>61</v>
      </c>
      <c r="BF74" s="2">
        <f t="shared" si="252"/>
        <v>61</v>
      </c>
      <c r="BG74" s="2">
        <f t="shared" si="252"/>
        <v>61</v>
      </c>
      <c r="BH74" s="2">
        <f t="shared" si="252"/>
        <v>61</v>
      </c>
      <c r="BI74" s="2">
        <f t="shared" si="252"/>
        <v>61</v>
      </c>
      <c r="BJ74" s="2">
        <f t="shared" si="253"/>
        <v>61</v>
      </c>
      <c r="BK74" s="2">
        <f t="shared" si="253"/>
        <v>61</v>
      </c>
      <c r="BL74" s="2">
        <f t="shared" si="253"/>
        <v>61</v>
      </c>
      <c r="BM74" s="2">
        <f t="shared" si="253"/>
        <v>61</v>
      </c>
      <c r="BN74" s="2">
        <f t="shared" si="253"/>
        <v>61</v>
      </c>
      <c r="BO74" s="2">
        <f t="shared" si="253"/>
        <v>61</v>
      </c>
      <c r="BP74" s="2">
        <f t="shared" si="253"/>
        <v>61</v>
      </c>
      <c r="BQ74" s="2">
        <f t="shared" si="253"/>
        <v>61</v>
      </c>
    </row>
    <row r="75" spans="2:139" hidden="1" x14ac:dyDescent="0.3">
      <c r="B75" s="21" t="str">
        <f t="shared" si="248"/>
        <v/>
      </c>
      <c r="G75" s="2"/>
      <c r="H75" s="2"/>
      <c r="I75" s="2"/>
      <c r="J75" s="2">
        <f t="shared" si="250"/>
        <v>61</v>
      </c>
      <c r="K75" s="2">
        <f t="shared" si="250"/>
        <v>61</v>
      </c>
      <c r="L75" s="2">
        <f t="shared" si="250"/>
        <v>61</v>
      </c>
      <c r="M75" s="2">
        <f t="shared" si="250"/>
        <v>61</v>
      </c>
      <c r="N75" s="2">
        <f t="shared" si="250"/>
        <v>61</v>
      </c>
      <c r="O75" s="2">
        <f t="shared" si="250"/>
        <v>61</v>
      </c>
      <c r="P75" s="2">
        <f t="shared" si="250"/>
        <v>61</v>
      </c>
      <c r="Q75" s="2">
        <f t="shared" si="250"/>
        <v>61</v>
      </c>
      <c r="R75" s="2">
        <f t="shared" si="250"/>
        <v>61</v>
      </c>
      <c r="S75" s="2">
        <f t="shared" si="250"/>
        <v>61</v>
      </c>
      <c r="T75" s="2">
        <f t="shared" si="250"/>
        <v>61</v>
      </c>
      <c r="U75" s="2">
        <f t="shared" si="250"/>
        <v>61</v>
      </c>
      <c r="V75" s="2">
        <f t="shared" si="250"/>
        <v>61</v>
      </c>
      <c r="W75" s="2">
        <f t="shared" si="250"/>
        <v>61</v>
      </c>
      <c r="X75" s="2">
        <f t="shared" si="250"/>
        <v>61</v>
      </c>
      <c r="Y75" s="2">
        <f t="shared" si="250"/>
        <v>61</v>
      </c>
      <c r="Z75" s="2">
        <f t="shared" si="254"/>
        <v>61</v>
      </c>
      <c r="AA75" s="2">
        <f t="shared" si="254"/>
        <v>61</v>
      </c>
      <c r="AB75" s="2">
        <f t="shared" si="254"/>
        <v>61</v>
      </c>
      <c r="AC75" s="2">
        <f t="shared" si="254"/>
        <v>61</v>
      </c>
      <c r="AD75" s="2">
        <f t="shared" si="251"/>
        <v>61</v>
      </c>
      <c r="AE75" s="2">
        <f t="shared" si="251"/>
        <v>61</v>
      </c>
      <c r="AF75" s="2">
        <f t="shared" si="251"/>
        <v>61</v>
      </c>
      <c r="AG75" s="2">
        <f t="shared" si="251"/>
        <v>61</v>
      </c>
      <c r="AH75" s="2">
        <f t="shared" si="251"/>
        <v>61</v>
      </c>
      <c r="AI75" s="2">
        <f t="shared" si="251"/>
        <v>61</v>
      </c>
      <c r="AJ75" s="2">
        <f t="shared" si="251"/>
        <v>61</v>
      </c>
      <c r="AK75" s="2">
        <f t="shared" si="251"/>
        <v>61</v>
      </c>
      <c r="AL75" s="2">
        <f t="shared" si="251"/>
        <v>61</v>
      </c>
      <c r="AM75" s="2">
        <f t="shared" si="251"/>
        <v>61</v>
      </c>
      <c r="AN75" s="2">
        <f t="shared" si="251"/>
        <v>61</v>
      </c>
      <c r="AO75" s="2">
        <f t="shared" si="251"/>
        <v>61</v>
      </c>
      <c r="AP75" s="2">
        <f t="shared" si="251"/>
        <v>61</v>
      </c>
      <c r="AQ75" s="2">
        <f t="shared" si="251"/>
        <v>61</v>
      </c>
      <c r="AR75" s="2">
        <f t="shared" si="251"/>
        <v>61</v>
      </c>
      <c r="AS75" s="2">
        <f t="shared" si="251"/>
        <v>61</v>
      </c>
      <c r="AT75" s="2">
        <f t="shared" si="252"/>
        <v>61</v>
      </c>
      <c r="AU75" s="2">
        <f t="shared" si="252"/>
        <v>61</v>
      </c>
      <c r="AV75" s="2">
        <f t="shared" si="252"/>
        <v>61</v>
      </c>
      <c r="AW75" s="2">
        <f t="shared" si="252"/>
        <v>61</v>
      </c>
      <c r="AX75" s="2">
        <f t="shared" si="252"/>
        <v>61</v>
      </c>
      <c r="AY75" s="2">
        <f t="shared" si="252"/>
        <v>61</v>
      </c>
      <c r="AZ75" s="2">
        <f t="shared" si="252"/>
        <v>61</v>
      </c>
      <c r="BA75" s="2">
        <f t="shared" si="252"/>
        <v>61</v>
      </c>
      <c r="BB75" s="2">
        <f t="shared" si="252"/>
        <v>61</v>
      </c>
      <c r="BC75" s="2">
        <f t="shared" si="252"/>
        <v>61</v>
      </c>
      <c r="BD75" s="2">
        <f t="shared" si="252"/>
        <v>61</v>
      </c>
      <c r="BE75" s="2">
        <f t="shared" si="252"/>
        <v>61</v>
      </c>
      <c r="BF75" s="2">
        <f t="shared" si="252"/>
        <v>61</v>
      </c>
      <c r="BG75" s="2">
        <f t="shared" si="252"/>
        <v>61</v>
      </c>
      <c r="BH75" s="2">
        <f t="shared" si="252"/>
        <v>61</v>
      </c>
      <c r="BI75" s="2">
        <f t="shared" si="252"/>
        <v>61</v>
      </c>
      <c r="BJ75" s="2">
        <f t="shared" si="253"/>
        <v>61</v>
      </c>
      <c r="BK75" s="2">
        <f t="shared" si="253"/>
        <v>61</v>
      </c>
      <c r="BL75" s="2">
        <f t="shared" si="253"/>
        <v>61</v>
      </c>
      <c r="BM75" s="2">
        <f t="shared" si="253"/>
        <v>61</v>
      </c>
      <c r="BN75" s="2">
        <f t="shared" si="253"/>
        <v>61</v>
      </c>
      <c r="BO75" s="2">
        <f t="shared" si="253"/>
        <v>61</v>
      </c>
      <c r="BP75" s="2">
        <f t="shared" si="253"/>
        <v>61</v>
      </c>
      <c r="BQ75" s="2">
        <f t="shared" si="253"/>
        <v>61</v>
      </c>
    </row>
    <row r="76" spans="2:139" hidden="1" x14ac:dyDescent="0.3">
      <c r="B76" s="21" t="str">
        <f t="shared" si="248"/>
        <v/>
      </c>
      <c r="G76" s="2"/>
      <c r="H76" s="2"/>
      <c r="I76" s="2"/>
      <c r="J76" s="2">
        <f t="shared" si="250"/>
        <v>61</v>
      </c>
      <c r="K76" s="2">
        <f t="shared" si="250"/>
        <v>61</v>
      </c>
      <c r="L76" s="2">
        <f t="shared" si="250"/>
        <v>61</v>
      </c>
      <c r="M76" s="2">
        <f t="shared" si="250"/>
        <v>61</v>
      </c>
      <c r="N76" s="2">
        <f t="shared" si="250"/>
        <v>61</v>
      </c>
      <c r="O76" s="2">
        <f t="shared" si="250"/>
        <v>61</v>
      </c>
      <c r="P76" s="2">
        <f t="shared" si="250"/>
        <v>61</v>
      </c>
      <c r="Q76" s="2">
        <f t="shared" si="250"/>
        <v>61</v>
      </c>
      <c r="R76" s="2">
        <f t="shared" si="250"/>
        <v>61</v>
      </c>
      <c r="S76" s="2">
        <f t="shared" si="250"/>
        <v>61</v>
      </c>
      <c r="T76" s="2">
        <f t="shared" si="250"/>
        <v>61</v>
      </c>
      <c r="U76" s="2">
        <f t="shared" si="250"/>
        <v>61</v>
      </c>
      <c r="V76" s="2">
        <f t="shared" si="250"/>
        <v>61</v>
      </c>
      <c r="W76" s="2">
        <f t="shared" si="250"/>
        <v>61</v>
      </c>
      <c r="X76" s="2">
        <f t="shared" si="250"/>
        <v>61</v>
      </c>
      <c r="Y76" s="2">
        <f t="shared" si="250"/>
        <v>61</v>
      </c>
      <c r="Z76" s="2">
        <f t="shared" si="254"/>
        <v>61</v>
      </c>
      <c r="AA76" s="2">
        <f t="shared" si="254"/>
        <v>61</v>
      </c>
      <c r="AB76" s="2">
        <f t="shared" si="254"/>
        <v>61</v>
      </c>
      <c r="AC76" s="2">
        <f t="shared" si="254"/>
        <v>61</v>
      </c>
      <c r="AD76" s="2">
        <f t="shared" si="251"/>
        <v>61</v>
      </c>
      <c r="AE76" s="2">
        <f t="shared" si="251"/>
        <v>61</v>
      </c>
      <c r="AF76" s="2">
        <f t="shared" si="251"/>
        <v>61</v>
      </c>
      <c r="AG76" s="2">
        <f t="shared" si="251"/>
        <v>61</v>
      </c>
      <c r="AH76" s="2">
        <f t="shared" si="251"/>
        <v>61</v>
      </c>
      <c r="AI76" s="2">
        <f t="shared" si="251"/>
        <v>61</v>
      </c>
      <c r="AJ76" s="2">
        <f t="shared" si="251"/>
        <v>61</v>
      </c>
      <c r="AK76" s="2">
        <f t="shared" si="251"/>
        <v>61</v>
      </c>
      <c r="AL76" s="2">
        <f t="shared" si="251"/>
        <v>61</v>
      </c>
      <c r="AM76" s="2">
        <f t="shared" si="251"/>
        <v>61</v>
      </c>
      <c r="AN76" s="2">
        <f t="shared" si="251"/>
        <v>61</v>
      </c>
      <c r="AO76" s="2">
        <f t="shared" si="251"/>
        <v>61</v>
      </c>
      <c r="AP76" s="2">
        <f t="shared" si="251"/>
        <v>61</v>
      </c>
      <c r="AQ76" s="2">
        <f t="shared" si="251"/>
        <v>61</v>
      </c>
      <c r="AR76" s="2">
        <f t="shared" si="251"/>
        <v>61</v>
      </c>
      <c r="AS76" s="2">
        <f t="shared" si="251"/>
        <v>61</v>
      </c>
      <c r="AT76" s="2">
        <f t="shared" si="252"/>
        <v>61</v>
      </c>
      <c r="AU76" s="2">
        <f t="shared" si="252"/>
        <v>61</v>
      </c>
      <c r="AV76" s="2">
        <f t="shared" si="252"/>
        <v>61</v>
      </c>
      <c r="AW76" s="2">
        <f t="shared" si="252"/>
        <v>61</v>
      </c>
      <c r="AX76" s="2">
        <f t="shared" si="252"/>
        <v>61</v>
      </c>
      <c r="AY76" s="2">
        <f t="shared" si="252"/>
        <v>61</v>
      </c>
      <c r="AZ76" s="2">
        <f t="shared" si="252"/>
        <v>61</v>
      </c>
      <c r="BA76" s="2">
        <f t="shared" si="252"/>
        <v>61</v>
      </c>
      <c r="BB76" s="2">
        <f t="shared" si="252"/>
        <v>61</v>
      </c>
      <c r="BC76" s="2">
        <f t="shared" si="252"/>
        <v>61</v>
      </c>
      <c r="BD76" s="2">
        <f t="shared" si="252"/>
        <v>61</v>
      </c>
      <c r="BE76" s="2">
        <f t="shared" si="252"/>
        <v>61</v>
      </c>
      <c r="BF76" s="2">
        <f t="shared" si="252"/>
        <v>61</v>
      </c>
      <c r="BG76" s="2">
        <f t="shared" si="252"/>
        <v>61</v>
      </c>
      <c r="BH76" s="2">
        <f t="shared" si="252"/>
        <v>61</v>
      </c>
      <c r="BI76" s="2">
        <f t="shared" si="252"/>
        <v>61</v>
      </c>
      <c r="BJ76" s="2">
        <f t="shared" si="253"/>
        <v>61</v>
      </c>
      <c r="BK76" s="2">
        <f t="shared" si="253"/>
        <v>61</v>
      </c>
      <c r="BL76" s="2">
        <f t="shared" si="253"/>
        <v>61</v>
      </c>
      <c r="BM76" s="2">
        <f t="shared" si="253"/>
        <v>61</v>
      </c>
      <c r="BN76" s="2">
        <f t="shared" si="253"/>
        <v>61</v>
      </c>
      <c r="BO76" s="2">
        <f t="shared" si="253"/>
        <v>61</v>
      </c>
      <c r="BP76" s="2">
        <f t="shared" si="253"/>
        <v>61</v>
      </c>
      <c r="BQ76" s="2">
        <f t="shared" si="253"/>
        <v>61</v>
      </c>
    </row>
    <row r="77" spans="2:139" hidden="1" x14ac:dyDescent="0.3">
      <c r="B77" s="21" t="str">
        <f t="shared" si="248"/>
        <v/>
      </c>
      <c r="G77" s="2"/>
      <c r="H77" s="2"/>
      <c r="I77" s="2"/>
      <c r="J77" s="2">
        <f t="shared" si="250"/>
        <v>61</v>
      </c>
      <c r="K77" s="2">
        <f t="shared" si="250"/>
        <v>61</v>
      </c>
      <c r="L77" s="2">
        <f t="shared" si="250"/>
        <v>61</v>
      </c>
      <c r="M77" s="2">
        <f t="shared" si="250"/>
        <v>61</v>
      </c>
      <c r="N77" s="2">
        <f t="shared" si="250"/>
        <v>61</v>
      </c>
      <c r="O77" s="2">
        <f t="shared" si="250"/>
        <v>61</v>
      </c>
      <c r="P77" s="2">
        <f t="shared" si="250"/>
        <v>61</v>
      </c>
      <c r="Q77" s="2">
        <f t="shared" si="250"/>
        <v>61</v>
      </c>
      <c r="R77" s="2">
        <f t="shared" si="250"/>
        <v>61</v>
      </c>
      <c r="S77" s="2">
        <f t="shared" si="250"/>
        <v>61</v>
      </c>
      <c r="T77" s="2">
        <f t="shared" si="250"/>
        <v>61</v>
      </c>
      <c r="U77" s="2">
        <f t="shared" si="250"/>
        <v>61</v>
      </c>
      <c r="V77" s="2">
        <f t="shared" si="250"/>
        <v>61</v>
      </c>
      <c r="W77" s="2">
        <f t="shared" si="250"/>
        <v>61</v>
      </c>
      <c r="X77" s="2">
        <f t="shared" si="250"/>
        <v>61</v>
      </c>
      <c r="Y77" s="2">
        <f t="shared" si="250"/>
        <v>61</v>
      </c>
      <c r="Z77" s="2">
        <f t="shared" si="254"/>
        <v>61</v>
      </c>
      <c r="AA77" s="2">
        <f t="shared" si="254"/>
        <v>61</v>
      </c>
      <c r="AB77" s="2">
        <f t="shared" si="254"/>
        <v>61</v>
      </c>
      <c r="AC77" s="2">
        <f t="shared" si="254"/>
        <v>61</v>
      </c>
      <c r="AD77" s="2">
        <f t="shared" si="251"/>
        <v>61</v>
      </c>
      <c r="AE77" s="2">
        <f t="shared" si="251"/>
        <v>61</v>
      </c>
      <c r="AF77" s="2">
        <f t="shared" si="251"/>
        <v>61</v>
      </c>
      <c r="AG77" s="2">
        <f t="shared" si="251"/>
        <v>61</v>
      </c>
      <c r="AH77" s="2">
        <f t="shared" si="251"/>
        <v>61</v>
      </c>
      <c r="AI77" s="2">
        <f t="shared" si="251"/>
        <v>61</v>
      </c>
      <c r="AJ77" s="2">
        <f t="shared" si="251"/>
        <v>61</v>
      </c>
      <c r="AK77" s="2">
        <f t="shared" si="251"/>
        <v>61</v>
      </c>
      <c r="AL77" s="2">
        <f t="shared" si="251"/>
        <v>61</v>
      </c>
      <c r="AM77" s="2">
        <f t="shared" si="251"/>
        <v>61</v>
      </c>
      <c r="AN77" s="2">
        <f t="shared" si="251"/>
        <v>61</v>
      </c>
      <c r="AO77" s="2">
        <f t="shared" si="251"/>
        <v>61</v>
      </c>
      <c r="AP77" s="2">
        <f t="shared" si="251"/>
        <v>61</v>
      </c>
      <c r="AQ77" s="2">
        <f t="shared" si="251"/>
        <v>61</v>
      </c>
      <c r="AR77" s="2">
        <f t="shared" si="251"/>
        <v>61</v>
      </c>
      <c r="AS77" s="2">
        <f t="shared" si="251"/>
        <v>61</v>
      </c>
      <c r="AT77" s="2">
        <f t="shared" si="252"/>
        <v>61</v>
      </c>
      <c r="AU77" s="2">
        <f t="shared" si="252"/>
        <v>61</v>
      </c>
      <c r="AV77" s="2">
        <f t="shared" si="252"/>
        <v>61</v>
      </c>
      <c r="AW77" s="2">
        <f t="shared" si="252"/>
        <v>61</v>
      </c>
      <c r="AX77" s="2">
        <f t="shared" si="252"/>
        <v>61</v>
      </c>
      <c r="AY77" s="2">
        <f t="shared" si="252"/>
        <v>61</v>
      </c>
      <c r="AZ77" s="2">
        <f t="shared" si="252"/>
        <v>61</v>
      </c>
      <c r="BA77" s="2">
        <f t="shared" si="252"/>
        <v>61</v>
      </c>
      <c r="BB77" s="2">
        <f t="shared" si="252"/>
        <v>61</v>
      </c>
      <c r="BC77" s="2">
        <f t="shared" si="252"/>
        <v>61</v>
      </c>
      <c r="BD77" s="2">
        <f t="shared" si="252"/>
        <v>61</v>
      </c>
      <c r="BE77" s="2">
        <f t="shared" si="252"/>
        <v>61</v>
      </c>
      <c r="BF77" s="2">
        <f t="shared" si="252"/>
        <v>61</v>
      </c>
      <c r="BG77" s="2">
        <f t="shared" si="252"/>
        <v>61</v>
      </c>
      <c r="BH77" s="2">
        <f t="shared" si="252"/>
        <v>61</v>
      </c>
      <c r="BI77" s="2">
        <f t="shared" si="252"/>
        <v>61</v>
      </c>
      <c r="BJ77" s="2">
        <f t="shared" si="253"/>
        <v>61</v>
      </c>
      <c r="BK77" s="2">
        <f t="shared" si="253"/>
        <v>61</v>
      </c>
      <c r="BL77" s="2">
        <f t="shared" si="253"/>
        <v>61</v>
      </c>
      <c r="BM77" s="2">
        <f t="shared" si="253"/>
        <v>61</v>
      </c>
      <c r="BN77" s="2">
        <f t="shared" si="253"/>
        <v>61</v>
      </c>
      <c r="BO77" s="2">
        <f t="shared" si="253"/>
        <v>61</v>
      </c>
      <c r="BP77" s="2">
        <f t="shared" si="253"/>
        <v>61</v>
      </c>
      <c r="BQ77" s="2">
        <f t="shared" si="253"/>
        <v>61</v>
      </c>
    </row>
    <row r="78" spans="2:139" hidden="1" x14ac:dyDescent="0.3">
      <c r="B78" s="21" t="str">
        <f t="shared" si="248"/>
        <v/>
      </c>
      <c r="G78" s="2"/>
      <c r="H78" s="2"/>
      <c r="I78" s="2"/>
      <c r="J78" s="2">
        <f t="shared" si="250"/>
        <v>61</v>
      </c>
      <c r="K78" s="2">
        <f t="shared" si="250"/>
        <v>61</v>
      </c>
      <c r="L78" s="2">
        <f t="shared" si="250"/>
        <v>61</v>
      </c>
      <c r="M78" s="2">
        <f t="shared" si="250"/>
        <v>61</v>
      </c>
      <c r="N78" s="2">
        <f t="shared" si="250"/>
        <v>61</v>
      </c>
      <c r="O78" s="2">
        <f t="shared" si="250"/>
        <v>61</v>
      </c>
      <c r="P78" s="2">
        <f t="shared" si="250"/>
        <v>61</v>
      </c>
      <c r="Q78" s="2">
        <f t="shared" si="250"/>
        <v>61</v>
      </c>
      <c r="R78" s="2">
        <f t="shared" si="250"/>
        <v>61</v>
      </c>
      <c r="S78" s="2">
        <f t="shared" si="250"/>
        <v>61</v>
      </c>
      <c r="T78" s="2">
        <f t="shared" si="250"/>
        <v>61</v>
      </c>
      <c r="U78" s="2">
        <f t="shared" si="250"/>
        <v>61</v>
      </c>
      <c r="V78" s="2">
        <f t="shared" si="250"/>
        <v>61</v>
      </c>
      <c r="W78" s="2">
        <f t="shared" si="250"/>
        <v>61</v>
      </c>
      <c r="X78" s="2">
        <f t="shared" si="250"/>
        <v>61</v>
      </c>
      <c r="Y78" s="2">
        <f t="shared" si="250"/>
        <v>61</v>
      </c>
      <c r="Z78" s="2">
        <f t="shared" si="254"/>
        <v>61</v>
      </c>
      <c r="AA78" s="2">
        <f t="shared" si="254"/>
        <v>61</v>
      </c>
      <c r="AB78" s="2">
        <f t="shared" si="254"/>
        <v>61</v>
      </c>
      <c r="AC78" s="2">
        <f t="shared" si="254"/>
        <v>61</v>
      </c>
      <c r="AD78" s="2">
        <f t="shared" si="251"/>
        <v>61</v>
      </c>
      <c r="AE78" s="2">
        <f t="shared" si="251"/>
        <v>61</v>
      </c>
      <c r="AF78" s="2">
        <f t="shared" si="251"/>
        <v>61</v>
      </c>
      <c r="AG78" s="2">
        <f t="shared" si="251"/>
        <v>61</v>
      </c>
      <c r="AH78" s="2">
        <f t="shared" si="251"/>
        <v>61</v>
      </c>
      <c r="AI78" s="2">
        <f t="shared" si="251"/>
        <v>61</v>
      </c>
      <c r="AJ78" s="2">
        <f t="shared" si="251"/>
        <v>61</v>
      </c>
      <c r="AK78" s="2">
        <f t="shared" si="251"/>
        <v>61</v>
      </c>
      <c r="AL78" s="2">
        <f t="shared" si="251"/>
        <v>61</v>
      </c>
      <c r="AM78" s="2">
        <f t="shared" si="251"/>
        <v>61</v>
      </c>
      <c r="AN78" s="2">
        <f t="shared" si="251"/>
        <v>61</v>
      </c>
      <c r="AO78" s="2">
        <f t="shared" si="251"/>
        <v>61</v>
      </c>
      <c r="AP78" s="2">
        <f t="shared" si="251"/>
        <v>61</v>
      </c>
      <c r="AQ78" s="2">
        <f t="shared" si="251"/>
        <v>61</v>
      </c>
      <c r="AR78" s="2">
        <f t="shared" si="251"/>
        <v>61</v>
      </c>
      <c r="AS78" s="2">
        <f t="shared" si="251"/>
        <v>61</v>
      </c>
      <c r="AT78" s="2">
        <f t="shared" si="252"/>
        <v>61</v>
      </c>
      <c r="AU78" s="2">
        <f t="shared" si="252"/>
        <v>61</v>
      </c>
      <c r="AV78" s="2">
        <f t="shared" si="252"/>
        <v>61</v>
      </c>
      <c r="AW78" s="2">
        <f t="shared" si="252"/>
        <v>61</v>
      </c>
      <c r="AX78" s="2">
        <f t="shared" si="252"/>
        <v>61</v>
      </c>
      <c r="AY78" s="2">
        <f t="shared" si="252"/>
        <v>61</v>
      </c>
      <c r="AZ78" s="2">
        <f t="shared" si="252"/>
        <v>61</v>
      </c>
      <c r="BA78" s="2">
        <f t="shared" si="252"/>
        <v>61</v>
      </c>
      <c r="BB78" s="2">
        <f t="shared" si="252"/>
        <v>61</v>
      </c>
      <c r="BC78" s="2">
        <f t="shared" si="252"/>
        <v>61</v>
      </c>
      <c r="BD78" s="2">
        <f t="shared" si="252"/>
        <v>61</v>
      </c>
      <c r="BE78" s="2">
        <f t="shared" si="252"/>
        <v>61</v>
      </c>
      <c r="BF78" s="2">
        <f t="shared" si="252"/>
        <v>61</v>
      </c>
      <c r="BG78" s="2">
        <f t="shared" si="252"/>
        <v>61</v>
      </c>
      <c r="BH78" s="2">
        <f t="shared" si="252"/>
        <v>61</v>
      </c>
      <c r="BI78" s="2">
        <f t="shared" si="252"/>
        <v>61</v>
      </c>
      <c r="BJ78" s="2">
        <f t="shared" si="253"/>
        <v>61</v>
      </c>
      <c r="BK78" s="2">
        <f t="shared" si="253"/>
        <v>61</v>
      </c>
      <c r="BL78" s="2">
        <f t="shared" si="253"/>
        <v>61</v>
      </c>
      <c r="BM78" s="2">
        <f t="shared" si="253"/>
        <v>61</v>
      </c>
      <c r="BN78" s="2">
        <f t="shared" si="253"/>
        <v>61</v>
      </c>
      <c r="BO78" s="2">
        <f t="shared" si="253"/>
        <v>61</v>
      </c>
      <c r="BP78" s="2">
        <f t="shared" si="253"/>
        <v>61</v>
      </c>
      <c r="BQ78" s="2">
        <f t="shared" si="253"/>
        <v>61</v>
      </c>
    </row>
    <row r="79" spans="2:139" hidden="1" x14ac:dyDescent="0.3">
      <c r="B79" s="21" t="str">
        <f t="shared" si="248"/>
        <v/>
      </c>
      <c r="G79" s="2"/>
      <c r="H79" s="2"/>
      <c r="I79" s="2"/>
      <c r="J79" s="2">
        <f t="shared" si="250"/>
        <v>61</v>
      </c>
      <c r="K79" s="2">
        <f t="shared" si="250"/>
        <v>61</v>
      </c>
      <c r="L79" s="2">
        <f t="shared" si="250"/>
        <v>61</v>
      </c>
      <c r="M79" s="2">
        <f t="shared" si="250"/>
        <v>61</v>
      </c>
      <c r="N79" s="2">
        <f t="shared" si="250"/>
        <v>61</v>
      </c>
      <c r="O79" s="2">
        <f t="shared" si="250"/>
        <v>61</v>
      </c>
      <c r="P79" s="2">
        <f t="shared" si="250"/>
        <v>61</v>
      </c>
      <c r="Q79" s="2">
        <f t="shared" si="250"/>
        <v>61</v>
      </c>
      <c r="R79" s="2">
        <f t="shared" si="250"/>
        <v>61</v>
      </c>
      <c r="S79" s="2">
        <f t="shared" si="250"/>
        <v>61</v>
      </c>
      <c r="T79" s="2">
        <f t="shared" si="250"/>
        <v>61</v>
      </c>
      <c r="U79" s="2">
        <f t="shared" si="250"/>
        <v>61</v>
      </c>
      <c r="V79" s="2">
        <f t="shared" si="250"/>
        <v>61</v>
      </c>
      <c r="W79" s="2">
        <f t="shared" si="250"/>
        <v>61</v>
      </c>
      <c r="X79" s="2">
        <f t="shared" si="250"/>
        <v>61</v>
      </c>
      <c r="Y79" s="2">
        <f t="shared" si="250"/>
        <v>61</v>
      </c>
      <c r="Z79" s="2">
        <f t="shared" si="254"/>
        <v>61</v>
      </c>
      <c r="AA79" s="2">
        <f t="shared" si="254"/>
        <v>61</v>
      </c>
      <c r="AB79" s="2">
        <f t="shared" si="254"/>
        <v>61</v>
      </c>
      <c r="AC79" s="2">
        <f t="shared" si="254"/>
        <v>61</v>
      </c>
      <c r="AD79" s="2">
        <f t="shared" si="251"/>
        <v>61</v>
      </c>
      <c r="AE79" s="2">
        <f t="shared" si="251"/>
        <v>61</v>
      </c>
      <c r="AF79" s="2">
        <f t="shared" si="251"/>
        <v>61</v>
      </c>
      <c r="AG79" s="2">
        <f t="shared" si="251"/>
        <v>61</v>
      </c>
      <c r="AH79" s="2">
        <f t="shared" si="251"/>
        <v>61</v>
      </c>
      <c r="AI79" s="2">
        <f t="shared" si="251"/>
        <v>61</v>
      </c>
      <c r="AJ79" s="2">
        <f t="shared" si="251"/>
        <v>61</v>
      </c>
      <c r="AK79" s="2">
        <f t="shared" si="251"/>
        <v>61</v>
      </c>
      <c r="AL79" s="2">
        <f t="shared" si="251"/>
        <v>61</v>
      </c>
      <c r="AM79" s="2">
        <f t="shared" si="251"/>
        <v>61</v>
      </c>
      <c r="AN79" s="2">
        <f t="shared" si="251"/>
        <v>61</v>
      </c>
      <c r="AO79" s="2">
        <f t="shared" si="251"/>
        <v>61</v>
      </c>
      <c r="AP79" s="2">
        <f t="shared" si="251"/>
        <v>61</v>
      </c>
      <c r="AQ79" s="2">
        <f t="shared" si="251"/>
        <v>61</v>
      </c>
      <c r="AR79" s="2">
        <f t="shared" si="251"/>
        <v>61</v>
      </c>
      <c r="AS79" s="2">
        <f t="shared" si="251"/>
        <v>61</v>
      </c>
      <c r="AT79" s="2">
        <f t="shared" si="252"/>
        <v>61</v>
      </c>
      <c r="AU79" s="2">
        <f t="shared" si="252"/>
        <v>61</v>
      </c>
      <c r="AV79" s="2">
        <f t="shared" si="252"/>
        <v>61</v>
      </c>
      <c r="AW79" s="2">
        <f t="shared" si="252"/>
        <v>61</v>
      </c>
      <c r="AX79" s="2">
        <f t="shared" si="252"/>
        <v>61</v>
      </c>
      <c r="AY79" s="2">
        <f t="shared" si="252"/>
        <v>61</v>
      </c>
      <c r="AZ79" s="2">
        <f t="shared" si="252"/>
        <v>61</v>
      </c>
      <c r="BA79" s="2">
        <f t="shared" si="252"/>
        <v>61</v>
      </c>
      <c r="BB79" s="2">
        <f t="shared" si="252"/>
        <v>61</v>
      </c>
      <c r="BC79" s="2">
        <f t="shared" si="252"/>
        <v>61</v>
      </c>
      <c r="BD79" s="2">
        <f t="shared" si="252"/>
        <v>61</v>
      </c>
      <c r="BE79" s="2">
        <f t="shared" si="252"/>
        <v>61</v>
      </c>
      <c r="BF79" s="2">
        <f t="shared" si="252"/>
        <v>61</v>
      </c>
      <c r="BG79" s="2">
        <f t="shared" si="252"/>
        <v>61</v>
      </c>
      <c r="BH79" s="2">
        <f t="shared" si="252"/>
        <v>61</v>
      </c>
      <c r="BI79" s="2">
        <f t="shared" si="252"/>
        <v>61</v>
      </c>
      <c r="BJ79" s="2">
        <f t="shared" si="253"/>
        <v>61</v>
      </c>
      <c r="BK79" s="2">
        <f t="shared" si="253"/>
        <v>61</v>
      </c>
      <c r="BL79" s="2">
        <f t="shared" si="253"/>
        <v>61</v>
      </c>
      <c r="BM79" s="2">
        <f t="shared" si="253"/>
        <v>61</v>
      </c>
      <c r="BN79" s="2">
        <f t="shared" si="253"/>
        <v>61</v>
      </c>
      <c r="BO79" s="2">
        <f t="shared" si="253"/>
        <v>61</v>
      </c>
      <c r="BP79" s="2">
        <f t="shared" si="253"/>
        <v>61</v>
      </c>
      <c r="BQ79" s="2">
        <f t="shared" si="253"/>
        <v>61</v>
      </c>
    </row>
    <row r="80" spans="2:139" hidden="1" x14ac:dyDescent="0.3">
      <c r="B80" s="21" t="str">
        <f t="shared" si="248"/>
        <v/>
      </c>
      <c r="G80" s="2"/>
      <c r="H80" s="2"/>
      <c r="I80" s="2"/>
      <c r="J80" s="2">
        <f t="shared" si="250"/>
        <v>61</v>
      </c>
      <c r="K80" s="2">
        <f t="shared" si="250"/>
        <v>61</v>
      </c>
      <c r="L80" s="2">
        <f t="shared" si="250"/>
        <v>61</v>
      </c>
      <c r="M80" s="2">
        <f t="shared" si="250"/>
        <v>61</v>
      </c>
      <c r="N80" s="2">
        <f t="shared" si="250"/>
        <v>61</v>
      </c>
      <c r="O80" s="2">
        <f t="shared" si="250"/>
        <v>61</v>
      </c>
      <c r="P80" s="2">
        <f t="shared" si="250"/>
        <v>61</v>
      </c>
      <c r="Q80" s="2">
        <f t="shared" si="250"/>
        <v>61</v>
      </c>
      <c r="R80" s="2">
        <f t="shared" si="250"/>
        <v>61</v>
      </c>
      <c r="S80" s="2">
        <f t="shared" si="250"/>
        <v>61</v>
      </c>
      <c r="T80" s="2">
        <f t="shared" si="250"/>
        <v>61</v>
      </c>
      <c r="U80" s="2">
        <f t="shared" si="250"/>
        <v>61</v>
      </c>
      <c r="V80" s="2">
        <f t="shared" si="250"/>
        <v>61</v>
      </c>
      <c r="W80" s="2">
        <f t="shared" si="250"/>
        <v>61</v>
      </c>
      <c r="X80" s="2">
        <f t="shared" si="250"/>
        <v>61</v>
      </c>
      <c r="Y80" s="2">
        <f t="shared" si="250"/>
        <v>61</v>
      </c>
      <c r="Z80" s="2">
        <f t="shared" si="254"/>
        <v>61</v>
      </c>
      <c r="AA80" s="2">
        <f t="shared" si="254"/>
        <v>61</v>
      </c>
      <c r="AB80" s="2">
        <f t="shared" si="254"/>
        <v>61</v>
      </c>
      <c r="AC80" s="2">
        <f t="shared" si="254"/>
        <v>61</v>
      </c>
      <c r="AD80" s="2">
        <f t="shared" si="251"/>
        <v>61</v>
      </c>
      <c r="AE80" s="2">
        <f t="shared" si="251"/>
        <v>61</v>
      </c>
      <c r="AF80" s="2">
        <f t="shared" si="251"/>
        <v>61</v>
      </c>
      <c r="AG80" s="2">
        <f t="shared" si="251"/>
        <v>61</v>
      </c>
      <c r="AH80" s="2">
        <f t="shared" si="251"/>
        <v>61</v>
      </c>
      <c r="AI80" s="2">
        <f t="shared" si="251"/>
        <v>61</v>
      </c>
      <c r="AJ80" s="2">
        <f t="shared" si="251"/>
        <v>61</v>
      </c>
      <c r="AK80" s="2">
        <f t="shared" si="251"/>
        <v>61</v>
      </c>
      <c r="AL80" s="2">
        <f t="shared" si="251"/>
        <v>61</v>
      </c>
      <c r="AM80" s="2">
        <f t="shared" si="251"/>
        <v>61</v>
      </c>
      <c r="AN80" s="2">
        <f t="shared" si="251"/>
        <v>61</v>
      </c>
      <c r="AO80" s="2">
        <f t="shared" si="251"/>
        <v>61</v>
      </c>
      <c r="AP80" s="2">
        <f t="shared" si="251"/>
        <v>61</v>
      </c>
      <c r="AQ80" s="2">
        <f t="shared" si="251"/>
        <v>61</v>
      </c>
      <c r="AR80" s="2">
        <f t="shared" si="251"/>
        <v>61</v>
      </c>
      <c r="AS80" s="2">
        <f t="shared" si="251"/>
        <v>61</v>
      </c>
      <c r="AT80" s="2">
        <f t="shared" si="252"/>
        <v>61</v>
      </c>
      <c r="AU80" s="2">
        <f t="shared" si="252"/>
        <v>61</v>
      </c>
      <c r="AV80" s="2">
        <f t="shared" si="252"/>
        <v>61</v>
      </c>
      <c r="AW80" s="2">
        <f t="shared" si="252"/>
        <v>61</v>
      </c>
      <c r="AX80" s="2">
        <f t="shared" si="252"/>
        <v>61</v>
      </c>
      <c r="AY80" s="2">
        <f t="shared" si="252"/>
        <v>61</v>
      </c>
      <c r="AZ80" s="2">
        <f t="shared" si="252"/>
        <v>61</v>
      </c>
      <c r="BA80" s="2">
        <f t="shared" si="252"/>
        <v>61</v>
      </c>
      <c r="BB80" s="2">
        <f t="shared" si="252"/>
        <v>61</v>
      </c>
      <c r="BC80" s="2">
        <f t="shared" si="252"/>
        <v>61</v>
      </c>
      <c r="BD80" s="2">
        <f t="shared" si="252"/>
        <v>61</v>
      </c>
      <c r="BE80" s="2">
        <f t="shared" si="252"/>
        <v>61</v>
      </c>
      <c r="BF80" s="2">
        <f t="shared" si="252"/>
        <v>61</v>
      </c>
      <c r="BG80" s="2">
        <f t="shared" si="252"/>
        <v>61</v>
      </c>
      <c r="BH80" s="2">
        <f t="shared" si="252"/>
        <v>61</v>
      </c>
      <c r="BI80" s="2">
        <f t="shared" si="252"/>
        <v>61</v>
      </c>
      <c r="BJ80" s="2">
        <f t="shared" si="253"/>
        <v>61</v>
      </c>
      <c r="BK80" s="2">
        <f t="shared" si="253"/>
        <v>61</v>
      </c>
      <c r="BL80" s="2">
        <f t="shared" si="253"/>
        <v>61</v>
      </c>
      <c r="BM80" s="2">
        <f t="shared" si="253"/>
        <v>61</v>
      </c>
      <c r="BN80" s="2">
        <f t="shared" si="253"/>
        <v>61</v>
      </c>
      <c r="BO80" s="2">
        <f t="shared" si="253"/>
        <v>61</v>
      </c>
      <c r="BP80" s="2">
        <f t="shared" si="253"/>
        <v>61</v>
      </c>
      <c r="BQ80" s="2">
        <f t="shared" si="253"/>
        <v>61</v>
      </c>
    </row>
    <row r="81" spans="2:69" hidden="1" x14ac:dyDescent="0.3">
      <c r="B81" s="21" t="str">
        <f t="shared" si="248"/>
        <v/>
      </c>
      <c r="G81" s="2"/>
      <c r="H81" s="2"/>
      <c r="I81" s="2"/>
      <c r="J81" s="2">
        <f t="shared" si="250"/>
        <v>61</v>
      </c>
      <c r="K81" s="2">
        <f t="shared" si="250"/>
        <v>61</v>
      </c>
      <c r="L81" s="2">
        <f t="shared" si="250"/>
        <v>61</v>
      </c>
      <c r="M81" s="2">
        <f t="shared" si="250"/>
        <v>61</v>
      </c>
      <c r="N81" s="2">
        <f t="shared" si="250"/>
        <v>61</v>
      </c>
      <c r="O81" s="2">
        <f t="shared" si="250"/>
        <v>61</v>
      </c>
      <c r="P81" s="2">
        <f t="shared" si="250"/>
        <v>61</v>
      </c>
      <c r="Q81" s="2">
        <f t="shared" si="250"/>
        <v>61</v>
      </c>
      <c r="R81" s="2">
        <f t="shared" si="250"/>
        <v>61</v>
      </c>
      <c r="S81" s="2">
        <f t="shared" si="250"/>
        <v>61</v>
      </c>
      <c r="T81" s="2">
        <f t="shared" si="250"/>
        <v>61</v>
      </c>
      <c r="U81" s="2">
        <f t="shared" si="250"/>
        <v>61</v>
      </c>
      <c r="V81" s="2">
        <f t="shared" si="250"/>
        <v>61</v>
      </c>
      <c r="W81" s="2">
        <f t="shared" si="250"/>
        <v>61</v>
      </c>
      <c r="X81" s="2">
        <f t="shared" si="250"/>
        <v>61</v>
      </c>
      <c r="Y81" s="2">
        <f t="shared" si="250"/>
        <v>61</v>
      </c>
      <c r="Z81" s="2">
        <f t="shared" si="254"/>
        <v>61</v>
      </c>
      <c r="AA81" s="2">
        <f t="shared" si="254"/>
        <v>61</v>
      </c>
      <c r="AB81" s="2">
        <f t="shared" si="254"/>
        <v>61</v>
      </c>
      <c r="AC81" s="2">
        <f t="shared" si="254"/>
        <v>61</v>
      </c>
      <c r="AD81" s="2">
        <f t="shared" si="251"/>
        <v>61</v>
      </c>
      <c r="AE81" s="2">
        <f t="shared" si="251"/>
        <v>61</v>
      </c>
      <c r="AF81" s="2">
        <f t="shared" si="251"/>
        <v>61</v>
      </c>
      <c r="AG81" s="2">
        <f t="shared" si="251"/>
        <v>61</v>
      </c>
      <c r="AH81" s="2">
        <f t="shared" si="251"/>
        <v>61</v>
      </c>
      <c r="AI81" s="2">
        <f t="shared" si="251"/>
        <v>61</v>
      </c>
      <c r="AJ81" s="2">
        <f t="shared" si="251"/>
        <v>61</v>
      </c>
      <c r="AK81" s="2">
        <f t="shared" si="251"/>
        <v>61</v>
      </c>
      <c r="AL81" s="2">
        <f t="shared" si="251"/>
        <v>61</v>
      </c>
      <c r="AM81" s="2">
        <f t="shared" si="251"/>
        <v>61</v>
      </c>
      <c r="AN81" s="2">
        <f t="shared" si="251"/>
        <v>61</v>
      </c>
      <c r="AO81" s="2">
        <f t="shared" si="251"/>
        <v>61</v>
      </c>
      <c r="AP81" s="2">
        <f t="shared" si="251"/>
        <v>61</v>
      </c>
      <c r="AQ81" s="2">
        <f t="shared" si="251"/>
        <v>61</v>
      </c>
      <c r="AR81" s="2">
        <f t="shared" si="251"/>
        <v>61</v>
      </c>
      <c r="AS81" s="2">
        <f t="shared" si="251"/>
        <v>61</v>
      </c>
      <c r="AT81" s="2">
        <f t="shared" si="252"/>
        <v>61</v>
      </c>
      <c r="AU81" s="2">
        <f t="shared" si="252"/>
        <v>61</v>
      </c>
      <c r="AV81" s="2">
        <f t="shared" si="252"/>
        <v>61</v>
      </c>
      <c r="AW81" s="2">
        <f t="shared" si="252"/>
        <v>61</v>
      </c>
      <c r="AX81" s="2">
        <f t="shared" si="252"/>
        <v>61</v>
      </c>
      <c r="AY81" s="2">
        <f t="shared" si="252"/>
        <v>61</v>
      </c>
      <c r="AZ81" s="2">
        <f t="shared" si="252"/>
        <v>61</v>
      </c>
      <c r="BA81" s="2">
        <f t="shared" si="252"/>
        <v>61</v>
      </c>
      <c r="BB81" s="2">
        <f t="shared" si="252"/>
        <v>61</v>
      </c>
      <c r="BC81" s="2">
        <f t="shared" si="252"/>
        <v>61</v>
      </c>
      <c r="BD81" s="2">
        <f t="shared" si="252"/>
        <v>61</v>
      </c>
      <c r="BE81" s="2">
        <f t="shared" si="252"/>
        <v>61</v>
      </c>
      <c r="BF81" s="2">
        <f t="shared" si="252"/>
        <v>61</v>
      </c>
      <c r="BG81" s="2">
        <f t="shared" si="252"/>
        <v>61</v>
      </c>
      <c r="BH81" s="2">
        <f t="shared" si="252"/>
        <v>61</v>
      </c>
      <c r="BI81" s="2">
        <f t="shared" si="252"/>
        <v>61</v>
      </c>
      <c r="BJ81" s="2">
        <f t="shared" si="253"/>
        <v>61</v>
      </c>
      <c r="BK81" s="2">
        <f t="shared" si="253"/>
        <v>61</v>
      </c>
      <c r="BL81" s="2">
        <f t="shared" si="253"/>
        <v>61</v>
      </c>
      <c r="BM81" s="2">
        <f t="shared" si="253"/>
        <v>61</v>
      </c>
      <c r="BN81" s="2">
        <f t="shared" si="253"/>
        <v>61</v>
      </c>
      <c r="BO81" s="2">
        <f t="shared" si="253"/>
        <v>61</v>
      </c>
      <c r="BP81" s="2">
        <f t="shared" si="253"/>
        <v>61</v>
      </c>
      <c r="BQ81" s="2">
        <f t="shared" si="253"/>
        <v>61</v>
      </c>
    </row>
    <row r="82" spans="2:69" hidden="1" x14ac:dyDescent="0.3">
      <c r="B82" s="21" t="str">
        <f t="shared" si="248"/>
        <v/>
      </c>
      <c r="G82" s="2"/>
      <c r="H82" s="2"/>
      <c r="I82" s="2"/>
      <c r="J82" s="2">
        <f t="shared" si="250"/>
        <v>61</v>
      </c>
      <c r="K82" s="2">
        <f t="shared" si="250"/>
        <v>61</v>
      </c>
      <c r="L82" s="2">
        <f t="shared" si="250"/>
        <v>61</v>
      </c>
      <c r="M82" s="2">
        <f t="shared" si="250"/>
        <v>61</v>
      </c>
      <c r="N82" s="2">
        <f t="shared" si="250"/>
        <v>61</v>
      </c>
      <c r="O82" s="2">
        <f t="shared" si="250"/>
        <v>61</v>
      </c>
      <c r="P82" s="2">
        <f t="shared" si="250"/>
        <v>61</v>
      </c>
      <c r="Q82" s="2">
        <f t="shared" si="250"/>
        <v>61</v>
      </c>
      <c r="R82" s="2">
        <f t="shared" si="250"/>
        <v>61</v>
      </c>
      <c r="S82" s="2">
        <f t="shared" si="250"/>
        <v>61</v>
      </c>
      <c r="T82" s="2">
        <f t="shared" si="250"/>
        <v>61</v>
      </c>
      <c r="U82" s="2">
        <f t="shared" si="250"/>
        <v>61</v>
      </c>
      <c r="V82" s="2">
        <f t="shared" si="250"/>
        <v>61</v>
      </c>
      <c r="W82" s="2">
        <f t="shared" si="250"/>
        <v>61</v>
      </c>
      <c r="X82" s="2">
        <f t="shared" si="250"/>
        <v>61</v>
      </c>
      <c r="Y82" s="2">
        <f t="shared" si="250"/>
        <v>61</v>
      </c>
      <c r="Z82" s="2">
        <f t="shared" si="254"/>
        <v>61</v>
      </c>
      <c r="AA82" s="2">
        <f t="shared" si="254"/>
        <v>61</v>
      </c>
      <c r="AB82" s="2">
        <f t="shared" si="254"/>
        <v>61</v>
      </c>
      <c r="AC82" s="2">
        <f t="shared" si="254"/>
        <v>61</v>
      </c>
      <c r="AD82" s="2">
        <f t="shared" si="251"/>
        <v>61</v>
      </c>
      <c r="AE82" s="2">
        <f t="shared" si="251"/>
        <v>61</v>
      </c>
      <c r="AF82" s="2">
        <f t="shared" si="251"/>
        <v>61</v>
      </c>
      <c r="AG82" s="2">
        <f t="shared" si="251"/>
        <v>61</v>
      </c>
      <c r="AH82" s="2">
        <f t="shared" si="251"/>
        <v>61</v>
      </c>
      <c r="AI82" s="2">
        <f t="shared" si="251"/>
        <v>61</v>
      </c>
      <c r="AJ82" s="2">
        <f t="shared" si="251"/>
        <v>61</v>
      </c>
      <c r="AK82" s="2">
        <f t="shared" si="251"/>
        <v>61</v>
      </c>
      <c r="AL82" s="2">
        <f t="shared" si="251"/>
        <v>61</v>
      </c>
      <c r="AM82" s="2">
        <f t="shared" si="251"/>
        <v>61</v>
      </c>
      <c r="AN82" s="2">
        <f t="shared" si="251"/>
        <v>61</v>
      </c>
      <c r="AO82" s="2">
        <f t="shared" si="251"/>
        <v>61</v>
      </c>
      <c r="AP82" s="2">
        <f t="shared" si="251"/>
        <v>61</v>
      </c>
      <c r="AQ82" s="2">
        <f t="shared" si="251"/>
        <v>61</v>
      </c>
      <c r="AR82" s="2">
        <f t="shared" si="251"/>
        <v>61</v>
      </c>
      <c r="AS82" s="2">
        <f t="shared" si="251"/>
        <v>61</v>
      </c>
      <c r="AT82" s="2">
        <f t="shared" si="252"/>
        <v>61</v>
      </c>
      <c r="AU82" s="2">
        <f t="shared" si="252"/>
        <v>61</v>
      </c>
      <c r="AV82" s="2">
        <f t="shared" si="252"/>
        <v>61</v>
      </c>
      <c r="AW82" s="2">
        <f t="shared" si="252"/>
        <v>61</v>
      </c>
      <c r="AX82" s="2">
        <f t="shared" si="252"/>
        <v>61</v>
      </c>
      <c r="AY82" s="2">
        <f t="shared" si="252"/>
        <v>61</v>
      </c>
      <c r="AZ82" s="2">
        <f t="shared" si="252"/>
        <v>61</v>
      </c>
      <c r="BA82" s="2">
        <f t="shared" si="252"/>
        <v>61</v>
      </c>
      <c r="BB82" s="2">
        <f t="shared" si="252"/>
        <v>61</v>
      </c>
      <c r="BC82" s="2">
        <f t="shared" si="252"/>
        <v>61</v>
      </c>
      <c r="BD82" s="2">
        <f t="shared" si="252"/>
        <v>61</v>
      </c>
      <c r="BE82" s="2">
        <f t="shared" si="252"/>
        <v>61</v>
      </c>
      <c r="BF82" s="2">
        <f t="shared" si="252"/>
        <v>61</v>
      </c>
      <c r="BG82" s="2">
        <f t="shared" si="252"/>
        <v>61</v>
      </c>
      <c r="BH82" s="2">
        <f t="shared" si="252"/>
        <v>61</v>
      </c>
      <c r="BI82" s="2">
        <f t="shared" si="252"/>
        <v>61</v>
      </c>
      <c r="BJ82" s="2">
        <f t="shared" si="253"/>
        <v>61</v>
      </c>
      <c r="BK82" s="2">
        <f t="shared" si="253"/>
        <v>61</v>
      </c>
      <c r="BL82" s="2">
        <f t="shared" si="253"/>
        <v>61</v>
      </c>
      <c r="BM82" s="2">
        <f t="shared" si="253"/>
        <v>61</v>
      </c>
      <c r="BN82" s="2">
        <f t="shared" si="253"/>
        <v>61</v>
      </c>
      <c r="BO82" s="2">
        <f t="shared" si="253"/>
        <v>61</v>
      </c>
      <c r="BP82" s="2">
        <f t="shared" si="253"/>
        <v>61</v>
      </c>
      <c r="BQ82" s="2">
        <f t="shared" si="253"/>
        <v>61</v>
      </c>
    </row>
    <row r="83" spans="2:69" hidden="1" x14ac:dyDescent="0.3">
      <c r="B83" s="21" t="str">
        <f t="shared" si="248"/>
        <v/>
      </c>
      <c r="G83" s="2"/>
      <c r="H83" s="2"/>
      <c r="I83" s="2"/>
      <c r="J83" s="2">
        <f t="shared" si="250"/>
        <v>61</v>
      </c>
      <c r="K83" s="2">
        <f t="shared" si="250"/>
        <v>61</v>
      </c>
      <c r="L83" s="2">
        <f t="shared" si="250"/>
        <v>61</v>
      </c>
      <c r="M83" s="2">
        <f t="shared" si="250"/>
        <v>61</v>
      </c>
      <c r="N83" s="2">
        <f t="shared" si="250"/>
        <v>61</v>
      </c>
      <c r="O83" s="2">
        <f t="shared" si="250"/>
        <v>61</v>
      </c>
      <c r="P83" s="2">
        <f t="shared" si="250"/>
        <v>61</v>
      </c>
      <c r="Q83" s="2">
        <f t="shared" si="250"/>
        <v>61</v>
      </c>
      <c r="R83" s="2">
        <f t="shared" si="250"/>
        <v>61</v>
      </c>
      <c r="S83" s="2">
        <f t="shared" si="250"/>
        <v>61</v>
      </c>
      <c r="T83" s="2">
        <f t="shared" si="250"/>
        <v>61</v>
      </c>
      <c r="U83" s="2">
        <f t="shared" si="250"/>
        <v>61</v>
      </c>
      <c r="V83" s="2">
        <f t="shared" si="250"/>
        <v>61</v>
      </c>
      <c r="W83" s="2">
        <f t="shared" si="250"/>
        <v>61</v>
      </c>
      <c r="X83" s="2">
        <f t="shared" si="250"/>
        <v>61</v>
      </c>
      <c r="Y83" s="2">
        <f t="shared" si="250"/>
        <v>61</v>
      </c>
      <c r="Z83" s="2">
        <f t="shared" si="254"/>
        <v>61</v>
      </c>
      <c r="AA83" s="2">
        <f t="shared" si="254"/>
        <v>61</v>
      </c>
      <c r="AB83" s="2">
        <f t="shared" si="254"/>
        <v>61</v>
      </c>
      <c r="AC83" s="2">
        <f t="shared" si="254"/>
        <v>61</v>
      </c>
      <c r="AD83" s="2">
        <f t="shared" si="251"/>
        <v>61</v>
      </c>
      <c r="AE83" s="2">
        <f t="shared" si="251"/>
        <v>61</v>
      </c>
      <c r="AF83" s="2">
        <f t="shared" si="251"/>
        <v>61</v>
      </c>
      <c r="AG83" s="2">
        <f t="shared" si="251"/>
        <v>61</v>
      </c>
      <c r="AH83" s="2">
        <f t="shared" si="251"/>
        <v>61</v>
      </c>
      <c r="AI83" s="2">
        <f t="shared" si="251"/>
        <v>61</v>
      </c>
      <c r="AJ83" s="2">
        <f t="shared" si="251"/>
        <v>61</v>
      </c>
      <c r="AK83" s="2">
        <f t="shared" si="251"/>
        <v>61</v>
      </c>
      <c r="AL83" s="2">
        <f t="shared" si="251"/>
        <v>61</v>
      </c>
      <c r="AM83" s="2">
        <f t="shared" si="251"/>
        <v>61</v>
      </c>
      <c r="AN83" s="2">
        <f t="shared" si="251"/>
        <v>61</v>
      </c>
      <c r="AO83" s="2">
        <f t="shared" si="251"/>
        <v>61</v>
      </c>
      <c r="AP83" s="2">
        <f t="shared" si="251"/>
        <v>61</v>
      </c>
      <c r="AQ83" s="2">
        <f t="shared" si="251"/>
        <v>61</v>
      </c>
      <c r="AR83" s="2">
        <f t="shared" si="251"/>
        <v>61</v>
      </c>
      <c r="AS83" s="2">
        <f t="shared" si="251"/>
        <v>61</v>
      </c>
      <c r="AT83" s="2">
        <f t="shared" si="252"/>
        <v>61</v>
      </c>
      <c r="AU83" s="2">
        <f t="shared" si="252"/>
        <v>61</v>
      </c>
      <c r="AV83" s="2">
        <f t="shared" si="252"/>
        <v>61</v>
      </c>
      <c r="AW83" s="2">
        <f t="shared" si="252"/>
        <v>61</v>
      </c>
      <c r="AX83" s="2">
        <f t="shared" si="252"/>
        <v>61</v>
      </c>
      <c r="AY83" s="2">
        <f t="shared" si="252"/>
        <v>61</v>
      </c>
      <c r="AZ83" s="2">
        <f t="shared" si="252"/>
        <v>61</v>
      </c>
      <c r="BA83" s="2">
        <f t="shared" si="252"/>
        <v>61</v>
      </c>
      <c r="BB83" s="2">
        <f t="shared" si="252"/>
        <v>61</v>
      </c>
      <c r="BC83" s="2">
        <f t="shared" si="252"/>
        <v>61</v>
      </c>
      <c r="BD83" s="2">
        <f t="shared" si="252"/>
        <v>61</v>
      </c>
      <c r="BE83" s="2">
        <f t="shared" si="252"/>
        <v>61</v>
      </c>
      <c r="BF83" s="2">
        <f t="shared" si="252"/>
        <v>61</v>
      </c>
      <c r="BG83" s="2">
        <f t="shared" si="252"/>
        <v>61</v>
      </c>
      <c r="BH83" s="2">
        <f t="shared" si="252"/>
        <v>61</v>
      </c>
      <c r="BI83" s="2">
        <f t="shared" si="252"/>
        <v>61</v>
      </c>
      <c r="BJ83" s="2">
        <f t="shared" si="253"/>
        <v>61</v>
      </c>
      <c r="BK83" s="2">
        <f t="shared" si="253"/>
        <v>61</v>
      </c>
      <c r="BL83" s="2">
        <f t="shared" si="253"/>
        <v>61</v>
      </c>
      <c r="BM83" s="2">
        <f t="shared" si="253"/>
        <v>61</v>
      </c>
      <c r="BN83" s="2">
        <f t="shared" si="253"/>
        <v>61</v>
      </c>
      <c r="BO83" s="2">
        <f t="shared" si="253"/>
        <v>61</v>
      </c>
      <c r="BP83" s="2">
        <f t="shared" si="253"/>
        <v>61</v>
      </c>
      <c r="BQ83" s="2">
        <f t="shared" si="253"/>
        <v>61</v>
      </c>
    </row>
    <row r="84" spans="2:69" hidden="1" x14ac:dyDescent="0.3">
      <c r="B84" s="21" t="str">
        <f t="shared" si="248"/>
        <v/>
      </c>
      <c r="G84" s="2"/>
      <c r="H84" s="2"/>
      <c r="I84" s="2"/>
      <c r="J84" s="2">
        <f t="shared" si="250"/>
        <v>61</v>
      </c>
      <c r="K84" s="2">
        <f t="shared" si="250"/>
        <v>61</v>
      </c>
      <c r="L84" s="2">
        <f t="shared" si="250"/>
        <v>61</v>
      </c>
      <c r="M84" s="2">
        <f t="shared" si="250"/>
        <v>61</v>
      </c>
      <c r="N84" s="2">
        <f t="shared" si="250"/>
        <v>61</v>
      </c>
      <c r="O84" s="2">
        <f t="shared" si="250"/>
        <v>61</v>
      </c>
      <c r="P84" s="2">
        <f t="shared" si="250"/>
        <v>61</v>
      </c>
      <c r="Q84" s="2">
        <f t="shared" si="250"/>
        <v>61</v>
      </c>
      <c r="R84" s="2">
        <f t="shared" si="250"/>
        <v>61</v>
      </c>
      <c r="S84" s="2">
        <f t="shared" si="250"/>
        <v>61</v>
      </c>
      <c r="T84" s="2">
        <f t="shared" si="250"/>
        <v>61</v>
      </c>
      <c r="U84" s="2">
        <f t="shared" si="250"/>
        <v>61</v>
      </c>
      <c r="V84" s="2">
        <f t="shared" si="250"/>
        <v>61</v>
      </c>
      <c r="W84" s="2">
        <f t="shared" si="250"/>
        <v>61</v>
      </c>
      <c r="X84" s="2">
        <f t="shared" si="250"/>
        <v>61</v>
      </c>
      <c r="Y84" s="2">
        <f t="shared" si="250"/>
        <v>61</v>
      </c>
      <c r="Z84" s="2">
        <f t="shared" si="254"/>
        <v>61</v>
      </c>
      <c r="AA84" s="2">
        <f t="shared" si="254"/>
        <v>61</v>
      </c>
      <c r="AB84" s="2">
        <f t="shared" si="254"/>
        <v>61</v>
      </c>
      <c r="AC84" s="2">
        <f t="shared" si="254"/>
        <v>61</v>
      </c>
      <c r="AD84" s="2">
        <f t="shared" si="251"/>
        <v>61</v>
      </c>
      <c r="AE84" s="2">
        <f t="shared" si="251"/>
        <v>61</v>
      </c>
      <c r="AF84" s="2">
        <f t="shared" si="251"/>
        <v>61</v>
      </c>
      <c r="AG84" s="2">
        <f t="shared" si="251"/>
        <v>61</v>
      </c>
      <c r="AH84" s="2">
        <f t="shared" si="251"/>
        <v>61</v>
      </c>
      <c r="AI84" s="2">
        <f t="shared" si="251"/>
        <v>61</v>
      </c>
      <c r="AJ84" s="2">
        <f t="shared" si="251"/>
        <v>61</v>
      </c>
      <c r="AK84" s="2">
        <f t="shared" si="251"/>
        <v>61</v>
      </c>
      <c r="AL84" s="2">
        <f t="shared" si="251"/>
        <v>61</v>
      </c>
      <c r="AM84" s="2">
        <f t="shared" si="251"/>
        <v>61</v>
      </c>
      <c r="AN84" s="2">
        <f t="shared" si="251"/>
        <v>61</v>
      </c>
      <c r="AO84" s="2">
        <f t="shared" si="251"/>
        <v>61</v>
      </c>
      <c r="AP84" s="2">
        <f t="shared" si="251"/>
        <v>61</v>
      </c>
      <c r="AQ84" s="2">
        <f t="shared" si="251"/>
        <v>61</v>
      </c>
      <c r="AR84" s="2">
        <f t="shared" si="251"/>
        <v>61</v>
      </c>
      <c r="AS84" s="2">
        <f t="shared" si="251"/>
        <v>61</v>
      </c>
      <c r="AT84" s="2">
        <f t="shared" si="252"/>
        <v>61</v>
      </c>
      <c r="AU84" s="2">
        <f t="shared" si="252"/>
        <v>61</v>
      </c>
      <c r="AV84" s="2">
        <f t="shared" si="252"/>
        <v>61</v>
      </c>
      <c r="AW84" s="2">
        <f t="shared" si="252"/>
        <v>61</v>
      </c>
      <c r="AX84" s="2">
        <f t="shared" si="252"/>
        <v>61</v>
      </c>
      <c r="AY84" s="2">
        <f t="shared" si="252"/>
        <v>61</v>
      </c>
      <c r="AZ84" s="2">
        <f t="shared" si="252"/>
        <v>61</v>
      </c>
      <c r="BA84" s="2">
        <f t="shared" si="252"/>
        <v>61</v>
      </c>
      <c r="BB84" s="2">
        <f t="shared" si="252"/>
        <v>61</v>
      </c>
      <c r="BC84" s="2">
        <f t="shared" si="252"/>
        <v>61</v>
      </c>
      <c r="BD84" s="2">
        <f t="shared" si="252"/>
        <v>61</v>
      </c>
      <c r="BE84" s="2">
        <f t="shared" si="252"/>
        <v>61</v>
      </c>
      <c r="BF84" s="2">
        <f t="shared" si="252"/>
        <v>61</v>
      </c>
      <c r="BG84" s="2">
        <f t="shared" si="252"/>
        <v>61</v>
      </c>
      <c r="BH84" s="2">
        <f t="shared" si="252"/>
        <v>61</v>
      </c>
      <c r="BI84" s="2">
        <f t="shared" si="252"/>
        <v>61</v>
      </c>
      <c r="BJ84" s="2">
        <f t="shared" si="253"/>
        <v>61</v>
      </c>
      <c r="BK84" s="2">
        <f t="shared" si="253"/>
        <v>61</v>
      </c>
      <c r="BL84" s="2">
        <f t="shared" si="253"/>
        <v>61</v>
      </c>
      <c r="BM84" s="2">
        <f t="shared" si="253"/>
        <v>61</v>
      </c>
      <c r="BN84" s="2">
        <f t="shared" si="253"/>
        <v>61</v>
      </c>
      <c r="BO84" s="2">
        <f t="shared" si="253"/>
        <v>61</v>
      </c>
      <c r="BP84" s="2">
        <f t="shared" si="253"/>
        <v>61</v>
      </c>
      <c r="BQ84" s="2">
        <f t="shared" si="253"/>
        <v>61</v>
      </c>
    </row>
    <row r="85" spans="2:69" hidden="1" x14ac:dyDescent="0.3">
      <c r="B85" s="21" t="str">
        <f t="shared" si="248"/>
        <v/>
      </c>
      <c r="G85" s="2"/>
      <c r="H85" s="2"/>
      <c r="I85" s="2"/>
      <c r="J85" s="2">
        <f t="shared" si="250"/>
        <v>61</v>
      </c>
      <c r="K85" s="2">
        <f t="shared" si="250"/>
        <v>61</v>
      </c>
      <c r="L85" s="2">
        <f t="shared" si="250"/>
        <v>61</v>
      </c>
      <c r="M85" s="2">
        <f t="shared" si="250"/>
        <v>61</v>
      </c>
      <c r="N85" s="2">
        <f t="shared" si="250"/>
        <v>61</v>
      </c>
      <c r="O85" s="2">
        <f t="shared" si="250"/>
        <v>61</v>
      </c>
      <c r="P85" s="2">
        <f t="shared" si="250"/>
        <v>61</v>
      </c>
      <c r="Q85" s="2">
        <f t="shared" si="250"/>
        <v>61</v>
      </c>
      <c r="R85" s="2">
        <f t="shared" si="250"/>
        <v>61</v>
      </c>
      <c r="S85" s="2">
        <f t="shared" si="250"/>
        <v>61</v>
      </c>
      <c r="T85" s="2">
        <f t="shared" si="250"/>
        <v>61</v>
      </c>
      <c r="U85" s="2">
        <f t="shared" si="250"/>
        <v>61</v>
      </c>
      <c r="V85" s="2">
        <f t="shared" si="250"/>
        <v>61</v>
      </c>
      <c r="W85" s="2">
        <f t="shared" si="250"/>
        <v>61</v>
      </c>
      <c r="X85" s="2">
        <f t="shared" si="250"/>
        <v>61</v>
      </c>
      <c r="Y85" s="2">
        <f t="shared" si="250"/>
        <v>61</v>
      </c>
      <c r="Z85" s="2">
        <f t="shared" si="254"/>
        <v>61</v>
      </c>
      <c r="AA85" s="2">
        <f t="shared" si="254"/>
        <v>61</v>
      </c>
      <c r="AB85" s="2">
        <f t="shared" si="254"/>
        <v>61</v>
      </c>
      <c r="AC85" s="2">
        <f t="shared" si="254"/>
        <v>61</v>
      </c>
      <c r="AD85" s="2">
        <f t="shared" si="251"/>
        <v>61</v>
      </c>
      <c r="AE85" s="2">
        <f t="shared" si="251"/>
        <v>61</v>
      </c>
      <c r="AF85" s="2">
        <f t="shared" si="251"/>
        <v>61</v>
      </c>
      <c r="AG85" s="2">
        <f t="shared" si="251"/>
        <v>61</v>
      </c>
      <c r="AH85" s="2">
        <f t="shared" si="251"/>
        <v>61</v>
      </c>
      <c r="AI85" s="2">
        <f t="shared" si="251"/>
        <v>61</v>
      </c>
      <c r="AJ85" s="2">
        <f t="shared" si="251"/>
        <v>61</v>
      </c>
      <c r="AK85" s="2">
        <f t="shared" si="251"/>
        <v>61</v>
      </c>
      <c r="AL85" s="2">
        <f t="shared" si="251"/>
        <v>61</v>
      </c>
      <c r="AM85" s="2">
        <f t="shared" si="251"/>
        <v>61</v>
      </c>
      <c r="AN85" s="2">
        <f t="shared" si="251"/>
        <v>61</v>
      </c>
      <c r="AO85" s="2">
        <f t="shared" si="251"/>
        <v>61</v>
      </c>
      <c r="AP85" s="2">
        <f t="shared" si="251"/>
        <v>61</v>
      </c>
      <c r="AQ85" s="2">
        <f t="shared" si="251"/>
        <v>61</v>
      </c>
      <c r="AR85" s="2">
        <f t="shared" si="251"/>
        <v>61</v>
      </c>
      <c r="AS85" s="2">
        <f t="shared" si="251"/>
        <v>61</v>
      </c>
      <c r="AT85" s="2">
        <f t="shared" si="252"/>
        <v>61</v>
      </c>
      <c r="AU85" s="2">
        <f t="shared" si="252"/>
        <v>61</v>
      </c>
      <c r="AV85" s="2">
        <f t="shared" si="252"/>
        <v>61</v>
      </c>
      <c r="AW85" s="2">
        <f t="shared" si="252"/>
        <v>61</v>
      </c>
      <c r="AX85" s="2">
        <f t="shared" si="252"/>
        <v>61</v>
      </c>
      <c r="AY85" s="2">
        <f t="shared" si="252"/>
        <v>61</v>
      </c>
      <c r="AZ85" s="2">
        <f t="shared" si="252"/>
        <v>61</v>
      </c>
      <c r="BA85" s="2">
        <f t="shared" si="252"/>
        <v>61</v>
      </c>
      <c r="BB85" s="2">
        <f t="shared" si="252"/>
        <v>61</v>
      </c>
      <c r="BC85" s="2">
        <f t="shared" si="252"/>
        <v>61</v>
      </c>
      <c r="BD85" s="2">
        <f t="shared" si="252"/>
        <v>61</v>
      </c>
      <c r="BE85" s="2">
        <f t="shared" si="252"/>
        <v>61</v>
      </c>
      <c r="BF85" s="2">
        <f t="shared" si="252"/>
        <v>61</v>
      </c>
      <c r="BG85" s="2">
        <f t="shared" si="252"/>
        <v>61</v>
      </c>
      <c r="BH85" s="2">
        <f t="shared" si="252"/>
        <v>61</v>
      </c>
      <c r="BI85" s="2">
        <f t="shared" si="252"/>
        <v>61</v>
      </c>
      <c r="BJ85" s="2">
        <f t="shared" si="253"/>
        <v>61</v>
      </c>
      <c r="BK85" s="2">
        <f t="shared" si="253"/>
        <v>61</v>
      </c>
      <c r="BL85" s="2">
        <f t="shared" si="253"/>
        <v>61</v>
      </c>
      <c r="BM85" s="2">
        <f t="shared" si="253"/>
        <v>61</v>
      </c>
      <c r="BN85" s="2">
        <f t="shared" si="253"/>
        <v>61</v>
      </c>
      <c r="BO85" s="2">
        <f t="shared" si="253"/>
        <v>61</v>
      </c>
      <c r="BP85" s="2">
        <f t="shared" si="253"/>
        <v>61</v>
      </c>
      <c r="BQ85" s="2">
        <f t="shared" si="253"/>
        <v>61</v>
      </c>
    </row>
    <row r="86" spans="2:69" hidden="1" x14ac:dyDescent="0.3">
      <c r="B86" s="21" t="str">
        <f t="shared" si="248"/>
        <v/>
      </c>
      <c r="G86" s="2"/>
      <c r="H86" s="2"/>
      <c r="I86" s="2"/>
      <c r="J86" s="2">
        <f t="shared" si="250"/>
        <v>61</v>
      </c>
      <c r="K86" s="2">
        <f t="shared" si="250"/>
        <v>61</v>
      </c>
      <c r="L86" s="2">
        <f t="shared" si="250"/>
        <v>61</v>
      </c>
      <c r="M86" s="2">
        <f t="shared" si="250"/>
        <v>61</v>
      </c>
      <c r="N86" s="2">
        <f t="shared" si="250"/>
        <v>61</v>
      </c>
      <c r="O86" s="2">
        <f t="shared" si="250"/>
        <v>61</v>
      </c>
      <c r="P86" s="2">
        <f t="shared" si="250"/>
        <v>61</v>
      </c>
      <c r="Q86" s="2">
        <f t="shared" si="250"/>
        <v>61</v>
      </c>
      <c r="R86" s="2">
        <f t="shared" si="250"/>
        <v>61</v>
      </c>
      <c r="S86" s="2">
        <f t="shared" si="250"/>
        <v>61</v>
      </c>
      <c r="T86" s="2">
        <f t="shared" si="250"/>
        <v>61</v>
      </c>
      <c r="U86" s="2">
        <f t="shared" si="250"/>
        <v>61</v>
      </c>
      <c r="V86" s="2">
        <f t="shared" si="250"/>
        <v>61</v>
      </c>
      <c r="W86" s="2">
        <f t="shared" si="250"/>
        <v>61</v>
      </c>
      <c r="X86" s="2">
        <f t="shared" si="250"/>
        <v>61</v>
      </c>
      <c r="Y86" s="2">
        <f t="shared" si="250"/>
        <v>61</v>
      </c>
      <c r="Z86" s="2">
        <f t="shared" si="254"/>
        <v>61</v>
      </c>
      <c r="AA86" s="2">
        <f t="shared" si="254"/>
        <v>61</v>
      </c>
      <c r="AB86" s="2">
        <f t="shared" si="254"/>
        <v>61</v>
      </c>
      <c r="AC86" s="2">
        <f t="shared" si="254"/>
        <v>61</v>
      </c>
      <c r="AD86" s="2">
        <f t="shared" si="251"/>
        <v>61</v>
      </c>
      <c r="AE86" s="2">
        <f t="shared" si="251"/>
        <v>61</v>
      </c>
      <c r="AF86" s="2">
        <f t="shared" si="251"/>
        <v>61</v>
      </c>
      <c r="AG86" s="2">
        <f t="shared" si="251"/>
        <v>61</v>
      </c>
      <c r="AH86" s="2">
        <f t="shared" si="251"/>
        <v>61</v>
      </c>
      <c r="AI86" s="2">
        <f t="shared" si="251"/>
        <v>61</v>
      </c>
      <c r="AJ86" s="2">
        <f t="shared" si="251"/>
        <v>61</v>
      </c>
      <c r="AK86" s="2">
        <f t="shared" si="251"/>
        <v>61</v>
      </c>
      <c r="AL86" s="2">
        <f t="shared" si="251"/>
        <v>61</v>
      </c>
      <c r="AM86" s="2">
        <f t="shared" si="251"/>
        <v>61</v>
      </c>
      <c r="AN86" s="2">
        <f t="shared" si="251"/>
        <v>61</v>
      </c>
      <c r="AO86" s="2">
        <f t="shared" si="251"/>
        <v>61</v>
      </c>
      <c r="AP86" s="2">
        <f t="shared" si="251"/>
        <v>61</v>
      </c>
      <c r="AQ86" s="2">
        <f t="shared" si="251"/>
        <v>61</v>
      </c>
      <c r="AR86" s="2">
        <f t="shared" si="251"/>
        <v>61</v>
      </c>
      <c r="AS86" s="2">
        <f t="shared" ref="AS86:BH102" si="255">IF(DE23=0,61,DE23)</f>
        <v>61</v>
      </c>
      <c r="AT86" s="2">
        <f t="shared" si="252"/>
        <v>61</v>
      </c>
      <c r="AU86" s="2">
        <f t="shared" si="252"/>
        <v>61</v>
      </c>
      <c r="AV86" s="2">
        <f t="shared" si="252"/>
        <v>61</v>
      </c>
      <c r="AW86" s="2">
        <f t="shared" si="252"/>
        <v>61</v>
      </c>
      <c r="AX86" s="2">
        <f t="shared" si="252"/>
        <v>61</v>
      </c>
      <c r="AY86" s="2">
        <f t="shared" si="252"/>
        <v>61</v>
      </c>
      <c r="AZ86" s="2">
        <f t="shared" si="252"/>
        <v>61</v>
      </c>
      <c r="BA86" s="2">
        <f t="shared" si="252"/>
        <v>61</v>
      </c>
      <c r="BB86" s="2">
        <f t="shared" si="252"/>
        <v>61</v>
      </c>
      <c r="BC86" s="2">
        <f t="shared" si="252"/>
        <v>61</v>
      </c>
      <c r="BD86" s="2">
        <f t="shared" si="252"/>
        <v>61</v>
      </c>
      <c r="BE86" s="2">
        <f t="shared" si="252"/>
        <v>61</v>
      </c>
      <c r="BF86" s="2">
        <f t="shared" si="252"/>
        <v>61</v>
      </c>
      <c r="BG86" s="2">
        <f t="shared" si="252"/>
        <v>61</v>
      </c>
      <c r="BH86" s="2">
        <f t="shared" si="252"/>
        <v>61</v>
      </c>
      <c r="BI86" s="2">
        <f t="shared" ref="BI86:BP126" si="256">IF(DU23=0,61,DU23)</f>
        <v>61</v>
      </c>
      <c r="BJ86" s="2">
        <f t="shared" si="253"/>
        <v>61</v>
      </c>
      <c r="BK86" s="2">
        <f t="shared" si="253"/>
        <v>61</v>
      </c>
      <c r="BL86" s="2">
        <f t="shared" si="253"/>
        <v>61</v>
      </c>
      <c r="BM86" s="2">
        <f t="shared" si="253"/>
        <v>61</v>
      </c>
      <c r="BN86" s="2">
        <f t="shared" si="253"/>
        <v>61</v>
      </c>
      <c r="BO86" s="2">
        <f t="shared" si="253"/>
        <v>61</v>
      </c>
      <c r="BP86" s="2">
        <f t="shared" si="253"/>
        <v>61</v>
      </c>
      <c r="BQ86" s="2">
        <f t="shared" si="253"/>
        <v>61</v>
      </c>
    </row>
    <row r="87" spans="2:69" hidden="1" x14ac:dyDescent="0.3">
      <c r="B87" s="21" t="str">
        <f t="shared" si="248"/>
        <v/>
      </c>
      <c r="G87" s="2"/>
      <c r="H87" s="2"/>
      <c r="I87" s="2"/>
      <c r="J87" s="2">
        <f t="shared" si="250"/>
        <v>61</v>
      </c>
      <c r="K87" s="2">
        <f t="shared" si="250"/>
        <v>61</v>
      </c>
      <c r="L87" s="2">
        <f t="shared" si="250"/>
        <v>61</v>
      </c>
      <c r="M87" s="2">
        <f t="shared" si="250"/>
        <v>61</v>
      </c>
      <c r="N87" s="2">
        <f t="shared" si="250"/>
        <v>61</v>
      </c>
      <c r="O87" s="2">
        <f t="shared" si="250"/>
        <v>61</v>
      </c>
      <c r="P87" s="2">
        <f t="shared" si="250"/>
        <v>61</v>
      </c>
      <c r="Q87" s="2">
        <f t="shared" si="250"/>
        <v>61</v>
      </c>
      <c r="R87" s="2">
        <f t="shared" si="250"/>
        <v>61</v>
      </c>
      <c r="S87" s="2">
        <f t="shared" si="250"/>
        <v>61</v>
      </c>
      <c r="T87" s="2">
        <f t="shared" si="250"/>
        <v>61</v>
      </c>
      <c r="U87" s="2">
        <f t="shared" ref="U87:AD122" si="257">IF(CG24=0,61,CG24)</f>
        <v>61</v>
      </c>
      <c r="V87" s="2">
        <f t="shared" si="257"/>
        <v>61</v>
      </c>
      <c r="W87" s="2">
        <f t="shared" si="257"/>
        <v>61</v>
      </c>
      <c r="X87" s="2">
        <f t="shared" si="257"/>
        <v>61</v>
      </c>
      <c r="Y87" s="2">
        <f t="shared" si="257"/>
        <v>61</v>
      </c>
      <c r="Z87" s="2">
        <f t="shared" si="254"/>
        <v>61</v>
      </c>
      <c r="AA87" s="2">
        <f t="shared" si="254"/>
        <v>61</v>
      </c>
      <c r="AB87" s="2">
        <f t="shared" si="254"/>
        <v>61</v>
      </c>
      <c r="AC87" s="2">
        <f t="shared" si="254"/>
        <v>61</v>
      </c>
      <c r="AD87" s="2">
        <f t="shared" si="254"/>
        <v>61</v>
      </c>
      <c r="AE87" s="2">
        <f t="shared" si="254"/>
        <v>61</v>
      </c>
      <c r="AF87" s="2">
        <f t="shared" si="254"/>
        <v>61</v>
      </c>
      <c r="AG87" s="2">
        <f t="shared" si="254"/>
        <v>61</v>
      </c>
      <c r="AH87" s="2">
        <f t="shared" si="254"/>
        <v>61</v>
      </c>
      <c r="AI87" s="2">
        <f t="shared" si="254"/>
        <v>61</v>
      </c>
      <c r="AJ87" s="2">
        <f t="shared" si="254"/>
        <v>61</v>
      </c>
      <c r="AK87" s="2">
        <f t="shared" si="254"/>
        <v>61</v>
      </c>
      <c r="AL87" s="2">
        <f t="shared" si="254"/>
        <v>61</v>
      </c>
      <c r="AM87" s="2">
        <f t="shared" si="254"/>
        <v>61</v>
      </c>
      <c r="AN87" s="2">
        <f t="shared" si="254"/>
        <v>61</v>
      </c>
      <c r="AO87" s="2">
        <f t="shared" si="254"/>
        <v>61</v>
      </c>
      <c r="AP87" s="2">
        <f t="shared" ref="AP87:BE115" si="258">IF(DB24=0,61,DB24)</f>
        <v>61</v>
      </c>
      <c r="AQ87" s="2">
        <f t="shared" si="258"/>
        <v>61</v>
      </c>
      <c r="AR87" s="2">
        <f t="shared" si="258"/>
        <v>61</v>
      </c>
      <c r="AS87" s="2">
        <f t="shared" si="255"/>
        <v>61</v>
      </c>
      <c r="AT87" s="2">
        <f t="shared" si="255"/>
        <v>61</v>
      </c>
      <c r="AU87" s="2">
        <f t="shared" si="255"/>
        <v>61</v>
      </c>
      <c r="AV87" s="2">
        <f t="shared" si="255"/>
        <v>61</v>
      </c>
      <c r="AW87" s="2">
        <f t="shared" si="255"/>
        <v>61</v>
      </c>
      <c r="AX87" s="2">
        <f t="shared" si="255"/>
        <v>61</v>
      </c>
      <c r="AY87" s="2">
        <f t="shared" si="255"/>
        <v>61</v>
      </c>
      <c r="AZ87" s="2">
        <f t="shared" si="255"/>
        <v>61</v>
      </c>
      <c r="BA87" s="2">
        <f t="shared" si="255"/>
        <v>61</v>
      </c>
      <c r="BB87" s="2">
        <f t="shared" si="255"/>
        <v>61</v>
      </c>
      <c r="BC87" s="2">
        <f t="shared" si="255"/>
        <v>61</v>
      </c>
      <c r="BD87" s="2">
        <f t="shared" si="255"/>
        <v>61</v>
      </c>
      <c r="BE87" s="2">
        <f t="shared" si="255"/>
        <v>61</v>
      </c>
      <c r="BF87" s="2">
        <f t="shared" si="255"/>
        <v>61</v>
      </c>
      <c r="BG87" s="2">
        <f t="shared" si="255"/>
        <v>61</v>
      </c>
      <c r="BH87" s="2">
        <f t="shared" si="255"/>
        <v>61</v>
      </c>
      <c r="BI87" s="2">
        <f t="shared" si="256"/>
        <v>61</v>
      </c>
      <c r="BJ87" s="2">
        <f t="shared" si="253"/>
        <v>61</v>
      </c>
      <c r="BK87" s="2">
        <f t="shared" si="253"/>
        <v>61</v>
      </c>
      <c r="BL87" s="2">
        <f t="shared" si="253"/>
        <v>61</v>
      </c>
      <c r="BM87" s="2">
        <f t="shared" si="253"/>
        <v>61</v>
      </c>
      <c r="BN87" s="2">
        <f t="shared" si="253"/>
        <v>61</v>
      </c>
      <c r="BO87" s="2">
        <f t="shared" si="253"/>
        <v>61</v>
      </c>
      <c r="BP87" s="2">
        <f t="shared" si="253"/>
        <v>61</v>
      </c>
      <c r="BQ87" s="2">
        <f t="shared" si="253"/>
        <v>61</v>
      </c>
    </row>
    <row r="88" spans="2:69" hidden="1" x14ac:dyDescent="0.3">
      <c r="B88" s="21" t="str">
        <f t="shared" si="248"/>
        <v/>
      </c>
      <c r="G88" s="2"/>
      <c r="H88" s="2"/>
      <c r="I88" s="2"/>
      <c r="J88" s="2">
        <f t="shared" ref="J88:T111" si="259">IF(BV25=0,61,BV25)</f>
        <v>61</v>
      </c>
      <c r="K88" s="2">
        <f t="shared" si="259"/>
        <v>61</v>
      </c>
      <c r="L88" s="2">
        <f t="shared" si="259"/>
        <v>61</v>
      </c>
      <c r="M88" s="2">
        <f t="shared" si="259"/>
        <v>61</v>
      </c>
      <c r="N88" s="2">
        <f t="shared" si="259"/>
        <v>61</v>
      </c>
      <c r="O88" s="2">
        <f t="shared" si="259"/>
        <v>61</v>
      </c>
      <c r="P88" s="2">
        <f t="shared" si="259"/>
        <v>61</v>
      </c>
      <c r="Q88" s="2">
        <f t="shared" si="259"/>
        <v>61</v>
      </c>
      <c r="R88" s="2">
        <f t="shared" si="259"/>
        <v>61</v>
      </c>
      <c r="S88" s="2">
        <f t="shared" si="259"/>
        <v>61</v>
      </c>
      <c r="T88" s="2">
        <f t="shared" si="259"/>
        <v>61</v>
      </c>
      <c r="U88" s="2">
        <f t="shared" si="257"/>
        <v>61</v>
      </c>
      <c r="V88" s="2">
        <f t="shared" si="257"/>
        <v>61</v>
      </c>
      <c r="W88" s="2">
        <f t="shared" si="257"/>
        <v>61</v>
      </c>
      <c r="X88" s="2">
        <f t="shared" si="257"/>
        <v>61</v>
      </c>
      <c r="Y88" s="2">
        <f t="shared" si="257"/>
        <v>61</v>
      </c>
      <c r="Z88" s="2">
        <f t="shared" si="254"/>
        <v>61</v>
      </c>
      <c r="AA88" s="2">
        <f t="shared" si="254"/>
        <v>61</v>
      </c>
      <c r="AB88" s="2">
        <f t="shared" si="254"/>
        <v>61</v>
      </c>
      <c r="AC88" s="2">
        <f t="shared" si="254"/>
        <v>61</v>
      </c>
      <c r="AD88" s="2">
        <f t="shared" si="254"/>
        <v>61</v>
      </c>
      <c r="AE88" s="2">
        <f t="shared" si="254"/>
        <v>61</v>
      </c>
      <c r="AF88" s="2">
        <f t="shared" si="254"/>
        <v>61</v>
      </c>
      <c r="AG88" s="2">
        <f t="shared" si="254"/>
        <v>61</v>
      </c>
      <c r="AH88" s="2">
        <f t="shared" si="254"/>
        <v>61</v>
      </c>
      <c r="AI88" s="2">
        <f t="shared" si="254"/>
        <v>61</v>
      </c>
      <c r="AJ88" s="2">
        <f t="shared" si="254"/>
        <v>61</v>
      </c>
      <c r="AK88" s="2">
        <f t="shared" si="254"/>
        <v>61</v>
      </c>
      <c r="AL88" s="2">
        <f t="shared" si="254"/>
        <v>61</v>
      </c>
      <c r="AM88" s="2">
        <f t="shared" si="254"/>
        <v>61</v>
      </c>
      <c r="AN88" s="2">
        <f t="shared" si="254"/>
        <v>61</v>
      </c>
      <c r="AO88" s="2">
        <f t="shared" si="254"/>
        <v>61</v>
      </c>
      <c r="AP88" s="2">
        <f t="shared" si="258"/>
        <v>61</v>
      </c>
      <c r="AQ88" s="2">
        <f t="shared" si="258"/>
        <v>61</v>
      </c>
      <c r="AR88" s="2">
        <f t="shared" si="258"/>
        <v>61</v>
      </c>
      <c r="AS88" s="2">
        <f t="shared" si="255"/>
        <v>61</v>
      </c>
      <c r="AT88" s="2">
        <f t="shared" si="255"/>
        <v>61</v>
      </c>
      <c r="AU88" s="2">
        <f t="shared" si="255"/>
        <v>61</v>
      </c>
      <c r="AV88" s="2">
        <f t="shared" si="255"/>
        <v>61</v>
      </c>
      <c r="AW88" s="2">
        <f t="shared" si="255"/>
        <v>61</v>
      </c>
      <c r="AX88" s="2">
        <f t="shared" si="255"/>
        <v>61</v>
      </c>
      <c r="AY88" s="2">
        <f t="shared" si="255"/>
        <v>61</v>
      </c>
      <c r="AZ88" s="2">
        <f t="shared" si="255"/>
        <v>61</v>
      </c>
      <c r="BA88" s="2">
        <f t="shared" si="255"/>
        <v>61</v>
      </c>
      <c r="BB88" s="2">
        <f t="shared" si="255"/>
        <v>61</v>
      </c>
      <c r="BC88" s="2">
        <f t="shared" si="255"/>
        <v>61</v>
      </c>
      <c r="BD88" s="2">
        <f t="shared" si="255"/>
        <v>61</v>
      </c>
      <c r="BE88" s="2">
        <f t="shared" si="255"/>
        <v>61</v>
      </c>
      <c r="BF88" s="2">
        <f t="shared" si="255"/>
        <v>61</v>
      </c>
      <c r="BG88" s="2">
        <f t="shared" si="255"/>
        <v>61</v>
      </c>
      <c r="BH88" s="2">
        <f t="shared" si="255"/>
        <v>61</v>
      </c>
      <c r="BI88" s="2">
        <f t="shared" si="256"/>
        <v>61</v>
      </c>
      <c r="BJ88" s="2">
        <f t="shared" si="253"/>
        <v>61</v>
      </c>
      <c r="BK88" s="2">
        <f t="shared" si="253"/>
        <v>61</v>
      </c>
      <c r="BL88" s="2">
        <f t="shared" si="253"/>
        <v>61</v>
      </c>
      <c r="BM88" s="2">
        <f t="shared" si="253"/>
        <v>61</v>
      </c>
      <c r="BN88" s="2">
        <f t="shared" si="253"/>
        <v>61</v>
      </c>
      <c r="BO88" s="2">
        <f t="shared" si="253"/>
        <v>61</v>
      </c>
      <c r="BP88" s="2">
        <f t="shared" si="253"/>
        <v>61</v>
      </c>
      <c r="BQ88" s="2">
        <f t="shared" si="253"/>
        <v>61</v>
      </c>
    </row>
    <row r="89" spans="2:69" hidden="1" x14ac:dyDescent="0.3">
      <c r="B89" s="21" t="str">
        <f t="shared" si="248"/>
        <v/>
      </c>
      <c r="G89" s="2"/>
      <c r="H89" s="2"/>
      <c r="I89" s="2"/>
      <c r="J89" s="2">
        <f t="shared" si="259"/>
        <v>61</v>
      </c>
      <c r="K89" s="2">
        <f t="shared" si="259"/>
        <v>61</v>
      </c>
      <c r="L89" s="2">
        <f t="shared" si="259"/>
        <v>61</v>
      </c>
      <c r="M89" s="2">
        <f t="shared" si="259"/>
        <v>61</v>
      </c>
      <c r="N89" s="2">
        <f t="shared" si="259"/>
        <v>61</v>
      </c>
      <c r="O89" s="2">
        <f t="shared" si="259"/>
        <v>61</v>
      </c>
      <c r="P89" s="2">
        <f t="shared" si="259"/>
        <v>61</v>
      </c>
      <c r="Q89" s="2">
        <f t="shared" si="259"/>
        <v>61</v>
      </c>
      <c r="R89" s="2">
        <f t="shared" si="259"/>
        <v>61</v>
      </c>
      <c r="S89" s="2">
        <f t="shared" si="259"/>
        <v>61</v>
      </c>
      <c r="T89" s="2">
        <f t="shared" si="259"/>
        <v>61</v>
      </c>
      <c r="U89" s="2">
        <f t="shared" si="257"/>
        <v>61</v>
      </c>
      <c r="V89" s="2">
        <f t="shared" si="257"/>
        <v>61</v>
      </c>
      <c r="W89" s="2">
        <f t="shared" si="257"/>
        <v>61</v>
      </c>
      <c r="X89" s="2">
        <f t="shared" si="257"/>
        <v>61</v>
      </c>
      <c r="Y89" s="2">
        <f t="shared" si="257"/>
        <v>61</v>
      </c>
      <c r="Z89" s="2">
        <f t="shared" si="254"/>
        <v>61</v>
      </c>
      <c r="AA89" s="2">
        <f t="shared" si="254"/>
        <v>61</v>
      </c>
      <c r="AB89" s="2">
        <f t="shared" si="254"/>
        <v>61</v>
      </c>
      <c r="AC89" s="2">
        <f t="shared" si="254"/>
        <v>61</v>
      </c>
      <c r="AD89" s="2">
        <f t="shared" si="254"/>
        <v>61</v>
      </c>
      <c r="AE89" s="2">
        <f t="shared" si="254"/>
        <v>61</v>
      </c>
      <c r="AF89" s="2">
        <f t="shared" si="254"/>
        <v>61</v>
      </c>
      <c r="AG89" s="2">
        <f t="shared" si="254"/>
        <v>61</v>
      </c>
      <c r="AH89" s="2">
        <f t="shared" si="254"/>
        <v>61</v>
      </c>
      <c r="AI89" s="2">
        <f t="shared" si="254"/>
        <v>61</v>
      </c>
      <c r="AJ89" s="2">
        <f t="shared" si="254"/>
        <v>61</v>
      </c>
      <c r="AK89" s="2">
        <f t="shared" si="254"/>
        <v>61</v>
      </c>
      <c r="AL89" s="2">
        <f t="shared" si="254"/>
        <v>61</v>
      </c>
      <c r="AM89" s="2">
        <f t="shared" si="254"/>
        <v>61</v>
      </c>
      <c r="AN89" s="2">
        <f t="shared" si="254"/>
        <v>61</v>
      </c>
      <c r="AO89" s="2">
        <f t="shared" si="254"/>
        <v>61</v>
      </c>
      <c r="AP89" s="2">
        <f t="shared" si="258"/>
        <v>61</v>
      </c>
      <c r="AQ89" s="2">
        <f t="shared" si="258"/>
        <v>61</v>
      </c>
      <c r="AR89" s="2">
        <f t="shared" si="258"/>
        <v>61</v>
      </c>
      <c r="AS89" s="2">
        <f t="shared" si="255"/>
        <v>61</v>
      </c>
      <c r="AT89" s="2">
        <f t="shared" si="255"/>
        <v>61</v>
      </c>
      <c r="AU89" s="2">
        <f t="shared" si="255"/>
        <v>61</v>
      </c>
      <c r="AV89" s="2">
        <f t="shared" si="255"/>
        <v>61</v>
      </c>
      <c r="AW89" s="2">
        <f t="shared" si="255"/>
        <v>61</v>
      </c>
      <c r="AX89" s="2">
        <f t="shared" si="255"/>
        <v>61</v>
      </c>
      <c r="AY89" s="2">
        <f t="shared" si="255"/>
        <v>61</v>
      </c>
      <c r="AZ89" s="2">
        <f t="shared" si="255"/>
        <v>61</v>
      </c>
      <c r="BA89" s="2">
        <f t="shared" si="255"/>
        <v>61</v>
      </c>
      <c r="BB89" s="2">
        <f t="shared" si="255"/>
        <v>61</v>
      </c>
      <c r="BC89" s="2">
        <f t="shared" si="255"/>
        <v>61</v>
      </c>
      <c r="BD89" s="2">
        <f t="shared" si="255"/>
        <v>61</v>
      </c>
      <c r="BE89" s="2">
        <f t="shared" si="255"/>
        <v>61</v>
      </c>
      <c r="BF89" s="2">
        <f t="shared" si="255"/>
        <v>61</v>
      </c>
      <c r="BG89" s="2">
        <f t="shared" si="255"/>
        <v>61</v>
      </c>
      <c r="BH89" s="2">
        <f t="shared" si="255"/>
        <v>61</v>
      </c>
      <c r="BI89" s="2">
        <f t="shared" si="256"/>
        <v>61</v>
      </c>
      <c r="BJ89" s="2">
        <f t="shared" si="253"/>
        <v>61</v>
      </c>
      <c r="BK89" s="2">
        <f t="shared" si="253"/>
        <v>61</v>
      </c>
      <c r="BL89" s="2">
        <f t="shared" si="253"/>
        <v>61</v>
      </c>
      <c r="BM89" s="2">
        <f t="shared" si="253"/>
        <v>61</v>
      </c>
      <c r="BN89" s="2">
        <f t="shared" si="253"/>
        <v>61</v>
      </c>
      <c r="BO89" s="2">
        <f t="shared" si="253"/>
        <v>61</v>
      </c>
      <c r="BP89" s="2">
        <f t="shared" si="253"/>
        <v>61</v>
      </c>
      <c r="BQ89" s="2">
        <f t="shared" si="253"/>
        <v>61</v>
      </c>
    </row>
    <row r="90" spans="2:69" hidden="1" x14ac:dyDescent="0.3">
      <c r="B90" s="21" t="str">
        <f t="shared" si="248"/>
        <v/>
      </c>
      <c r="G90" s="2"/>
      <c r="H90" s="2"/>
      <c r="I90" s="2"/>
      <c r="J90" s="2">
        <f t="shared" si="259"/>
        <v>61</v>
      </c>
      <c r="K90" s="2">
        <f t="shared" si="259"/>
        <v>61</v>
      </c>
      <c r="L90" s="2">
        <f t="shared" si="259"/>
        <v>61</v>
      </c>
      <c r="M90" s="2">
        <f t="shared" si="259"/>
        <v>61</v>
      </c>
      <c r="N90" s="2">
        <f t="shared" si="259"/>
        <v>61</v>
      </c>
      <c r="O90" s="2">
        <f t="shared" si="259"/>
        <v>61</v>
      </c>
      <c r="P90" s="2">
        <f t="shared" si="259"/>
        <v>61</v>
      </c>
      <c r="Q90" s="2">
        <f t="shared" si="259"/>
        <v>61</v>
      </c>
      <c r="R90" s="2">
        <f t="shared" si="259"/>
        <v>61</v>
      </c>
      <c r="S90" s="2">
        <f t="shared" si="259"/>
        <v>61</v>
      </c>
      <c r="T90" s="2">
        <f t="shared" si="259"/>
        <v>61</v>
      </c>
      <c r="U90" s="2">
        <f t="shared" si="257"/>
        <v>61</v>
      </c>
      <c r="V90" s="2">
        <f t="shared" si="257"/>
        <v>61</v>
      </c>
      <c r="W90" s="2">
        <f t="shared" si="257"/>
        <v>61</v>
      </c>
      <c r="X90" s="2">
        <f t="shared" si="257"/>
        <v>61</v>
      </c>
      <c r="Y90" s="2">
        <f t="shared" si="257"/>
        <v>61</v>
      </c>
      <c r="Z90" s="2">
        <f t="shared" si="254"/>
        <v>61</v>
      </c>
      <c r="AA90" s="2">
        <f t="shared" si="254"/>
        <v>61</v>
      </c>
      <c r="AB90" s="2">
        <f t="shared" si="254"/>
        <v>61</v>
      </c>
      <c r="AC90" s="2">
        <f t="shared" si="254"/>
        <v>61</v>
      </c>
      <c r="AD90" s="2">
        <f t="shared" si="254"/>
        <v>61</v>
      </c>
      <c r="AE90" s="2">
        <f t="shared" si="254"/>
        <v>61</v>
      </c>
      <c r="AF90" s="2">
        <f t="shared" si="254"/>
        <v>61</v>
      </c>
      <c r="AG90" s="2">
        <f t="shared" si="254"/>
        <v>61</v>
      </c>
      <c r="AH90" s="2">
        <f t="shared" si="254"/>
        <v>61</v>
      </c>
      <c r="AI90" s="2">
        <f t="shared" si="254"/>
        <v>61</v>
      </c>
      <c r="AJ90" s="2">
        <f t="shared" si="254"/>
        <v>61</v>
      </c>
      <c r="AK90" s="2">
        <f t="shared" si="254"/>
        <v>61</v>
      </c>
      <c r="AL90" s="2">
        <f t="shared" si="254"/>
        <v>61</v>
      </c>
      <c r="AM90" s="2">
        <f t="shared" si="254"/>
        <v>61</v>
      </c>
      <c r="AN90" s="2">
        <f t="shared" si="254"/>
        <v>61</v>
      </c>
      <c r="AO90" s="2">
        <f t="shared" si="254"/>
        <v>61</v>
      </c>
      <c r="AP90" s="2">
        <f t="shared" si="258"/>
        <v>61</v>
      </c>
      <c r="AQ90" s="2">
        <f t="shared" si="258"/>
        <v>61</v>
      </c>
      <c r="AR90" s="2">
        <f t="shared" si="258"/>
        <v>61</v>
      </c>
      <c r="AS90" s="2">
        <f t="shared" si="255"/>
        <v>61</v>
      </c>
      <c r="AT90" s="2">
        <f t="shared" si="255"/>
        <v>61</v>
      </c>
      <c r="AU90" s="2">
        <f t="shared" si="255"/>
        <v>61</v>
      </c>
      <c r="AV90" s="2">
        <f t="shared" si="255"/>
        <v>61</v>
      </c>
      <c r="AW90" s="2">
        <f t="shared" si="255"/>
        <v>61</v>
      </c>
      <c r="AX90" s="2">
        <f t="shared" si="255"/>
        <v>61</v>
      </c>
      <c r="AY90" s="2">
        <f t="shared" si="255"/>
        <v>61</v>
      </c>
      <c r="AZ90" s="2">
        <f t="shared" si="255"/>
        <v>61</v>
      </c>
      <c r="BA90" s="2">
        <f t="shared" si="255"/>
        <v>61</v>
      </c>
      <c r="BB90" s="2">
        <f t="shared" si="255"/>
        <v>61</v>
      </c>
      <c r="BC90" s="2">
        <f t="shared" si="255"/>
        <v>61</v>
      </c>
      <c r="BD90" s="2">
        <f t="shared" si="255"/>
        <v>61</v>
      </c>
      <c r="BE90" s="2">
        <f t="shared" si="255"/>
        <v>61</v>
      </c>
      <c r="BF90" s="2">
        <f t="shared" si="255"/>
        <v>61</v>
      </c>
      <c r="BG90" s="2">
        <f t="shared" si="255"/>
        <v>61</v>
      </c>
      <c r="BH90" s="2">
        <f t="shared" si="255"/>
        <v>61</v>
      </c>
      <c r="BI90" s="2">
        <f t="shared" si="256"/>
        <v>61</v>
      </c>
      <c r="BJ90" s="2">
        <f t="shared" si="253"/>
        <v>61</v>
      </c>
      <c r="BK90" s="2">
        <f t="shared" si="253"/>
        <v>61</v>
      </c>
      <c r="BL90" s="2">
        <f t="shared" si="253"/>
        <v>61</v>
      </c>
      <c r="BM90" s="2">
        <f t="shared" si="253"/>
        <v>61</v>
      </c>
      <c r="BN90" s="2">
        <f t="shared" si="253"/>
        <v>61</v>
      </c>
      <c r="BO90" s="2">
        <f t="shared" si="253"/>
        <v>61</v>
      </c>
      <c r="BP90" s="2">
        <f t="shared" si="253"/>
        <v>61</v>
      </c>
      <c r="BQ90" s="2">
        <f t="shared" si="253"/>
        <v>61</v>
      </c>
    </row>
    <row r="91" spans="2:69" hidden="1" x14ac:dyDescent="0.3">
      <c r="B91" s="21" t="str">
        <f t="shared" si="248"/>
        <v/>
      </c>
      <c r="G91" s="2"/>
      <c r="H91" s="2"/>
      <c r="I91" s="2"/>
      <c r="J91" s="2">
        <f t="shared" si="259"/>
        <v>61</v>
      </c>
      <c r="K91" s="2">
        <f t="shared" si="259"/>
        <v>61</v>
      </c>
      <c r="L91" s="2">
        <f t="shared" si="259"/>
        <v>61</v>
      </c>
      <c r="M91" s="2">
        <f t="shared" si="259"/>
        <v>61</v>
      </c>
      <c r="N91" s="2">
        <f t="shared" si="259"/>
        <v>61</v>
      </c>
      <c r="O91" s="2">
        <f t="shared" si="259"/>
        <v>61</v>
      </c>
      <c r="P91" s="2">
        <f t="shared" si="259"/>
        <v>61</v>
      </c>
      <c r="Q91" s="2">
        <f t="shared" si="259"/>
        <v>61</v>
      </c>
      <c r="R91" s="2">
        <f t="shared" si="259"/>
        <v>61</v>
      </c>
      <c r="S91" s="2">
        <f t="shared" si="259"/>
        <v>61</v>
      </c>
      <c r="T91" s="2">
        <f t="shared" si="259"/>
        <v>61</v>
      </c>
      <c r="U91" s="2">
        <f t="shared" si="257"/>
        <v>61</v>
      </c>
      <c r="V91" s="2">
        <f t="shared" si="257"/>
        <v>61</v>
      </c>
      <c r="W91" s="2">
        <f t="shared" si="257"/>
        <v>61</v>
      </c>
      <c r="X91" s="2">
        <f t="shared" si="257"/>
        <v>61</v>
      </c>
      <c r="Y91" s="2">
        <f t="shared" si="257"/>
        <v>61</v>
      </c>
      <c r="Z91" s="2">
        <f t="shared" si="254"/>
        <v>61</v>
      </c>
      <c r="AA91" s="2">
        <f t="shared" si="254"/>
        <v>61</v>
      </c>
      <c r="AB91" s="2">
        <f t="shared" si="254"/>
        <v>61</v>
      </c>
      <c r="AC91" s="2">
        <f t="shared" si="254"/>
        <v>61</v>
      </c>
      <c r="AD91" s="2">
        <f t="shared" si="254"/>
        <v>61</v>
      </c>
      <c r="AE91" s="2">
        <f t="shared" si="254"/>
        <v>61</v>
      </c>
      <c r="AF91" s="2">
        <f t="shared" si="254"/>
        <v>61</v>
      </c>
      <c r="AG91" s="2">
        <f t="shared" si="254"/>
        <v>61</v>
      </c>
      <c r="AH91" s="2">
        <f t="shared" si="254"/>
        <v>61</v>
      </c>
      <c r="AI91" s="2">
        <f t="shared" si="254"/>
        <v>61</v>
      </c>
      <c r="AJ91" s="2">
        <f t="shared" si="254"/>
        <v>61</v>
      </c>
      <c r="AK91" s="2">
        <f t="shared" si="254"/>
        <v>61</v>
      </c>
      <c r="AL91" s="2">
        <f t="shared" si="254"/>
        <v>61</v>
      </c>
      <c r="AM91" s="2">
        <f t="shared" si="254"/>
        <v>61</v>
      </c>
      <c r="AN91" s="2">
        <f t="shared" si="254"/>
        <v>61</v>
      </c>
      <c r="AO91" s="2">
        <f t="shared" si="254"/>
        <v>61</v>
      </c>
      <c r="AP91" s="2">
        <f t="shared" si="258"/>
        <v>61</v>
      </c>
      <c r="AQ91" s="2">
        <f t="shared" si="258"/>
        <v>61</v>
      </c>
      <c r="AR91" s="2">
        <f t="shared" si="258"/>
        <v>61</v>
      </c>
      <c r="AS91" s="2">
        <f t="shared" si="255"/>
        <v>61</v>
      </c>
      <c r="AT91" s="2">
        <f t="shared" si="255"/>
        <v>61</v>
      </c>
      <c r="AU91" s="2">
        <f t="shared" si="255"/>
        <v>61</v>
      </c>
      <c r="AV91" s="2">
        <f t="shared" si="255"/>
        <v>61</v>
      </c>
      <c r="AW91" s="2">
        <f t="shared" si="255"/>
        <v>61</v>
      </c>
      <c r="AX91" s="2">
        <f t="shared" si="255"/>
        <v>61</v>
      </c>
      <c r="AY91" s="2">
        <f t="shared" si="255"/>
        <v>61</v>
      </c>
      <c r="AZ91" s="2">
        <f t="shared" si="255"/>
        <v>61</v>
      </c>
      <c r="BA91" s="2">
        <f t="shared" si="255"/>
        <v>61</v>
      </c>
      <c r="BB91" s="2">
        <f t="shared" si="255"/>
        <v>61</v>
      </c>
      <c r="BC91" s="2">
        <f t="shared" si="255"/>
        <v>61</v>
      </c>
      <c r="BD91" s="2">
        <f t="shared" si="255"/>
        <v>61</v>
      </c>
      <c r="BE91" s="2">
        <f t="shared" si="255"/>
        <v>61</v>
      </c>
      <c r="BF91" s="2">
        <f t="shared" si="255"/>
        <v>61</v>
      </c>
      <c r="BG91" s="2">
        <f t="shared" si="255"/>
        <v>61</v>
      </c>
      <c r="BH91" s="2">
        <f t="shared" si="255"/>
        <v>61</v>
      </c>
      <c r="BI91" s="2">
        <f t="shared" si="256"/>
        <v>61</v>
      </c>
      <c r="BJ91" s="2">
        <f t="shared" si="253"/>
        <v>61</v>
      </c>
      <c r="BK91" s="2">
        <f t="shared" si="253"/>
        <v>61</v>
      </c>
      <c r="BL91" s="2">
        <f t="shared" si="253"/>
        <v>61</v>
      </c>
      <c r="BM91" s="2">
        <f t="shared" si="253"/>
        <v>61</v>
      </c>
      <c r="BN91" s="2">
        <f t="shared" si="253"/>
        <v>61</v>
      </c>
      <c r="BO91" s="2">
        <f t="shared" si="253"/>
        <v>61</v>
      </c>
      <c r="BP91" s="2">
        <f t="shared" si="253"/>
        <v>61</v>
      </c>
      <c r="BQ91" s="2">
        <f t="shared" si="253"/>
        <v>61</v>
      </c>
    </row>
    <row r="92" spans="2:69" hidden="1" x14ac:dyDescent="0.3">
      <c r="B92" s="21" t="str">
        <f t="shared" si="248"/>
        <v/>
      </c>
      <c r="G92" s="2"/>
      <c r="H92" s="2"/>
      <c r="I92" s="2"/>
      <c r="J92" s="2">
        <f t="shared" si="259"/>
        <v>61</v>
      </c>
      <c r="K92" s="2">
        <f t="shared" si="259"/>
        <v>61</v>
      </c>
      <c r="L92" s="2">
        <f t="shared" si="259"/>
        <v>61</v>
      </c>
      <c r="M92" s="2">
        <f t="shared" si="259"/>
        <v>61</v>
      </c>
      <c r="N92" s="2">
        <f t="shared" si="259"/>
        <v>61</v>
      </c>
      <c r="O92" s="2">
        <f t="shared" si="259"/>
        <v>61</v>
      </c>
      <c r="P92" s="2">
        <f t="shared" si="259"/>
        <v>61</v>
      </c>
      <c r="Q92" s="2">
        <f t="shared" si="259"/>
        <v>61</v>
      </c>
      <c r="R92" s="2">
        <f t="shared" si="259"/>
        <v>61</v>
      </c>
      <c r="S92" s="2">
        <f t="shared" si="259"/>
        <v>61</v>
      </c>
      <c r="T92" s="2">
        <f t="shared" si="259"/>
        <v>61</v>
      </c>
      <c r="U92" s="2">
        <f t="shared" si="257"/>
        <v>61</v>
      </c>
      <c r="V92" s="2">
        <f t="shared" si="257"/>
        <v>61</v>
      </c>
      <c r="W92" s="2">
        <f t="shared" si="257"/>
        <v>61</v>
      </c>
      <c r="X92" s="2">
        <f t="shared" si="257"/>
        <v>61</v>
      </c>
      <c r="Y92" s="2">
        <f t="shared" si="257"/>
        <v>61</v>
      </c>
      <c r="Z92" s="2">
        <f t="shared" si="254"/>
        <v>61</v>
      </c>
      <c r="AA92" s="2">
        <f t="shared" si="254"/>
        <v>61</v>
      </c>
      <c r="AB92" s="2">
        <f t="shared" si="254"/>
        <v>61</v>
      </c>
      <c r="AC92" s="2">
        <f t="shared" si="254"/>
        <v>61</v>
      </c>
      <c r="AD92" s="2">
        <f t="shared" si="254"/>
        <v>61</v>
      </c>
      <c r="AE92" s="2">
        <f t="shared" si="254"/>
        <v>61</v>
      </c>
      <c r="AF92" s="2">
        <f t="shared" si="254"/>
        <v>61</v>
      </c>
      <c r="AG92" s="2">
        <f t="shared" si="254"/>
        <v>61</v>
      </c>
      <c r="AH92" s="2">
        <f t="shared" si="254"/>
        <v>61</v>
      </c>
      <c r="AI92" s="2">
        <f t="shared" si="254"/>
        <v>61</v>
      </c>
      <c r="AJ92" s="2">
        <f t="shared" si="254"/>
        <v>61</v>
      </c>
      <c r="AK92" s="2">
        <f t="shared" si="254"/>
        <v>61</v>
      </c>
      <c r="AL92" s="2">
        <f t="shared" si="254"/>
        <v>61</v>
      </c>
      <c r="AM92" s="2">
        <f t="shared" si="254"/>
        <v>61</v>
      </c>
      <c r="AN92" s="2">
        <f t="shared" si="254"/>
        <v>61</v>
      </c>
      <c r="AO92" s="2">
        <f t="shared" si="254"/>
        <v>61</v>
      </c>
      <c r="AP92" s="2">
        <f t="shared" si="258"/>
        <v>61</v>
      </c>
      <c r="AQ92" s="2">
        <f t="shared" si="258"/>
        <v>61</v>
      </c>
      <c r="AR92" s="2">
        <f t="shared" si="258"/>
        <v>61</v>
      </c>
      <c r="AS92" s="2">
        <f t="shared" si="255"/>
        <v>61</v>
      </c>
      <c r="AT92" s="2">
        <f t="shared" si="255"/>
        <v>61</v>
      </c>
      <c r="AU92" s="2">
        <f t="shared" si="255"/>
        <v>61</v>
      </c>
      <c r="AV92" s="2">
        <f t="shared" si="255"/>
        <v>61</v>
      </c>
      <c r="AW92" s="2">
        <f t="shared" si="255"/>
        <v>61</v>
      </c>
      <c r="AX92" s="2">
        <f t="shared" si="255"/>
        <v>61</v>
      </c>
      <c r="AY92" s="2">
        <f t="shared" si="255"/>
        <v>61</v>
      </c>
      <c r="AZ92" s="2">
        <f t="shared" si="255"/>
        <v>61</v>
      </c>
      <c r="BA92" s="2">
        <f t="shared" si="255"/>
        <v>61</v>
      </c>
      <c r="BB92" s="2">
        <f t="shared" si="255"/>
        <v>61</v>
      </c>
      <c r="BC92" s="2">
        <f t="shared" si="255"/>
        <v>61</v>
      </c>
      <c r="BD92" s="2">
        <f t="shared" si="255"/>
        <v>61</v>
      </c>
      <c r="BE92" s="2">
        <f t="shared" si="255"/>
        <v>61</v>
      </c>
      <c r="BF92" s="2">
        <f t="shared" si="255"/>
        <v>61</v>
      </c>
      <c r="BG92" s="2">
        <f t="shared" si="255"/>
        <v>61</v>
      </c>
      <c r="BH92" s="2">
        <f t="shared" si="255"/>
        <v>61</v>
      </c>
      <c r="BI92" s="2">
        <f t="shared" si="256"/>
        <v>61</v>
      </c>
      <c r="BJ92" s="2">
        <f t="shared" si="253"/>
        <v>61</v>
      </c>
      <c r="BK92" s="2">
        <f t="shared" si="253"/>
        <v>61</v>
      </c>
      <c r="BL92" s="2">
        <f t="shared" si="253"/>
        <v>61</v>
      </c>
      <c r="BM92" s="2">
        <f t="shared" si="253"/>
        <v>61</v>
      </c>
      <c r="BN92" s="2">
        <f t="shared" si="253"/>
        <v>61</v>
      </c>
      <c r="BO92" s="2">
        <f t="shared" si="253"/>
        <v>61</v>
      </c>
      <c r="BP92" s="2">
        <f t="shared" si="253"/>
        <v>61</v>
      </c>
      <c r="BQ92" s="2">
        <f t="shared" si="253"/>
        <v>61</v>
      </c>
    </row>
    <row r="93" spans="2:69" hidden="1" x14ac:dyDescent="0.3">
      <c r="B93" s="21" t="str">
        <f t="shared" si="248"/>
        <v/>
      </c>
      <c r="G93" s="2"/>
      <c r="H93" s="2"/>
      <c r="I93" s="2"/>
      <c r="J93" s="2">
        <f t="shared" si="259"/>
        <v>61</v>
      </c>
      <c r="K93" s="2">
        <f t="shared" si="259"/>
        <v>61</v>
      </c>
      <c r="L93" s="2">
        <f t="shared" si="259"/>
        <v>61</v>
      </c>
      <c r="M93" s="2">
        <f t="shared" si="259"/>
        <v>61</v>
      </c>
      <c r="N93" s="2">
        <f t="shared" si="259"/>
        <v>61</v>
      </c>
      <c r="O93" s="2">
        <f t="shared" si="259"/>
        <v>61</v>
      </c>
      <c r="P93" s="2">
        <f t="shared" si="259"/>
        <v>61</v>
      </c>
      <c r="Q93" s="2">
        <f t="shared" si="259"/>
        <v>61</v>
      </c>
      <c r="R93" s="2">
        <f t="shared" si="259"/>
        <v>61</v>
      </c>
      <c r="S93" s="2">
        <f t="shared" si="259"/>
        <v>61</v>
      </c>
      <c r="T93" s="2">
        <f t="shared" si="259"/>
        <v>61</v>
      </c>
      <c r="U93" s="2">
        <f t="shared" si="257"/>
        <v>61</v>
      </c>
      <c r="V93" s="2">
        <f t="shared" si="257"/>
        <v>61</v>
      </c>
      <c r="W93" s="2">
        <f t="shared" si="257"/>
        <v>61</v>
      </c>
      <c r="X93" s="2">
        <f t="shared" si="257"/>
        <v>61</v>
      </c>
      <c r="Y93" s="2">
        <f t="shared" si="257"/>
        <v>61</v>
      </c>
      <c r="Z93" s="2">
        <f t="shared" si="254"/>
        <v>61</v>
      </c>
      <c r="AA93" s="2">
        <f t="shared" si="254"/>
        <v>61</v>
      </c>
      <c r="AB93" s="2">
        <f t="shared" si="254"/>
        <v>61</v>
      </c>
      <c r="AC93" s="2">
        <f t="shared" si="254"/>
        <v>61</v>
      </c>
      <c r="AD93" s="2">
        <f t="shared" si="254"/>
        <v>61</v>
      </c>
      <c r="AE93" s="2">
        <f t="shared" si="254"/>
        <v>61</v>
      </c>
      <c r="AF93" s="2">
        <f t="shared" si="254"/>
        <v>61</v>
      </c>
      <c r="AG93" s="2">
        <f t="shared" si="254"/>
        <v>61</v>
      </c>
      <c r="AH93" s="2">
        <f t="shared" si="254"/>
        <v>61</v>
      </c>
      <c r="AI93" s="2">
        <f t="shared" si="254"/>
        <v>61</v>
      </c>
      <c r="AJ93" s="2">
        <f t="shared" si="254"/>
        <v>61</v>
      </c>
      <c r="AK93" s="2">
        <f t="shared" si="254"/>
        <v>61</v>
      </c>
      <c r="AL93" s="2">
        <f t="shared" si="254"/>
        <v>61</v>
      </c>
      <c r="AM93" s="2">
        <f t="shared" si="254"/>
        <v>61</v>
      </c>
      <c r="AN93" s="2">
        <f t="shared" si="254"/>
        <v>61</v>
      </c>
      <c r="AO93" s="2">
        <f t="shared" si="254"/>
        <v>61</v>
      </c>
      <c r="AP93" s="2">
        <f t="shared" si="258"/>
        <v>61</v>
      </c>
      <c r="AQ93" s="2">
        <f t="shared" si="258"/>
        <v>61</v>
      </c>
      <c r="AR93" s="2">
        <f t="shared" si="258"/>
        <v>61</v>
      </c>
      <c r="AS93" s="2">
        <f t="shared" si="255"/>
        <v>61</v>
      </c>
      <c r="AT93" s="2">
        <f t="shared" si="255"/>
        <v>61</v>
      </c>
      <c r="AU93" s="2">
        <f t="shared" si="255"/>
        <v>61</v>
      </c>
      <c r="AV93" s="2">
        <f t="shared" si="255"/>
        <v>61</v>
      </c>
      <c r="AW93" s="2">
        <f t="shared" si="255"/>
        <v>61</v>
      </c>
      <c r="AX93" s="2">
        <f t="shared" si="255"/>
        <v>61</v>
      </c>
      <c r="AY93" s="2">
        <f t="shared" si="255"/>
        <v>61</v>
      </c>
      <c r="AZ93" s="2">
        <f t="shared" si="255"/>
        <v>61</v>
      </c>
      <c r="BA93" s="2">
        <f t="shared" si="255"/>
        <v>61</v>
      </c>
      <c r="BB93" s="2">
        <f t="shared" si="255"/>
        <v>61</v>
      </c>
      <c r="BC93" s="2">
        <f t="shared" si="255"/>
        <v>61</v>
      </c>
      <c r="BD93" s="2">
        <f t="shared" si="255"/>
        <v>61</v>
      </c>
      <c r="BE93" s="2">
        <f t="shared" si="255"/>
        <v>61</v>
      </c>
      <c r="BF93" s="2">
        <f t="shared" si="255"/>
        <v>61</v>
      </c>
      <c r="BG93" s="2">
        <f t="shared" si="255"/>
        <v>61</v>
      </c>
      <c r="BH93" s="2">
        <f t="shared" si="255"/>
        <v>61</v>
      </c>
      <c r="BI93" s="2">
        <f t="shared" si="256"/>
        <v>61</v>
      </c>
      <c r="BJ93" s="2">
        <f t="shared" si="253"/>
        <v>61</v>
      </c>
      <c r="BK93" s="2">
        <f t="shared" si="253"/>
        <v>61</v>
      </c>
      <c r="BL93" s="2">
        <f t="shared" si="253"/>
        <v>61</v>
      </c>
      <c r="BM93" s="2">
        <f t="shared" si="253"/>
        <v>61</v>
      </c>
      <c r="BN93" s="2">
        <f t="shared" si="253"/>
        <v>61</v>
      </c>
      <c r="BO93" s="2">
        <f t="shared" si="253"/>
        <v>61</v>
      </c>
      <c r="BP93" s="2">
        <f t="shared" si="253"/>
        <v>61</v>
      </c>
      <c r="BQ93" s="2">
        <f t="shared" si="253"/>
        <v>61</v>
      </c>
    </row>
    <row r="94" spans="2:69" hidden="1" x14ac:dyDescent="0.3">
      <c r="B94" s="21" t="str">
        <f t="shared" si="248"/>
        <v/>
      </c>
      <c r="G94" s="2"/>
      <c r="H94" s="2"/>
      <c r="I94" s="2"/>
      <c r="J94" s="2">
        <f t="shared" si="259"/>
        <v>61</v>
      </c>
      <c r="K94" s="2">
        <f t="shared" si="259"/>
        <v>61</v>
      </c>
      <c r="L94" s="2">
        <f t="shared" si="259"/>
        <v>61</v>
      </c>
      <c r="M94" s="2">
        <f t="shared" si="259"/>
        <v>61</v>
      </c>
      <c r="N94" s="2">
        <f t="shared" si="259"/>
        <v>61</v>
      </c>
      <c r="O94" s="2">
        <f t="shared" si="259"/>
        <v>61</v>
      </c>
      <c r="P94" s="2">
        <f t="shared" si="259"/>
        <v>61</v>
      </c>
      <c r="Q94" s="2">
        <f t="shared" si="259"/>
        <v>61</v>
      </c>
      <c r="R94" s="2">
        <f t="shared" si="259"/>
        <v>61</v>
      </c>
      <c r="S94" s="2">
        <f t="shared" si="259"/>
        <v>61</v>
      </c>
      <c r="T94" s="2">
        <f t="shared" si="259"/>
        <v>61</v>
      </c>
      <c r="U94" s="2">
        <f t="shared" si="257"/>
        <v>61</v>
      </c>
      <c r="V94" s="2">
        <f t="shared" si="257"/>
        <v>61</v>
      </c>
      <c r="W94" s="2">
        <f t="shared" si="257"/>
        <v>61</v>
      </c>
      <c r="X94" s="2">
        <f t="shared" si="257"/>
        <v>61</v>
      </c>
      <c r="Y94" s="2">
        <f t="shared" si="257"/>
        <v>61</v>
      </c>
      <c r="Z94" s="2">
        <f t="shared" si="254"/>
        <v>61</v>
      </c>
      <c r="AA94" s="2">
        <f t="shared" si="254"/>
        <v>61</v>
      </c>
      <c r="AB94" s="2">
        <f t="shared" si="254"/>
        <v>61</v>
      </c>
      <c r="AC94" s="2">
        <f t="shared" si="254"/>
        <v>61</v>
      </c>
      <c r="AD94" s="2">
        <f t="shared" si="254"/>
        <v>61</v>
      </c>
      <c r="AE94" s="2">
        <f t="shared" si="254"/>
        <v>61</v>
      </c>
      <c r="AF94" s="2">
        <f t="shared" si="254"/>
        <v>61</v>
      </c>
      <c r="AG94" s="2">
        <f t="shared" si="254"/>
        <v>61</v>
      </c>
      <c r="AH94" s="2">
        <f t="shared" si="254"/>
        <v>61</v>
      </c>
      <c r="AI94" s="2">
        <f t="shared" si="254"/>
        <v>61</v>
      </c>
      <c r="AJ94" s="2">
        <f t="shared" si="254"/>
        <v>61</v>
      </c>
      <c r="AK94" s="2">
        <f t="shared" si="254"/>
        <v>61</v>
      </c>
      <c r="AL94" s="2">
        <f t="shared" si="254"/>
        <v>61</v>
      </c>
      <c r="AM94" s="2">
        <f t="shared" si="254"/>
        <v>61</v>
      </c>
      <c r="AN94" s="2">
        <f t="shared" si="254"/>
        <v>61</v>
      </c>
      <c r="AO94" s="2">
        <f t="shared" si="254"/>
        <v>61</v>
      </c>
      <c r="AP94" s="2">
        <f t="shared" si="258"/>
        <v>61</v>
      </c>
      <c r="AQ94" s="2">
        <f t="shared" si="258"/>
        <v>61</v>
      </c>
      <c r="AR94" s="2">
        <f t="shared" si="258"/>
        <v>61</v>
      </c>
      <c r="AS94" s="2">
        <f t="shared" si="255"/>
        <v>61</v>
      </c>
      <c r="AT94" s="2">
        <f t="shared" si="255"/>
        <v>61</v>
      </c>
      <c r="AU94" s="2">
        <f t="shared" si="255"/>
        <v>61</v>
      </c>
      <c r="AV94" s="2">
        <f t="shared" si="255"/>
        <v>61</v>
      </c>
      <c r="AW94" s="2">
        <f t="shared" si="255"/>
        <v>61</v>
      </c>
      <c r="AX94" s="2">
        <f t="shared" si="255"/>
        <v>61</v>
      </c>
      <c r="AY94" s="2">
        <f t="shared" si="255"/>
        <v>61</v>
      </c>
      <c r="AZ94" s="2">
        <f t="shared" si="255"/>
        <v>61</v>
      </c>
      <c r="BA94" s="2">
        <f t="shared" si="255"/>
        <v>61</v>
      </c>
      <c r="BB94" s="2">
        <f t="shared" si="255"/>
        <v>61</v>
      </c>
      <c r="BC94" s="2">
        <f t="shared" si="255"/>
        <v>61</v>
      </c>
      <c r="BD94" s="2">
        <f t="shared" si="255"/>
        <v>61</v>
      </c>
      <c r="BE94" s="2">
        <f t="shared" si="255"/>
        <v>61</v>
      </c>
      <c r="BF94" s="2">
        <f t="shared" si="255"/>
        <v>61</v>
      </c>
      <c r="BG94" s="2">
        <f t="shared" si="255"/>
        <v>61</v>
      </c>
      <c r="BH94" s="2">
        <f t="shared" si="255"/>
        <v>61</v>
      </c>
      <c r="BI94" s="2">
        <f t="shared" si="256"/>
        <v>61</v>
      </c>
      <c r="BJ94" s="2">
        <f t="shared" si="253"/>
        <v>61</v>
      </c>
      <c r="BK94" s="2">
        <f t="shared" si="253"/>
        <v>61</v>
      </c>
      <c r="BL94" s="2">
        <f t="shared" si="253"/>
        <v>61</v>
      </c>
      <c r="BM94" s="2">
        <f t="shared" si="253"/>
        <v>61</v>
      </c>
      <c r="BN94" s="2">
        <f t="shared" si="253"/>
        <v>61</v>
      </c>
      <c r="BO94" s="2">
        <f t="shared" si="253"/>
        <v>61</v>
      </c>
      <c r="BP94" s="2">
        <f t="shared" si="253"/>
        <v>61</v>
      </c>
      <c r="BQ94" s="2">
        <f t="shared" si="253"/>
        <v>61</v>
      </c>
    </row>
    <row r="95" spans="2:69" hidden="1" x14ac:dyDescent="0.3">
      <c r="B95" s="21" t="str">
        <f t="shared" si="248"/>
        <v/>
      </c>
      <c r="G95" s="2"/>
      <c r="H95" s="2"/>
      <c r="I95" s="2"/>
      <c r="J95" s="2">
        <f t="shared" si="259"/>
        <v>61</v>
      </c>
      <c r="K95" s="2">
        <f t="shared" si="259"/>
        <v>61</v>
      </c>
      <c r="L95" s="2">
        <f t="shared" si="259"/>
        <v>61</v>
      </c>
      <c r="M95" s="2">
        <f t="shared" si="259"/>
        <v>61</v>
      </c>
      <c r="N95" s="2">
        <f t="shared" si="259"/>
        <v>61</v>
      </c>
      <c r="O95" s="2">
        <f t="shared" si="259"/>
        <v>61</v>
      </c>
      <c r="P95" s="2">
        <f t="shared" si="259"/>
        <v>61</v>
      </c>
      <c r="Q95" s="2">
        <f t="shared" si="259"/>
        <v>61</v>
      </c>
      <c r="R95" s="2">
        <f t="shared" si="259"/>
        <v>61</v>
      </c>
      <c r="S95" s="2">
        <f t="shared" si="259"/>
        <v>61</v>
      </c>
      <c r="T95" s="2">
        <f t="shared" si="259"/>
        <v>61</v>
      </c>
      <c r="U95" s="2">
        <f t="shared" si="257"/>
        <v>61</v>
      </c>
      <c r="V95" s="2">
        <f t="shared" si="257"/>
        <v>61</v>
      </c>
      <c r="W95" s="2">
        <f t="shared" si="257"/>
        <v>61</v>
      </c>
      <c r="X95" s="2">
        <f t="shared" si="257"/>
        <v>61</v>
      </c>
      <c r="Y95" s="2">
        <f t="shared" si="257"/>
        <v>61</v>
      </c>
      <c r="Z95" s="2">
        <f t="shared" si="254"/>
        <v>61</v>
      </c>
      <c r="AA95" s="2">
        <f t="shared" si="254"/>
        <v>61</v>
      </c>
      <c r="AB95" s="2">
        <f t="shared" si="254"/>
        <v>61</v>
      </c>
      <c r="AC95" s="2">
        <f t="shared" si="254"/>
        <v>61</v>
      </c>
      <c r="AD95" s="2">
        <f t="shared" si="254"/>
        <v>61</v>
      </c>
      <c r="AE95" s="2">
        <f t="shared" si="254"/>
        <v>61</v>
      </c>
      <c r="AF95" s="2">
        <f t="shared" si="254"/>
        <v>61</v>
      </c>
      <c r="AG95" s="2">
        <f t="shared" si="254"/>
        <v>61</v>
      </c>
      <c r="AH95" s="2">
        <f t="shared" si="254"/>
        <v>61</v>
      </c>
      <c r="AI95" s="2">
        <f t="shared" si="254"/>
        <v>61</v>
      </c>
      <c r="AJ95" s="2">
        <f t="shared" si="254"/>
        <v>61</v>
      </c>
      <c r="AK95" s="2">
        <f t="shared" si="254"/>
        <v>61</v>
      </c>
      <c r="AL95" s="2">
        <f t="shared" si="254"/>
        <v>61</v>
      </c>
      <c r="AM95" s="2">
        <f t="shared" si="254"/>
        <v>61</v>
      </c>
      <c r="AN95" s="2">
        <f t="shared" si="254"/>
        <v>61</v>
      </c>
      <c r="AO95" s="2">
        <f t="shared" si="254"/>
        <v>61</v>
      </c>
      <c r="AP95" s="2">
        <f t="shared" si="258"/>
        <v>61</v>
      </c>
      <c r="AQ95" s="2">
        <f t="shared" si="258"/>
        <v>61</v>
      </c>
      <c r="AR95" s="2">
        <f t="shared" si="258"/>
        <v>61</v>
      </c>
      <c r="AS95" s="2">
        <f t="shared" si="255"/>
        <v>61</v>
      </c>
      <c r="AT95" s="2">
        <f t="shared" si="255"/>
        <v>61</v>
      </c>
      <c r="AU95" s="2">
        <f t="shared" si="255"/>
        <v>61</v>
      </c>
      <c r="AV95" s="2">
        <f t="shared" si="255"/>
        <v>61</v>
      </c>
      <c r="AW95" s="2">
        <f t="shared" si="255"/>
        <v>61</v>
      </c>
      <c r="AX95" s="2">
        <f t="shared" si="255"/>
        <v>61</v>
      </c>
      <c r="AY95" s="2">
        <f t="shared" si="255"/>
        <v>61</v>
      </c>
      <c r="AZ95" s="2">
        <f t="shared" si="255"/>
        <v>61</v>
      </c>
      <c r="BA95" s="2">
        <f t="shared" si="255"/>
        <v>61</v>
      </c>
      <c r="BB95" s="2">
        <f t="shared" si="255"/>
        <v>61</v>
      </c>
      <c r="BC95" s="2">
        <f t="shared" si="255"/>
        <v>61</v>
      </c>
      <c r="BD95" s="2">
        <f t="shared" si="255"/>
        <v>61</v>
      </c>
      <c r="BE95" s="2">
        <f t="shared" si="255"/>
        <v>61</v>
      </c>
      <c r="BF95" s="2">
        <f t="shared" si="255"/>
        <v>61</v>
      </c>
      <c r="BG95" s="2">
        <f t="shared" si="255"/>
        <v>61</v>
      </c>
      <c r="BH95" s="2">
        <f t="shared" si="255"/>
        <v>61</v>
      </c>
      <c r="BI95" s="2">
        <f t="shared" si="256"/>
        <v>61</v>
      </c>
      <c r="BJ95" s="2">
        <f t="shared" si="253"/>
        <v>61</v>
      </c>
      <c r="BK95" s="2">
        <f t="shared" si="253"/>
        <v>61</v>
      </c>
      <c r="BL95" s="2">
        <f t="shared" si="253"/>
        <v>61</v>
      </c>
      <c r="BM95" s="2">
        <f t="shared" si="253"/>
        <v>61</v>
      </c>
      <c r="BN95" s="2">
        <f t="shared" si="253"/>
        <v>61</v>
      </c>
      <c r="BO95" s="2">
        <f t="shared" si="253"/>
        <v>61</v>
      </c>
      <c r="BP95" s="2">
        <f t="shared" si="253"/>
        <v>61</v>
      </c>
      <c r="BQ95" s="2">
        <f t="shared" si="253"/>
        <v>61</v>
      </c>
    </row>
    <row r="96" spans="2:69" hidden="1" x14ac:dyDescent="0.3">
      <c r="B96" s="21" t="str">
        <f t="shared" si="248"/>
        <v/>
      </c>
      <c r="G96" s="2"/>
      <c r="H96" s="2"/>
      <c r="I96" s="2"/>
      <c r="J96" s="2">
        <f t="shared" si="259"/>
        <v>61</v>
      </c>
      <c r="K96" s="2">
        <f t="shared" si="259"/>
        <v>61</v>
      </c>
      <c r="L96" s="2">
        <f t="shared" si="259"/>
        <v>61</v>
      </c>
      <c r="M96" s="2">
        <f t="shared" si="259"/>
        <v>61</v>
      </c>
      <c r="N96" s="2">
        <f t="shared" si="259"/>
        <v>61</v>
      </c>
      <c r="O96" s="2">
        <f t="shared" si="259"/>
        <v>61</v>
      </c>
      <c r="P96" s="2">
        <f t="shared" si="259"/>
        <v>61</v>
      </c>
      <c r="Q96" s="2">
        <f t="shared" si="259"/>
        <v>61</v>
      </c>
      <c r="R96" s="2">
        <f t="shared" si="259"/>
        <v>61</v>
      </c>
      <c r="S96" s="2">
        <f t="shared" si="259"/>
        <v>61</v>
      </c>
      <c r="T96" s="2">
        <f t="shared" si="259"/>
        <v>61</v>
      </c>
      <c r="U96" s="2">
        <f t="shared" si="257"/>
        <v>61</v>
      </c>
      <c r="V96" s="2">
        <f t="shared" si="257"/>
        <v>61</v>
      </c>
      <c r="W96" s="2">
        <f t="shared" si="257"/>
        <v>61</v>
      </c>
      <c r="X96" s="2">
        <f t="shared" si="257"/>
        <v>61</v>
      </c>
      <c r="Y96" s="2">
        <f t="shared" si="257"/>
        <v>61</v>
      </c>
      <c r="Z96" s="2">
        <f t="shared" si="254"/>
        <v>61</v>
      </c>
      <c r="AA96" s="2">
        <f t="shared" si="254"/>
        <v>61</v>
      </c>
      <c r="AB96" s="2">
        <f t="shared" si="254"/>
        <v>61</v>
      </c>
      <c r="AC96" s="2">
        <f t="shared" si="254"/>
        <v>61</v>
      </c>
      <c r="AD96" s="2">
        <f t="shared" si="254"/>
        <v>61</v>
      </c>
      <c r="AE96" s="2">
        <f t="shared" si="254"/>
        <v>61</v>
      </c>
      <c r="AF96" s="2">
        <f t="shared" si="254"/>
        <v>61</v>
      </c>
      <c r="AG96" s="2">
        <f t="shared" si="254"/>
        <v>61</v>
      </c>
      <c r="AH96" s="2">
        <f t="shared" si="254"/>
        <v>61</v>
      </c>
      <c r="AI96" s="2">
        <f t="shared" si="254"/>
        <v>61</v>
      </c>
      <c r="AJ96" s="2">
        <f t="shared" si="254"/>
        <v>61</v>
      </c>
      <c r="AK96" s="2">
        <f t="shared" si="254"/>
        <v>61</v>
      </c>
      <c r="AL96" s="2">
        <f t="shared" si="254"/>
        <v>61</v>
      </c>
      <c r="AM96" s="2">
        <f t="shared" si="254"/>
        <v>61</v>
      </c>
      <c r="AN96" s="2">
        <f t="shared" si="254"/>
        <v>61</v>
      </c>
      <c r="AO96" s="2">
        <f t="shared" si="254"/>
        <v>61</v>
      </c>
      <c r="AP96" s="2">
        <f t="shared" si="258"/>
        <v>61</v>
      </c>
      <c r="AQ96" s="2">
        <f t="shared" si="258"/>
        <v>61</v>
      </c>
      <c r="AR96" s="2">
        <f t="shared" si="258"/>
        <v>61</v>
      </c>
      <c r="AS96" s="2">
        <f t="shared" si="255"/>
        <v>61</v>
      </c>
      <c r="AT96" s="2">
        <f t="shared" si="255"/>
        <v>61</v>
      </c>
      <c r="AU96" s="2">
        <f t="shared" si="255"/>
        <v>61</v>
      </c>
      <c r="AV96" s="2">
        <f t="shared" si="255"/>
        <v>61</v>
      </c>
      <c r="AW96" s="2">
        <f t="shared" si="255"/>
        <v>61</v>
      </c>
      <c r="AX96" s="2">
        <f t="shared" si="255"/>
        <v>61</v>
      </c>
      <c r="AY96" s="2">
        <f t="shared" si="255"/>
        <v>61</v>
      </c>
      <c r="AZ96" s="2">
        <f t="shared" si="255"/>
        <v>61</v>
      </c>
      <c r="BA96" s="2">
        <f t="shared" si="255"/>
        <v>61</v>
      </c>
      <c r="BB96" s="2">
        <f t="shared" si="255"/>
        <v>61</v>
      </c>
      <c r="BC96" s="2">
        <f t="shared" si="255"/>
        <v>61</v>
      </c>
      <c r="BD96" s="2">
        <f t="shared" si="255"/>
        <v>61</v>
      </c>
      <c r="BE96" s="2">
        <f t="shared" si="255"/>
        <v>61</v>
      </c>
      <c r="BF96" s="2">
        <f t="shared" si="255"/>
        <v>61</v>
      </c>
      <c r="BG96" s="2">
        <f t="shared" si="255"/>
        <v>61</v>
      </c>
      <c r="BH96" s="2">
        <f t="shared" si="255"/>
        <v>61</v>
      </c>
      <c r="BI96" s="2">
        <f t="shared" si="256"/>
        <v>61</v>
      </c>
      <c r="BJ96" s="2">
        <f t="shared" si="253"/>
        <v>61</v>
      </c>
      <c r="BK96" s="2">
        <f t="shared" si="253"/>
        <v>61</v>
      </c>
      <c r="BL96" s="2">
        <f t="shared" si="253"/>
        <v>61</v>
      </c>
      <c r="BM96" s="2">
        <f t="shared" si="253"/>
        <v>61</v>
      </c>
      <c r="BN96" s="2">
        <f t="shared" si="253"/>
        <v>61</v>
      </c>
      <c r="BO96" s="2">
        <f t="shared" si="253"/>
        <v>61</v>
      </c>
      <c r="BP96" s="2">
        <f t="shared" si="253"/>
        <v>61</v>
      </c>
      <c r="BQ96" s="2">
        <f t="shared" si="253"/>
        <v>61</v>
      </c>
    </row>
    <row r="97" spans="2:69" hidden="1" x14ac:dyDescent="0.3">
      <c r="B97" s="21" t="str">
        <f t="shared" si="248"/>
        <v/>
      </c>
      <c r="G97" s="2"/>
      <c r="H97" s="2"/>
      <c r="I97" s="2"/>
      <c r="J97" s="2">
        <f t="shared" si="259"/>
        <v>61</v>
      </c>
      <c r="K97" s="2">
        <f t="shared" si="259"/>
        <v>61</v>
      </c>
      <c r="L97" s="2">
        <f t="shared" si="259"/>
        <v>61</v>
      </c>
      <c r="M97" s="2">
        <f t="shared" si="259"/>
        <v>61</v>
      </c>
      <c r="N97" s="2">
        <f t="shared" si="259"/>
        <v>61</v>
      </c>
      <c r="O97" s="2">
        <f t="shared" si="259"/>
        <v>61</v>
      </c>
      <c r="P97" s="2">
        <f t="shared" si="259"/>
        <v>61</v>
      </c>
      <c r="Q97" s="2">
        <f t="shared" si="259"/>
        <v>61</v>
      </c>
      <c r="R97" s="2">
        <f t="shared" si="259"/>
        <v>61</v>
      </c>
      <c r="S97" s="2">
        <f t="shared" si="259"/>
        <v>61</v>
      </c>
      <c r="T97" s="2">
        <f t="shared" si="259"/>
        <v>61</v>
      </c>
      <c r="U97" s="2">
        <f t="shared" si="257"/>
        <v>61</v>
      </c>
      <c r="V97" s="2">
        <f t="shared" si="257"/>
        <v>61</v>
      </c>
      <c r="W97" s="2">
        <f t="shared" si="257"/>
        <v>61</v>
      </c>
      <c r="X97" s="2">
        <f t="shared" si="257"/>
        <v>61</v>
      </c>
      <c r="Y97" s="2">
        <f t="shared" si="257"/>
        <v>61</v>
      </c>
      <c r="Z97" s="2">
        <f t="shared" si="254"/>
        <v>61</v>
      </c>
      <c r="AA97" s="2">
        <f t="shared" si="254"/>
        <v>61</v>
      </c>
      <c r="AB97" s="2">
        <f t="shared" si="254"/>
        <v>61</v>
      </c>
      <c r="AC97" s="2">
        <f t="shared" si="254"/>
        <v>61</v>
      </c>
      <c r="AD97" s="2">
        <f t="shared" si="254"/>
        <v>61</v>
      </c>
      <c r="AE97" s="2">
        <f t="shared" si="254"/>
        <v>61</v>
      </c>
      <c r="AF97" s="2">
        <f t="shared" si="254"/>
        <v>61</v>
      </c>
      <c r="AG97" s="2">
        <f t="shared" si="254"/>
        <v>61</v>
      </c>
      <c r="AH97" s="2">
        <f t="shared" si="254"/>
        <v>61</v>
      </c>
      <c r="AI97" s="2">
        <f t="shared" si="254"/>
        <v>61</v>
      </c>
      <c r="AJ97" s="2">
        <f t="shared" si="254"/>
        <v>61</v>
      </c>
      <c r="AK97" s="2">
        <f t="shared" si="254"/>
        <v>61</v>
      </c>
      <c r="AL97" s="2">
        <f t="shared" si="254"/>
        <v>61</v>
      </c>
      <c r="AM97" s="2">
        <f t="shared" si="254"/>
        <v>61</v>
      </c>
      <c r="AN97" s="2">
        <f t="shared" si="254"/>
        <v>61</v>
      </c>
      <c r="AO97" s="2">
        <f t="shared" si="254"/>
        <v>61</v>
      </c>
      <c r="AP97" s="2">
        <f t="shared" si="258"/>
        <v>61</v>
      </c>
      <c r="AQ97" s="2">
        <f t="shared" si="258"/>
        <v>61</v>
      </c>
      <c r="AR97" s="2">
        <f t="shared" si="258"/>
        <v>61</v>
      </c>
      <c r="AS97" s="2">
        <f t="shared" si="255"/>
        <v>61</v>
      </c>
      <c r="AT97" s="2">
        <f t="shared" si="255"/>
        <v>61</v>
      </c>
      <c r="AU97" s="2">
        <f t="shared" si="255"/>
        <v>61</v>
      </c>
      <c r="AV97" s="2">
        <f t="shared" si="255"/>
        <v>61</v>
      </c>
      <c r="AW97" s="2">
        <f t="shared" si="255"/>
        <v>61</v>
      </c>
      <c r="AX97" s="2">
        <f t="shared" si="255"/>
        <v>61</v>
      </c>
      <c r="AY97" s="2">
        <f t="shared" si="255"/>
        <v>61</v>
      </c>
      <c r="AZ97" s="2">
        <f t="shared" si="255"/>
        <v>61</v>
      </c>
      <c r="BA97" s="2">
        <f t="shared" si="255"/>
        <v>61</v>
      </c>
      <c r="BB97" s="2">
        <f t="shared" si="255"/>
        <v>61</v>
      </c>
      <c r="BC97" s="2">
        <f t="shared" si="255"/>
        <v>61</v>
      </c>
      <c r="BD97" s="2">
        <f t="shared" si="255"/>
        <v>61</v>
      </c>
      <c r="BE97" s="2">
        <f t="shared" si="255"/>
        <v>61</v>
      </c>
      <c r="BF97" s="2">
        <f t="shared" si="255"/>
        <v>61</v>
      </c>
      <c r="BG97" s="2">
        <f t="shared" si="255"/>
        <v>61</v>
      </c>
      <c r="BH97" s="2">
        <f t="shared" si="255"/>
        <v>61</v>
      </c>
      <c r="BI97" s="2">
        <f t="shared" si="256"/>
        <v>61</v>
      </c>
      <c r="BJ97" s="2">
        <f t="shared" si="253"/>
        <v>61</v>
      </c>
      <c r="BK97" s="2">
        <f t="shared" si="253"/>
        <v>61</v>
      </c>
      <c r="BL97" s="2">
        <f t="shared" si="253"/>
        <v>61</v>
      </c>
      <c r="BM97" s="2">
        <f t="shared" si="253"/>
        <v>61</v>
      </c>
      <c r="BN97" s="2">
        <f t="shared" si="253"/>
        <v>61</v>
      </c>
      <c r="BO97" s="2">
        <f t="shared" si="253"/>
        <v>61</v>
      </c>
      <c r="BP97" s="2">
        <f t="shared" si="253"/>
        <v>61</v>
      </c>
      <c r="BQ97" s="2">
        <f t="shared" si="253"/>
        <v>61</v>
      </c>
    </row>
    <row r="98" spans="2:69" hidden="1" x14ac:dyDescent="0.3">
      <c r="B98" s="21" t="str">
        <f t="shared" si="248"/>
        <v/>
      </c>
      <c r="G98" s="2"/>
      <c r="H98" s="2"/>
      <c r="I98" s="2"/>
      <c r="J98" s="2">
        <f t="shared" si="259"/>
        <v>61</v>
      </c>
      <c r="K98" s="2">
        <f t="shared" si="259"/>
        <v>61</v>
      </c>
      <c r="L98" s="2">
        <f t="shared" si="259"/>
        <v>61</v>
      </c>
      <c r="M98" s="2">
        <f t="shared" si="259"/>
        <v>61</v>
      </c>
      <c r="N98" s="2">
        <f t="shared" si="259"/>
        <v>61</v>
      </c>
      <c r="O98" s="2">
        <f t="shared" si="259"/>
        <v>61</v>
      </c>
      <c r="P98" s="2">
        <f t="shared" si="259"/>
        <v>61</v>
      </c>
      <c r="Q98" s="2">
        <f t="shared" si="259"/>
        <v>61</v>
      </c>
      <c r="R98" s="2">
        <f t="shared" si="259"/>
        <v>61</v>
      </c>
      <c r="S98" s="2">
        <f t="shared" si="259"/>
        <v>61</v>
      </c>
      <c r="T98" s="2">
        <f t="shared" si="259"/>
        <v>61</v>
      </c>
      <c r="U98" s="2">
        <f t="shared" si="257"/>
        <v>61</v>
      </c>
      <c r="V98" s="2">
        <f t="shared" si="257"/>
        <v>61</v>
      </c>
      <c r="W98" s="2">
        <f t="shared" si="257"/>
        <v>61</v>
      </c>
      <c r="X98" s="2">
        <f t="shared" si="257"/>
        <v>61</v>
      </c>
      <c r="Y98" s="2">
        <f t="shared" si="257"/>
        <v>61</v>
      </c>
      <c r="Z98" s="2">
        <f t="shared" si="254"/>
        <v>61</v>
      </c>
      <c r="AA98" s="2">
        <f t="shared" si="254"/>
        <v>61</v>
      </c>
      <c r="AB98" s="2">
        <f t="shared" si="254"/>
        <v>61</v>
      </c>
      <c r="AC98" s="2">
        <f t="shared" si="254"/>
        <v>61</v>
      </c>
      <c r="AD98" s="2">
        <f t="shared" si="254"/>
        <v>61</v>
      </c>
      <c r="AE98" s="2">
        <f t="shared" si="254"/>
        <v>61</v>
      </c>
      <c r="AF98" s="2">
        <f t="shared" si="254"/>
        <v>61</v>
      </c>
      <c r="AG98" s="2">
        <f t="shared" si="254"/>
        <v>61</v>
      </c>
      <c r="AH98" s="2">
        <f t="shared" si="254"/>
        <v>61</v>
      </c>
      <c r="AI98" s="2">
        <f t="shared" si="254"/>
        <v>61</v>
      </c>
      <c r="AJ98" s="2">
        <f t="shared" si="254"/>
        <v>61</v>
      </c>
      <c r="AK98" s="2">
        <f t="shared" si="254"/>
        <v>61</v>
      </c>
      <c r="AL98" s="2">
        <f t="shared" si="254"/>
        <v>61</v>
      </c>
      <c r="AM98" s="2">
        <f t="shared" si="254"/>
        <v>61</v>
      </c>
      <c r="AN98" s="2">
        <f t="shared" si="254"/>
        <v>61</v>
      </c>
      <c r="AO98" s="2">
        <f t="shared" si="254"/>
        <v>61</v>
      </c>
      <c r="AP98" s="2">
        <f t="shared" si="258"/>
        <v>61</v>
      </c>
      <c r="AQ98" s="2">
        <f t="shared" si="258"/>
        <v>61</v>
      </c>
      <c r="AR98" s="2">
        <f t="shared" si="258"/>
        <v>61</v>
      </c>
      <c r="AS98" s="2">
        <f t="shared" si="255"/>
        <v>61</v>
      </c>
      <c r="AT98" s="2">
        <f t="shared" si="255"/>
        <v>61</v>
      </c>
      <c r="AU98" s="2">
        <f t="shared" si="255"/>
        <v>61</v>
      </c>
      <c r="AV98" s="2">
        <f t="shared" si="255"/>
        <v>61</v>
      </c>
      <c r="AW98" s="2">
        <f t="shared" si="255"/>
        <v>61</v>
      </c>
      <c r="AX98" s="2">
        <f t="shared" si="255"/>
        <v>61</v>
      </c>
      <c r="AY98" s="2">
        <f t="shared" si="255"/>
        <v>61</v>
      </c>
      <c r="AZ98" s="2">
        <f t="shared" si="255"/>
        <v>61</v>
      </c>
      <c r="BA98" s="2">
        <f t="shared" si="255"/>
        <v>61</v>
      </c>
      <c r="BB98" s="2">
        <f t="shared" si="255"/>
        <v>61</v>
      </c>
      <c r="BC98" s="2">
        <f t="shared" si="255"/>
        <v>61</v>
      </c>
      <c r="BD98" s="2">
        <f t="shared" si="255"/>
        <v>61</v>
      </c>
      <c r="BE98" s="2">
        <f t="shared" si="255"/>
        <v>61</v>
      </c>
      <c r="BF98" s="2">
        <f t="shared" si="255"/>
        <v>61</v>
      </c>
      <c r="BG98" s="2">
        <f t="shared" si="255"/>
        <v>61</v>
      </c>
      <c r="BH98" s="2">
        <f t="shared" si="255"/>
        <v>61</v>
      </c>
      <c r="BI98" s="2">
        <f t="shared" si="256"/>
        <v>61</v>
      </c>
      <c r="BJ98" s="2">
        <f t="shared" si="253"/>
        <v>61</v>
      </c>
      <c r="BK98" s="2">
        <f t="shared" si="253"/>
        <v>61</v>
      </c>
      <c r="BL98" s="2">
        <f t="shared" si="253"/>
        <v>61</v>
      </c>
      <c r="BM98" s="2">
        <f t="shared" si="253"/>
        <v>61</v>
      </c>
      <c r="BN98" s="2">
        <f t="shared" si="253"/>
        <v>61</v>
      </c>
      <c r="BO98" s="2">
        <f t="shared" si="253"/>
        <v>61</v>
      </c>
      <c r="BP98" s="2">
        <f t="shared" si="253"/>
        <v>61</v>
      </c>
      <c r="BQ98" s="2">
        <f t="shared" si="253"/>
        <v>61</v>
      </c>
    </row>
    <row r="99" spans="2:69" hidden="1" x14ac:dyDescent="0.3">
      <c r="B99" s="21" t="str">
        <f t="shared" si="248"/>
        <v/>
      </c>
      <c r="G99" s="2"/>
      <c r="H99" s="2"/>
      <c r="I99" s="2"/>
      <c r="J99" s="2">
        <f t="shared" si="259"/>
        <v>61</v>
      </c>
      <c r="K99" s="2">
        <f t="shared" si="259"/>
        <v>61</v>
      </c>
      <c r="L99" s="2">
        <f t="shared" si="259"/>
        <v>61</v>
      </c>
      <c r="M99" s="2">
        <f t="shared" si="259"/>
        <v>61</v>
      </c>
      <c r="N99" s="2">
        <f t="shared" si="259"/>
        <v>61</v>
      </c>
      <c r="O99" s="2">
        <f t="shared" si="259"/>
        <v>61</v>
      </c>
      <c r="P99" s="2">
        <f t="shared" si="259"/>
        <v>61</v>
      </c>
      <c r="Q99" s="2">
        <f t="shared" si="259"/>
        <v>61</v>
      </c>
      <c r="R99" s="2">
        <f t="shared" si="259"/>
        <v>61</v>
      </c>
      <c r="S99" s="2">
        <f t="shared" si="259"/>
        <v>61</v>
      </c>
      <c r="T99" s="2">
        <f t="shared" si="259"/>
        <v>61</v>
      </c>
      <c r="U99" s="2">
        <f t="shared" si="257"/>
        <v>61</v>
      </c>
      <c r="V99" s="2">
        <f t="shared" si="257"/>
        <v>61</v>
      </c>
      <c r="W99" s="2">
        <f t="shared" si="257"/>
        <v>61</v>
      </c>
      <c r="X99" s="2">
        <f t="shared" si="257"/>
        <v>61</v>
      </c>
      <c r="Y99" s="2">
        <f t="shared" si="257"/>
        <v>61</v>
      </c>
      <c r="Z99" s="2">
        <f t="shared" si="254"/>
        <v>61</v>
      </c>
      <c r="AA99" s="2">
        <f t="shared" si="254"/>
        <v>61</v>
      </c>
      <c r="AB99" s="2">
        <f t="shared" si="254"/>
        <v>61</v>
      </c>
      <c r="AC99" s="2">
        <f t="shared" ref="AC99:AR118" si="260">IF(CO36=0,61,CO36)</f>
        <v>61</v>
      </c>
      <c r="AD99" s="2">
        <f t="shared" si="260"/>
        <v>61</v>
      </c>
      <c r="AE99" s="2">
        <f t="shared" si="260"/>
        <v>61</v>
      </c>
      <c r="AF99" s="2">
        <f t="shared" si="260"/>
        <v>61</v>
      </c>
      <c r="AG99" s="2">
        <f t="shared" si="260"/>
        <v>61</v>
      </c>
      <c r="AH99" s="2">
        <f t="shared" si="260"/>
        <v>61</v>
      </c>
      <c r="AI99" s="2">
        <f t="shared" si="260"/>
        <v>61</v>
      </c>
      <c r="AJ99" s="2">
        <f t="shared" si="260"/>
        <v>61</v>
      </c>
      <c r="AK99" s="2">
        <f t="shared" si="260"/>
        <v>61</v>
      </c>
      <c r="AL99" s="2">
        <f t="shared" si="260"/>
        <v>61</v>
      </c>
      <c r="AM99" s="2">
        <f t="shared" si="260"/>
        <v>61</v>
      </c>
      <c r="AN99" s="2">
        <f t="shared" si="260"/>
        <v>61</v>
      </c>
      <c r="AO99" s="2">
        <f t="shared" si="260"/>
        <v>61</v>
      </c>
      <c r="AP99" s="2">
        <f t="shared" si="258"/>
        <v>61</v>
      </c>
      <c r="AQ99" s="2">
        <f t="shared" si="258"/>
        <v>61</v>
      </c>
      <c r="AR99" s="2">
        <f t="shared" si="258"/>
        <v>61</v>
      </c>
      <c r="AS99" s="2">
        <f t="shared" si="255"/>
        <v>61</v>
      </c>
      <c r="AT99" s="2">
        <f t="shared" si="255"/>
        <v>61</v>
      </c>
      <c r="AU99" s="2">
        <f t="shared" si="255"/>
        <v>61</v>
      </c>
      <c r="AV99" s="2">
        <f t="shared" si="255"/>
        <v>61</v>
      </c>
      <c r="AW99" s="2">
        <f t="shared" si="255"/>
        <v>61</v>
      </c>
      <c r="AX99" s="2">
        <f t="shared" si="255"/>
        <v>61</v>
      </c>
      <c r="AY99" s="2">
        <f t="shared" si="255"/>
        <v>61</v>
      </c>
      <c r="AZ99" s="2">
        <f t="shared" si="255"/>
        <v>61</v>
      </c>
      <c r="BA99" s="2">
        <f t="shared" si="255"/>
        <v>61</v>
      </c>
      <c r="BB99" s="2">
        <f t="shared" si="255"/>
        <v>61</v>
      </c>
      <c r="BC99" s="2">
        <f t="shared" si="255"/>
        <v>61</v>
      </c>
      <c r="BD99" s="2">
        <f t="shared" si="255"/>
        <v>61</v>
      </c>
      <c r="BE99" s="2">
        <f t="shared" si="255"/>
        <v>61</v>
      </c>
      <c r="BF99" s="2">
        <f t="shared" si="255"/>
        <v>61</v>
      </c>
      <c r="BG99" s="2">
        <f t="shared" si="255"/>
        <v>61</v>
      </c>
      <c r="BH99" s="2">
        <f t="shared" si="255"/>
        <v>61</v>
      </c>
      <c r="BI99" s="2">
        <f t="shared" si="256"/>
        <v>61</v>
      </c>
      <c r="BJ99" s="2">
        <f t="shared" si="253"/>
        <v>61</v>
      </c>
      <c r="BK99" s="2">
        <f t="shared" si="253"/>
        <v>61</v>
      </c>
      <c r="BL99" s="2">
        <f t="shared" si="253"/>
        <v>61</v>
      </c>
      <c r="BM99" s="2">
        <f t="shared" si="253"/>
        <v>61</v>
      </c>
      <c r="BN99" s="2">
        <f t="shared" si="253"/>
        <v>61</v>
      </c>
      <c r="BO99" s="2">
        <f t="shared" si="253"/>
        <v>61</v>
      </c>
      <c r="BP99" s="2">
        <f t="shared" si="253"/>
        <v>61</v>
      </c>
      <c r="BQ99" s="2">
        <f t="shared" si="253"/>
        <v>61</v>
      </c>
    </row>
    <row r="100" spans="2:69" hidden="1" x14ac:dyDescent="0.3">
      <c r="B100" s="21" t="str">
        <f t="shared" si="248"/>
        <v/>
      </c>
      <c r="G100" s="2"/>
      <c r="H100" s="2"/>
      <c r="I100" s="2"/>
      <c r="J100" s="2">
        <f t="shared" si="259"/>
        <v>61</v>
      </c>
      <c r="K100" s="2">
        <f t="shared" si="259"/>
        <v>61</v>
      </c>
      <c r="L100" s="2">
        <f t="shared" si="259"/>
        <v>61</v>
      </c>
      <c r="M100" s="2">
        <f t="shared" si="259"/>
        <v>61</v>
      </c>
      <c r="N100" s="2">
        <f t="shared" si="259"/>
        <v>61</v>
      </c>
      <c r="O100" s="2">
        <f t="shared" si="259"/>
        <v>61</v>
      </c>
      <c r="P100" s="2">
        <f t="shared" si="259"/>
        <v>61</v>
      </c>
      <c r="Q100" s="2">
        <f t="shared" si="259"/>
        <v>61</v>
      </c>
      <c r="R100" s="2">
        <f t="shared" si="259"/>
        <v>61</v>
      </c>
      <c r="S100" s="2">
        <f t="shared" si="259"/>
        <v>61</v>
      </c>
      <c r="T100" s="2">
        <f t="shared" si="259"/>
        <v>61</v>
      </c>
      <c r="U100" s="2">
        <f t="shared" si="257"/>
        <v>61</v>
      </c>
      <c r="V100" s="2">
        <f t="shared" si="257"/>
        <v>61</v>
      </c>
      <c r="W100" s="2">
        <f t="shared" si="257"/>
        <v>61</v>
      </c>
      <c r="X100" s="2">
        <f t="shared" si="257"/>
        <v>61</v>
      </c>
      <c r="Y100" s="2">
        <f t="shared" si="257"/>
        <v>61</v>
      </c>
      <c r="Z100" s="2">
        <f t="shared" si="257"/>
        <v>61</v>
      </c>
      <c r="AA100" s="2">
        <f t="shared" si="257"/>
        <v>61</v>
      </c>
      <c r="AB100" s="2">
        <f t="shared" si="257"/>
        <v>61</v>
      </c>
      <c r="AC100" s="2">
        <f t="shared" si="260"/>
        <v>61</v>
      </c>
      <c r="AD100" s="2">
        <f t="shared" si="260"/>
        <v>61</v>
      </c>
      <c r="AE100" s="2">
        <f t="shared" si="260"/>
        <v>61</v>
      </c>
      <c r="AF100" s="2">
        <f t="shared" si="260"/>
        <v>61</v>
      </c>
      <c r="AG100" s="2">
        <f t="shared" si="260"/>
        <v>61</v>
      </c>
      <c r="AH100" s="2">
        <f t="shared" si="260"/>
        <v>61</v>
      </c>
      <c r="AI100" s="2">
        <f t="shared" si="260"/>
        <v>61</v>
      </c>
      <c r="AJ100" s="2">
        <f t="shared" si="260"/>
        <v>61</v>
      </c>
      <c r="AK100" s="2">
        <f t="shared" si="260"/>
        <v>61</v>
      </c>
      <c r="AL100" s="2">
        <f t="shared" si="260"/>
        <v>61</v>
      </c>
      <c r="AM100" s="2">
        <f t="shared" si="260"/>
        <v>61</v>
      </c>
      <c r="AN100" s="2">
        <f t="shared" si="260"/>
        <v>61</v>
      </c>
      <c r="AO100" s="2">
        <f t="shared" si="260"/>
        <v>61</v>
      </c>
      <c r="AP100" s="2">
        <f t="shared" si="258"/>
        <v>61</v>
      </c>
      <c r="AQ100" s="2">
        <f t="shared" si="258"/>
        <v>61</v>
      </c>
      <c r="AR100" s="2">
        <f t="shared" si="258"/>
        <v>61</v>
      </c>
      <c r="AS100" s="2">
        <f t="shared" si="255"/>
        <v>61</v>
      </c>
      <c r="AT100" s="2">
        <f t="shared" si="255"/>
        <v>61</v>
      </c>
      <c r="AU100" s="2">
        <f t="shared" si="255"/>
        <v>61</v>
      </c>
      <c r="AV100" s="2">
        <f t="shared" si="255"/>
        <v>61</v>
      </c>
      <c r="AW100" s="2">
        <f t="shared" si="255"/>
        <v>61</v>
      </c>
      <c r="AX100" s="2">
        <f t="shared" si="255"/>
        <v>61</v>
      </c>
      <c r="AY100" s="2">
        <f t="shared" si="255"/>
        <v>61</v>
      </c>
      <c r="AZ100" s="2">
        <f t="shared" si="255"/>
        <v>61</v>
      </c>
      <c r="BA100" s="2">
        <f t="shared" si="255"/>
        <v>61</v>
      </c>
      <c r="BB100" s="2">
        <f t="shared" si="255"/>
        <v>61</v>
      </c>
      <c r="BC100" s="2">
        <f t="shared" si="255"/>
        <v>61</v>
      </c>
      <c r="BD100" s="2">
        <f t="shared" si="255"/>
        <v>61</v>
      </c>
      <c r="BE100" s="2">
        <f t="shared" si="255"/>
        <v>61</v>
      </c>
      <c r="BF100" s="2">
        <f t="shared" si="255"/>
        <v>61</v>
      </c>
      <c r="BG100" s="2">
        <f t="shared" si="255"/>
        <v>61</v>
      </c>
      <c r="BH100" s="2">
        <f t="shared" si="255"/>
        <v>61</v>
      </c>
      <c r="BI100" s="2">
        <f t="shared" si="256"/>
        <v>61</v>
      </c>
      <c r="BJ100" s="2">
        <f t="shared" si="253"/>
        <v>61</v>
      </c>
      <c r="BK100" s="2">
        <f t="shared" si="253"/>
        <v>61</v>
      </c>
      <c r="BL100" s="2">
        <f t="shared" si="253"/>
        <v>61</v>
      </c>
      <c r="BM100" s="2">
        <f t="shared" si="253"/>
        <v>61</v>
      </c>
      <c r="BN100" s="2">
        <f t="shared" si="253"/>
        <v>61</v>
      </c>
      <c r="BO100" s="2">
        <f t="shared" si="253"/>
        <v>61</v>
      </c>
      <c r="BP100" s="2">
        <f t="shared" si="253"/>
        <v>61</v>
      </c>
      <c r="BQ100" s="2">
        <f t="shared" si="253"/>
        <v>61</v>
      </c>
    </row>
    <row r="101" spans="2:69" hidden="1" x14ac:dyDescent="0.3">
      <c r="B101" s="21" t="str">
        <f t="shared" si="248"/>
        <v/>
      </c>
      <c r="G101" s="2"/>
      <c r="H101" s="2"/>
      <c r="I101" s="2"/>
      <c r="J101" s="2">
        <f t="shared" si="259"/>
        <v>61</v>
      </c>
      <c r="K101" s="2">
        <f t="shared" si="259"/>
        <v>61</v>
      </c>
      <c r="L101" s="2">
        <f t="shared" si="259"/>
        <v>61</v>
      </c>
      <c r="M101" s="2">
        <f t="shared" si="259"/>
        <v>61</v>
      </c>
      <c r="N101" s="2">
        <f t="shared" si="259"/>
        <v>61</v>
      </c>
      <c r="O101" s="2">
        <f t="shared" si="259"/>
        <v>61</v>
      </c>
      <c r="P101" s="2">
        <f t="shared" si="259"/>
        <v>61</v>
      </c>
      <c r="Q101" s="2">
        <f t="shared" si="259"/>
        <v>61</v>
      </c>
      <c r="R101" s="2">
        <f t="shared" si="259"/>
        <v>61</v>
      </c>
      <c r="S101" s="2">
        <f t="shared" si="259"/>
        <v>61</v>
      </c>
      <c r="T101" s="2">
        <f t="shared" si="259"/>
        <v>61</v>
      </c>
      <c r="U101" s="2">
        <f t="shared" si="257"/>
        <v>61</v>
      </c>
      <c r="V101" s="2">
        <f t="shared" si="257"/>
        <v>61</v>
      </c>
      <c r="W101" s="2">
        <f t="shared" si="257"/>
        <v>61</v>
      </c>
      <c r="X101" s="2">
        <f t="shared" si="257"/>
        <v>61</v>
      </c>
      <c r="Y101" s="2">
        <f t="shared" si="257"/>
        <v>61</v>
      </c>
      <c r="Z101" s="2">
        <f t="shared" si="257"/>
        <v>61</v>
      </c>
      <c r="AA101" s="2">
        <f t="shared" si="257"/>
        <v>61</v>
      </c>
      <c r="AB101" s="2">
        <f t="shared" si="257"/>
        <v>61</v>
      </c>
      <c r="AC101" s="2">
        <f t="shared" si="260"/>
        <v>61</v>
      </c>
      <c r="AD101" s="2">
        <f t="shared" si="260"/>
        <v>61</v>
      </c>
      <c r="AE101" s="2">
        <f t="shared" si="260"/>
        <v>61</v>
      </c>
      <c r="AF101" s="2">
        <f t="shared" si="260"/>
        <v>61</v>
      </c>
      <c r="AG101" s="2">
        <f t="shared" si="260"/>
        <v>61</v>
      </c>
      <c r="AH101" s="2">
        <f t="shared" si="260"/>
        <v>61</v>
      </c>
      <c r="AI101" s="2">
        <f t="shared" si="260"/>
        <v>61</v>
      </c>
      <c r="AJ101" s="2">
        <f t="shared" si="260"/>
        <v>61</v>
      </c>
      <c r="AK101" s="2">
        <f t="shared" si="260"/>
        <v>61</v>
      </c>
      <c r="AL101" s="2">
        <f t="shared" si="260"/>
        <v>61</v>
      </c>
      <c r="AM101" s="2">
        <f t="shared" si="260"/>
        <v>61</v>
      </c>
      <c r="AN101" s="2">
        <f t="shared" si="260"/>
        <v>61</v>
      </c>
      <c r="AO101" s="2">
        <f t="shared" si="260"/>
        <v>61</v>
      </c>
      <c r="AP101" s="2">
        <f t="shared" si="258"/>
        <v>61</v>
      </c>
      <c r="AQ101" s="2">
        <f t="shared" si="258"/>
        <v>61</v>
      </c>
      <c r="AR101" s="2">
        <f t="shared" si="258"/>
        <v>61</v>
      </c>
      <c r="AS101" s="2">
        <f t="shared" si="255"/>
        <v>61</v>
      </c>
      <c r="AT101" s="2">
        <f t="shared" si="255"/>
        <v>61</v>
      </c>
      <c r="AU101" s="2">
        <f t="shared" si="255"/>
        <v>61</v>
      </c>
      <c r="AV101" s="2">
        <f t="shared" si="255"/>
        <v>61</v>
      </c>
      <c r="AW101" s="2">
        <f t="shared" si="255"/>
        <v>61</v>
      </c>
      <c r="AX101" s="2">
        <f t="shared" si="255"/>
        <v>61</v>
      </c>
      <c r="AY101" s="2">
        <f t="shared" si="255"/>
        <v>61</v>
      </c>
      <c r="AZ101" s="2">
        <f t="shared" si="255"/>
        <v>61</v>
      </c>
      <c r="BA101" s="2">
        <f t="shared" si="255"/>
        <v>61</v>
      </c>
      <c r="BB101" s="2">
        <f t="shared" si="255"/>
        <v>61</v>
      </c>
      <c r="BC101" s="2">
        <f t="shared" si="255"/>
        <v>61</v>
      </c>
      <c r="BD101" s="2">
        <f t="shared" si="255"/>
        <v>61</v>
      </c>
      <c r="BE101" s="2">
        <f t="shared" si="255"/>
        <v>61</v>
      </c>
      <c r="BF101" s="2">
        <f t="shared" si="255"/>
        <v>61</v>
      </c>
      <c r="BG101" s="2">
        <f t="shared" si="255"/>
        <v>61</v>
      </c>
      <c r="BH101" s="2">
        <f t="shared" si="255"/>
        <v>61</v>
      </c>
      <c r="BI101" s="2">
        <f t="shared" si="256"/>
        <v>61</v>
      </c>
      <c r="BJ101" s="2">
        <f t="shared" si="253"/>
        <v>61</v>
      </c>
      <c r="BK101" s="2">
        <f t="shared" si="253"/>
        <v>61</v>
      </c>
      <c r="BL101" s="2">
        <f t="shared" si="253"/>
        <v>61</v>
      </c>
      <c r="BM101" s="2">
        <f t="shared" si="253"/>
        <v>61</v>
      </c>
      <c r="BN101" s="2">
        <f t="shared" si="253"/>
        <v>61</v>
      </c>
      <c r="BO101" s="2">
        <f t="shared" si="253"/>
        <v>61</v>
      </c>
      <c r="BP101" s="2">
        <f t="shared" si="253"/>
        <v>61</v>
      </c>
      <c r="BQ101" s="2">
        <f t="shared" si="253"/>
        <v>61</v>
      </c>
    </row>
    <row r="102" spans="2:69" hidden="1" x14ac:dyDescent="0.3">
      <c r="B102" s="21" t="str">
        <f t="shared" si="248"/>
        <v/>
      </c>
      <c r="G102" s="2"/>
      <c r="H102" s="2"/>
      <c r="I102" s="2"/>
      <c r="J102" s="2">
        <f t="shared" si="259"/>
        <v>61</v>
      </c>
      <c r="K102" s="2">
        <f t="shared" si="259"/>
        <v>61</v>
      </c>
      <c r="L102" s="2">
        <f t="shared" si="259"/>
        <v>61</v>
      </c>
      <c r="M102" s="2">
        <f t="shared" si="259"/>
        <v>61</v>
      </c>
      <c r="N102" s="2">
        <f t="shared" si="259"/>
        <v>61</v>
      </c>
      <c r="O102" s="2">
        <f t="shared" si="259"/>
        <v>61</v>
      </c>
      <c r="P102" s="2">
        <f t="shared" si="259"/>
        <v>61</v>
      </c>
      <c r="Q102" s="2">
        <f t="shared" si="259"/>
        <v>61</v>
      </c>
      <c r="R102" s="2">
        <f t="shared" si="259"/>
        <v>61</v>
      </c>
      <c r="S102" s="2">
        <f t="shared" si="259"/>
        <v>61</v>
      </c>
      <c r="T102" s="2">
        <f t="shared" si="259"/>
        <v>61</v>
      </c>
      <c r="U102" s="2">
        <f t="shared" si="257"/>
        <v>61</v>
      </c>
      <c r="V102" s="2">
        <f t="shared" si="257"/>
        <v>61</v>
      </c>
      <c r="W102" s="2">
        <f t="shared" si="257"/>
        <v>61</v>
      </c>
      <c r="X102" s="2">
        <f t="shared" si="257"/>
        <v>61</v>
      </c>
      <c r="Y102" s="2">
        <f t="shared" si="257"/>
        <v>61</v>
      </c>
      <c r="Z102" s="2">
        <f t="shared" si="257"/>
        <v>61</v>
      </c>
      <c r="AA102" s="2">
        <f t="shared" si="257"/>
        <v>61</v>
      </c>
      <c r="AB102" s="2">
        <f t="shared" si="257"/>
        <v>61</v>
      </c>
      <c r="AC102" s="2">
        <f t="shared" si="260"/>
        <v>61</v>
      </c>
      <c r="AD102" s="2">
        <f t="shared" si="260"/>
        <v>61</v>
      </c>
      <c r="AE102" s="2">
        <f t="shared" si="260"/>
        <v>61</v>
      </c>
      <c r="AF102" s="2">
        <f t="shared" si="260"/>
        <v>61</v>
      </c>
      <c r="AG102" s="2">
        <f t="shared" si="260"/>
        <v>61</v>
      </c>
      <c r="AH102" s="2">
        <f t="shared" si="260"/>
        <v>61</v>
      </c>
      <c r="AI102" s="2">
        <f t="shared" si="260"/>
        <v>61</v>
      </c>
      <c r="AJ102" s="2">
        <f t="shared" si="260"/>
        <v>61</v>
      </c>
      <c r="AK102" s="2">
        <f t="shared" si="260"/>
        <v>61</v>
      </c>
      <c r="AL102" s="2">
        <f t="shared" si="260"/>
        <v>61</v>
      </c>
      <c r="AM102" s="2">
        <f t="shared" si="260"/>
        <v>61</v>
      </c>
      <c r="AN102" s="2">
        <f t="shared" si="260"/>
        <v>61</v>
      </c>
      <c r="AO102" s="2">
        <f t="shared" si="260"/>
        <v>61</v>
      </c>
      <c r="AP102" s="2">
        <f t="shared" si="258"/>
        <v>61</v>
      </c>
      <c r="AQ102" s="2">
        <f t="shared" si="258"/>
        <v>61</v>
      </c>
      <c r="AR102" s="2">
        <f t="shared" si="258"/>
        <v>61</v>
      </c>
      <c r="AS102" s="2">
        <f t="shared" si="255"/>
        <v>61</v>
      </c>
      <c r="AT102" s="2">
        <f t="shared" si="255"/>
        <v>61</v>
      </c>
      <c r="AU102" s="2">
        <f t="shared" si="255"/>
        <v>61</v>
      </c>
      <c r="AV102" s="2">
        <f t="shared" si="255"/>
        <v>61</v>
      </c>
      <c r="AW102" s="2">
        <f t="shared" si="255"/>
        <v>61</v>
      </c>
      <c r="AX102" s="2">
        <f t="shared" si="255"/>
        <v>61</v>
      </c>
      <c r="AY102" s="2">
        <f t="shared" si="255"/>
        <v>61</v>
      </c>
      <c r="AZ102" s="2">
        <f t="shared" si="255"/>
        <v>61</v>
      </c>
      <c r="BA102" s="2">
        <f t="shared" si="255"/>
        <v>61</v>
      </c>
      <c r="BB102" s="2">
        <f t="shared" si="255"/>
        <v>61</v>
      </c>
      <c r="BC102" s="2">
        <f t="shared" si="255"/>
        <v>61</v>
      </c>
      <c r="BD102" s="2">
        <f t="shared" si="255"/>
        <v>61</v>
      </c>
      <c r="BE102" s="2">
        <f t="shared" si="255"/>
        <v>61</v>
      </c>
      <c r="BF102" s="2">
        <f t="shared" si="255"/>
        <v>61</v>
      </c>
      <c r="BG102" s="2">
        <f t="shared" ref="BG102:BH126" si="261">IF(DS39=0,61,DS39)</f>
        <v>61</v>
      </c>
      <c r="BH102" s="2">
        <f t="shared" si="261"/>
        <v>61</v>
      </c>
      <c r="BI102" s="2">
        <f t="shared" si="256"/>
        <v>61</v>
      </c>
      <c r="BJ102" s="2">
        <f t="shared" si="253"/>
        <v>61</v>
      </c>
      <c r="BK102" s="2">
        <f t="shared" si="253"/>
        <v>61</v>
      </c>
      <c r="BL102" s="2">
        <f t="shared" si="253"/>
        <v>61</v>
      </c>
      <c r="BM102" s="2">
        <f t="shared" si="253"/>
        <v>61</v>
      </c>
      <c r="BN102" s="2">
        <f t="shared" si="253"/>
        <v>61</v>
      </c>
      <c r="BO102" s="2">
        <f t="shared" si="253"/>
        <v>61</v>
      </c>
      <c r="BP102" s="2">
        <f t="shared" si="253"/>
        <v>61</v>
      </c>
      <c r="BQ102" s="2">
        <f t="shared" ref="BQ102:BQ126" si="262">IF(EC39=0,61,EC39)</f>
        <v>61</v>
      </c>
    </row>
    <row r="103" spans="2:69" hidden="1" x14ac:dyDescent="0.3">
      <c r="B103" s="21" t="str">
        <f t="shared" si="248"/>
        <v/>
      </c>
      <c r="G103" s="2"/>
      <c r="H103" s="2"/>
      <c r="I103" s="2"/>
      <c r="J103" s="2">
        <f t="shared" si="259"/>
        <v>61</v>
      </c>
      <c r="K103" s="2">
        <f t="shared" si="259"/>
        <v>61</v>
      </c>
      <c r="L103" s="2">
        <f t="shared" si="259"/>
        <v>61</v>
      </c>
      <c r="M103" s="2">
        <f t="shared" si="259"/>
        <v>61</v>
      </c>
      <c r="N103" s="2">
        <f t="shared" si="259"/>
        <v>61</v>
      </c>
      <c r="O103" s="2">
        <f t="shared" si="259"/>
        <v>61</v>
      </c>
      <c r="P103" s="2">
        <f t="shared" si="259"/>
        <v>61</v>
      </c>
      <c r="Q103" s="2">
        <f t="shared" si="259"/>
        <v>61</v>
      </c>
      <c r="R103" s="2">
        <f t="shared" si="259"/>
        <v>61</v>
      </c>
      <c r="S103" s="2">
        <f t="shared" si="259"/>
        <v>61</v>
      </c>
      <c r="T103" s="2">
        <f t="shared" si="259"/>
        <v>61</v>
      </c>
      <c r="U103" s="2">
        <f t="shared" si="257"/>
        <v>61</v>
      </c>
      <c r="V103" s="2">
        <f t="shared" si="257"/>
        <v>61</v>
      </c>
      <c r="W103" s="2">
        <f t="shared" si="257"/>
        <v>61</v>
      </c>
      <c r="X103" s="2">
        <f t="shared" si="257"/>
        <v>61</v>
      </c>
      <c r="Y103" s="2">
        <f t="shared" si="257"/>
        <v>61</v>
      </c>
      <c r="Z103" s="2">
        <f t="shared" si="257"/>
        <v>61</v>
      </c>
      <c r="AA103" s="2">
        <f t="shared" si="257"/>
        <v>61</v>
      </c>
      <c r="AB103" s="2">
        <f t="shared" si="257"/>
        <v>61</v>
      </c>
      <c r="AC103" s="2">
        <f t="shared" si="260"/>
        <v>61</v>
      </c>
      <c r="AD103" s="2">
        <f t="shared" si="260"/>
        <v>61</v>
      </c>
      <c r="AE103" s="2">
        <f t="shared" si="260"/>
        <v>61</v>
      </c>
      <c r="AF103" s="2">
        <f t="shared" si="260"/>
        <v>61</v>
      </c>
      <c r="AG103" s="2">
        <f t="shared" si="260"/>
        <v>61</v>
      </c>
      <c r="AH103" s="2">
        <f t="shared" si="260"/>
        <v>61</v>
      </c>
      <c r="AI103" s="2">
        <f t="shared" si="260"/>
        <v>61</v>
      </c>
      <c r="AJ103" s="2">
        <f t="shared" si="260"/>
        <v>61</v>
      </c>
      <c r="AK103" s="2">
        <f t="shared" si="260"/>
        <v>61</v>
      </c>
      <c r="AL103" s="2">
        <f t="shared" si="260"/>
        <v>61</v>
      </c>
      <c r="AM103" s="2">
        <f t="shared" si="260"/>
        <v>61</v>
      </c>
      <c r="AN103" s="2">
        <f t="shared" si="260"/>
        <v>61</v>
      </c>
      <c r="AO103" s="2">
        <f t="shared" si="260"/>
        <v>61</v>
      </c>
      <c r="AP103" s="2">
        <f t="shared" si="258"/>
        <v>61</v>
      </c>
      <c r="AQ103" s="2">
        <f t="shared" si="258"/>
        <v>61</v>
      </c>
      <c r="AR103" s="2">
        <f t="shared" si="258"/>
        <v>61</v>
      </c>
      <c r="AS103" s="2">
        <f t="shared" si="258"/>
        <v>61</v>
      </c>
      <c r="AT103" s="2">
        <f t="shared" si="258"/>
        <v>61</v>
      </c>
      <c r="AU103" s="2">
        <f t="shared" si="258"/>
        <v>61</v>
      </c>
      <c r="AV103" s="2">
        <f t="shared" si="258"/>
        <v>61</v>
      </c>
      <c r="AW103" s="2">
        <f t="shared" si="258"/>
        <v>61</v>
      </c>
      <c r="AX103" s="2">
        <f t="shared" si="258"/>
        <v>61</v>
      </c>
      <c r="AY103" s="2">
        <f t="shared" si="258"/>
        <v>61</v>
      </c>
      <c r="AZ103" s="2">
        <f t="shared" si="258"/>
        <v>61</v>
      </c>
      <c r="BA103" s="2">
        <f t="shared" si="258"/>
        <v>61</v>
      </c>
      <c r="BB103" s="2">
        <f t="shared" si="258"/>
        <v>61</v>
      </c>
      <c r="BC103" s="2">
        <f t="shared" si="258"/>
        <v>61</v>
      </c>
      <c r="BD103" s="2">
        <f t="shared" si="258"/>
        <v>61</v>
      </c>
      <c r="BE103" s="2">
        <f t="shared" si="258"/>
        <v>61</v>
      </c>
      <c r="BF103" s="2">
        <f t="shared" ref="BF103:BF126" si="263">IF(DR40=0,61,DR40)</f>
        <v>61</v>
      </c>
      <c r="BG103" s="2">
        <f t="shared" si="261"/>
        <v>61</v>
      </c>
      <c r="BH103" s="2">
        <f t="shared" si="261"/>
        <v>61</v>
      </c>
      <c r="BI103" s="2">
        <f t="shared" si="256"/>
        <v>61</v>
      </c>
      <c r="BJ103" s="2">
        <f t="shared" si="256"/>
        <v>61</v>
      </c>
      <c r="BK103" s="2">
        <f t="shared" si="256"/>
        <v>61</v>
      </c>
      <c r="BL103" s="2">
        <f t="shared" si="256"/>
        <v>61</v>
      </c>
      <c r="BM103" s="2">
        <f t="shared" si="256"/>
        <v>61</v>
      </c>
      <c r="BN103" s="2">
        <f t="shared" si="256"/>
        <v>61</v>
      </c>
      <c r="BO103" s="2">
        <f t="shared" si="256"/>
        <v>61</v>
      </c>
      <c r="BP103" s="2">
        <f t="shared" si="256"/>
        <v>61</v>
      </c>
      <c r="BQ103" s="2">
        <f t="shared" si="262"/>
        <v>61</v>
      </c>
    </row>
    <row r="104" spans="2:69" hidden="1" x14ac:dyDescent="0.3">
      <c r="B104" s="21" t="str">
        <f t="shared" si="248"/>
        <v/>
      </c>
      <c r="G104" s="2"/>
      <c r="H104" s="2"/>
      <c r="I104" s="2"/>
      <c r="J104" s="2">
        <f t="shared" si="259"/>
        <v>61</v>
      </c>
      <c r="K104" s="2">
        <f t="shared" si="259"/>
        <v>61</v>
      </c>
      <c r="L104" s="2">
        <f t="shared" si="259"/>
        <v>61</v>
      </c>
      <c r="M104" s="2">
        <f t="shared" si="259"/>
        <v>61</v>
      </c>
      <c r="N104" s="2">
        <f t="shared" si="259"/>
        <v>61</v>
      </c>
      <c r="O104" s="2">
        <f t="shared" si="259"/>
        <v>61</v>
      </c>
      <c r="P104" s="2">
        <f t="shared" si="259"/>
        <v>61</v>
      </c>
      <c r="Q104" s="2">
        <f t="shared" si="259"/>
        <v>61</v>
      </c>
      <c r="R104" s="2">
        <f t="shared" si="259"/>
        <v>61</v>
      </c>
      <c r="S104" s="2">
        <f t="shared" si="259"/>
        <v>61</v>
      </c>
      <c r="T104" s="2">
        <f t="shared" si="259"/>
        <v>61</v>
      </c>
      <c r="U104" s="2">
        <f t="shared" si="257"/>
        <v>61</v>
      </c>
      <c r="V104" s="2">
        <f t="shared" si="257"/>
        <v>61</v>
      </c>
      <c r="W104" s="2">
        <f t="shared" si="257"/>
        <v>61</v>
      </c>
      <c r="X104" s="2">
        <f t="shared" si="257"/>
        <v>61</v>
      </c>
      <c r="Y104" s="2">
        <f t="shared" si="257"/>
        <v>61</v>
      </c>
      <c r="Z104" s="2">
        <f t="shared" si="257"/>
        <v>61</v>
      </c>
      <c r="AA104" s="2">
        <f t="shared" si="257"/>
        <v>61</v>
      </c>
      <c r="AB104" s="2">
        <f t="shared" si="257"/>
        <v>61</v>
      </c>
      <c r="AC104" s="2">
        <f t="shared" si="260"/>
        <v>61</v>
      </c>
      <c r="AD104" s="2">
        <f t="shared" si="260"/>
        <v>61</v>
      </c>
      <c r="AE104" s="2">
        <f t="shared" si="260"/>
        <v>61</v>
      </c>
      <c r="AF104" s="2">
        <f t="shared" si="260"/>
        <v>61</v>
      </c>
      <c r="AG104" s="2">
        <f t="shared" si="260"/>
        <v>61</v>
      </c>
      <c r="AH104" s="2">
        <f t="shared" si="260"/>
        <v>61</v>
      </c>
      <c r="AI104" s="2">
        <f t="shared" si="260"/>
        <v>61</v>
      </c>
      <c r="AJ104" s="2">
        <f t="shared" si="260"/>
        <v>61</v>
      </c>
      <c r="AK104" s="2">
        <f t="shared" si="260"/>
        <v>61</v>
      </c>
      <c r="AL104" s="2">
        <f t="shared" si="260"/>
        <v>61</v>
      </c>
      <c r="AM104" s="2">
        <f t="shared" si="260"/>
        <v>61</v>
      </c>
      <c r="AN104" s="2">
        <f t="shared" si="260"/>
        <v>61</v>
      </c>
      <c r="AO104" s="2">
        <f t="shared" si="260"/>
        <v>61</v>
      </c>
      <c r="AP104" s="2">
        <f t="shared" si="258"/>
        <v>61</v>
      </c>
      <c r="AQ104" s="2">
        <f t="shared" si="258"/>
        <v>61</v>
      </c>
      <c r="AR104" s="2">
        <f t="shared" si="258"/>
        <v>61</v>
      </c>
      <c r="AS104" s="2">
        <f t="shared" si="258"/>
        <v>61</v>
      </c>
      <c r="AT104" s="2">
        <f t="shared" si="258"/>
        <v>61</v>
      </c>
      <c r="AU104" s="2">
        <f t="shared" si="258"/>
        <v>61</v>
      </c>
      <c r="AV104" s="2">
        <f t="shared" si="258"/>
        <v>61</v>
      </c>
      <c r="AW104" s="2">
        <f t="shared" si="258"/>
        <v>61</v>
      </c>
      <c r="AX104" s="2">
        <f t="shared" si="258"/>
        <v>61</v>
      </c>
      <c r="AY104" s="2">
        <f t="shared" si="258"/>
        <v>61</v>
      </c>
      <c r="AZ104" s="2">
        <f t="shared" si="258"/>
        <v>61</v>
      </c>
      <c r="BA104" s="2">
        <f t="shared" si="258"/>
        <v>61</v>
      </c>
      <c r="BB104" s="2">
        <f t="shared" si="258"/>
        <v>61</v>
      </c>
      <c r="BC104" s="2">
        <f t="shared" si="258"/>
        <v>61</v>
      </c>
      <c r="BD104" s="2">
        <f t="shared" si="258"/>
        <v>61</v>
      </c>
      <c r="BE104" s="2">
        <f t="shared" si="258"/>
        <v>61</v>
      </c>
      <c r="BF104" s="2">
        <f t="shared" si="263"/>
        <v>61</v>
      </c>
      <c r="BG104" s="2">
        <f t="shared" si="261"/>
        <v>61</v>
      </c>
      <c r="BH104" s="2">
        <f t="shared" si="261"/>
        <v>61</v>
      </c>
      <c r="BI104" s="2">
        <f t="shared" si="256"/>
        <v>61</v>
      </c>
      <c r="BJ104" s="2">
        <f t="shared" si="256"/>
        <v>61</v>
      </c>
      <c r="BK104" s="2">
        <f t="shared" si="256"/>
        <v>61</v>
      </c>
      <c r="BL104" s="2">
        <f t="shared" si="256"/>
        <v>61</v>
      </c>
      <c r="BM104" s="2">
        <f t="shared" si="256"/>
        <v>61</v>
      </c>
      <c r="BN104" s="2">
        <f t="shared" si="256"/>
        <v>61</v>
      </c>
      <c r="BO104" s="2">
        <f t="shared" si="256"/>
        <v>61</v>
      </c>
      <c r="BP104" s="2">
        <f t="shared" si="256"/>
        <v>61</v>
      </c>
      <c r="BQ104" s="2">
        <f t="shared" si="262"/>
        <v>61</v>
      </c>
    </row>
    <row r="105" spans="2:69" hidden="1" x14ac:dyDescent="0.3">
      <c r="B105" s="21" t="str">
        <f t="shared" si="248"/>
        <v/>
      </c>
      <c r="G105" s="2"/>
      <c r="H105" s="2"/>
      <c r="I105" s="2"/>
      <c r="J105" s="2">
        <f t="shared" si="259"/>
        <v>61</v>
      </c>
      <c r="K105" s="2">
        <f t="shared" si="259"/>
        <v>61</v>
      </c>
      <c r="L105" s="2">
        <f t="shared" si="259"/>
        <v>61</v>
      </c>
      <c r="M105" s="2">
        <f t="shared" si="259"/>
        <v>61</v>
      </c>
      <c r="N105" s="2">
        <f t="shared" si="259"/>
        <v>61</v>
      </c>
      <c r="O105" s="2">
        <f t="shared" si="259"/>
        <v>61</v>
      </c>
      <c r="P105" s="2">
        <f t="shared" si="259"/>
        <v>61</v>
      </c>
      <c r="Q105" s="2">
        <f t="shared" si="259"/>
        <v>61</v>
      </c>
      <c r="R105" s="2">
        <f t="shared" si="259"/>
        <v>61</v>
      </c>
      <c r="S105" s="2">
        <f t="shared" si="259"/>
        <v>61</v>
      </c>
      <c r="T105" s="2">
        <f t="shared" si="259"/>
        <v>61</v>
      </c>
      <c r="U105" s="2">
        <f t="shared" si="257"/>
        <v>61</v>
      </c>
      <c r="V105" s="2">
        <f t="shared" si="257"/>
        <v>61</v>
      </c>
      <c r="W105" s="2">
        <f t="shared" si="257"/>
        <v>61</v>
      </c>
      <c r="X105" s="2">
        <f t="shared" si="257"/>
        <v>61</v>
      </c>
      <c r="Y105" s="2">
        <f t="shared" si="257"/>
        <v>61</v>
      </c>
      <c r="Z105" s="2">
        <f t="shared" si="257"/>
        <v>61</v>
      </c>
      <c r="AA105" s="2">
        <f t="shared" si="257"/>
        <v>61</v>
      </c>
      <c r="AB105" s="2">
        <f t="shared" si="257"/>
        <v>61</v>
      </c>
      <c r="AC105" s="2">
        <f t="shared" si="260"/>
        <v>61</v>
      </c>
      <c r="AD105" s="2">
        <f t="shared" si="260"/>
        <v>61</v>
      </c>
      <c r="AE105" s="2">
        <f t="shared" si="260"/>
        <v>61</v>
      </c>
      <c r="AF105" s="2">
        <f t="shared" si="260"/>
        <v>61</v>
      </c>
      <c r="AG105" s="2">
        <f t="shared" si="260"/>
        <v>61</v>
      </c>
      <c r="AH105" s="2">
        <f t="shared" si="260"/>
        <v>61</v>
      </c>
      <c r="AI105" s="2">
        <f t="shared" si="260"/>
        <v>61</v>
      </c>
      <c r="AJ105" s="2">
        <f t="shared" si="260"/>
        <v>61</v>
      </c>
      <c r="AK105" s="2">
        <f t="shared" si="260"/>
        <v>61</v>
      </c>
      <c r="AL105" s="2">
        <f t="shared" si="260"/>
        <v>61</v>
      </c>
      <c r="AM105" s="2">
        <f t="shared" si="260"/>
        <v>61</v>
      </c>
      <c r="AN105" s="2">
        <f t="shared" si="260"/>
        <v>61</v>
      </c>
      <c r="AO105" s="2">
        <f t="shared" si="260"/>
        <v>61</v>
      </c>
      <c r="AP105" s="2">
        <f t="shared" si="258"/>
        <v>61</v>
      </c>
      <c r="AQ105" s="2">
        <f t="shared" si="258"/>
        <v>61</v>
      </c>
      <c r="AR105" s="2">
        <f t="shared" si="258"/>
        <v>61</v>
      </c>
      <c r="AS105" s="2">
        <f t="shared" si="258"/>
        <v>61</v>
      </c>
      <c r="AT105" s="2">
        <f t="shared" si="258"/>
        <v>61</v>
      </c>
      <c r="AU105" s="2">
        <f t="shared" si="258"/>
        <v>61</v>
      </c>
      <c r="AV105" s="2">
        <f t="shared" si="258"/>
        <v>61</v>
      </c>
      <c r="AW105" s="2">
        <f t="shared" si="258"/>
        <v>61</v>
      </c>
      <c r="AX105" s="2">
        <f t="shared" si="258"/>
        <v>61</v>
      </c>
      <c r="AY105" s="2">
        <f t="shared" si="258"/>
        <v>61</v>
      </c>
      <c r="AZ105" s="2">
        <f t="shared" si="258"/>
        <v>61</v>
      </c>
      <c r="BA105" s="2">
        <f t="shared" si="258"/>
        <v>61</v>
      </c>
      <c r="BB105" s="2">
        <f t="shared" si="258"/>
        <v>61</v>
      </c>
      <c r="BC105" s="2">
        <f t="shared" si="258"/>
        <v>61</v>
      </c>
      <c r="BD105" s="2">
        <f t="shared" si="258"/>
        <v>61</v>
      </c>
      <c r="BE105" s="2">
        <f t="shared" si="258"/>
        <v>61</v>
      </c>
      <c r="BF105" s="2">
        <f t="shared" si="263"/>
        <v>61</v>
      </c>
      <c r="BG105" s="2">
        <f t="shared" si="261"/>
        <v>61</v>
      </c>
      <c r="BH105" s="2">
        <f t="shared" si="261"/>
        <v>61</v>
      </c>
      <c r="BI105" s="2">
        <f t="shared" si="256"/>
        <v>61</v>
      </c>
      <c r="BJ105" s="2">
        <f t="shared" si="256"/>
        <v>61</v>
      </c>
      <c r="BK105" s="2">
        <f t="shared" si="256"/>
        <v>61</v>
      </c>
      <c r="BL105" s="2">
        <f t="shared" si="256"/>
        <v>61</v>
      </c>
      <c r="BM105" s="2">
        <f t="shared" si="256"/>
        <v>61</v>
      </c>
      <c r="BN105" s="2">
        <f t="shared" si="256"/>
        <v>61</v>
      </c>
      <c r="BO105" s="2">
        <f t="shared" si="256"/>
        <v>61</v>
      </c>
      <c r="BP105" s="2">
        <f t="shared" si="256"/>
        <v>61</v>
      </c>
      <c r="BQ105" s="2">
        <f t="shared" si="262"/>
        <v>61</v>
      </c>
    </row>
    <row r="106" spans="2:69" hidden="1" x14ac:dyDescent="0.3">
      <c r="B106" s="21" t="str">
        <f t="shared" si="248"/>
        <v/>
      </c>
      <c r="G106" s="2"/>
      <c r="H106" s="2"/>
      <c r="I106" s="2"/>
      <c r="J106" s="2">
        <f t="shared" si="259"/>
        <v>61</v>
      </c>
      <c r="K106" s="2">
        <f t="shared" si="259"/>
        <v>61</v>
      </c>
      <c r="L106" s="2">
        <f t="shared" si="259"/>
        <v>61</v>
      </c>
      <c r="M106" s="2">
        <f t="shared" si="259"/>
        <v>61</v>
      </c>
      <c r="N106" s="2">
        <f t="shared" si="259"/>
        <v>61</v>
      </c>
      <c r="O106" s="2">
        <f t="shared" si="259"/>
        <v>61</v>
      </c>
      <c r="P106" s="2">
        <f t="shared" si="259"/>
        <v>61</v>
      </c>
      <c r="Q106" s="2">
        <f t="shared" si="259"/>
        <v>61</v>
      </c>
      <c r="R106" s="2">
        <f t="shared" si="259"/>
        <v>61</v>
      </c>
      <c r="S106" s="2">
        <f t="shared" si="259"/>
        <v>61</v>
      </c>
      <c r="T106" s="2">
        <f t="shared" si="259"/>
        <v>61</v>
      </c>
      <c r="U106" s="2">
        <f t="shared" si="257"/>
        <v>61</v>
      </c>
      <c r="V106" s="2">
        <f t="shared" si="257"/>
        <v>61</v>
      </c>
      <c r="W106" s="2">
        <f t="shared" si="257"/>
        <v>61</v>
      </c>
      <c r="X106" s="2">
        <f t="shared" si="257"/>
        <v>61</v>
      </c>
      <c r="Y106" s="2">
        <f t="shared" si="257"/>
        <v>61</v>
      </c>
      <c r="Z106" s="2">
        <f t="shared" si="257"/>
        <v>61</v>
      </c>
      <c r="AA106" s="2">
        <f t="shared" si="257"/>
        <v>61</v>
      </c>
      <c r="AB106" s="2">
        <f t="shared" si="257"/>
        <v>61</v>
      </c>
      <c r="AC106" s="2">
        <f t="shared" si="260"/>
        <v>61</v>
      </c>
      <c r="AD106" s="2">
        <f t="shared" si="260"/>
        <v>61</v>
      </c>
      <c r="AE106" s="2">
        <f t="shared" si="260"/>
        <v>61</v>
      </c>
      <c r="AF106" s="2">
        <f t="shared" si="260"/>
        <v>61</v>
      </c>
      <c r="AG106" s="2">
        <f t="shared" si="260"/>
        <v>61</v>
      </c>
      <c r="AH106" s="2">
        <f t="shared" si="260"/>
        <v>61</v>
      </c>
      <c r="AI106" s="2">
        <f t="shared" si="260"/>
        <v>61</v>
      </c>
      <c r="AJ106" s="2">
        <f t="shared" si="260"/>
        <v>61</v>
      </c>
      <c r="AK106" s="2">
        <f t="shared" si="260"/>
        <v>61</v>
      </c>
      <c r="AL106" s="2">
        <f t="shared" si="260"/>
        <v>61</v>
      </c>
      <c r="AM106" s="2">
        <f t="shared" si="260"/>
        <v>61</v>
      </c>
      <c r="AN106" s="2">
        <f t="shared" si="260"/>
        <v>61</v>
      </c>
      <c r="AO106" s="2">
        <f t="shared" si="260"/>
        <v>61</v>
      </c>
      <c r="AP106" s="2">
        <f t="shared" si="258"/>
        <v>61</v>
      </c>
      <c r="AQ106" s="2">
        <f t="shared" si="258"/>
        <v>61</v>
      </c>
      <c r="AR106" s="2">
        <f t="shared" si="258"/>
        <v>61</v>
      </c>
      <c r="AS106" s="2">
        <f t="shared" si="258"/>
        <v>61</v>
      </c>
      <c r="AT106" s="2">
        <f t="shared" si="258"/>
        <v>61</v>
      </c>
      <c r="AU106" s="2">
        <f t="shared" si="258"/>
        <v>61</v>
      </c>
      <c r="AV106" s="2">
        <f t="shared" si="258"/>
        <v>61</v>
      </c>
      <c r="AW106" s="2">
        <f t="shared" si="258"/>
        <v>61</v>
      </c>
      <c r="AX106" s="2">
        <f t="shared" si="258"/>
        <v>61</v>
      </c>
      <c r="AY106" s="2">
        <f t="shared" si="258"/>
        <v>61</v>
      </c>
      <c r="AZ106" s="2">
        <f t="shared" si="258"/>
        <v>61</v>
      </c>
      <c r="BA106" s="2">
        <f t="shared" si="258"/>
        <v>61</v>
      </c>
      <c r="BB106" s="2">
        <f t="shared" si="258"/>
        <v>61</v>
      </c>
      <c r="BC106" s="2">
        <f t="shared" si="258"/>
        <v>61</v>
      </c>
      <c r="BD106" s="2">
        <f t="shared" si="258"/>
        <v>61</v>
      </c>
      <c r="BE106" s="2">
        <f t="shared" si="258"/>
        <v>61</v>
      </c>
      <c r="BF106" s="2">
        <f t="shared" si="263"/>
        <v>61</v>
      </c>
      <c r="BG106" s="2">
        <f t="shared" si="261"/>
        <v>61</v>
      </c>
      <c r="BH106" s="2">
        <f t="shared" si="261"/>
        <v>61</v>
      </c>
      <c r="BI106" s="2">
        <f t="shared" si="256"/>
        <v>61</v>
      </c>
      <c r="BJ106" s="2">
        <f t="shared" si="256"/>
        <v>61</v>
      </c>
      <c r="BK106" s="2">
        <f t="shared" si="256"/>
        <v>61</v>
      </c>
      <c r="BL106" s="2">
        <f t="shared" si="256"/>
        <v>61</v>
      </c>
      <c r="BM106" s="2">
        <f t="shared" si="256"/>
        <v>61</v>
      </c>
      <c r="BN106" s="2">
        <f t="shared" si="256"/>
        <v>61</v>
      </c>
      <c r="BO106" s="2">
        <f t="shared" si="256"/>
        <v>61</v>
      </c>
      <c r="BP106" s="2">
        <f t="shared" si="256"/>
        <v>61</v>
      </c>
      <c r="BQ106" s="2">
        <f t="shared" si="262"/>
        <v>61</v>
      </c>
    </row>
    <row r="107" spans="2:69" hidden="1" x14ac:dyDescent="0.3">
      <c r="B107" s="21" t="str">
        <f t="shared" si="248"/>
        <v/>
      </c>
      <c r="G107" s="2"/>
      <c r="H107" s="2"/>
      <c r="I107" s="2"/>
      <c r="J107" s="2">
        <f t="shared" si="259"/>
        <v>61</v>
      </c>
      <c r="K107" s="2">
        <f t="shared" si="259"/>
        <v>61</v>
      </c>
      <c r="L107" s="2">
        <f t="shared" si="259"/>
        <v>61</v>
      </c>
      <c r="M107" s="2">
        <f t="shared" si="259"/>
        <v>61</v>
      </c>
      <c r="N107" s="2">
        <f t="shared" si="259"/>
        <v>61</v>
      </c>
      <c r="O107" s="2">
        <f t="shared" si="259"/>
        <v>61</v>
      </c>
      <c r="P107" s="2">
        <f t="shared" si="259"/>
        <v>61</v>
      </c>
      <c r="Q107" s="2">
        <f t="shared" si="259"/>
        <v>61</v>
      </c>
      <c r="R107" s="2">
        <f t="shared" si="259"/>
        <v>61</v>
      </c>
      <c r="S107" s="2">
        <f t="shared" si="259"/>
        <v>61</v>
      </c>
      <c r="T107" s="2">
        <f t="shared" si="259"/>
        <v>61</v>
      </c>
      <c r="U107" s="2">
        <f t="shared" si="257"/>
        <v>61</v>
      </c>
      <c r="V107" s="2">
        <f t="shared" si="257"/>
        <v>61</v>
      </c>
      <c r="W107" s="2">
        <f t="shared" si="257"/>
        <v>61</v>
      </c>
      <c r="X107" s="2">
        <f t="shared" si="257"/>
        <v>61</v>
      </c>
      <c r="Y107" s="2">
        <f t="shared" si="257"/>
        <v>61</v>
      </c>
      <c r="Z107" s="2">
        <f t="shared" si="257"/>
        <v>61</v>
      </c>
      <c r="AA107" s="2">
        <f t="shared" si="257"/>
        <v>61</v>
      </c>
      <c r="AB107" s="2">
        <f t="shared" si="257"/>
        <v>61</v>
      </c>
      <c r="AC107" s="2">
        <f t="shared" si="260"/>
        <v>61</v>
      </c>
      <c r="AD107" s="2">
        <f t="shared" si="260"/>
        <v>61</v>
      </c>
      <c r="AE107" s="2">
        <f t="shared" si="260"/>
        <v>61</v>
      </c>
      <c r="AF107" s="2">
        <f t="shared" si="260"/>
        <v>61</v>
      </c>
      <c r="AG107" s="2">
        <f t="shared" si="260"/>
        <v>61</v>
      </c>
      <c r="AH107" s="2">
        <f t="shared" si="260"/>
        <v>61</v>
      </c>
      <c r="AI107" s="2">
        <f t="shared" si="260"/>
        <v>61</v>
      </c>
      <c r="AJ107" s="2">
        <f t="shared" si="260"/>
        <v>61</v>
      </c>
      <c r="AK107" s="2">
        <f t="shared" si="260"/>
        <v>61</v>
      </c>
      <c r="AL107" s="2">
        <f t="shared" si="260"/>
        <v>61</v>
      </c>
      <c r="AM107" s="2">
        <f t="shared" si="260"/>
        <v>61</v>
      </c>
      <c r="AN107" s="2">
        <f t="shared" si="260"/>
        <v>61</v>
      </c>
      <c r="AO107" s="2">
        <f t="shared" si="260"/>
        <v>61</v>
      </c>
      <c r="AP107" s="2">
        <f t="shared" si="258"/>
        <v>61</v>
      </c>
      <c r="AQ107" s="2">
        <f t="shared" si="258"/>
        <v>61</v>
      </c>
      <c r="AR107" s="2">
        <f t="shared" si="258"/>
        <v>61</v>
      </c>
      <c r="AS107" s="2">
        <f t="shared" si="258"/>
        <v>61</v>
      </c>
      <c r="AT107" s="2">
        <f t="shared" si="258"/>
        <v>61</v>
      </c>
      <c r="AU107" s="2">
        <f t="shared" si="258"/>
        <v>61</v>
      </c>
      <c r="AV107" s="2">
        <f t="shared" si="258"/>
        <v>61</v>
      </c>
      <c r="AW107" s="2">
        <f t="shared" si="258"/>
        <v>61</v>
      </c>
      <c r="AX107" s="2">
        <f t="shared" si="258"/>
        <v>61</v>
      </c>
      <c r="AY107" s="2">
        <f t="shared" si="258"/>
        <v>61</v>
      </c>
      <c r="AZ107" s="2">
        <f t="shared" si="258"/>
        <v>61</v>
      </c>
      <c r="BA107" s="2">
        <f t="shared" si="258"/>
        <v>61</v>
      </c>
      <c r="BB107" s="2">
        <f t="shared" si="258"/>
        <v>61</v>
      </c>
      <c r="BC107" s="2">
        <f t="shared" si="258"/>
        <v>61</v>
      </c>
      <c r="BD107" s="2">
        <f t="shared" si="258"/>
        <v>61</v>
      </c>
      <c r="BE107" s="2">
        <f t="shared" si="258"/>
        <v>61</v>
      </c>
      <c r="BF107" s="2">
        <f t="shared" si="263"/>
        <v>61</v>
      </c>
      <c r="BG107" s="2">
        <f t="shared" si="261"/>
        <v>61</v>
      </c>
      <c r="BH107" s="2">
        <f t="shared" si="261"/>
        <v>61</v>
      </c>
      <c r="BI107" s="2">
        <f t="shared" si="256"/>
        <v>61</v>
      </c>
      <c r="BJ107" s="2">
        <f t="shared" si="256"/>
        <v>61</v>
      </c>
      <c r="BK107" s="2">
        <f t="shared" si="256"/>
        <v>61</v>
      </c>
      <c r="BL107" s="2">
        <f t="shared" si="256"/>
        <v>61</v>
      </c>
      <c r="BM107" s="2">
        <f t="shared" si="256"/>
        <v>61</v>
      </c>
      <c r="BN107" s="2">
        <f t="shared" si="256"/>
        <v>61</v>
      </c>
      <c r="BO107" s="2">
        <f t="shared" si="256"/>
        <v>61</v>
      </c>
      <c r="BP107" s="2">
        <f t="shared" si="256"/>
        <v>61</v>
      </c>
      <c r="BQ107" s="2">
        <f t="shared" si="262"/>
        <v>61</v>
      </c>
    </row>
    <row r="108" spans="2:69" hidden="1" x14ac:dyDescent="0.3">
      <c r="B108" s="21" t="str">
        <f t="shared" si="248"/>
        <v/>
      </c>
      <c r="G108" s="2"/>
      <c r="H108" s="2"/>
      <c r="I108" s="2"/>
      <c r="J108" s="2">
        <f t="shared" si="259"/>
        <v>61</v>
      </c>
      <c r="K108" s="2">
        <f t="shared" si="259"/>
        <v>61</v>
      </c>
      <c r="L108" s="2">
        <f t="shared" si="259"/>
        <v>61</v>
      </c>
      <c r="M108" s="2">
        <f t="shared" si="259"/>
        <v>61</v>
      </c>
      <c r="N108" s="2">
        <f t="shared" si="259"/>
        <v>61</v>
      </c>
      <c r="O108" s="2">
        <f t="shared" si="259"/>
        <v>61</v>
      </c>
      <c r="P108" s="2">
        <f t="shared" si="259"/>
        <v>61</v>
      </c>
      <c r="Q108" s="2">
        <f t="shared" si="259"/>
        <v>61</v>
      </c>
      <c r="R108" s="2">
        <f t="shared" si="259"/>
        <v>61</v>
      </c>
      <c r="S108" s="2">
        <f t="shared" si="259"/>
        <v>61</v>
      </c>
      <c r="T108" s="2">
        <f t="shared" si="259"/>
        <v>61</v>
      </c>
      <c r="U108" s="2">
        <f t="shared" si="257"/>
        <v>61</v>
      </c>
      <c r="V108" s="2">
        <f t="shared" si="257"/>
        <v>61</v>
      </c>
      <c r="W108" s="2">
        <f t="shared" si="257"/>
        <v>61</v>
      </c>
      <c r="X108" s="2">
        <f t="shared" si="257"/>
        <v>61</v>
      </c>
      <c r="Y108" s="2">
        <f t="shared" si="257"/>
        <v>61</v>
      </c>
      <c r="Z108" s="2">
        <f t="shared" si="257"/>
        <v>61</v>
      </c>
      <c r="AA108" s="2">
        <f t="shared" si="257"/>
        <v>61</v>
      </c>
      <c r="AB108" s="2">
        <f t="shared" si="257"/>
        <v>61</v>
      </c>
      <c r="AC108" s="2">
        <f t="shared" si="260"/>
        <v>61</v>
      </c>
      <c r="AD108" s="2">
        <f t="shared" si="260"/>
        <v>61</v>
      </c>
      <c r="AE108" s="2">
        <f t="shared" si="260"/>
        <v>61</v>
      </c>
      <c r="AF108" s="2">
        <f t="shared" si="260"/>
        <v>61</v>
      </c>
      <c r="AG108" s="2">
        <f t="shared" si="260"/>
        <v>61</v>
      </c>
      <c r="AH108" s="2">
        <f t="shared" si="260"/>
        <v>61</v>
      </c>
      <c r="AI108" s="2">
        <f t="shared" si="260"/>
        <v>61</v>
      </c>
      <c r="AJ108" s="2">
        <f t="shared" si="260"/>
        <v>61</v>
      </c>
      <c r="AK108" s="2">
        <f t="shared" si="260"/>
        <v>61</v>
      </c>
      <c r="AL108" s="2">
        <f t="shared" si="260"/>
        <v>61</v>
      </c>
      <c r="AM108" s="2">
        <f t="shared" si="260"/>
        <v>61</v>
      </c>
      <c r="AN108" s="2">
        <f t="shared" si="260"/>
        <v>61</v>
      </c>
      <c r="AO108" s="2">
        <f t="shared" si="260"/>
        <v>61</v>
      </c>
      <c r="AP108" s="2">
        <f t="shared" si="258"/>
        <v>61</v>
      </c>
      <c r="AQ108" s="2">
        <f t="shared" si="258"/>
        <v>61</v>
      </c>
      <c r="AR108" s="2">
        <f t="shared" si="258"/>
        <v>61</v>
      </c>
      <c r="AS108" s="2">
        <f t="shared" si="258"/>
        <v>61</v>
      </c>
      <c r="AT108" s="2">
        <f t="shared" si="258"/>
        <v>61</v>
      </c>
      <c r="AU108" s="2">
        <f t="shared" si="258"/>
        <v>61</v>
      </c>
      <c r="AV108" s="2">
        <f t="shared" si="258"/>
        <v>61</v>
      </c>
      <c r="AW108" s="2">
        <f t="shared" si="258"/>
        <v>61</v>
      </c>
      <c r="AX108" s="2">
        <f t="shared" si="258"/>
        <v>61</v>
      </c>
      <c r="AY108" s="2">
        <f t="shared" si="258"/>
        <v>61</v>
      </c>
      <c r="AZ108" s="2">
        <f t="shared" si="258"/>
        <v>61</v>
      </c>
      <c r="BA108" s="2">
        <f t="shared" si="258"/>
        <v>61</v>
      </c>
      <c r="BB108" s="2">
        <f t="shared" si="258"/>
        <v>61</v>
      </c>
      <c r="BC108" s="2">
        <f t="shared" si="258"/>
        <v>61</v>
      </c>
      <c r="BD108" s="2">
        <f t="shared" si="258"/>
        <v>61</v>
      </c>
      <c r="BE108" s="2">
        <f t="shared" si="258"/>
        <v>61</v>
      </c>
      <c r="BF108" s="2">
        <f t="shared" si="263"/>
        <v>61</v>
      </c>
      <c r="BG108" s="2">
        <f t="shared" si="261"/>
        <v>61</v>
      </c>
      <c r="BH108" s="2">
        <f t="shared" si="261"/>
        <v>61</v>
      </c>
      <c r="BI108" s="2">
        <f t="shared" si="256"/>
        <v>61</v>
      </c>
      <c r="BJ108" s="2">
        <f t="shared" si="256"/>
        <v>61</v>
      </c>
      <c r="BK108" s="2">
        <f t="shared" si="256"/>
        <v>61</v>
      </c>
      <c r="BL108" s="2">
        <f t="shared" si="256"/>
        <v>61</v>
      </c>
      <c r="BM108" s="2">
        <f t="shared" si="256"/>
        <v>61</v>
      </c>
      <c r="BN108" s="2">
        <f t="shared" si="256"/>
        <v>61</v>
      </c>
      <c r="BO108" s="2">
        <f t="shared" si="256"/>
        <v>61</v>
      </c>
      <c r="BP108" s="2">
        <f t="shared" si="256"/>
        <v>61</v>
      </c>
      <c r="BQ108" s="2">
        <f t="shared" si="262"/>
        <v>61</v>
      </c>
    </row>
    <row r="109" spans="2:69" hidden="1" x14ac:dyDescent="0.3">
      <c r="G109" s="2"/>
      <c r="H109" s="2"/>
      <c r="I109" s="2"/>
      <c r="J109" s="2">
        <f t="shared" si="259"/>
        <v>61</v>
      </c>
      <c r="K109" s="2">
        <f t="shared" si="259"/>
        <v>61</v>
      </c>
      <c r="L109" s="2">
        <f t="shared" si="259"/>
        <v>61</v>
      </c>
      <c r="M109" s="2">
        <f t="shared" si="259"/>
        <v>61</v>
      </c>
      <c r="N109" s="2">
        <f t="shared" si="259"/>
        <v>61</v>
      </c>
      <c r="O109" s="2">
        <f t="shared" si="259"/>
        <v>61</v>
      </c>
      <c r="P109" s="2">
        <f t="shared" si="259"/>
        <v>61</v>
      </c>
      <c r="Q109" s="2">
        <f t="shared" si="259"/>
        <v>61</v>
      </c>
      <c r="R109" s="2">
        <f t="shared" si="259"/>
        <v>61</v>
      </c>
      <c r="S109" s="2">
        <f t="shared" si="259"/>
        <v>61</v>
      </c>
      <c r="T109" s="2">
        <f t="shared" si="259"/>
        <v>61</v>
      </c>
      <c r="U109" s="2">
        <f t="shared" si="257"/>
        <v>61</v>
      </c>
      <c r="V109" s="2">
        <f t="shared" si="257"/>
        <v>61</v>
      </c>
      <c r="W109" s="2">
        <f t="shared" si="257"/>
        <v>61</v>
      </c>
      <c r="X109" s="2">
        <f t="shared" si="257"/>
        <v>61</v>
      </c>
      <c r="Y109" s="2">
        <f t="shared" si="257"/>
        <v>61</v>
      </c>
      <c r="Z109" s="2">
        <f t="shared" si="257"/>
        <v>61</v>
      </c>
      <c r="AA109" s="2">
        <f t="shared" si="257"/>
        <v>61</v>
      </c>
      <c r="AB109" s="2">
        <f t="shared" si="257"/>
        <v>61</v>
      </c>
      <c r="AC109" s="2">
        <f t="shared" si="260"/>
        <v>61</v>
      </c>
      <c r="AD109" s="2">
        <f t="shared" si="260"/>
        <v>61</v>
      </c>
      <c r="AE109" s="2">
        <f t="shared" si="260"/>
        <v>61</v>
      </c>
      <c r="AF109" s="2">
        <f t="shared" si="260"/>
        <v>61</v>
      </c>
      <c r="AG109" s="2">
        <f t="shared" si="260"/>
        <v>61</v>
      </c>
      <c r="AH109" s="2">
        <f t="shared" si="260"/>
        <v>61</v>
      </c>
      <c r="AI109" s="2">
        <f t="shared" si="260"/>
        <v>61</v>
      </c>
      <c r="AJ109" s="2">
        <f t="shared" si="260"/>
        <v>61</v>
      </c>
      <c r="AK109" s="2">
        <f t="shared" si="260"/>
        <v>61</v>
      </c>
      <c r="AL109" s="2">
        <f t="shared" si="260"/>
        <v>61</v>
      </c>
      <c r="AM109" s="2">
        <f t="shared" si="260"/>
        <v>61</v>
      </c>
      <c r="AN109" s="2">
        <f t="shared" si="260"/>
        <v>61</v>
      </c>
      <c r="AO109" s="2">
        <f t="shared" si="260"/>
        <v>61</v>
      </c>
      <c r="AP109" s="2">
        <f t="shared" si="258"/>
        <v>61</v>
      </c>
      <c r="AQ109" s="2">
        <f t="shared" si="258"/>
        <v>61</v>
      </c>
      <c r="AR109" s="2">
        <f t="shared" si="258"/>
        <v>61</v>
      </c>
      <c r="AS109" s="2">
        <f t="shared" si="258"/>
        <v>61</v>
      </c>
      <c r="AT109" s="2">
        <f t="shared" si="258"/>
        <v>61</v>
      </c>
      <c r="AU109" s="2">
        <f t="shared" si="258"/>
        <v>61</v>
      </c>
      <c r="AV109" s="2">
        <f t="shared" si="258"/>
        <v>61</v>
      </c>
      <c r="AW109" s="2">
        <f t="shared" si="258"/>
        <v>61</v>
      </c>
      <c r="AX109" s="2">
        <f t="shared" si="258"/>
        <v>61</v>
      </c>
      <c r="AY109" s="2">
        <f t="shared" si="258"/>
        <v>61</v>
      </c>
      <c r="AZ109" s="2">
        <f t="shared" si="258"/>
        <v>61</v>
      </c>
      <c r="BA109" s="2">
        <f t="shared" si="258"/>
        <v>61</v>
      </c>
      <c r="BB109" s="2">
        <f t="shared" si="258"/>
        <v>61</v>
      </c>
      <c r="BC109" s="2">
        <f t="shared" si="258"/>
        <v>61</v>
      </c>
      <c r="BD109" s="2">
        <f t="shared" si="258"/>
        <v>61</v>
      </c>
      <c r="BE109" s="2">
        <f t="shared" si="258"/>
        <v>61</v>
      </c>
      <c r="BF109" s="2">
        <f t="shared" si="263"/>
        <v>61</v>
      </c>
      <c r="BG109" s="2">
        <f t="shared" si="261"/>
        <v>61</v>
      </c>
      <c r="BH109" s="2">
        <f t="shared" si="261"/>
        <v>61</v>
      </c>
      <c r="BI109" s="2">
        <f t="shared" si="256"/>
        <v>61</v>
      </c>
      <c r="BJ109" s="2">
        <f t="shared" si="256"/>
        <v>61</v>
      </c>
      <c r="BK109" s="2">
        <f t="shared" si="256"/>
        <v>61</v>
      </c>
      <c r="BL109" s="2">
        <f t="shared" si="256"/>
        <v>61</v>
      </c>
      <c r="BM109" s="2">
        <f t="shared" si="256"/>
        <v>61</v>
      </c>
      <c r="BN109" s="2">
        <f t="shared" si="256"/>
        <v>61</v>
      </c>
      <c r="BO109" s="2">
        <f t="shared" si="256"/>
        <v>61</v>
      </c>
      <c r="BP109" s="2">
        <f t="shared" si="256"/>
        <v>61</v>
      </c>
      <c r="BQ109" s="2">
        <f t="shared" si="262"/>
        <v>61</v>
      </c>
    </row>
    <row r="110" spans="2:69" hidden="1" x14ac:dyDescent="0.3">
      <c r="G110" s="2"/>
      <c r="H110" s="2"/>
      <c r="I110" s="2"/>
      <c r="J110" s="2">
        <f t="shared" si="259"/>
        <v>61</v>
      </c>
      <c r="K110" s="2">
        <f t="shared" si="259"/>
        <v>61</v>
      </c>
      <c r="L110" s="2">
        <f t="shared" si="259"/>
        <v>61</v>
      </c>
      <c r="M110" s="2">
        <f t="shared" si="259"/>
        <v>61</v>
      </c>
      <c r="N110" s="2">
        <f t="shared" si="259"/>
        <v>61</v>
      </c>
      <c r="O110" s="2">
        <f t="shared" si="259"/>
        <v>61</v>
      </c>
      <c r="P110" s="2">
        <f t="shared" si="259"/>
        <v>61</v>
      </c>
      <c r="Q110" s="2">
        <f t="shared" si="259"/>
        <v>61</v>
      </c>
      <c r="R110" s="2">
        <f t="shared" si="259"/>
        <v>61</v>
      </c>
      <c r="S110" s="2">
        <f t="shared" si="259"/>
        <v>61</v>
      </c>
      <c r="T110" s="2">
        <f t="shared" si="259"/>
        <v>61</v>
      </c>
      <c r="U110" s="2">
        <f t="shared" si="257"/>
        <v>61</v>
      </c>
      <c r="V110" s="2">
        <f t="shared" si="257"/>
        <v>61</v>
      </c>
      <c r="W110" s="2">
        <f t="shared" si="257"/>
        <v>61</v>
      </c>
      <c r="X110" s="2">
        <f t="shared" si="257"/>
        <v>61</v>
      </c>
      <c r="Y110" s="2">
        <f t="shared" si="257"/>
        <v>61</v>
      </c>
      <c r="Z110" s="2">
        <f t="shared" si="257"/>
        <v>61</v>
      </c>
      <c r="AA110" s="2">
        <f t="shared" si="257"/>
        <v>61</v>
      </c>
      <c r="AB110" s="2">
        <f t="shared" si="257"/>
        <v>61</v>
      </c>
      <c r="AC110" s="2">
        <f t="shared" si="260"/>
        <v>61</v>
      </c>
      <c r="AD110" s="2">
        <f t="shared" si="260"/>
        <v>61</v>
      </c>
      <c r="AE110" s="2">
        <f t="shared" si="260"/>
        <v>61</v>
      </c>
      <c r="AF110" s="2">
        <f t="shared" si="260"/>
        <v>61</v>
      </c>
      <c r="AG110" s="2">
        <f t="shared" si="260"/>
        <v>61</v>
      </c>
      <c r="AH110" s="2">
        <f t="shared" si="260"/>
        <v>61</v>
      </c>
      <c r="AI110" s="2">
        <f t="shared" si="260"/>
        <v>61</v>
      </c>
      <c r="AJ110" s="2">
        <f t="shared" si="260"/>
        <v>61</v>
      </c>
      <c r="AK110" s="2">
        <f t="shared" si="260"/>
        <v>61</v>
      </c>
      <c r="AL110" s="2">
        <f t="shared" si="260"/>
        <v>61</v>
      </c>
      <c r="AM110" s="2">
        <f t="shared" si="260"/>
        <v>61</v>
      </c>
      <c r="AN110" s="2">
        <f t="shared" si="260"/>
        <v>61</v>
      </c>
      <c r="AO110" s="2">
        <f t="shared" si="260"/>
        <v>61</v>
      </c>
      <c r="AP110" s="2">
        <f t="shared" si="258"/>
        <v>61</v>
      </c>
      <c r="AQ110" s="2">
        <f t="shared" si="258"/>
        <v>61</v>
      </c>
      <c r="AR110" s="2">
        <f t="shared" si="258"/>
        <v>61</v>
      </c>
      <c r="AS110" s="2">
        <f t="shared" si="258"/>
        <v>61</v>
      </c>
      <c r="AT110" s="2">
        <f t="shared" si="258"/>
        <v>61</v>
      </c>
      <c r="AU110" s="2">
        <f t="shared" si="258"/>
        <v>61</v>
      </c>
      <c r="AV110" s="2">
        <f t="shared" si="258"/>
        <v>61</v>
      </c>
      <c r="AW110" s="2">
        <f t="shared" si="258"/>
        <v>61</v>
      </c>
      <c r="AX110" s="2">
        <f t="shared" si="258"/>
        <v>61</v>
      </c>
      <c r="AY110" s="2">
        <f t="shared" si="258"/>
        <v>61</v>
      </c>
      <c r="AZ110" s="2">
        <f t="shared" si="258"/>
        <v>61</v>
      </c>
      <c r="BA110" s="2">
        <f t="shared" si="258"/>
        <v>61</v>
      </c>
      <c r="BB110" s="2">
        <f t="shared" si="258"/>
        <v>61</v>
      </c>
      <c r="BC110" s="2">
        <f t="shared" si="258"/>
        <v>61</v>
      </c>
      <c r="BD110" s="2">
        <f t="shared" si="258"/>
        <v>61</v>
      </c>
      <c r="BE110" s="2">
        <f t="shared" si="258"/>
        <v>61</v>
      </c>
      <c r="BF110" s="2">
        <f t="shared" si="263"/>
        <v>61</v>
      </c>
      <c r="BG110" s="2">
        <f t="shared" si="261"/>
        <v>61</v>
      </c>
      <c r="BH110" s="2">
        <f t="shared" si="261"/>
        <v>61</v>
      </c>
      <c r="BI110" s="2">
        <f t="shared" si="256"/>
        <v>61</v>
      </c>
      <c r="BJ110" s="2">
        <f t="shared" si="256"/>
        <v>61</v>
      </c>
      <c r="BK110" s="2">
        <f t="shared" si="256"/>
        <v>61</v>
      </c>
      <c r="BL110" s="2">
        <f t="shared" si="256"/>
        <v>61</v>
      </c>
      <c r="BM110" s="2">
        <f t="shared" si="256"/>
        <v>61</v>
      </c>
      <c r="BN110" s="2">
        <f t="shared" si="256"/>
        <v>61</v>
      </c>
      <c r="BO110" s="2">
        <f t="shared" si="256"/>
        <v>61</v>
      </c>
      <c r="BP110" s="2">
        <f t="shared" si="256"/>
        <v>61</v>
      </c>
      <c r="BQ110" s="2">
        <f t="shared" si="262"/>
        <v>61</v>
      </c>
    </row>
    <row r="111" spans="2:69" hidden="1" x14ac:dyDescent="0.3">
      <c r="H111" s="2"/>
      <c r="I111" s="2"/>
      <c r="J111" s="2">
        <f t="shared" si="259"/>
        <v>61</v>
      </c>
      <c r="K111" s="2">
        <f t="shared" si="259"/>
        <v>61</v>
      </c>
      <c r="L111" s="2">
        <f t="shared" ref="L111:AA126" si="264">IF(BX48=0,61,BX48)</f>
        <v>61</v>
      </c>
      <c r="M111" s="2">
        <f t="shared" si="264"/>
        <v>61</v>
      </c>
      <c r="N111" s="2">
        <f t="shared" si="264"/>
        <v>61</v>
      </c>
      <c r="O111" s="2">
        <f t="shared" si="264"/>
        <v>61</v>
      </c>
      <c r="P111" s="2">
        <f t="shared" si="264"/>
        <v>61</v>
      </c>
      <c r="Q111" s="2">
        <f t="shared" si="264"/>
        <v>61</v>
      </c>
      <c r="R111" s="2">
        <f t="shared" si="264"/>
        <v>61</v>
      </c>
      <c r="S111" s="2">
        <f t="shared" si="264"/>
        <v>61</v>
      </c>
      <c r="T111" s="2">
        <f t="shared" si="264"/>
        <v>61</v>
      </c>
      <c r="U111" s="2">
        <f t="shared" si="257"/>
        <v>61</v>
      </c>
      <c r="V111" s="2">
        <f t="shared" si="257"/>
        <v>61</v>
      </c>
      <c r="W111" s="2">
        <f t="shared" si="257"/>
        <v>61</v>
      </c>
      <c r="X111" s="2">
        <f t="shared" si="257"/>
        <v>61</v>
      </c>
      <c r="Y111" s="2">
        <f t="shared" si="257"/>
        <v>61</v>
      </c>
      <c r="Z111" s="2">
        <f t="shared" si="257"/>
        <v>61</v>
      </c>
      <c r="AA111" s="2">
        <f t="shared" si="257"/>
        <v>61</v>
      </c>
      <c r="AB111" s="2">
        <f t="shared" si="257"/>
        <v>61</v>
      </c>
      <c r="AC111" s="2">
        <f t="shared" si="260"/>
        <v>61</v>
      </c>
      <c r="AD111" s="2">
        <f t="shared" si="260"/>
        <v>61</v>
      </c>
      <c r="AE111" s="2">
        <f t="shared" si="260"/>
        <v>61</v>
      </c>
      <c r="AF111" s="2">
        <f t="shared" si="260"/>
        <v>61</v>
      </c>
      <c r="AG111" s="2">
        <f t="shared" si="260"/>
        <v>61</v>
      </c>
      <c r="AH111" s="2">
        <f t="shared" si="260"/>
        <v>61</v>
      </c>
      <c r="AI111" s="2">
        <f t="shared" si="260"/>
        <v>61</v>
      </c>
      <c r="AJ111" s="2">
        <f t="shared" si="260"/>
        <v>61</v>
      </c>
      <c r="AK111" s="2">
        <f t="shared" si="260"/>
        <v>61</v>
      </c>
      <c r="AL111" s="2">
        <f t="shared" si="260"/>
        <v>61</v>
      </c>
      <c r="AM111" s="2">
        <f t="shared" si="260"/>
        <v>61</v>
      </c>
      <c r="AN111" s="2">
        <f t="shared" si="260"/>
        <v>61</v>
      </c>
      <c r="AO111" s="2">
        <f t="shared" si="260"/>
        <v>61</v>
      </c>
      <c r="AP111" s="2">
        <f t="shared" si="258"/>
        <v>61</v>
      </c>
      <c r="AQ111" s="2">
        <f t="shared" si="258"/>
        <v>61</v>
      </c>
      <c r="AR111" s="2">
        <f t="shared" si="258"/>
        <v>61</v>
      </c>
      <c r="AS111" s="2">
        <f t="shared" si="258"/>
        <v>61</v>
      </c>
      <c r="AT111" s="2">
        <f t="shared" si="258"/>
        <v>61</v>
      </c>
      <c r="AU111" s="2">
        <f t="shared" si="258"/>
        <v>61</v>
      </c>
      <c r="AV111" s="2">
        <f t="shared" si="258"/>
        <v>61</v>
      </c>
      <c r="AW111" s="2">
        <f t="shared" si="258"/>
        <v>61</v>
      </c>
      <c r="AX111" s="2">
        <f t="shared" si="258"/>
        <v>61</v>
      </c>
      <c r="AY111" s="2">
        <f t="shared" si="258"/>
        <v>61</v>
      </c>
      <c r="AZ111" s="2">
        <f t="shared" si="258"/>
        <v>61</v>
      </c>
      <c r="BA111" s="2">
        <f t="shared" si="258"/>
        <v>61</v>
      </c>
      <c r="BB111" s="2">
        <f t="shared" si="258"/>
        <v>61</v>
      </c>
      <c r="BC111" s="2">
        <f t="shared" si="258"/>
        <v>61</v>
      </c>
      <c r="BD111" s="2">
        <f t="shared" si="258"/>
        <v>61</v>
      </c>
      <c r="BE111" s="2">
        <f t="shared" si="258"/>
        <v>61</v>
      </c>
      <c r="BF111" s="2">
        <f t="shared" si="263"/>
        <v>61</v>
      </c>
      <c r="BG111" s="2">
        <f t="shared" si="261"/>
        <v>61</v>
      </c>
      <c r="BH111" s="2">
        <f t="shared" si="261"/>
        <v>61</v>
      </c>
      <c r="BI111" s="2">
        <f t="shared" si="256"/>
        <v>61</v>
      </c>
      <c r="BJ111" s="2">
        <f t="shared" si="256"/>
        <v>61</v>
      </c>
      <c r="BK111" s="2">
        <f t="shared" si="256"/>
        <v>61</v>
      </c>
      <c r="BL111" s="2">
        <f t="shared" si="256"/>
        <v>61</v>
      </c>
      <c r="BM111" s="2">
        <f t="shared" si="256"/>
        <v>61</v>
      </c>
      <c r="BN111" s="2">
        <f t="shared" si="256"/>
        <v>61</v>
      </c>
      <c r="BO111" s="2">
        <f t="shared" si="256"/>
        <v>61</v>
      </c>
      <c r="BP111" s="2">
        <f t="shared" si="256"/>
        <v>61</v>
      </c>
      <c r="BQ111" s="2">
        <f t="shared" si="262"/>
        <v>61</v>
      </c>
    </row>
    <row r="112" spans="2:69" hidden="1" x14ac:dyDescent="0.3">
      <c r="J112" s="2">
        <f t="shared" ref="J112:K126" si="265">IF(BV49=0,61,BV49)</f>
        <v>61</v>
      </c>
      <c r="K112" s="2">
        <f t="shared" si="265"/>
        <v>61</v>
      </c>
      <c r="L112" s="2">
        <f t="shared" si="264"/>
        <v>61</v>
      </c>
      <c r="M112" s="2">
        <f t="shared" si="264"/>
        <v>61</v>
      </c>
      <c r="N112" s="2">
        <f t="shared" si="264"/>
        <v>61</v>
      </c>
      <c r="O112" s="2">
        <f t="shared" si="264"/>
        <v>61</v>
      </c>
      <c r="P112" s="2">
        <f t="shared" si="264"/>
        <v>61</v>
      </c>
      <c r="Q112" s="2">
        <f t="shared" si="264"/>
        <v>61</v>
      </c>
      <c r="R112" s="2">
        <f t="shared" si="264"/>
        <v>61</v>
      </c>
      <c r="S112" s="2">
        <f t="shared" si="264"/>
        <v>61</v>
      </c>
      <c r="T112" s="2">
        <f t="shared" si="264"/>
        <v>61</v>
      </c>
      <c r="U112" s="2">
        <f t="shared" si="257"/>
        <v>61</v>
      </c>
      <c r="V112" s="2">
        <f t="shared" si="257"/>
        <v>61</v>
      </c>
      <c r="W112" s="2">
        <f t="shared" si="257"/>
        <v>61</v>
      </c>
      <c r="X112" s="2">
        <f t="shared" si="257"/>
        <v>61</v>
      </c>
      <c r="Y112" s="2">
        <f t="shared" si="257"/>
        <v>61</v>
      </c>
      <c r="Z112" s="2">
        <f t="shared" si="257"/>
        <v>61</v>
      </c>
      <c r="AA112" s="2">
        <f t="shared" si="257"/>
        <v>61</v>
      </c>
      <c r="AB112" s="2">
        <f t="shared" si="257"/>
        <v>61</v>
      </c>
      <c r="AC112" s="2">
        <f t="shared" si="260"/>
        <v>61</v>
      </c>
      <c r="AD112" s="2">
        <f t="shared" si="260"/>
        <v>61</v>
      </c>
      <c r="AE112" s="2">
        <f t="shared" si="260"/>
        <v>61</v>
      </c>
      <c r="AF112" s="2">
        <f t="shared" si="260"/>
        <v>61</v>
      </c>
      <c r="AG112" s="2">
        <f t="shared" si="260"/>
        <v>61</v>
      </c>
      <c r="AH112" s="2">
        <f t="shared" si="260"/>
        <v>61</v>
      </c>
      <c r="AI112" s="2">
        <f t="shared" si="260"/>
        <v>61</v>
      </c>
      <c r="AJ112" s="2">
        <f t="shared" si="260"/>
        <v>61</v>
      </c>
      <c r="AK112" s="2">
        <f t="shared" si="260"/>
        <v>61</v>
      </c>
      <c r="AL112" s="2">
        <f t="shared" si="260"/>
        <v>61</v>
      </c>
      <c r="AM112" s="2">
        <f t="shared" si="260"/>
        <v>61</v>
      </c>
      <c r="AN112" s="2">
        <f t="shared" si="260"/>
        <v>61</v>
      </c>
      <c r="AO112" s="2">
        <f t="shared" si="260"/>
        <v>61</v>
      </c>
      <c r="AP112" s="2">
        <f t="shared" si="258"/>
        <v>61</v>
      </c>
      <c r="AQ112" s="2">
        <f t="shared" si="258"/>
        <v>61</v>
      </c>
      <c r="AR112" s="2">
        <f t="shared" si="258"/>
        <v>61</v>
      </c>
      <c r="AS112" s="2">
        <f t="shared" si="258"/>
        <v>61</v>
      </c>
      <c r="AT112" s="2">
        <f t="shared" si="258"/>
        <v>61</v>
      </c>
      <c r="AU112" s="2">
        <f t="shared" si="258"/>
        <v>61</v>
      </c>
      <c r="AV112" s="2">
        <f t="shared" si="258"/>
        <v>61</v>
      </c>
      <c r="AW112" s="2">
        <f t="shared" si="258"/>
        <v>61</v>
      </c>
      <c r="AX112" s="2">
        <f t="shared" si="258"/>
        <v>61</v>
      </c>
      <c r="AY112" s="2">
        <f t="shared" si="258"/>
        <v>61</v>
      </c>
      <c r="AZ112" s="2">
        <f t="shared" si="258"/>
        <v>61</v>
      </c>
      <c r="BA112" s="2">
        <f t="shared" si="258"/>
        <v>61</v>
      </c>
      <c r="BB112" s="2">
        <f t="shared" si="258"/>
        <v>61</v>
      </c>
      <c r="BC112" s="2">
        <f t="shared" si="258"/>
        <v>61</v>
      </c>
      <c r="BD112" s="2">
        <f t="shared" si="258"/>
        <v>61</v>
      </c>
      <c r="BE112" s="2">
        <f t="shared" si="258"/>
        <v>61</v>
      </c>
      <c r="BF112" s="2">
        <f t="shared" si="263"/>
        <v>61</v>
      </c>
      <c r="BG112" s="2">
        <f t="shared" si="261"/>
        <v>61</v>
      </c>
      <c r="BH112" s="2">
        <f t="shared" si="261"/>
        <v>61</v>
      </c>
      <c r="BI112" s="2">
        <f t="shared" si="256"/>
        <v>61</v>
      </c>
      <c r="BJ112" s="2">
        <f t="shared" si="256"/>
        <v>61</v>
      </c>
      <c r="BK112" s="2">
        <f t="shared" si="256"/>
        <v>61</v>
      </c>
      <c r="BL112" s="2">
        <f t="shared" si="256"/>
        <v>61</v>
      </c>
      <c r="BM112" s="2">
        <f t="shared" si="256"/>
        <v>61</v>
      </c>
      <c r="BN112" s="2">
        <f t="shared" si="256"/>
        <v>61</v>
      </c>
      <c r="BO112" s="2">
        <f t="shared" si="256"/>
        <v>61</v>
      </c>
      <c r="BP112" s="2">
        <f t="shared" si="256"/>
        <v>61</v>
      </c>
      <c r="BQ112" s="2">
        <f t="shared" si="262"/>
        <v>61</v>
      </c>
    </row>
    <row r="113" spans="10:69" hidden="1" x14ac:dyDescent="0.3">
      <c r="J113" s="2">
        <f t="shared" si="265"/>
        <v>61</v>
      </c>
      <c r="K113" s="2">
        <f t="shared" si="265"/>
        <v>61</v>
      </c>
      <c r="L113" s="2">
        <f t="shared" si="264"/>
        <v>61</v>
      </c>
      <c r="M113" s="2">
        <f t="shared" si="264"/>
        <v>61</v>
      </c>
      <c r="N113" s="2">
        <f t="shared" si="264"/>
        <v>61</v>
      </c>
      <c r="O113" s="2">
        <f t="shared" si="264"/>
        <v>61</v>
      </c>
      <c r="P113" s="2">
        <f t="shared" si="264"/>
        <v>61</v>
      </c>
      <c r="Q113" s="2">
        <f t="shared" si="264"/>
        <v>61</v>
      </c>
      <c r="R113" s="2">
        <f t="shared" si="264"/>
        <v>61</v>
      </c>
      <c r="S113" s="2">
        <f t="shared" si="264"/>
        <v>61</v>
      </c>
      <c r="T113" s="2">
        <f t="shared" si="264"/>
        <v>61</v>
      </c>
      <c r="U113" s="2">
        <f t="shared" si="257"/>
        <v>61</v>
      </c>
      <c r="V113" s="2">
        <f t="shared" si="257"/>
        <v>61</v>
      </c>
      <c r="W113" s="2">
        <f t="shared" si="257"/>
        <v>61</v>
      </c>
      <c r="X113" s="2">
        <f t="shared" si="257"/>
        <v>61</v>
      </c>
      <c r="Y113" s="2">
        <f t="shared" si="257"/>
        <v>61</v>
      </c>
      <c r="Z113" s="2">
        <f t="shared" si="257"/>
        <v>61</v>
      </c>
      <c r="AA113" s="2">
        <f t="shared" si="257"/>
        <v>61</v>
      </c>
      <c r="AB113" s="2">
        <f t="shared" si="257"/>
        <v>61</v>
      </c>
      <c r="AC113" s="2">
        <f t="shared" si="260"/>
        <v>61</v>
      </c>
      <c r="AD113" s="2">
        <f t="shared" si="260"/>
        <v>61</v>
      </c>
      <c r="AE113" s="2">
        <f t="shared" si="260"/>
        <v>61</v>
      </c>
      <c r="AF113" s="2">
        <f t="shared" si="260"/>
        <v>61</v>
      </c>
      <c r="AG113" s="2">
        <f t="shared" si="260"/>
        <v>61</v>
      </c>
      <c r="AH113" s="2">
        <f t="shared" si="260"/>
        <v>61</v>
      </c>
      <c r="AI113" s="2">
        <f t="shared" si="260"/>
        <v>61</v>
      </c>
      <c r="AJ113" s="2">
        <f t="shared" si="260"/>
        <v>61</v>
      </c>
      <c r="AK113" s="2">
        <f t="shared" si="260"/>
        <v>61</v>
      </c>
      <c r="AL113" s="2">
        <f t="shared" si="260"/>
        <v>61</v>
      </c>
      <c r="AM113" s="2">
        <f t="shared" si="260"/>
        <v>61</v>
      </c>
      <c r="AN113" s="2">
        <f t="shared" si="260"/>
        <v>61</v>
      </c>
      <c r="AO113" s="2">
        <f t="shared" si="260"/>
        <v>61</v>
      </c>
      <c r="AP113" s="2">
        <f t="shared" si="258"/>
        <v>61</v>
      </c>
      <c r="AQ113" s="2">
        <f t="shared" si="258"/>
        <v>61</v>
      </c>
      <c r="AR113" s="2">
        <f t="shared" si="258"/>
        <v>61</v>
      </c>
      <c r="AS113" s="2">
        <f t="shared" si="258"/>
        <v>61</v>
      </c>
      <c r="AT113" s="2">
        <f t="shared" si="258"/>
        <v>61</v>
      </c>
      <c r="AU113" s="2">
        <f t="shared" si="258"/>
        <v>61</v>
      </c>
      <c r="AV113" s="2">
        <f t="shared" si="258"/>
        <v>61</v>
      </c>
      <c r="AW113" s="2">
        <f t="shared" si="258"/>
        <v>61</v>
      </c>
      <c r="AX113" s="2">
        <f t="shared" si="258"/>
        <v>61</v>
      </c>
      <c r="AY113" s="2">
        <f t="shared" si="258"/>
        <v>61</v>
      </c>
      <c r="AZ113" s="2">
        <f t="shared" si="258"/>
        <v>61</v>
      </c>
      <c r="BA113" s="2">
        <f t="shared" si="258"/>
        <v>61</v>
      </c>
      <c r="BB113" s="2">
        <f t="shared" si="258"/>
        <v>61</v>
      </c>
      <c r="BC113" s="2">
        <f t="shared" si="258"/>
        <v>61</v>
      </c>
      <c r="BD113" s="2">
        <f t="shared" si="258"/>
        <v>61</v>
      </c>
      <c r="BE113" s="2">
        <f t="shared" si="258"/>
        <v>61</v>
      </c>
      <c r="BF113" s="2">
        <f t="shared" si="263"/>
        <v>61</v>
      </c>
      <c r="BG113" s="2">
        <f t="shared" si="261"/>
        <v>61</v>
      </c>
      <c r="BH113" s="2">
        <f t="shared" si="261"/>
        <v>61</v>
      </c>
      <c r="BI113" s="2">
        <f t="shared" si="256"/>
        <v>61</v>
      </c>
      <c r="BJ113" s="2">
        <f t="shared" si="256"/>
        <v>61</v>
      </c>
      <c r="BK113" s="2">
        <f t="shared" si="256"/>
        <v>61</v>
      </c>
      <c r="BL113" s="2">
        <f t="shared" si="256"/>
        <v>61</v>
      </c>
      <c r="BM113" s="2">
        <f t="shared" si="256"/>
        <v>61</v>
      </c>
      <c r="BN113" s="2">
        <f t="shared" si="256"/>
        <v>61</v>
      </c>
      <c r="BO113" s="2">
        <f t="shared" si="256"/>
        <v>61</v>
      </c>
      <c r="BP113" s="2">
        <f t="shared" si="256"/>
        <v>61</v>
      </c>
      <c r="BQ113" s="2">
        <f t="shared" si="262"/>
        <v>61</v>
      </c>
    </row>
    <row r="114" spans="10:69" hidden="1" x14ac:dyDescent="0.3">
      <c r="J114" s="2">
        <f t="shared" si="265"/>
        <v>61</v>
      </c>
      <c r="K114" s="2">
        <f t="shared" si="265"/>
        <v>61</v>
      </c>
      <c r="L114" s="2">
        <f t="shared" si="264"/>
        <v>61</v>
      </c>
      <c r="M114" s="2">
        <f t="shared" si="264"/>
        <v>61</v>
      </c>
      <c r="N114" s="2">
        <f t="shared" si="264"/>
        <v>61</v>
      </c>
      <c r="O114" s="2">
        <f t="shared" si="264"/>
        <v>61</v>
      </c>
      <c r="P114" s="2">
        <f t="shared" si="264"/>
        <v>61</v>
      </c>
      <c r="Q114" s="2">
        <f t="shared" si="264"/>
        <v>61</v>
      </c>
      <c r="R114" s="2">
        <f t="shared" si="264"/>
        <v>61</v>
      </c>
      <c r="S114" s="2">
        <f t="shared" si="264"/>
        <v>61</v>
      </c>
      <c r="T114" s="2">
        <f t="shared" si="264"/>
        <v>61</v>
      </c>
      <c r="U114" s="2">
        <f t="shared" si="257"/>
        <v>61</v>
      </c>
      <c r="V114" s="2">
        <f t="shared" si="257"/>
        <v>61</v>
      </c>
      <c r="W114" s="2">
        <f t="shared" si="257"/>
        <v>61</v>
      </c>
      <c r="X114" s="2">
        <f t="shared" si="257"/>
        <v>61</v>
      </c>
      <c r="Y114" s="2">
        <f t="shared" si="257"/>
        <v>61</v>
      </c>
      <c r="Z114" s="2">
        <f t="shared" si="257"/>
        <v>61</v>
      </c>
      <c r="AA114" s="2">
        <f t="shared" si="257"/>
        <v>61</v>
      </c>
      <c r="AB114" s="2">
        <f t="shared" si="257"/>
        <v>61</v>
      </c>
      <c r="AC114" s="2">
        <f t="shared" si="260"/>
        <v>61</v>
      </c>
      <c r="AD114" s="2">
        <f t="shared" si="260"/>
        <v>61</v>
      </c>
      <c r="AE114" s="2">
        <f t="shared" si="260"/>
        <v>61</v>
      </c>
      <c r="AF114" s="2">
        <f t="shared" si="260"/>
        <v>61</v>
      </c>
      <c r="AG114" s="2">
        <f t="shared" si="260"/>
        <v>61</v>
      </c>
      <c r="AH114" s="2">
        <f t="shared" si="260"/>
        <v>61</v>
      </c>
      <c r="AI114" s="2">
        <f t="shared" si="260"/>
        <v>61</v>
      </c>
      <c r="AJ114" s="2">
        <f t="shared" si="260"/>
        <v>61</v>
      </c>
      <c r="AK114" s="2">
        <f t="shared" si="260"/>
        <v>61</v>
      </c>
      <c r="AL114" s="2">
        <f t="shared" si="260"/>
        <v>61</v>
      </c>
      <c r="AM114" s="2">
        <f t="shared" si="260"/>
        <v>61</v>
      </c>
      <c r="AN114" s="2">
        <f t="shared" si="260"/>
        <v>61</v>
      </c>
      <c r="AO114" s="2">
        <f t="shared" si="260"/>
        <v>61</v>
      </c>
      <c r="AP114" s="2">
        <f t="shared" si="258"/>
        <v>61</v>
      </c>
      <c r="AQ114" s="2">
        <f t="shared" si="258"/>
        <v>61</v>
      </c>
      <c r="AR114" s="2">
        <f t="shared" si="258"/>
        <v>61</v>
      </c>
      <c r="AS114" s="2">
        <f t="shared" si="258"/>
        <v>61</v>
      </c>
      <c r="AT114" s="2">
        <f t="shared" si="258"/>
        <v>61</v>
      </c>
      <c r="AU114" s="2">
        <f t="shared" si="258"/>
        <v>61</v>
      </c>
      <c r="AV114" s="2">
        <f t="shared" si="258"/>
        <v>61</v>
      </c>
      <c r="AW114" s="2">
        <f t="shared" si="258"/>
        <v>61</v>
      </c>
      <c r="AX114" s="2">
        <f t="shared" si="258"/>
        <v>61</v>
      </c>
      <c r="AY114" s="2">
        <f t="shared" si="258"/>
        <v>61</v>
      </c>
      <c r="AZ114" s="2">
        <f t="shared" si="258"/>
        <v>61</v>
      </c>
      <c r="BA114" s="2">
        <f t="shared" si="258"/>
        <v>61</v>
      </c>
      <c r="BB114" s="2">
        <f t="shared" si="258"/>
        <v>61</v>
      </c>
      <c r="BC114" s="2">
        <f t="shared" si="258"/>
        <v>61</v>
      </c>
      <c r="BD114" s="2">
        <f t="shared" si="258"/>
        <v>61</v>
      </c>
      <c r="BE114" s="2">
        <f t="shared" si="258"/>
        <v>61</v>
      </c>
      <c r="BF114" s="2">
        <f t="shared" si="263"/>
        <v>61</v>
      </c>
      <c r="BG114" s="2">
        <f t="shared" si="261"/>
        <v>61</v>
      </c>
      <c r="BH114" s="2">
        <f t="shared" si="261"/>
        <v>61</v>
      </c>
      <c r="BI114" s="2">
        <f t="shared" si="256"/>
        <v>61</v>
      </c>
      <c r="BJ114" s="2">
        <f t="shared" si="256"/>
        <v>61</v>
      </c>
      <c r="BK114" s="2">
        <f t="shared" si="256"/>
        <v>61</v>
      </c>
      <c r="BL114" s="2">
        <f t="shared" si="256"/>
        <v>61</v>
      </c>
      <c r="BM114" s="2">
        <f t="shared" si="256"/>
        <v>61</v>
      </c>
      <c r="BN114" s="2">
        <f t="shared" si="256"/>
        <v>61</v>
      </c>
      <c r="BO114" s="2">
        <f t="shared" si="256"/>
        <v>61</v>
      </c>
      <c r="BP114" s="2">
        <f t="shared" si="256"/>
        <v>61</v>
      </c>
      <c r="BQ114" s="2">
        <f t="shared" si="262"/>
        <v>61</v>
      </c>
    </row>
    <row r="115" spans="10:69" hidden="1" x14ac:dyDescent="0.3">
      <c r="J115" s="2">
        <f t="shared" si="265"/>
        <v>61</v>
      </c>
      <c r="K115" s="2">
        <f t="shared" si="265"/>
        <v>61</v>
      </c>
      <c r="L115" s="2">
        <f t="shared" si="264"/>
        <v>61</v>
      </c>
      <c r="M115" s="2">
        <f t="shared" si="264"/>
        <v>61</v>
      </c>
      <c r="N115" s="2">
        <f t="shared" si="264"/>
        <v>61</v>
      </c>
      <c r="O115" s="2">
        <f t="shared" si="264"/>
        <v>61</v>
      </c>
      <c r="P115" s="2">
        <f t="shared" si="264"/>
        <v>61</v>
      </c>
      <c r="Q115" s="2">
        <f t="shared" si="264"/>
        <v>61</v>
      </c>
      <c r="R115" s="2">
        <f t="shared" si="264"/>
        <v>61</v>
      </c>
      <c r="S115" s="2">
        <f t="shared" si="264"/>
        <v>61</v>
      </c>
      <c r="T115" s="2">
        <f t="shared" si="264"/>
        <v>61</v>
      </c>
      <c r="U115" s="2">
        <f t="shared" si="257"/>
        <v>61</v>
      </c>
      <c r="V115" s="2">
        <f t="shared" si="257"/>
        <v>61</v>
      </c>
      <c r="W115" s="2">
        <f t="shared" si="257"/>
        <v>61</v>
      </c>
      <c r="X115" s="2">
        <f t="shared" si="257"/>
        <v>61</v>
      </c>
      <c r="Y115" s="2">
        <f t="shared" si="257"/>
        <v>61</v>
      </c>
      <c r="Z115" s="2">
        <f t="shared" si="257"/>
        <v>61</v>
      </c>
      <c r="AA115" s="2">
        <f t="shared" si="257"/>
        <v>61</v>
      </c>
      <c r="AB115" s="2">
        <f t="shared" si="257"/>
        <v>61</v>
      </c>
      <c r="AC115" s="2">
        <f t="shared" si="260"/>
        <v>61</v>
      </c>
      <c r="AD115" s="2">
        <f t="shared" si="260"/>
        <v>61</v>
      </c>
      <c r="AE115" s="2">
        <f t="shared" si="260"/>
        <v>61</v>
      </c>
      <c r="AF115" s="2">
        <f t="shared" si="260"/>
        <v>61</v>
      </c>
      <c r="AG115" s="2">
        <f t="shared" si="260"/>
        <v>61</v>
      </c>
      <c r="AH115" s="2">
        <f t="shared" si="260"/>
        <v>61</v>
      </c>
      <c r="AI115" s="2">
        <f t="shared" si="260"/>
        <v>61</v>
      </c>
      <c r="AJ115" s="2">
        <f t="shared" si="260"/>
        <v>61</v>
      </c>
      <c r="AK115" s="2">
        <f t="shared" si="260"/>
        <v>61</v>
      </c>
      <c r="AL115" s="2">
        <f t="shared" si="260"/>
        <v>61</v>
      </c>
      <c r="AM115" s="2">
        <f t="shared" si="260"/>
        <v>61</v>
      </c>
      <c r="AN115" s="2">
        <f t="shared" si="260"/>
        <v>61</v>
      </c>
      <c r="AO115" s="2">
        <f t="shared" si="260"/>
        <v>61</v>
      </c>
      <c r="AP115" s="2">
        <f t="shared" si="258"/>
        <v>61</v>
      </c>
      <c r="AQ115" s="2">
        <f t="shared" si="258"/>
        <v>61</v>
      </c>
      <c r="AR115" s="2">
        <f t="shared" si="258"/>
        <v>61</v>
      </c>
      <c r="AS115" s="2">
        <f t="shared" si="258"/>
        <v>61</v>
      </c>
      <c r="AT115" s="2">
        <f t="shared" si="258"/>
        <v>61</v>
      </c>
      <c r="AU115" s="2">
        <f t="shared" si="258"/>
        <v>61</v>
      </c>
      <c r="AV115" s="2">
        <f t="shared" si="258"/>
        <v>61</v>
      </c>
      <c r="AW115" s="2">
        <f t="shared" si="258"/>
        <v>61</v>
      </c>
      <c r="AX115" s="2">
        <f t="shared" si="258"/>
        <v>61</v>
      </c>
      <c r="AY115" s="2">
        <f t="shared" si="258"/>
        <v>61</v>
      </c>
      <c r="AZ115" s="2">
        <f t="shared" si="258"/>
        <v>61</v>
      </c>
      <c r="BA115" s="2">
        <f t="shared" si="258"/>
        <v>61</v>
      </c>
      <c r="BB115" s="2">
        <f t="shared" si="258"/>
        <v>61</v>
      </c>
      <c r="BC115" s="2">
        <f t="shared" si="258"/>
        <v>61</v>
      </c>
      <c r="BD115" s="2">
        <f t="shared" si="258"/>
        <v>61</v>
      </c>
      <c r="BE115" s="2">
        <f t="shared" ref="BE115:BE126" si="266">IF(DQ52=0,61,DQ52)</f>
        <v>61</v>
      </c>
      <c r="BF115" s="2">
        <f t="shared" si="263"/>
        <v>61</v>
      </c>
      <c r="BG115" s="2">
        <f t="shared" si="261"/>
        <v>61</v>
      </c>
      <c r="BH115" s="2">
        <f t="shared" si="261"/>
        <v>61</v>
      </c>
      <c r="BI115" s="2">
        <f t="shared" si="256"/>
        <v>61</v>
      </c>
      <c r="BJ115" s="2">
        <f t="shared" si="256"/>
        <v>61</v>
      </c>
      <c r="BK115" s="2">
        <f t="shared" si="256"/>
        <v>61</v>
      </c>
      <c r="BL115" s="2">
        <f t="shared" si="256"/>
        <v>61</v>
      </c>
      <c r="BM115" s="2">
        <f t="shared" si="256"/>
        <v>61</v>
      </c>
      <c r="BN115" s="2">
        <f t="shared" si="256"/>
        <v>61</v>
      </c>
      <c r="BO115" s="2">
        <f t="shared" si="256"/>
        <v>61</v>
      </c>
      <c r="BP115" s="2">
        <f t="shared" si="256"/>
        <v>61</v>
      </c>
      <c r="BQ115" s="2">
        <f t="shared" si="262"/>
        <v>61</v>
      </c>
    </row>
    <row r="116" spans="10:69" hidden="1" x14ac:dyDescent="0.3">
      <c r="J116" s="2">
        <f t="shared" si="265"/>
        <v>61</v>
      </c>
      <c r="K116" s="2">
        <f t="shared" si="265"/>
        <v>61</v>
      </c>
      <c r="L116" s="2">
        <f t="shared" si="264"/>
        <v>61</v>
      </c>
      <c r="M116" s="2">
        <f t="shared" si="264"/>
        <v>61</v>
      </c>
      <c r="N116" s="2">
        <f t="shared" si="264"/>
        <v>61</v>
      </c>
      <c r="O116" s="2">
        <f t="shared" si="264"/>
        <v>61</v>
      </c>
      <c r="P116" s="2">
        <f t="shared" si="264"/>
        <v>61</v>
      </c>
      <c r="Q116" s="2">
        <f t="shared" si="264"/>
        <v>61</v>
      </c>
      <c r="R116" s="2">
        <f t="shared" si="264"/>
        <v>61</v>
      </c>
      <c r="S116" s="2">
        <f t="shared" si="264"/>
        <v>61</v>
      </c>
      <c r="T116" s="2">
        <f t="shared" si="264"/>
        <v>61</v>
      </c>
      <c r="U116" s="2">
        <f t="shared" si="257"/>
        <v>61</v>
      </c>
      <c r="V116" s="2">
        <f t="shared" si="257"/>
        <v>61</v>
      </c>
      <c r="W116" s="2">
        <f t="shared" si="257"/>
        <v>61</v>
      </c>
      <c r="X116" s="2">
        <f t="shared" si="257"/>
        <v>61</v>
      </c>
      <c r="Y116" s="2">
        <f t="shared" si="257"/>
        <v>61</v>
      </c>
      <c r="Z116" s="2">
        <f t="shared" si="257"/>
        <v>61</v>
      </c>
      <c r="AA116" s="2">
        <f t="shared" si="257"/>
        <v>61</v>
      </c>
      <c r="AB116" s="2">
        <f t="shared" si="257"/>
        <v>61</v>
      </c>
      <c r="AC116" s="2">
        <f t="shared" si="260"/>
        <v>61</v>
      </c>
      <c r="AD116" s="2">
        <f t="shared" si="260"/>
        <v>61</v>
      </c>
      <c r="AE116" s="2">
        <f t="shared" si="260"/>
        <v>61</v>
      </c>
      <c r="AF116" s="2">
        <f t="shared" si="260"/>
        <v>61</v>
      </c>
      <c r="AG116" s="2">
        <f t="shared" si="260"/>
        <v>61</v>
      </c>
      <c r="AH116" s="2">
        <f t="shared" si="260"/>
        <v>61</v>
      </c>
      <c r="AI116" s="2">
        <f t="shared" si="260"/>
        <v>61</v>
      </c>
      <c r="AJ116" s="2">
        <f t="shared" si="260"/>
        <v>61</v>
      </c>
      <c r="AK116" s="2">
        <f t="shared" si="260"/>
        <v>61</v>
      </c>
      <c r="AL116" s="2">
        <f t="shared" si="260"/>
        <v>61</v>
      </c>
      <c r="AM116" s="2">
        <f t="shared" si="260"/>
        <v>61</v>
      </c>
      <c r="AN116" s="2">
        <f t="shared" si="260"/>
        <v>61</v>
      </c>
      <c r="AO116" s="2">
        <f t="shared" si="260"/>
        <v>61</v>
      </c>
      <c r="AP116" s="2">
        <f t="shared" si="260"/>
        <v>61</v>
      </c>
      <c r="AQ116" s="2">
        <f t="shared" si="260"/>
        <v>61</v>
      </c>
      <c r="AR116" s="2">
        <f t="shared" si="260"/>
        <v>61</v>
      </c>
      <c r="AS116" s="2">
        <f t="shared" ref="AS116:BD126" si="267">IF(DE53=0,61,DE53)</f>
        <v>61</v>
      </c>
      <c r="AT116" s="2">
        <f t="shared" si="267"/>
        <v>61</v>
      </c>
      <c r="AU116" s="2">
        <f t="shared" si="267"/>
        <v>61</v>
      </c>
      <c r="AV116" s="2">
        <f t="shared" si="267"/>
        <v>61</v>
      </c>
      <c r="AW116" s="2">
        <f t="shared" si="267"/>
        <v>61</v>
      </c>
      <c r="AX116" s="2">
        <f t="shared" si="267"/>
        <v>61</v>
      </c>
      <c r="AY116" s="2">
        <f t="shared" si="267"/>
        <v>61</v>
      </c>
      <c r="AZ116" s="2">
        <f t="shared" si="267"/>
        <v>61</v>
      </c>
      <c r="BA116" s="2">
        <f t="shared" si="267"/>
        <v>61</v>
      </c>
      <c r="BB116" s="2">
        <f t="shared" si="267"/>
        <v>61</v>
      </c>
      <c r="BC116" s="2">
        <f t="shared" si="267"/>
        <v>61</v>
      </c>
      <c r="BD116" s="2">
        <f t="shared" si="267"/>
        <v>61</v>
      </c>
      <c r="BE116" s="2">
        <f t="shared" si="266"/>
        <v>61</v>
      </c>
      <c r="BF116" s="2">
        <f t="shared" si="263"/>
        <v>61</v>
      </c>
      <c r="BG116" s="2">
        <f t="shared" si="261"/>
        <v>61</v>
      </c>
      <c r="BH116" s="2">
        <f t="shared" si="261"/>
        <v>61</v>
      </c>
      <c r="BI116" s="2">
        <f t="shared" si="256"/>
        <v>61</v>
      </c>
      <c r="BJ116" s="2">
        <f t="shared" si="256"/>
        <v>61</v>
      </c>
      <c r="BK116" s="2">
        <f t="shared" si="256"/>
        <v>61</v>
      </c>
      <c r="BL116" s="2">
        <f t="shared" si="256"/>
        <v>61</v>
      </c>
      <c r="BM116" s="2">
        <f t="shared" si="256"/>
        <v>61</v>
      </c>
      <c r="BN116" s="2">
        <f t="shared" si="256"/>
        <v>61</v>
      </c>
      <c r="BO116" s="2">
        <f t="shared" si="256"/>
        <v>61</v>
      </c>
      <c r="BP116" s="2">
        <f t="shared" si="256"/>
        <v>61</v>
      </c>
      <c r="BQ116" s="2">
        <f t="shared" si="262"/>
        <v>61</v>
      </c>
    </row>
    <row r="117" spans="10:69" hidden="1" x14ac:dyDescent="0.3">
      <c r="J117" s="2">
        <f t="shared" si="265"/>
        <v>61</v>
      </c>
      <c r="K117" s="2">
        <f t="shared" si="265"/>
        <v>61</v>
      </c>
      <c r="L117" s="2">
        <f t="shared" si="264"/>
        <v>61</v>
      </c>
      <c r="M117" s="2">
        <f t="shared" si="264"/>
        <v>61</v>
      </c>
      <c r="N117" s="2">
        <f t="shared" si="264"/>
        <v>61</v>
      </c>
      <c r="O117" s="2">
        <f t="shared" si="264"/>
        <v>61</v>
      </c>
      <c r="P117" s="2">
        <f t="shared" si="264"/>
        <v>61</v>
      </c>
      <c r="Q117" s="2">
        <f t="shared" si="264"/>
        <v>61</v>
      </c>
      <c r="R117" s="2">
        <f t="shared" si="264"/>
        <v>61</v>
      </c>
      <c r="S117" s="2">
        <f t="shared" si="264"/>
        <v>61</v>
      </c>
      <c r="T117" s="2">
        <f t="shared" si="264"/>
        <v>61</v>
      </c>
      <c r="U117" s="2">
        <f t="shared" si="257"/>
        <v>61</v>
      </c>
      <c r="V117" s="2">
        <f t="shared" si="257"/>
        <v>61</v>
      </c>
      <c r="W117" s="2">
        <f t="shared" si="257"/>
        <v>61</v>
      </c>
      <c r="X117" s="2">
        <f t="shared" si="257"/>
        <v>61</v>
      </c>
      <c r="Y117" s="2">
        <f t="shared" si="257"/>
        <v>61</v>
      </c>
      <c r="Z117" s="2">
        <f t="shared" si="257"/>
        <v>61</v>
      </c>
      <c r="AA117" s="2">
        <f t="shared" si="257"/>
        <v>61</v>
      </c>
      <c r="AB117" s="2">
        <f t="shared" si="257"/>
        <v>61</v>
      </c>
      <c r="AC117" s="2">
        <f t="shared" si="260"/>
        <v>61</v>
      </c>
      <c r="AD117" s="2">
        <f t="shared" si="260"/>
        <v>61</v>
      </c>
      <c r="AE117" s="2">
        <f t="shared" si="260"/>
        <v>61</v>
      </c>
      <c r="AF117" s="2">
        <f t="shared" si="260"/>
        <v>61</v>
      </c>
      <c r="AG117" s="2">
        <f t="shared" si="260"/>
        <v>61</v>
      </c>
      <c r="AH117" s="2">
        <f t="shared" si="260"/>
        <v>61</v>
      </c>
      <c r="AI117" s="2">
        <f t="shared" si="260"/>
        <v>61</v>
      </c>
      <c r="AJ117" s="2">
        <f t="shared" si="260"/>
        <v>61</v>
      </c>
      <c r="AK117" s="2">
        <f t="shared" si="260"/>
        <v>61</v>
      </c>
      <c r="AL117" s="2">
        <f t="shared" si="260"/>
        <v>61</v>
      </c>
      <c r="AM117" s="2">
        <f t="shared" si="260"/>
        <v>61</v>
      </c>
      <c r="AN117" s="2">
        <f t="shared" si="260"/>
        <v>61</v>
      </c>
      <c r="AO117" s="2">
        <f t="shared" si="260"/>
        <v>61</v>
      </c>
      <c r="AP117" s="2">
        <f t="shared" si="260"/>
        <v>61</v>
      </c>
      <c r="AQ117" s="2">
        <f t="shared" si="260"/>
        <v>61</v>
      </c>
      <c r="AR117" s="2">
        <f t="shared" si="260"/>
        <v>61</v>
      </c>
      <c r="AS117" s="2">
        <f t="shared" si="267"/>
        <v>61</v>
      </c>
      <c r="AT117" s="2">
        <f t="shared" si="267"/>
        <v>61</v>
      </c>
      <c r="AU117" s="2">
        <f t="shared" si="267"/>
        <v>61</v>
      </c>
      <c r="AV117" s="2">
        <f t="shared" si="267"/>
        <v>61</v>
      </c>
      <c r="AW117" s="2">
        <f t="shared" si="267"/>
        <v>61</v>
      </c>
      <c r="AX117" s="2">
        <f t="shared" si="267"/>
        <v>61</v>
      </c>
      <c r="AY117" s="2">
        <f t="shared" si="267"/>
        <v>61</v>
      </c>
      <c r="AZ117" s="2">
        <f t="shared" si="267"/>
        <v>61</v>
      </c>
      <c r="BA117" s="2">
        <f t="shared" si="267"/>
        <v>61</v>
      </c>
      <c r="BB117" s="2">
        <f t="shared" si="267"/>
        <v>61</v>
      </c>
      <c r="BC117" s="2">
        <f t="shared" si="267"/>
        <v>61</v>
      </c>
      <c r="BD117" s="2">
        <f t="shared" si="267"/>
        <v>61</v>
      </c>
      <c r="BE117" s="2">
        <f t="shared" si="266"/>
        <v>61</v>
      </c>
      <c r="BF117" s="2">
        <f t="shared" si="263"/>
        <v>61</v>
      </c>
      <c r="BG117" s="2">
        <f t="shared" si="261"/>
        <v>61</v>
      </c>
      <c r="BH117" s="2">
        <f t="shared" si="261"/>
        <v>61</v>
      </c>
      <c r="BI117" s="2">
        <f t="shared" si="256"/>
        <v>61</v>
      </c>
      <c r="BJ117" s="2">
        <f t="shared" si="256"/>
        <v>61</v>
      </c>
      <c r="BK117" s="2">
        <f t="shared" si="256"/>
        <v>61</v>
      </c>
      <c r="BL117" s="2">
        <f t="shared" si="256"/>
        <v>61</v>
      </c>
      <c r="BM117" s="2">
        <f t="shared" si="256"/>
        <v>61</v>
      </c>
      <c r="BN117" s="2">
        <f t="shared" si="256"/>
        <v>61</v>
      </c>
      <c r="BO117" s="2">
        <f t="shared" si="256"/>
        <v>61</v>
      </c>
      <c r="BP117" s="2">
        <f t="shared" si="256"/>
        <v>61</v>
      </c>
      <c r="BQ117" s="2">
        <f t="shared" si="262"/>
        <v>61</v>
      </c>
    </row>
    <row r="118" spans="10:69" hidden="1" x14ac:dyDescent="0.3">
      <c r="J118" s="2">
        <f t="shared" si="265"/>
        <v>61</v>
      </c>
      <c r="K118" s="2">
        <f t="shared" si="265"/>
        <v>61</v>
      </c>
      <c r="L118" s="2">
        <f t="shared" si="264"/>
        <v>61</v>
      </c>
      <c r="M118" s="2">
        <f t="shared" si="264"/>
        <v>61</v>
      </c>
      <c r="N118" s="2">
        <f t="shared" si="264"/>
        <v>61</v>
      </c>
      <c r="O118" s="2">
        <f t="shared" si="264"/>
        <v>61</v>
      </c>
      <c r="P118" s="2">
        <f t="shared" si="264"/>
        <v>61</v>
      </c>
      <c r="Q118" s="2">
        <f t="shared" si="264"/>
        <v>61</v>
      </c>
      <c r="R118" s="2">
        <f t="shared" si="264"/>
        <v>61</v>
      </c>
      <c r="S118" s="2">
        <f t="shared" si="264"/>
        <v>61</v>
      </c>
      <c r="T118" s="2">
        <f t="shared" si="264"/>
        <v>61</v>
      </c>
      <c r="U118" s="2">
        <f t="shared" si="257"/>
        <v>61</v>
      </c>
      <c r="V118" s="2">
        <f t="shared" si="257"/>
        <v>61</v>
      </c>
      <c r="W118" s="2">
        <f t="shared" si="257"/>
        <v>61</v>
      </c>
      <c r="X118" s="2">
        <f t="shared" si="257"/>
        <v>61</v>
      </c>
      <c r="Y118" s="2">
        <f t="shared" si="257"/>
        <v>61</v>
      </c>
      <c r="Z118" s="2">
        <f t="shared" si="257"/>
        <v>61</v>
      </c>
      <c r="AA118" s="2">
        <f t="shared" si="257"/>
        <v>61</v>
      </c>
      <c r="AB118" s="2">
        <f t="shared" si="257"/>
        <v>61</v>
      </c>
      <c r="AC118" s="2">
        <f t="shared" si="260"/>
        <v>61</v>
      </c>
      <c r="AD118" s="2">
        <f t="shared" si="260"/>
        <v>61</v>
      </c>
      <c r="AE118" s="2">
        <f t="shared" ref="AE118:AR126" si="268">IF(CQ55=0,61,CQ55)</f>
        <v>61</v>
      </c>
      <c r="AF118" s="2">
        <f t="shared" si="268"/>
        <v>61</v>
      </c>
      <c r="AG118" s="2">
        <f t="shared" si="268"/>
        <v>61</v>
      </c>
      <c r="AH118" s="2">
        <f t="shared" si="268"/>
        <v>61</v>
      </c>
      <c r="AI118" s="2">
        <f t="shared" si="268"/>
        <v>61</v>
      </c>
      <c r="AJ118" s="2">
        <f t="shared" si="268"/>
        <v>61</v>
      </c>
      <c r="AK118" s="2">
        <f t="shared" si="268"/>
        <v>61</v>
      </c>
      <c r="AL118" s="2">
        <f t="shared" si="268"/>
        <v>61</v>
      </c>
      <c r="AM118" s="2">
        <f t="shared" si="268"/>
        <v>61</v>
      </c>
      <c r="AN118" s="2">
        <f t="shared" si="268"/>
        <v>61</v>
      </c>
      <c r="AO118" s="2">
        <f t="shared" si="268"/>
        <v>61</v>
      </c>
      <c r="AP118" s="2">
        <f t="shared" si="268"/>
        <v>61</v>
      </c>
      <c r="AQ118" s="2">
        <f t="shared" si="268"/>
        <v>61</v>
      </c>
      <c r="AR118" s="2">
        <f t="shared" si="268"/>
        <v>61</v>
      </c>
      <c r="AS118" s="2">
        <f t="shared" si="267"/>
        <v>61</v>
      </c>
      <c r="AT118" s="2">
        <f t="shared" si="267"/>
        <v>61</v>
      </c>
      <c r="AU118" s="2">
        <f t="shared" si="267"/>
        <v>61</v>
      </c>
      <c r="AV118" s="2">
        <f t="shared" si="267"/>
        <v>61</v>
      </c>
      <c r="AW118" s="2">
        <f t="shared" si="267"/>
        <v>61</v>
      </c>
      <c r="AX118" s="2">
        <f t="shared" si="267"/>
        <v>61</v>
      </c>
      <c r="AY118" s="2">
        <f t="shared" si="267"/>
        <v>61</v>
      </c>
      <c r="AZ118" s="2">
        <f t="shared" si="267"/>
        <v>61</v>
      </c>
      <c r="BA118" s="2">
        <f t="shared" si="267"/>
        <v>61</v>
      </c>
      <c r="BB118" s="2">
        <f t="shared" si="267"/>
        <v>61</v>
      </c>
      <c r="BC118" s="2">
        <f t="shared" si="267"/>
        <v>61</v>
      </c>
      <c r="BD118" s="2">
        <f t="shared" si="267"/>
        <v>61</v>
      </c>
      <c r="BE118" s="2">
        <f t="shared" si="266"/>
        <v>61</v>
      </c>
      <c r="BF118" s="2">
        <f t="shared" si="263"/>
        <v>61</v>
      </c>
      <c r="BG118" s="2">
        <f t="shared" si="261"/>
        <v>61</v>
      </c>
      <c r="BH118" s="2">
        <f t="shared" si="261"/>
        <v>61</v>
      </c>
      <c r="BI118" s="2">
        <f t="shared" si="256"/>
        <v>61</v>
      </c>
      <c r="BJ118" s="2">
        <f t="shared" si="256"/>
        <v>61</v>
      </c>
      <c r="BK118" s="2">
        <f t="shared" si="256"/>
        <v>61</v>
      </c>
      <c r="BL118" s="2">
        <f t="shared" si="256"/>
        <v>61</v>
      </c>
      <c r="BM118" s="2">
        <f t="shared" si="256"/>
        <v>61</v>
      </c>
      <c r="BN118" s="2">
        <f t="shared" si="256"/>
        <v>61</v>
      </c>
      <c r="BO118" s="2">
        <f t="shared" si="256"/>
        <v>61</v>
      </c>
      <c r="BP118" s="2">
        <f t="shared" si="256"/>
        <v>61</v>
      </c>
      <c r="BQ118" s="2">
        <f t="shared" si="262"/>
        <v>61</v>
      </c>
    </row>
    <row r="119" spans="10:69" hidden="1" x14ac:dyDescent="0.3">
      <c r="J119" s="2">
        <f t="shared" si="265"/>
        <v>61</v>
      </c>
      <c r="K119" s="2">
        <f t="shared" si="265"/>
        <v>61</v>
      </c>
      <c r="L119" s="2">
        <f t="shared" si="264"/>
        <v>61</v>
      </c>
      <c r="M119" s="2">
        <f t="shared" si="264"/>
        <v>61</v>
      </c>
      <c r="N119" s="2">
        <f t="shared" si="264"/>
        <v>61</v>
      </c>
      <c r="O119" s="2">
        <f t="shared" si="264"/>
        <v>61</v>
      </c>
      <c r="P119" s="2">
        <f t="shared" si="264"/>
        <v>61</v>
      </c>
      <c r="Q119" s="2">
        <f t="shared" si="264"/>
        <v>61</v>
      </c>
      <c r="R119" s="2">
        <f t="shared" si="264"/>
        <v>61</v>
      </c>
      <c r="S119" s="2">
        <f t="shared" si="264"/>
        <v>61</v>
      </c>
      <c r="T119" s="2">
        <f t="shared" si="264"/>
        <v>61</v>
      </c>
      <c r="U119" s="2">
        <f t="shared" si="257"/>
        <v>61</v>
      </c>
      <c r="V119" s="2">
        <f t="shared" si="257"/>
        <v>61</v>
      </c>
      <c r="W119" s="2">
        <f t="shared" si="257"/>
        <v>61</v>
      </c>
      <c r="X119" s="2">
        <f t="shared" si="257"/>
        <v>61</v>
      </c>
      <c r="Y119" s="2">
        <f t="shared" si="257"/>
        <v>61</v>
      </c>
      <c r="Z119" s="2">
        <f t="shared" si="257"/>
        <v>61</v>
      </c>
      <c r="AA119" s="2">
        <f t="shared" si="257"/>
        <v>61</v>
      </c>
      <c r="AB119" s="2">
        <f t="shared" si="257"/>
        <v>61</v>
      </c>
      <c r="AC119" s="2">
        <f t="shared" si="257"/>
        <v>61</v>
      </c>
      <c r="AD119" s="2">
        <f t="shared" si="257"/>
        <v>61</v>
      </c>
      <c r="AE119" s="2">
        <f t="shared" si="268"/>
        <v>61</v>
      </c>
      <c r="AF119" s="2">
        <f t="shared" si="268"/>
        <v>61</v>
      </c>
      <c r="AG119" s="2">
        <f t="shared" si="268"/>
        <v>61</v>
      </c>
      <c r="AH119" s="2">
        <f t="shared" si="268"/>
        <v>61</v>
      </c>
      <c r="AI119" s="2">
        <f t="shared" si="268"/>
        <v>61</v>
      </c>
      <c r="AJ119" s="2">
        <f t="shared" si="268"/>
        <v>61</v>
      </c>
      <c r="AK119" s="2">
        <f t="shared" si="268"/>
        <v>61</v>
      </c>
      <c r="AL119" s="2">
        <f t="shared" si="268"/>
        <v>61</v>
      </c>
      <c r="AM119" s="2">
        <f t="shared" si="268"/>
        <v>61</v>
      </c>
      <c r="AN119" s="2">
        <f t="shared" si="268"/>
        <v>61</v>
      </c>
      <c r="AO119" s="2">
        <f t="shared" si="268"/>
        <v>61</v>
      </c>
      <c r="AP119" s="2">
        <f t="shared" si="268"/>
        <v>61</v>
      </c>
      <c r="AQ119" s="2">
        <f t="shared" si="268"/>
        <v>61</v>
      </c>
      <c r="AR119" s="2">
        <f t="shared" si="268"/>
        <v>61</v>
      </c>
      <c r="AS119" s="2">
        <f t="shared" si="267"/>
        <v>61</v>
      </c>
      <c r="AT119" s="2">
        <f t="shared" si="267"/>
        <v>61</v>
      </c>
      <c r="AU119" s="2">
        <f t="shared" si="267"/>
        <v>61</v>
      </c>
      <c r="AV119" s="2">
        <f t="shared" si="267"/>
        <v>61</v>
      </c>
      <c r="AW119" s="2">
        <f t="shared" si="267"/>
        <v>61</v>
      </c>
      <c r="AX119" s="2">
        <f t="shared" si="267"/>
        <v>61</v>
      </c>
      <c r="AY119" s="2">
        <f t="shared" si="267"/>
        <v>61</v>
      </c>
      <c r="AZ119" s="2">
        <f t="shared" si="267"/>
        <v>61</v>
      </c>
      <c r="BA119" s="2">
        <f t="shared" si="267"/>
        <v>61</v>
      </c>
      <c r="BB119" s="2">
        <f t="shared" si="267"/>
        <v>61</v>
      </c>
      <c r="BC119" s="2">
        <f t="shared" si="267"/>
        <v>61</v>
      </c>
      <c r="BD119" s="2">
        <f t="shared" si="267"/>
        <v>61</v>
      </c>
      <c r="BE119" s="2">
        <f t="shared" si="266"/>
        <v>61</v>
      </c>
      <c r="BF119" s="2">
        <f t="shared" si="263"/>
        <v>61</v>
      </c>
      <c r="BG119" s="2">
        <f t="shared" si="261"/>
        <v>61</v>
      </c>
      <c r="BH119" s="2">
        <f t="shared" si="261"/>
        <v>61</v>
      </c>
      <c r="BI119" s="2">
        <f t="shared" si="256"/>
        <v>61</v>
      </c>
      <c r="BJ119" s="2">
        <f t="shared" si="256"/>
        <v>61</v>
      </c>
      <c r="BK119" s="2">
        <f t="shared" si="256"/>
        <v>61</v>
      </c>
      <c r="BL119" s="2">
        <f t="shared" si="256"/>
        <v>61</v>
      </c>
      <c r="BM119" s="2">
        <f t="shared" si="256"/>
        <v>61</v>
      </c>
      <c r="BN119" s="2">
        <f t="shared" si="256"/>
        <v>61</v>
      </c>
      <c r="BO119" s="2">
        <f t="shared" si="256"/>
        <v>61</v>
      </c>
      <c r="BP119" s="2">
        <f t="shared" si="256"/>
        <v>61</v>
      </c>
      <c r="BQ119" s="2">
        <f t="shared" si="262"/>
        <v>61</v>
      </c>
    </row>
    <row r="120" spans="10:69" hidden="1" x14ac:dyDescent="0.3">
      <c r="J120" s="2">
        <f t="shared" si="265"/>
        <v>61</v>
      </c>
      <c r="K120" s="2">
        <f t="shared" si="265"/>
        <v>61</v>
      </c>
      <c r="L120" s="2">
        <f t="shared" si="264"/>
        <v>61</v>
      </c>
      <c r="M120" s="2">
        <f t="shared" si="264"/>
        <v>61</v>
      </c>
      <c r="N120" s="2">
        <f t="shared" si="264"/>
        <v>61</v>
      </c>
      <c r="O120" s="2">
        <f t="shared" si="264"/>
        <v>61</v>
      </c>
      <c r="P120" s="2">
        <f t="shared" si="264"/>
        <v>61</v>
      </c>
      <c r="Q120" s="2">
        <f t="shared" si="264"/>
        <v>61</v>
      </c>
      <c r="R120" s="2">
        <f t="shared" si="264"/>
        <v>61</v>
      </c>
      <c r="S120" s="2">
        <f t="shared" si="264"/>
        <v>61</v>
      </c>
      <c r="T120" s="2">
        <f t="shared" si="264"/>
        <v>61</v>
      </c>
      <c r="U120" s="2">
        <f t="shared" si="257"/>
        <v>61</v>
      </c>
      <c r="V120" s="2">
        <f t="shared" si="257"/>
        <v>61</v>
      </c>
      <c r="W120" s="2">
        <f t="shared" si="257"/>
        <v>61</v>
      </c>
      <c r="X120" s="2">
        <f t="shared" si="257"/>
        <v>61</v>
      </c>
      <c r="Y120" s="2">
        <f t="shared" si="257"/>
        <v>61</v>
      </c>
      <c r="Z120" s="2">
        <f t="shared" si="257"/>
        <v>61</v>
      </c>
      <c r="AA120" s="2">
        <f t="shared" si="257"/>
        <v>61</v>
      </c>
      <c r="AB120" s="2">
        <f t="shared" si="257"/>
        <v>61</v>
      </c>
      <c r="AC120" s="2">
        <f t="shared" si="257"/>
        <v>61</v>
      </c>
      <c r="AD120" s="2">
        <f t="shared" si="257"/>
        <v>61</v>
      </c>
      <c r="AE120" s="2">
        <f t="shared" si="268"/>
        <v>61</v>
      </c>
      <c r="AF120" s="2">
        <f t="shared" si="268"/>
        <v>61</v>
      </c>
      <c r="AG120" s="2">
        <f t="shared" si="268"/>
        <v>61</v>
      </c>
      <c r="AH120" s="2">
        <f t="shared" si="268"/>
        <v>61</v>
      </c>
      <c r="AI120" s="2">
        <f t="shared" si="268"/>
        <v>61</v>
      </c>
      <c r="AJ120" s="2">
        <f t="shared" si="268"/>
        <v>61</v>
      </c>
      <c r="AK120" s="2">
        <f t="shared" si="268"/>
        <v>61</v>
      </c>
      <c r="AL120" s="2">
        <f t="shared" si="268"/>
        <v>61</v>
      </c>
      <c r="AM120" s="2">
        <f t="shared" si="268"/>
        <v>61</v>
      </c>
      <c r="AN120" s="2">
        <f t="shared" si="268"/>
        <v>61</v>
      </c>
      <c r="AO120" s="2">
        <f t="shared" si="268"/>
        <v>61</v>
      </c>
      <c r="AP120" s="2">
        <f t="shared" si="268"/>
        <v>61</v>
      </c>
      <c r="AQ120" s="2">
        <f t="shared" si="268"/>
        <v>61</v>
      </c>
      <c r="AR120" s="2">
        <f t="shared" si="268"/>
        <v>61</v>
      </c>
      <c r="AS120" s="2">
        <f t="shared" si="267"/>
        <v>61</v>
      </c>
      <c r="AT120" s="2">
        <f t="shared" si="267"/>
        <v>61</v>
      </c>
      <c r="AU120" s="2">
        <f t="shared" si="267"/>
        <v>61</v>
      </c>
      <c r="AV120" s="2">
        <f t="shared" si="267"/>
        <v>61</v>
      </c>
      <c r="AW120" s="2">
        <f t="shared" si="267"/>
        <v>61</v>
      </c>
      <c r="AX120" s="2">
        <f t="shared" si="267"/>
        <v>61</v>
      </c>
      <c r="AY120" s="2">
        <f t="shared" si="267"/>
        <v>61</v>
      </c>
      <c r="AZ120" s="2">
        <f t="shared" si="267"/>
        <v>61</v>
      </c>
      <c r="BA120" s="2">
        <f t="shared" si="267"/>
        <v>61</v>
      </c>
      <c r="BB120" s="2">
        <f t="shared" si="267"/>
        <v>61</v>
      </c>
      <c r="BC120" s="2">
        <f t="shared" si="267"/>
        <v>61</v>
      </c>
      <c r="BD120" s="2">
        <f t="shared" si="267"/>
        <v>61</v>
      </c>
      <c r="BE120" s="2">
        <f t="shared" si="266"/>
        <v>61</v>
      </c>
      <c r="BF120" s="2">
        <f t="shared" si="263"/>
        <v>61</v>
      </c>
      <c r="BG120" s="2">
        <f t="shared" si="261"/>
        <v>61</v>
      </c>
      <c r="BH120" s="2">
        <f t="shared" si="261"/>
        <v>61</v>
      </c>
      <c r="BI120" s="2">
        <f t="shared" si="256"/>
        <v>61</v>
      </c>
      <c r="BJ120" s="2">
        <f t="shared" si="256"/>
        <v>61</v>
      </c>
      <c r="BK120" s="2">
        <f t="shared" si="256"/>
        <v>61</v>
      </c>
      <c r="BL120" s="2">
        <f t="shared" si="256"/>
        <v>61</v>
      </c>
      <c r="BM120" s="2">
        <f t="shared" si="256"/>
        <v>61</v>
      </c>
      <c r="BN120" s="2">
        <f t="shared" si="256"/>
        <v>61</v>
      </c>
      <c r="BO120" s="2">
        <f t="shared" si="256"/>
        <v>61</v>
      </c>
      <c r="BP120" s="2">
        <f t="shared" si="256"/>
        <v>61</v>
      </c>
      <c r="BQ120" s="2">
        <f t="shared" si="262"/>
        <v>61</v>
      </c>
    </row>
    <row r="121" spans="10:69" hidden="1" x14ac:dyDescent="0.3">
      <c r="J121" s="2">
        <f t="shared" si="265"/>
        <v>61</v>
      </c>
      <c r="K121" s="2">
        <f t="shared" si="265"/>
        <v>61</v>
      </c>
      <c r="L121" s="2">
        <f t="shared" si="264"/>
        <v>61</v>
      </c>
      <c r="M121" s="2">
        <f t="shared" si="264"/>
        <v>61</v>
      </c>
      <c r="N121" s="2">
        <f t="shared" si="264"/>
        <v>61</v>
      </c>
      <c r="O121" s="2">
        <f t="shared" si="264"/>
        <v>61</v>
      </c>
      <c r="P121" s="2">
        <f t="shared" si="264"/>
        <v>61</v>
      </c>
      <c r="Q121" s="2">
        <f t="shared" si="264"/>
        <v>61</v>
      </c>
      <c r="R121" s="2">
        <f t="shared" si="264"/>
        <v>61</v>
      </c>
      <c r="S121" s="2">
        <f t="shared" si="264"/>
        <v>61</v>
      </c>
      <c r="T121" s="2">
        <f t="shared" si="264"/>
        <v>61</v>
      </c>
      <c r="U121" s="2">
        <f t="shared" si="257"/>
        <v>61</v>
      </c>
      <c r="V121" s="2">
        <f t="shared" si="257"/>
        <v>61</v>
      </c>
      <c r="W121" s="2">
        <f t="shared" si="257"/>
        <v>61</v>
      </c>
      <c r="X121" s="2">
        <f t="shared" si="257"/>
        <v>61</v>
      </c>
      <c r="Y121" s="2">
        <f t="shared" si="257"/>
        <v>61</v>
      </c>
      <c r="Z121" s="2">
        <f t="shared" si="257"/>
        <v>61</v>
      </c>
      <c r="AA121" s="2">
        <f t="shared" si="257"/>
        <v>61</v>
      </c>
      <c r="AB121" s="2">
        <f t="shared" si="257"/>
        <v>61</v>
      </c>
      <c r="AC121" s="2">
        <f t="shared" si="257"/>
        <v>61</v>
      </c>
      <c r="AD121" s="2">
        <f t="shared" si="257"/>
        <v>61</v>
      </c>
      <c r="AE121" s="2">
        <f t="shared" si="268"/>
        <v>61</v>
      </c>
      <c r="AF121" s="2">
        <f t="shared" si="268"/>
        <v>61</v>
      </c>
      <c r="AG121" s="2">
        <f t="shared" si="268"/>
        <v>61</v>
      </c>
      <c r="AH121" s="2">
        <f t="shared" si="268"/>
        <v>61</v>
      </c>
      <c r="AI121" s="2">
        <f t="shared" si="268"/>
        <v>61</v>
      </c>
      <c r="AJ121" s="2">
        <f t="shared" si="268"/>
        <v>61</v>
      </c>
      <c r="AK121" s="2">
        <f t="shared" si="268"/>
        <v>61</v>
      </c>
      <c r="AL121" s="2">
        <f t="shared" si="268"/>
        <v>61</v>
      </c>
      <c r="AM121" s="2">
        <f t="shared" si="268"/>
        <v>61</v>
      </c>
      <c r="AN121" s="2">
        <f t="shared" si="268"/>
        <v>61</v>
      </c>
      <c r="AO121" s="2">
        <f t="shared" si="268"/>
        <v>61</v>
      </c>
      <c r="AP121" s="2">
        <f t="shared" si="268"/>
        <v>61</v>
      </c>
      <c r="AQ121" s="2">
        <f t="shared" si="268"/>
        <v>61</v>
      </c>
      <c r="AR121" s="2">
        <f t="shared" si="268"/>
        <v>61</v>
      </c>
      <c r="AS121" s="2">
        <f t="shared" si="267"/>
        <v>61</v>
      </c>
      <c r="AT121" s="2">
        <f t="shared" si="267"/>
        <v>61</v>
      </c>
      <c r="AU121" s="2">
        <f t="shared" si="267"/>
        <v>61</v>
      </c>
      <c r="AV121" s="2">
        <f t="shared" si="267"/>
        <v>61</v>
      </c>
      <c r="AW121" s="2">
        <f t="shared" si="267"/>
        <v>61</v>
      </c>
      <c r="AX121" s="2">
        <f t="shared" si="267"/>
        <v>61</v>
      </c>
      <c r="AY121" s="2">
        <f t="shared" si="267"/>
        <v>61</v>
      </c>
      <c r="AZ121" s="2">
        <f t="shared" si="267"/>
        <v>61</v>
      </c>
      <c r="BA121" s="2">
        <f t="shared" si="267"/>
        <v>61</v>
      </c>
      <c r="BB121" s="2">
        <f t="shared" si="267"/>
        <v>61</v>
      </c>
      <c r="BC121" s="2">
        <f t="shared" si="267"/>
        <v>61</v>
      </c>
      <c r="BD121" s="2">
        <f t="shared" si="267"/>
        <v>61</v>
      </c>
      <c r="BE121" s="2">
        <f t="shared" si="266"/>
        <v>61</v>
      </c>
      <c r="BF121" s="2">
        <f t="shared" si="263"/>
        <v>61</v>
      </c>
      <c r="BG121" s="2">
        <f t="shared" si="261"/>
        <v>61</v>
      </c>
      <c r="BH121" s="2">
        <f t="shared" si="261"/>
        <v>61</v>
      </c>
      <c r="BI121" s="2">
        <f t="shared" si="256"/>
        <v>61</v>
      </c>
      <c r="BJ121" s="2">
        <f t="shared" si="256"/>
        <v>61</v>
      </c>
      <c r="BK121" s="2">
        <f t="shared" si="256"/>
        <v>61</v>
      </c>
      <c r="BL121" s="2">
        <f t="shared" si="256"/>
        <v>61</v>
      </c>
      <c r="BM121" s="2">
        <f t="shared" si="256"/>
        <v>61</v>
      </c>
      <c r="BN121" s="2">
        <f t="shared" si="256"/>
        <v>61</v>
      </c>
      <c r="BO121" s="2">
        <f t="shared" si="256"/>
        <v>61</v>
      </c>
      <c r="BP121" s="2">
        <f t="shared" si="256"/>
        <v>61</v>
      </c>
      <c r="BQ121" s="2">
        <f t="shared" si="262"/>
        <v>61</v>
      </c>
    </row>
    <row r="122" spans="10:69" hidden="1" x14ac:dyDescent="0.3">
      <c r="J122" s="2">
        <f t="shared" si="265"/>
        <v>61</v>
      </c>
      <c r="K122" s="2">
        <f t="shared" si="265"/>
        <v>61</v>
      </c>
      <c r="L122" s="2">
        <f t="shared" si="264"/>
        <v>61</v>
      </c>
      <c r="M122" s="2">
        <f t="shared" si="264"/>
        <v>61</v>
      </c>
      <c r="N122" s="2">
        <f t="shared" si="264"/>
        <v>61</v>
      </c>
      <c r="O122" s="2">
        <f t="shared" si="264"/>
        <v>61</v>
      </c>
      <c r="P122" s="2">
        <f t="shared" si="264"/>
        <v>61</v>
      </c>
      <c r="Q122" s="2">
        <f t="shared" si="264"/>
        <v>61</v>
      </c>
      <c r="R122" s="2">
        <f t="shared" si="264"/>
        <v>61</v>
      </c>
      <c r="S122" s="2">
        <f t="shared" si="264"/>
        <v>61</v>
      </c>
      <c r="T122" s="2">
        <f t="shared" si="264"/>
        <v>61</v>
      </c>
      <c r="U122" s="2">
        <f t="shared" si="257"/>
        <v>61</v>
      </c>
      <c r="V122" s="2">
        <f t="shared" si="257"/>
        <v>61</v>
      </c>
      <c r="W122" s="2">
        <f t="shared" si="257"/>
        <v>61</v>
      </c>
      <c r="X122" s="2">
        <f t="shared" si="257"/>
        <v>61</v>
      </c>
      <c r="Y122" s="2">
        <f t="shared" si="257"/>
        <v>61</v>
      </c>
      <c r="Z122" s="2">
        <f t="shared" si="257"/>
        <v>61</v>
      </c>
      <c r="AA122" s="2">
        <f t="shared" si="257"/>
        <v>61</v>
      </c>
      <c r="AB122" s="2">
        <f t="shared" si="257"/>
        <v>61</v>
      </c>
      <c r="AC122" s="2">
        <f t="shared" ref="AC122:AD126" si="269">IF(CO59=0,61,CO59)</f>
        <v>61</v>
      </c>
      <c r="AD122" s="2">
        <f t="shared" si="269"/>
        <v>61</v>
      </c>
      <c r="AE122" s="2">
        <f t="shared" si="268"/>
        <v>61</v>
      </c>
      <c r="AF122" s="2">
        <f t="shared" si="268"/>
        <v>61</v>
      </c>
      <c r="AG122" s="2">
        <f t="shared" si="268"/>
        <v>61</v>
      </c>
      <c r="AH122" s="2">
        <f t="shared" si="268"/>
        <v>61</v>
      </c>
      <c r="AI122" s="2">
        <f t="shared" si="268"/>
        <v>61</v>
      </c>
      <c r="AJ122" s="2">
        <f t="shared" si="268"/>
        <v>61</v>
      </c>
      <c r="AK122" s="2">
        <f t="shared" si="268"/>
        <v>61</v>
      </c>
      <c r="AL122" s="2">
        <f t="shared" si="268"/>
        <v>61</v>
      </c>
      <c r="AM122" s="2">
        <f t="shared" si="268"/>
        <v>61</v>
      </c>
      <c r="AN122" s="2">
        <f t="shared" si="268"/>
        <v>61</v>
      </c>
      <c r="AO122" s="2">
        <f t="shared" si="268"/>
        <v>61</v>
      </c>
      <c r="AP122" s="2">
        <f t="shared" si="268"/>
        <v>61</v>
      </c>
      <c r="AQ122" s="2">
        <f t="shared" si="268"/>
        <v>61</v>
      </c>
      <c r="AR122" s="2">
        <f t="shared" si="268"/>
        <v>61</v>
      </c>
      <c r="AS122" s="2">
        <f t="shared" si="267"/>
        <v>61</v>
      </c>
      <c r="AT122" s="2">
        <f t="shared" si="267"/>
        <v>61</v>
      </c>
      <c r="AU122" s="2">
        <f t="shared" si="267"/>
        <v>61</v>
      </c>
      <c r="AV122" s="2">
        <f t="shared" si="267"/>
        <v>61</v>
      </c>
      <c r="AW122" s="2">
        <f t="shared" si="267"/>
        <v>61</v>
      </c>
      <c r="AX122" s="2">
        <f t="shared" si="267"/>
        <v>61</v>
      </c>
      <c r="AY122" s="2">
        <f t="shared" si="267"/>
        <v>61</v>
      </c>
      <c r="AZ122" s="2">
        <f t="shared" si="267"/>
        <v>61</v>
      </c>
      <c r="BA122" s="2">
        <f t="shared" si="267"/>
        <v>61</v>
      </c>
      <c r="BB122" s="2">
        <f t="shared" si="267"/>
        <v>61</v>
      </c>
      <c r="BC122" s="2">
        <f t="shared" si="267"/>
        <v>61</v>
      </c>
      <c r="BD122" s="2">
        <f t="shared" si="267"/>
        <v>61</v>
      </c>
      <c r="BE122" s="2">
        <f t="shared" si="266"/>
        <v>61</v>
      </c>
      <c r="BF122" s="2">
        <f t="shared" si="263"/>
        <v>61</v>
      </c>
      <c r="BG122" s="2">
        <f t="shared" si="261"/>
        <v>61</v>
      </c>
      <c r="BH122" s="2">
        <f t="shared" si="261"/>
        <v>61</v>
      </c>
      <c r="BI122" s="2">
        <f t="shared" si="256"/>
        <v>61</v>
      </c>
      <c r="BJ122" s="2">
        <f t="shared" si="256"/>
        <v>61</v>
      </c>
      <c r="BK122" s="2">
        <f t="shared" si="256"/>
        <v>61</v>
      </c>
      <c r="BL122" s="2">
        <f t="shared" si="256"/>
        <v>61</v>
      </c>
      <c r="BM122" s="2">
        <f t="shared" si="256"/>
        <v>61</v>
      </c>
      <c r="BN122" s="2">
        <f t="shared" si="256"/>
        <v>61</v>
      </c>
      <c r="BO122" s="2">
        <f t="shared" si="256"/>
        <v>61</v>
      </c>
      <c r="BP122" s="2">
        <f t="shared" si="256"/>
        <v>61</v>
      </c>
      <c r="BQ122" s="2">
        <f t="shared" si="262"/>
        <v>61</v>
      </c>
    </row>
    <row r="123" spans="10:69" hidden="1" x14ac:dyDescent="0.3">
      <c r="J123" s="2">
        <f t="shared" si="265"/>
        <v>61</v>
      </c>
      <c r="K123" s="2">
        <f t="shared" si="265"/>
        <v>61</v>
      </c>
      <c r="L123" s="2">
        <f t="shared" si="264"/>
        <v>61</v>
      </c>
      <c r="M123" s="2">
        <f t="shared" si="264"/>
        <v>61</v>
      </c>
      <c r="N123" s="2">
        <f t="shared" si="264"/>
        <v>61</v>
      </c>
      <c r="O123" s="2">
        <f t="shared" si="264"/>
        <v>61</v>
      </c>
      <c r="P123" s="2">
        <f t="shared" si="264"/>
        <v>61</v>
      </c>
      <c r="Q123" s="2">
        <f t="shared" si="264"/>
        <v>61</v>
      </c>
      <c r="R123" s="2">
        <f t="shared" si="264"/>
        <v>61</v>
      </c>
      <c r="S123" s="2">
        <f t="shared" si="264"/>
        <v>61</v>
      </c>
      <c r="T123" s="2">
        <f t="shared" si="264"/>
        <v>61</v>
      </c>
      <c r="U123" s="2">
        <f t="shared" si="264"/>
        <v>61</v>
      </c>
      <c r="V123" s="2">
        <f t="shared" si="264"/>
        <v>61</v>
      </c>
      <c r="W123" s="2">
        <f t="shared" si="264"/>
        <v>61</v>
      </c>
      <c r="X123" s="2">
        <f t="shared" si="264"/>
        <v>61</v>
      </c>
      <c r="Y123" s="2">
        <f t="shared" si="264"/>
        <v>61</v>
      </c>
      <c r="Z123" s="2">
        <f t="shared" si="264"/>
        <v>61</v>
      </c>
      <c r="AA123" s="2">
        <f t="shared" si="264"/>
        <v>61</v>
      </c>
      <c r="AB123" s="2">
        <f t="shared" ref="AB123:AB126" si="270">IF(CN60=0,61,CN60)</f>
        <v>61</v>
      </c>
      <c r="AC123" s="2">
        <f t="shared" si="269"/>
        <v>61</v>
      </c>
      <c r="AD123" s="2">
        <f t="shared" si="269"/>
        <v>61</v>
      </c>
      <c r="AE123" s="2">
        <f t="shared" si="268"/>
        <v>61</v>
      </c>
      <c r="AF123" s="2">
        <f t="shared" si="268"/>
        <v>61</v>
      </c>
      <c r="AG123" s="2">
        <f t="shared" si="268"/>
        <v>61</v>
      </c>
      <c r="AH123" s="2">
        <f t="shared" si="268"/>
        <v>61</v>
      </c>
      <c r="AI123" s="2">
        <f t="shared" si="268"/>
        <v>61</v>
      </c>
      <c r="AJ123" s="2">
        <f t="shared" si="268"/>
        <v>61</v>
      </c>
      <c r="AK123" s="2">
        <f t="shared" si="268"/>
        <v>61</v>
      </c>
      <c r="AL123" s="2">
        <f t="shared" si="268"/>
        <v>61</v>
      </c>
      <c r="AM123" s="2">
        <f t="shared" si="268"/>
        <v>61</v>
      </c>
      <c r="AN123" s="2">
        <f t="shared" si="268"/>
        <v>61</v>
      </c>
      <c r="AO123" s="2">
        <f t="shared" si="268"/>
        <v>61</v>
      </c>
      <c r="AP123" s="2">
        <f t="shared" si="268"/>
        <v>61</v>
      </c>
      <c r="AQ123" s="2">
        <f t="shared" si="268"/>
        <v>61</v>
      </c>
      <c r="AR123" s="2">
        <f t="shared" si="268"/>
        <v>61</v>
      </c>
      <c r="AS123" s="2">
        <f t="shared" si="267"/>
        <v>61</v>
      </c>
      <c r="AT123" s="2">
        <f t="shared" si="267"/>
        <v>61</v>
      </c>
      <c r="AU123" s="2">
        <f t="shared" si="267"/>
        <v>61</v>
      </c>
      <c r="AV123" s="2">
        <f t="shared" si="267"/>
        <v>61</v>
      </c>
      <c r="AW123" s="2">
        <f t="shared" si="267"/>
        <v>61</v>
      </c>
      <c r="AX123" s="2">
        <f t="shared" si="267"/>
        <v>61</v>
      </c>
      <c r="AY123" s="2">
        <f t="shared" si="267"/>
        <v>61</v>
      </c>
      <c r="AZ123" s="2">
        <f t="shared" si="267"/>
        <v>61</v>
      </c>
      <c r="BA123" s="2">
        <f t="shared" si="267"/>
        <v>61</v>
      </c>
      <c r="BB123" s="2">
        <f t="shared" si="267"/>
        <v>61</v>
      </c>
      <c r="BC123" s="2">
        <f t="shared" si="267"/>
        <v>61</v>
      </c>
      <c r="BD123" s="2">
        <f t="shared" si="267"/>
        <v>61</v>
      </c>
      <c r="BE123" s="2">
        <f t="shared" si="266"/>
        <v>61</v>
      </c>
      <c r="BF123" s="2">
        <f t="shared" si="263"/>
        <v>61</v>
      </c>
      <c r="BG123" s="2">
        <f t="shared" si="261"/>
        <v>61</v>
      </c>
      <c r="BH123" s="2">
        <f t="shared" si="261"/>
        <v>61</v>
      </c>
      <c r="BI123" s="2">
        <f t="shared" si="256"/>
        <v>61</v>
      </c>
      <c r="BJ123" s="2">
        <f t="shared" si="256"/>
        <v>61</v>
      </c>
      <c r="BK123" s="2">
        <f t="shared" si="256"/>
        <v>61</v>
      </c>
      <c r="BL123" s="2">
        <f t="shared" si="256"/>
        <v>61</v>
      </c>
      <c r="BM123" s="2">
        <f t="shared" si="256"/>
        <v>61</v>
      </c>
      <c r="BN123" s="2">
        <f t="shared" si="256"/>
        <v>61</v>
      </c>
      <c r="BO123" s="2">
        <f t="shared" si="256"/>
        <v>61</v>
      </c>
      <c r="BP123" s="2">
        <f t="shared" si="256"/>
        <v>61</v>
      </c>
      <c r="BQ123" s="2">
        <f t="shared" si="262"/>
        <v>61</v>
      </c>
    </row>
    <row r="124" spans="10:69" hidden="1" x14ac:dyDescent="0.3">
      <c r="J124" s="2">
        <f t="shared" si="265"/>
        <v>61</v>
      </c>
      <c r="K124" s="2">
        <f t="shared" si="265"/>
        <v>61</v>
      </c>
      <c r="L124" s="2">
        <f t="shared" si="264"/>
        <v>61</v>
      </c>
      <c r="M124" s="2">
        <f t="shared" si="264"/>
        <v>61</v>
      </c>
      <c r="N124" s="2">
        <f t="shared" si="264"/>
        <v>61</v>
      </c>
      <c r="O124" s="2">
        <f t="shared" si="264"/>
        <v>61</v>
      </c>
      <c r="P124" s="2">
        <f t="shared" si="264"/>
        <v>61</v>
      </c>
      <c r="Q124" s="2">
        <f t="shared" si="264"/>
        <v>61</v>
      </c>
      <c r="R124" s="2">
        <f t="shared" si="264"/>
        <v>61</v>
      </c>
      <c r="S124" s="2">
        <f t="shared" si="264"/>
        <v>61</v>
      </c>
      <c r="T124" s="2">
        <f t="shared" si="264"/>
        <v>61</v>
      </c>
      <c r="U124" s="2">
        <f t="shared" si="264"/>
        <v>61</v>
      </c>
      <c r="V124" s="2">
        <f t="shared" si="264"/>
        <v>61</v>
      </c>
      <c r="W124" s="2">
        <f t="shared" si="264"/>
        <v>61</v>
      </c>
      <c r="X124" s="2">
        <f t="shared" si="264"/>
        <v>61</v>
      </c>
      <c r="Y124" s="2">
        <f t="shared" si="264"/>
        <v>61</v>
      </c>
      <c r="Z124" s="2">
        <f t="shared" si="264"/>
        <v>61</v>
      </c>
      <c r="AA124" s="2">
        <f t="shared" si="264"/>
        <v>61</v>
      </c>
      <c r="AB124" s="2">
        <f t="shared" si="270"/>
        <v>61</v>
      </c>
      <c r="AC124" s="2">
        <f t="shared" si="269"/>
        <v>61</v>
      </c>
      <c r="AD124" s="2">
        <f t="shared" si="269"/>
        <v>61</v>
      </c>
      <c r="AE124" s="2">
        <f t="shared" si="268"/>
        <v>61</v>
      </c>
      <c r="AF124" s="2">
        <f t="shared" si="268"/>
        <v>61</v>
      </c>
      <c r="AG124" s="2">
        <f t="shared" si="268"/>
        <v>61</v>
      </c>
      <c r="AH124" s="2">
        <f t="shared" si="268"/>
        <v>61</v>
      </c>
      <c r="AI124" s="2">
        <f t="shared" si="268"/>
        <v>61</v>
      </c>
      <c r="AJ124" s="2">
        <f t="shared" si="268"/>
        <v>61</v>
      </c>
      <c r="AK124" s="2">
        <f t="shared" si="268"/>
        <v>61</v>
      </c>
      <c r="AL124" s="2">
        <f t="shared" si="268"/>
        <v>61</v>
      </c>
      <c r="AM124" s="2">
        <f t="shared" si="268"/>
        <v>61</v>
      </c>
      <c r="AN124" s="2">
        <f t="shared" si="268"/>
        <v>61</v>
      </c>
      <c r="AO124" s="2">
        <f t="shared" si="268"/>
        <v>61</v>
      </c>
      <c r="AP124" s="2">
        <f t="shared" si="268"/>
        <v>61</v>
      </c>
      <c r="AQ124" s="2">
        <f t="shared" si="268"/>
        <v>61</v>
      </c>
      <c r="AR124" s="2">
        <f t="shared" si="268"/>
        <v>61</v>
      </c>
      <c r="AS124" s="2">
        <f t="shared" si="267"/>
        <v>61</v>
      </c>
      <c r="AT124" s="2">
        <f t="shared" si="267"/>
        <v>61</v>
      </c>
      <c r="AU124" s="2">
        <f t="shared" si="267"/>
        <v>61</v>
      </c>
      <c r="AV124" s="2">
        <f t="shared" si="267"/>
        <v>61</v>
      </c>
      <c r="AW124" s="2">
        <f t="shared" si="267"/>
        <v>61</v>
      </c>
      <c r="AX124" s="2">
        <f t="shared" si="267"/>
        <v>61</v>
      </c>
      <c r="AY124" s="2">
        <f t="shared" si="267"/>
        <v>61</v>
      </c>
      <c r="AZ124" s="2">
        <f t="shared" si="267"/>
        <v>61</v>
      </c>
      <c r="BA124" s="2">
        <f t="shared" si="267"/>
        <v>61</v>
      </c>
      <c r="BB124" s="2">
        <f t="shared" si="267"/>
        <v>61</v>
      </c>
      <c r="BC124" s="2">
        <f t="shared" si="267"/>
        <v>61</v>
      </c>
      <c r="BD124" s="2">
        <f t="shared" si="267"/>
        <v>61</v>
      </c>
      <c r="BE124" s="2">
        <f t="shared" si="266"/>
        <v>61</v>
      </c>
      <c r="BF124" s="2">
        <f t="shared" si="263"/>
        <v>61</v>
      </c>
      <c r="BG124" s="2">
        <f t="shared" si="261"/>
        <v>61</v>
      </c>
      <c r="BH124" s="2">
        <f t="shared" si="261"/>
        <v>61</v>
      </c>
      <c r="BI124" s="2">
        <f t="shared" si="256"/>
        <v>61</v>
      </c>
      <c r="BJ124" s="2">
        <f t="shared" si="256"/>
        <v>61</v>
      </c>
      <c r="BK124" s="2">
        <f t="shared" si="256"/>
        <v>61</v>
      </c>
      <c r="BL124" s="2">
        <f t="shared" si="256"/>
        <v>61</v>
      </c>
      <c r="BM124" s="2">
        <f t="shared" si="256"/>
        <v>61</v>
      </c>
      <c r="BN124" s="2">
        <f t="shared" si="256"/>
        <v>61</v>
      </c>
      <c r="BO124" s="2">
        <f t="shared" si="256"/>
        <v>61</v>
      </c>
      <c r="BP124" s="2">
        <f t="shared" si="256"/>
        <v>61</v>
      </c>
      <c r="BQ124" s="2">
        <f t="shared" si="262"/>
        <v>61</v>
      </c>
    </row>
    <row r="125" spans="10:69" hidden="1" x14ac:dyDescent="0.3">
      <c r="J125" s="2">
        <f t="shared" si="265"/>
        <v>61</v>
      </c>
      <c r="K125" s="2">
        <f t="shared" si="265"/>
        <v>61</v>
      </c>
      <c r="L125" s="2">
        <f t="shared" si="264"/>
        <v>61</v>
      </c>
      <c r="M125" s="2">
        <f t="shared" si="264"/>
        <v>61</v>
      </c>
      <c r="N125" s="2">
        <f t="shared" si="264"/>
        <v>61</v>
      </c>
      <c r="O125" s="2">
        <f t="shared" si="264"/>
        <v>61</v>
      </c>
      <c r="P125" s="2">
        <f t="shared" si="264"/>
        <v>61</v>
      </c>
      <c r="Q125" s="2">
        <f t="shared" si="264"/>
        <v>61</v>
      </c>
      <c r="R125" s="2">
        <f t="shared" si="264"/>
        <v>61</v>
      </c>
      <c r="S125" s="2">
        <f t="shared" si="264"/>
        <v>61</v>
      </c>
      <c r="T125" s="2">
        <f t="shared" si="264"/>
        <v>61</v>
      </c>
      <c r="U125" s="2">
        <f t="shared" si="264"/>
        <v>61</v>
      </c>
      <c r="V125" s="2">
        <f t="shared" si="264"/>
        <v>61</v>
      </c>
      <c r="W125" s="2">
        <f t="shared" si="264"/>
        <v>61</v>
      </c>
      <c r="X125" s="2">
        <f t="shared" si="264"/>
        <v>61</v>
      </c>
      <c r="Y125" s="2">
        <f t="shared" si="264"/>
        <v>61</v>
      </c>
      <c r="Z125" s="2">
        <f t="shared" si="264"/>
        <v>61</v>
      </c>
      <c r="AA125" s="2">
        <f t="shared" si="264"/>
        <v>61</v>
      </c>
      <c r="AB125" s="2">
        <f t="shared" si="270"/>
        <v>61</v>
      </c>
      <c r="AC125" s="2">
        <f t="shared" si="269"/>
        <v>61</v>
      </c>
      <c r="AD125" s="2">
        <f t="shared" si="269"/>
        <v>61</v>
      </c>
      <c r="AE125" s="2">
        <f t="shared" si="268"/>
        <v>61</v>
      </c>
      <c r="AF125" s="2">
        <f t="shared" si="268"/>
        <v>61</v>
      </c>
      <c r="AG125" s="2">
        <f t="shared" si="268"/>
        <v>61</v>
      </c>
      <c r="AH125" s="2">
        <f t="shared" si="268"/>
        <v>61</v>
      </c>
      <c r="AI125" s="2">
        <f t="shared" si="268"/>
        <v>61</v>
      </c>
      <c r="AJ125" s="2">
        <f t="shared" si="268"/>
        <v>61</v>
      </c>
      <c r="AK125" s="2">
        <f t="shared" si="268"/>
        <v>61</v>
      </c>
      <c r="AL125" s="2">
        <f t="shared" si="268"/>
        <v>61</v>
      </c>
      <c r="AM125" s="2">
        <f t="shared" si="268"/>
        <v>61</v>
      </c>
      <c r="AN125" s="2">
        <f t="shared" si="268"/>
        <v>61</v>
      </c>
      <c r="AO125" s="2">
        <f t="shared" si="268"/>
        <v>61</v>
      </c>
      <c r="AP125" s="2">
        <f t="shared" si="268"/>
        <v>61</v>
      </c>
      <c r="AQ125" s="2">
        <f t="shared" si="268"/>
        <v>61</v>
      </c>
      <c r="AR125" s="2">
        <f t="shared" si="268"/>
        <v>61</v>
      </c>
      <c r="AS125" s="2">
        <f t="shared" si="267"/>
        <v>61</v>
      </c>
      <c r="AT125" s="2">
        <f t="shared" si="267"/>
        <v>61</v>
      </c>
      <c r="AU125" s="2">
        <f t="shared" si="267"/>
        <v>61</v>
      </c>
      <c r="AV125" s="2">
        <f t="shared" si="267"/>
        <v>61</v>
      </c>
      <c r="AW125" s="2">
        <f t="shared" si="267"/>
        <v>61</v>
      </c>
      <c r="AX125" s="2">
        <f t="shared" si="267"/>
        <v>61</v>
      </c>
      <c r="AY125" s="2">
        <f t="shared" si="267"/>
        <v>61</v>
      </c>
      <c r="AZ125" s="2">
        <f t="shared" si="267"/>
        <v>61</v>
      </c>
      <c r="BA125" s="2">
        <f t="shared" si="267"/>
        <v>61</v>
      </c>
      <c r="BB125" s="2">
        <f t="shared" si="267"/>
        <v>61</v>
      </c>
      <c r="BC125" s="2">
        <f t="shared" si="267"/>
        <v>61</v>
      </c>
      <c r="BD125" s="2">
        <f t="shared" si="267"/>
        <v>61</v>
      </c>
      <c r="BE125" s="2">
        <f t="shared" si="266"/>
        <v>61</v>
      </c>
      <c r="BF125" s="2">
        <f t="shared" si="263"/>
        <v>61</v>
      </c>
      <c r="BG125" s="2">
        <f t="shared" si="261"/>
        <v>61</v>
      </c>
      <c r="BH125" s="2">
        <f t="shared" si="261"/>
        <v>61</v>
      </c>
      <c r="BI125" s="2">
        <f t="shared" si="256"/>
        <v>61</v>
      </c>
      <c r="BJ125" s="2">
        <f t="shared" si="256"/>
        <v>61</v>
      </c>
      <c r="BK125" s="2">
        <f t="shared" si="256"/>
        <v>61</v>
      </c>
      <c r="BL125" s="2">
        <f t="shared" si="256"/>
        <v>61</v>
      </c>
      <c r="BM125" s="2">
        <f t="shared" si="256"/>
        <v>61</v>
      </c>
      <c r="BN125" s="2">
        <f t="shared" si="256"/>
        <v>61</v>
      </c>
      <c r="BO125" s="2">
        <f t="shared" si="256"/>
        <v>61</v>
      </c>
      <c r="BP125" s="2">
        <f t="shared" si="256"/>
        <v>61</v>
      </c>
      <c r="BQ125" s="2">
        <f t="shared" si="262"/>
        <v>61</v>
      </c>
    </row>
    <row r="126" spans="10:69" ht="16.2" hidden="1" thickBot="1" x14ac:dyDescent="0.35">
      <c r="J126" s="2">
        <f t="shared" si="265"/>
        <v>61</v>
      </c>
      <c r="K126" s="2">
        <f t="shared" si="265"/>
        <v>61</v>
      </c>
      <c r="L126" s="2">
        <f t="shared" si="264"/>
        <v>61</v>
      </c>
      <c r="M126" s="2">
        <f t="shared" si="264"/>
        <v>61</v>
      </c>
      <c r="N126" s="2">
        <f t="shared" si="264"/>
        <v>61</v>
      </c>
      <c r="O126" s="2">
        <f t="shared" si="264"/>
        <v>61</v>
      </c>
      <c r="P126" s="2">
        <f t="shared" si="264"/>
        <v>61</v>
      </c>
      <c r="Q126" s="2">
        <f t="shared" si="264"/>
        <v>61</v>
      </c>
      <c r="R126" s="2">
        <f t="shared" si="264"/>
        <v>61</v>
      </c>
      <c r="S126" s="2">
        <f t="shared" si="264"/>
        <v>61</v>
      </c>
      <c r="T126" s="2">
        <f t="shared" si="264"/>
        <v>61</v>
      </c>
      <c r="U126" s="2">
        <f t="shared" si="264"/>
        <v>61</v>
      </c>
      <c r="V126" s="2">
        <f t="shared" si="264"/>
        <v>61</v>
      </c>
      <c r="W126" s="2">
        <f t="shared" si="264"/>
        <v>61</v>
      </c>
      <c r="X126" s="2">
        <f t="shared" si="264"/>
        <v>61</v>
      </c>
      <c r="Y126" s="2">
        <f t="shared" si="264"/>
        <v>61</v>
      </c>
      <c r="Z126" s="2">
        <f t="shared" si="264"/>
        <v>61</v>
      </c>
      <c r="AA126" s="2">
        <f t="shared" si="264"/>
        <v>61</v>
      </c>
      <c r="AB126" s="2">
        <f t="shared" si="270"/>
        <v>61</v>
      </c>
      <c r="AC126" s="2">
        <f t="shared" si="269"/>
        <v>61</v>
      </c>
      <c r="AD126" s="2">
        <f t="shared" si="269"/>
        <v>61</v>
      </c>
      <c r="AE126" s="2">
        <f t="shared" si="268"/>
        <v>61</v>
      </c>
      <c r="AF126" s="2">
        <f t="shared" si="268"/>
        <v>61</v>
      </c>
      <c r="AG126" s="2">
        <f t="shared" si="268"/>
        <v>61</v>
      </c>
      <c r="AH126" s="2">
        <f t="shared" si="268"/>
        <v>61</v>
      </c>
      <c r="AI126" s="2">
        <f t="shared" si="268"/>
        <v>61</v>
      </c>
      <c r="AJ126" s="2">
        <f t="shared" si="268"/>
        <v>61</v>
      </c>
      <c r="AK126" s="2">
        <f t="shared" si="268"/>
        <v>61</v>
      </c>
      <c r="AL126" s="2">
        <f t="shared" si="268"/>
        <v>61</v>
      </c>
      <c r="AM126" s="2">
        <f t="shared" si="268"/>
        <v>61</v>
      </c>
      <c r="AN126" s="2">
        <f t="shared" si="268"/>
        <v>61</v>
      </c>
      <c r="AO126" s="2">
        <f t="shared" si="268"/>
        <v>61</v>
      </c>
      <c r="AP126" s="2">
        <f t="shared" si="268"/>
        <v>61</v>
      </c>
      <c r="AQ126" s="2">
        <f t="shared" si="268"/>
        <v>61</v>
      </c>
      <c r="AR126" s="2">
        <f t="shared" si="268"/>
        <v>61</v>
      </c>
      <c r="AS126" s="2">
        <f t="shared" si="267"/>
        <v>61</v>
      </c>
      <c r="AT126" s="2">
        <f t="shared" si="267"/>
        <v>61</v>
      </c>
      <c r="AU126" s="2">
        <f t="shared" si="267"/>
        <v>61</v>
      </c>
      <c r="AV126" s="2">
        <f t="shared" si="267"/>
        <v>61</v>
      </c>
      <c r="AW126" s="2">
        <f t="shared" si="267"/>
        <v>61</v>
      </c>
      <c r="AX126" s="2">
        <f t="shared" si="267"/>
        <v>61</v>
      </c>
      <c r="AY126" s="2">
        <f t="shared" si="267"/>
        <v>61</v>
      </c>
      <c r="AZ126" s="2">
        <f t="shared" si="267"/>
        <v>61</v>
      </c>
      <c r="BA126" s="2">
        <f t="shared" si="267"/>
        <v>61</v>
      </c>
      <c r="BB126" s="2">
        <f t="shared" si="267"/>
        <v>61</v>
      </c>
      <c r="BC126" s="2">
        <f t="shared" si="267"/>
        <v>61</v>
      </c>
      <c r="BD126" s="2">
        <f t="shared" si="267"/>
        <v>61</v>
      </c>
      <c r="BE126" s="2">
        <f t="shared" si="266"/>
        <v>61</v>
      </c>
      <c r="BF126" s="2">
        <f t="shared" si="263"/>
        <v>61</v>
      </c>
      <c r="BG126" s="2">
        <f t="shared" si="261"/>
        <v>61</v>
      </c>
      <c r="BH126" s="2">
        <f t="shared" si="261"/>
        <v>61</v>
      </c>
      <c r="BI126" s="2">
        <f t="shared" si="256"/>
        <v>61</v>
      </c>
      <c r="BJ126" s="2">
        <f t="shared" si="256"/>
        <v>61</v>
      </c>
      <c r="BK126" s="2">
        <f t="shared" si="256"/>
        <v>61</v>
      </c>
      <c r="BL126" s="2">
        <f t="shared" si="256"/>
        <v>61</v>
      </c>
      <c r="BM126" s="2">
        <f t="shared" si="256"/>
        <v>61</v>
      </c>
      <c r="BN126" s="2">
        <f t="shared" si="256"/>
        <v>61</v>
      </c>
      <c r="BO126" s="2">
        <f t="shared" si="256"/>
        <v>61</v>
      </c>
      <c r="BP126" s="2">
        <f t="shared" si="256"/>
        <v>61</v>
      </c>
      <c r="BQ126" s="2">
        <f t="shared" si="262"/>
        <v>61</v>
      </c>
    </row>
    <row r="127" spans="10:69" hidden="1" x14ac:dyDescent="0.3">
      <c r="J127" s="56" t="str">
        <f>IF(Deltagarlista!$K$3=4,IF(ISBLANK(Deltagarlista!$C129),"",IF(ISBLANK(Arrangörslista!C$8),"",IFERROR(VLOOKUP($F127,Arrangörslista!C$8:$AG$45,16,FALSE),IF(ISBLANK(Deltagarlista!$C129),"",IF(ISBLANK(Arrangörslista!C$8),"",IFERROR(VLOOKUP($F127,Arrangörslista!D$8:$AG$45,16,FALSE),"DNS")))))),IF(Deltagarlista!$K$3=2,
IF(ISBLANK(Deltagarlista!$C129),"",IF(ISBLANK(Arrangörslista!C$8),"",IF($GV127=J$64," DNS ",IFERROR(VLOOKUP($F127,Arrangörslista!C$8:$AG$45,16,FALSE),"DNS")))),IF(ISBLANK(Deltagarlista!$C129),"",IF(ISBLANK(Arrangörslista!C$8),"",IFERROR(VLOOKUP($F127,Arrangörslista!C$8:$AG$45,16,FALSE),"DNS")))))</f>
        <v/>
      </c>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row>
    <row r="128" spans="10:69" hidden="1" x14ac:dyDescent="0.3">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row>
    <row r="129" spans="10:233" x14ac:dyDescent="0.3">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48"/>
      <c r="BS129" s="48"/>
      <c r="BT129" s="48"/>
      <c r="BU129" s="69"/>
      <c r="BV129" s="66"/>
      <c r="BW129" s="66"/>
      <c r="BX129" s="66"/>
      <c r="BY129" s="66"/>
      <c r="BZ129" s="66"/>
      <c r="CA129" s="66"/>
      <c r="CB129" s="66"/>
      <c r="CC129" s="66"/>
      <c r="CD129" s="66"/>
      <c r="CE129" s="66"/>
      <c r="CF129" s="66"/>
      <c r="CG129" s="66"/>
      <c r="CH129" s="66"/>
      <c r="CI129" s="66"/>
      <c r="CJ129" s="66"/>
      <c r="CK129" s="66"/>
      <c r="CL129" s="66"/>
      <c r="CM129" s="66"/>
      <c r="CN129" s="66"/>
      <c r="CO129" s="66"/>
      <c r="CP129" s="66"/>
      <c r="CQ129" s="66"/>
      <c r="CR129" s="66"/>
      <c r="CS129" s="66"/>
      <c r="CT129" s="66"/>
      <c r="CU129" s="66"/>
      <c r="CV129" s="66"/>
      <c r="CW129" s="66"/>
      <c r="CX129" s="66"/>
      <c r="CY129" s="66"/>
      <c r="CZ129" s="66"/>
      <c r="DA129" s="66"/>
      <c r="DB129" s="66"/>
      <c r="DC129" s="66"/>
      <c r="DD129" s="66"/>
      <c r="DE129" s="66"/>
      <c r="DF129" s="66"/>
      <c r="DG129" s="66"/>
      <c r="DH129" s="66"/>
      <c r="DI129" s="66"/>
      <c r="DJ129" s="66"/>
      <c r="DK129" s="66"/>
      <c r="DL129" s="66"/>
      <c r="DM129" s="66"/>
      <c r="DN129" s="66"/>
      <c r="DO129" s="66"/>
      <c r="DP129" s="66"/>
      <c r="DQ129" s="66"/>
      <c r="DR129" s="66"/>
      <c r="DS129" s="66"/>
      <c r="DT129" s="66"/>
      <c r="DU129" s="66"/>
      <c r="DV129" s="66"/>
      <c r="DW129" s="66"/>
      <c r="DX129" s="66"/>
      <c r="DY129" s="66"/>
      <c r="DZ129" s="66"/>
      <c r="EA129" s="66"/>
      <c r="EB129" s="66"/>
      <c r="EC129" s="66"/>
      <c r="ED129" s="66"/>
      <c r="EE129" s="66"/>
      <c r="EF129" s="66"/>
      <c r="EG129" s="66"/>
      <c r="EH129" s="69"/>
      <c r="EI129" s="69"/>
      <c r="EJ129" s="69"/>
      <c r="EK129" s="69"/>
      <c r="EL129" s="69"/>
      <c r="EM129" s="69"/>
      <c r="EN129" s="69"/>
      <c r="EO129" s="69"/>
      <c r="EP129" s="69"/>
      <c r="EQ129" s="69"/>
      <c r="ER129" s="69"/>
      <c r="ES129" s="69"/>
      <c r="ET129" s="69"/>
      <c r="EU129" s="69"/>
      <c r="EV129" s="69"/>
      <c r="EW129" s="69"/>
      <c r="EX129" s="69"/>
      <c r="EY129" s="69"/>
      <c r="EZ129" s="69"/>
      <c r="FA129" s="69"/>
      <c r="FB129" s="69"/>
      <c r="FC129" s="69"/>
      <c r="FD129" s="69"/>
      <c r="FE129" s="69"/>
      <c r="FF129" s="69"/>
      <c r="FG129" s="69"/>
      <c r="FH129" s="69"/>
      <c r="FI129" s="69"/>
      <c r="FJ129" s="69"/>
      <c r="FK129" s="69"/>
      <c r="FL129" s="69"/>
      <c r="FM129" s="69"/>
      <c r="FN129" s="69"/>
      <c r="FO129" s="69"/>
      <c r="FP129" s="69"/>
      <c r="FQ129" s="69"/>
      <c r="FR129" s="69"/>
      <c r="FS129" s="69"/>
      <c r="FT129" s="69"/>
      <c r="FU129" s="69"/>
      <c r="FV129" s="69"/>
      <c r="FW129" s="69"/>
      <c r="FX129" s="69"/>
      <c r="FY129" s="69"/>
      <c r="FZ129" s="69"/>
      <c r="GA129" s="69"/>
      <c r="GB129" s="69"/>
      <c r="GC129" s="69"/>
      <c r="GD129" s="69"/>
      <c r="GE129" s="69"/>
      <c r="GF129" s="69"/>
      <c r="GG129" s="69"/>
      <c r="GH129" s="69"/>
      <c r="GI129" s="69"/>
      <c r="GJ129" s="69"/>
      <c r="GK129" s="69"/>
      <c r="GL129" s="69"/>
      <c r="GM129" s="69"/>
      <c r="GN129" s="69"/>
      <c r="GO129" s="69"/>
      <c r="GP129" s="69"/>
      <c r="GQ129" s="69"/>
      <c r="GR129" s="69"/>
      <c r="GS129" s="69"/>
      <c r="GT129" s="69"/>
      <c r="GU129" s="69"/>
      <c r="GV129" s="69"/>
      <c r="GW129" s="69"/>
      <c r="GX129" s="69"/>
      <c r="GY129" s="2"/>
      <c r="GZ129" s="2"/>
      <c r="HA129" s="2"/>
      <c r="HB129" s="2"/>
      <c r="HC129" s="2"/>
      <c r="HD129" s="2"/>
      <c r="HE129" s="2"/>
      <c r="HF129" s="2"/>
      <c r="HG129" s="2"/>
      <c r="HH129" s="2"/>
      <c r="HI129" s="2"/>
      <c r="HJ129" s="2"/>
      <c r="HK129" s="2"/>
      <c r="HL129" s="2"/>
      <c r="HM129" s="2"/>
      <c r="HN129" s="2"/>
      <c r="HO129" s="2"/>
      <c r="HP129" s="2"/>
      <c r="HQ129" s="2"/>
      <c r="HR129" s="2"/>
      <c r="HS129" s="2"/>
      <c r="HT129" s="2"/>
      <c r="HU129" s="2"/>
      <c r="HV129" s="2"/>
      <c r="HW129" s="2"/>
      <c r="HX129" s="2"/>
      <c r="HY129" s="2"/>
    </row>
    <row r="130" spans="10:233" x14ac:dyDescent="0.3">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48"/>
      <c r="BS130" s="48"/>
      <c r="BT130" s="48"/>
      <c r="BU130" s="69"/>
      <c r="BV130" s="66"/>
      <c r="BW130" s="66"/>
      <c r="BX130" s="66"/>
      <c r="BY130" s="66"/>
      <c r="BZ130" s="66"/>
      <c r="CA130" s="66"/>
      <c r="CB130" s="66"/>
      <c r="CC130" s="66"/>
      <c r="CD130" s="66"/>
      <c r="CE130" s="66"/>
      <c r="CF130" s="66"/>
      <c r="CG130" s="66"/>
      <c r="CH130" s="66"/>
      <c r="CI130" s="66"/>
      <c r="CJ130" s="66"/>
      <c r="CK130" s="66"/>
      <c r="CL130" s="66"/>
      <c r="CM130" s="66"/>
      <c r="CN130" s="66"/>
      <c r="CO130" s="66"/>
      <c r="CP130" s="66"/>
      <c r="CQ130" s="66"/>
      <c r="CR130" s="66"/>
      <c r="CS130" s="66"/>
      <c r="CT130" s="66"/>
      <c r="CU130" s="66"/>
      <c r="CV130" s="66"/>
      <c r="CW130" s="66"/>
      <c r="CX130" s="66"/>
      <c r="CY130" s="66"/>
      <c r="CZ130" s="66"/>
      <c r="DA130" s="66"/>
      <c r="DB130" s="66"/>
      <c r="DC130" s="66"/>
      <c r="DD130" s="66"/>
      <c r="DE130" s="66"/>
      <c r="DF130" s="66"/>
      <c r="DG130" s="66"/>
      <c r="DH130" s="66"/>
      <c r="DI130" s="66"/>
      <c r="DJ130" s="66"/>
      <c r="DK130" s="66"/>
      <c r="DL130" s="66"/>
      <c r="DM130" s="66"/>
      <c r="DN130" s="66"/>
      <c r="DO130" s="66"/>
      <c r="DP130" s="66"/>
      <c r="DQ130" s="66"/>
      <c r="DR130" s="66"/>
      <c r="DS130" s="66"/>
      <c r="DT130" s="66"/>
      <c r="DU130" s="66"/>
      <c r="DV130" s="66"/>
      <c r="DW130" s="66"/>
      <c r="DX130" s="66"/>
      <c r="DY130" s="66"/>
      <c r="DZ130" s="66"/>
      <c r="EA130" s="66"/>
      <c r="EB130" s="66"/>
      <c r="EC130" s="66"/>
      <c r="ED130" s="66"/>
      <c r="EE130" s="66"/>
      <c r="EF130" s="66"/>
      <c r="EG130" s="66"/>
      <c r="EH130" s="69"/>
      <c r="EI130" s="69"/>
      <c r="EJ130" s="69"/>
      <c r="EK130" s="69"/>
      <c r="EL130" s="69"/>
      <c r="EM130" s="69"/>
      <c r="EN130" s="69"/>
      <c r="EO130" s="69"/>
      <c r="EP130" s="69"/>
      <c r="EQ130" s="69"/>
      <c r="ER130" s="69"/>
      <c r="ES130" s="69"/>
      <c r="ET130" s="69"/>
      <c r="EU130" s="69"/>
      <c r="EV130" s="69"/>
      <c r="EW130" s="69"/>
      <c r="EX130" s="69"/>
      <c r="EY130" s="69"/>
      <c r="EZ130" s="69"/>
      <c r="FA130" s="69"/>
      <c r="FB130" s="69"/>
      <c r="FC130" s="69"/>
      <c r="FD130" s="69"/>
      <c r="FE130" s="69"/>
      <c r="FF130" s="69"/>
      <c r="FG130" s="69"/>
      <c r="FH130" s="69"/>
      <c r="FI130" s="69"/>
      <c r="FJ130" s="69"/>
      <c r="FK130" s="69"/>
      <c r="FL130" s="69"/>
      <c r="FM130" s="69"/>
      <c r="FN130" s="69"/>
      <c r="FO130" s="69"/>
      <c r="FP130" s="69"/>
      <c r="FQ130" s="69"/>
      <c r="FR130" s="69"/>
      <c r="FS130" s="69"/>
      <c r="FT130" s="69"/>
      <c r="FU130" s="69"/>
      <c r="FV130" s="69"/>
      <c r="FW130" s="69"/>
      <c r="FX130" s="69"/>
      <c r="FY130" s="69"/>
      <c r="FZ130" s="69"/>
      <c r="GA130" s="69"/>
      <c r="GB130" s="69"/>
      <c r="GC130" s="69"/>
      <c r="GD130" s="69"/>
      <c r="GE130" s="69"/>
      <c r="GF130" s="69"/>
      <c r="GG130" s="69"/>
      <c r="GH130" s="69"/>
      <c r="GI130" s="69"/>
      <c r="GJ130" s="69"/>
      <c r="GK130" s="69"/>
      <c r="GL130" s="69"/>
      <c r="GM130" s="69"/>
      <c r="GN130" s="69"/>
      <c r="GO130" s="69"/>
      <c r="GP130" s="69"/>
      <c r="GQ130" s="69"/>
      <c r="GR130" s="69"/>
      <c r="GS130" s="69"/>
      <c r="GT130" s="69"/>
      <c r="GU130" s="69"/>
      <c r="GV130" s="69"/>
      <c r="GW130" s="69"/>
      <c r="GX130" s="69"/>
      <c r="GY130" s="2"/>
      <c r="GZ130" s="2"/>
      <c r="HA130" s="2"/>
      <c r="HB130" s="2"/>
      <c r="HC130" s="2"/>
      <c r="HD130" s="2"/>
      <c r="HE130" s="2"/>
      <c r="HF130" s="2"/>
      <c r="HG130" s="2"/>
      <c r="HH130" s="2"/>
      <c r="HI130" s="2"/>
      <c r="HJ130" s="2"/>
      <c r="HK130" s="2"/>
      <c r="HL130" s="2"/>
      <c r="HM130" s="2"/>
      <c r="HN130" s="2"/>
      <c r="HO130" s="2"/>
      <c r="HP130" s="2"/>
      <c r="HQ130" s="2"/>
      <c r="HR130" s="2"/>
      <c r="HS130" s="2"/>
      <c r="HT130" s="2"/>
      <c r="HU130" s="2"/>
      <c r="HV130" s="2"/>
      <c r="HW130" s="2"/>
      <c r="HX130" s="2"/>
      <c r="HY130" s="2"/>
    </row>
    <row r="131" spans="10:233" x14ac:dyDescent="0.3">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48"/>
      <c r="BS131" s="48"/>
      <c r="BT131" s="48"/>
      <c r="BU131" s="69"/>
      <c r="BV131" s="66"/>
      <c r="BW131" s="66"/>
      <c r="BX131" s="66"/>
      <c r="BY131" s="66"/>
      <c r="BZ131" s="66"/>
      <c r="CA131" s="66"/>
      <c r="CB131" s="66"/>
      <c r="CC131" s="66"/>
      <c r="CD131" s="66"/>
      <c r="CE131" s="66"/>
      <c r="CF131" s="66"/>
      <c r="CG131" s="66"/>
      <c r="CH131" s="66"/>
      <c r="CI131" s="66"/>
      <c r="CJ131" s="66"/>
      <c r="CK131" s="66"/>
      <c r="CL131" s="66"/>
      <c r="CM131" s="66"/>
      <c r="CN131" s="66"/>
      <c r="CO131" s="66"/>
      <c r="CP131" s="66"/>
      <c r="CQ131" s="66"/>
      <c r="CR131" s="66"/>
      <c r="CS131" s="66"/>
      <c r="CT131" s="66"/>
      <c r="CU131" s="66"/>
      <c r="CV131" s="66"/>
      <c r="CW131" s="66"/>
      <c r="CX131" s="66"/>
      <c r="CY131" s="66"/>
      <c r="CZ131" s="66"/>
      <c r="DA131" s="66"/>
      <c r="DB131" s="66"/>
      <c r="DC131" s="66"/>
      <c r="DD131" s="66"/>
      <c r="DE131" s="66"/>
      <c r="DF131" s="66"/>
      <c r="DG131" s="66"/>
      <c r="DH131" s="66"/>
      <c r="DI131" s="66"/>
      <c r="DJ131" s="66"/>
      <c r="DK131" s="66"/>
      <c r="DL131" s="66"/>
      <c r="DM131" s="66"/>
      <c r="DN131" s="66"/>
      <c r="DO131" s="66"/>
      <c r="DP131" s="66"/>
      <c r="DQ131" s="66"/>
      <c r="DR131" s="66"/>
      <c r="DS131" s="66"/>
      <c r="DT131" s="66"/>
      <c r="DU131" s="66"/>
      <c r="DV131" s="66"/>
      <c r="DW131" s="66"/>
      <c r="DX131" s="66"/>
      <c r="DY131" s="66"/>
      <c r="DZ131" s="66"/>
      <c r="EA131" s="66"/>
      <c r="EB131" s="66"/>
      <c r="EC131" s="66"/>
      <c r="ED131" s="66"/>
      <c r="EE131" s="66"/>
      <c r="EF131" s="66"/>
      <c r="EG131" s="66"/>
      <c r="EH131" s="69"/>
      <c r="EI131" s="69"/>
      <c r="EJ131" s="69"/>
      <c r="EK131" s="69"/>
      <c r="EL131" s="69"/>
      <c r="EM131" s="69"/>
      <c r="EN131" s="69"/>
      <c r="EO131" s="69"/>
      <c r="EP131" s="69"/>
      <c r="EQ131" s="69"/>
      <c r="ER131" s="69"/>
      <c r="ES131" s="69"/>
      <c r="ET131" s="69"/>
      <c r="EU131" s="69"/>
      <c r="EV131" s="69"/>
      <c r="EW131" s="69"/>
      <c r="EX131" s="69"/>
      <c r="EY131" s="69"/>
      <c r="EZ131" s="69"/>
      <c r="FA131" s="69"/>
      <c r="FB131" s="69"/>
      <c r="FC131" s="69"/>
      <c r="FD131" s="69"/>
      <c r="FE131" s="69"/>
      <c r="FF131" s="69"/>
      <c r="FG131" s="69"/>
      <c r="FH131" s="69"/>
      <c r="FI131" s="69"/>
      <c r="FJ131" s="69"/>
      <c r="FK131" s="69"/>
      <c r="FL131" s="69"/>
      <c r="FM131" s="69"/>
      <c r="FN131" s="69"/>
      <c r="FO131" s="69"/>
      <c r="FP131" s="69"/>
      <c r="FQ131" s="69"/>
      <c r="FR131" s="69"/>
      <c r="FS131" s="69"/>
      <c r="FT131" s="69"/>
      <c r="FU131" s="69"/>
      <c r="FV131" s="69"/>
      <c r="FW131" s="69"/>
      <c r="FX131" s="69"/>
      <c r="FY131" s="69"/>
      <c r="FZ131" s="69"/>
      <c r="GA131" s="69"/>
      <c r="GB131" s="69"/>
      <c r="GC131" s="69"/>
      <c r="GD131" s="69"/>
      <c r="GE131" s="69"/>
      <c r="GF131" s="69"/>
      <c r="GG131" s="69"/>
      <c r="GH131" s="69"/>
      <c r="GI131" s="69"/>
      <c r="GJ131" s="69"/>
      <c r="GK131" s="69"/>
      <c r="GL131" s="69"/>
      <c r="GM131" s="69"/>
      <c r="GN131" s="69"/>
      <c r="GO131" s="69"/>
      <c r="GP131" s="69"/>
      <c r="GQ131" s="69"/>
      <c r="GR131" s="69"/>
      <c r="GS131" s="69"/>
      <c r="GT131" s="69"/>
      <c r="GU131" s="69"/>
      <c r="GV131" s="69"/>
      <c r="GW131" s="69"/>
      <c r="GX131" s="69"/>
      <c r="GY131" s="2"/>
      <c r="GZ131" s="2"/>
      <c r="HA131" s="2"/>
      <c r="HB131" s="2"/>
      <c r="HC131" s="2"/>
      <c r="HD131" s="2"/>
      <c r="HE131" s="2"/>
      <c r="HF131" s="2"/>
      <c r="HG131" s="2"/>
      <c r="HH131" s="2"/>
      <c r="HI131" s="2"/>
      <c r="HJ131" s="2"/>
      <c r="HK131" s="2"/>
      <c r="HL131" s="2"/>
      <c r="HM131" s="2"/>
      <c r="HN131" s="2"/>
      <c r="HO131" s="2"/>
      <c r="HP131" s="2"/>
      <c r="HQ131" s="2"/>
      <c r="HR131" s="2"/>
      <c r="HS131" s="2"/>
      <c r="HT131" s="2"/>
      <c r="HU131" s="2"/>
      <c r="HV131" s="2"/>
      <c r="HW131" s="2"/>
      <c r="HX131" s="2"/>
      <c r="HY131" s="2"/>
    </row>
    <row r="132" spans="10:233" x14ac:dyDescent="0.3">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48"/>
      <c r="BS132" s="48"/>
      <c r="BT132" s="48"/>
      <c r="BU132" s="69"/>
      <c r="BV132" s="66"/>
      <c r="BW132" s="66"/>
      <c r="BX132" s="66"/>
      <c r="BY132" s="66"/>
      <c r="BZ132" s="66"/>
      <c r="CA132" s="66"/>
      <c r="CB132" s="66"/>
      <c r="CC132" s="66"/>
      <c r="CD132" s="66"/>
      <c r="CE132" s="66"/>
      <c r="CF132" s="66"/>
      <c r="CG132" s="66"/>
      <c r="CH132" s="66"/>
      <c r="CI132" s="66"/>
      <c r="CJ132" s="66"/>
      <c r="CK132" s="66"/>
      <c r="CL132" s="66"/>
      <c r="CM132" s="66"/>
      <c r="CN132" s="66"/>
      <c r="CO132" s="66"/>
      <c r="CP132" s="66"/>
      <c r="CQ132" s="66"/>
      <c r="CR132" s="66"/>
      <c r="CS132" s="66"/>
      <c r="CT132" s="66"/>
      <c r="CU132" s="66"/>
      <c r="CV132" s="66"/>
      <c r="CW132" s="66"/>
      <c r="CX132" s="66"/>
      <c r="CY132" s="66"/>
      <c r="CZ132" s="66"/>
      <c r="DA132" s="66"/>
      <c r="DB132" s="66"/>
      <c r="DC132" s="66"/>
      <c r="DD132" s="66"/>
      <c r="DE132" s="66"/>
      <c r="DF132" s="66"/>
      <c r="DG132" s="66"/>
      <c r="DH132" s="66"/>
      <c r="DI132" s="66"/>
      <c r="DJ132" s="66"/>
      <c r="DK132" s="66"/>
      <c r="DL132" s="66"/>
      <c r="DM132" s="66"/>
      <c r="DN132" s="66"/>
      <c r="DO132" s="66"/>
      <c r="DP132" s="66"/>
      <c r="DQ132" s="66"/>
      <c r="DR132" s="66"/>
      <c r="DS132" s="66"/>
      <c r="DT132" s="66"/>
      <c r="DU132" s="66"/>
      <c r="DV132" s="66"/>
      <c r="DW132" s="66"/>
      <c r="DX132" s="66"/>
      <c r="DY132" s="66"/>
      <c r="DZ132" s="66"/>
      <c r="EA132" s="66"/>
      <c r="EB132" s="66"/>
      <c r="EC132" s="66"/>
      <c r="ED132" s="66"/>
      <c r="EE132" s="66"/>
      <c r="EF132" s="66"/>
      <c r="EG132" s="66"/>
      <c r="EH132" s="69"/>
      <c r="EI132" s="69"/>
      <c r="EJ132" s="69"/>
      <c r="EK132" s="69"/>
      <c r="EL132" s="69"/>
      <c r="EM132" s="69"/>
      <c r="EN132" s="69"/>
      <c r="EO132" s="69"/>
      <c r="EP132" s="69"/>
      <c r="EQ132" s="69"/>
      <c r="ER132" s="69"/>
      <c r="ES132" s="69"/>
      <c r="ET132" s="69"/>
      <c r="EU132" s="69"/>
      <c r="EV132" s="69"/>
      <c r="EW132" s="69"/>
      <c r="EX132" s="69"/>
      <c r="EY132" s="69"/>
      <c r="EZ132" s="69"/>
      <c r="FA132" s="69"/>
      <c r="FB132" s="69"/>
      <c r="FC132" s="69"/>
      <c r="FD132" s="69"/>
      <c r="FE132" s="69"/>
      <c r="FF132" s="69"/>
      <c r="FG132" s="69"/>
      <c r="FH132" s="69"/>
      <c r="FI132" s="69"/>
      <c r="FJ132" s="69"/>
      <c r="FK132" s="69"/>
      <c r="FL132" s="69"/>
      <c r="FM132" s="69"/>
      <c r="FN132" s="69"/>
      <c r="FO132" s="69"/>
      <c r="FP132" s="69"/>
      <c r="FQ132" s="69"/>
      <c r="FR132" s="69"/>
      <c r="FS132" s="69"/>
      <c r="FT132" s="69"/>
      <c r="FU132" s="69"/>
      <c r="FV132" s="69"/>
      <c r="FW132" s="69"/>
      <c r="FX132" s="69"/>
      <c r="FY132" s="69"/>
      <c r="FZ132" s="69"/>
      <c r="GA132" s="69"/>
      <c r="GB132" s="69"/>
      <c r="GC132" s="69"/>
      <c r="GD132" s="69"/>
      <c r="GE132" s="69"/>
      <c r="GF132" s="69"/>
      <c r="GG132" s="69"/>
      <c r="GH132" s="69"/>
      <c r="GI132" s="69"/>
      <c r="GJ132" s="69"/>
      <c r="GK132" s="69"/>
      <c r="GL132" s="69"/>
      <c r="GM132" s="69"/>
      <c r="GN132" s="69"/>
      <c r="GO132" s="69"/>
      <c r="GP132" s="69"/>
      <c r="GQ132" s="69"/>
      <c r="GR132" s="69"/>
      <c r="GS132" s="69"/>
      <c r="GT132" s="69"/>
      <c r="GU132" s="69"/>
      <c r="GV132" s="69"/>
      <c r="GW132" s="69"/>
      <c r="GX132" s="69"/>
      <c r="GY132" s="2"/>
      <c r="GZ132" s="2"/>
      <c r="HA132" s="2"/>
      <c r="HB132" s="2"/>
      <c r="HC132" s="2"/>
      <c r="HD132" s="2"/>
      <c r="HE132" s="2"/>
      <c r="HF132" s="2"/>
      <c r="HG132" s="2"/>
      <c r="HH132" s="2"/>
      <c r="HI132" s="2"/>
      <c r="HJ132" s="2"/>
      <c r="HK132" s="2"/>
      <c r="HL132" s="2"/>
      <c r="HM132" s="2"/>
      <c r="HN132" s="2"/>
      <c r="HO132" s="2"/>
      <c r="HP132" s="2"/>
      <c r="HQ132" s="2"/>
      <c r="HR132" s="2"/>
      <c r="HS132" s="2"/>
      <c r="HT132" s="2"/>
      <c r="HU132" s="2"/>
      <c r="HV132" s="2"/>
      <c r="HW132" s="2"/>
      <c r="HX132" s="2"/>
      <c r="HY132" s="2"/>
    </row>
    <row r="141" spans="10:233" x14ac:dyDescent="0.3">
      <c r="K141" s="70"/>
      <c r="L141" s="70"/>
      <c r="M141" s="70"/>
    </row>
  </sheetData>
  <sheetProtection password="CA51" sheet="1" objects="1" scenarios="1"/>
  <sortState ref="C4:GT63">
    <sortCondition ref="BS4:BS63"/>
    <sortCondition ref="H4:H63"/>
    <sortCondition ref="EK4:EK63"/>
    <sortCondition ref="EL4:EL63"/>
    <sortCondition ref="EM4:EM63"/>
    <sortCondition ref="EN4:EN63"/>
    <sortCondition ref="EO4:EO63"/>
    <sortCondition ref="EP4:EP63"/>
    <sortCondition ref="EQ4:EQ63"/>
    <sortCondition ref="ER4:ER63"/>
    <sortCondition ref="ES4:ES63"/>
    <sortCondition ref="ET4:ET63"/>
    <sortCondition ref="EU4:EU63"/>
    <sortCondition ref="EV4:EV63"/>
    <sortCondition ref="EW4:EW63"/>
    <sortCondition ref="EX4:EX63"/>
    <sortCondition ref="EY4:EY63"/>
    <sortCondition ref="EZ4:EZ63"/>
    <sortCondition ref="FA4:FA63"/>
    <sortCondition ref="FB4:FB63"/>
    <sortCondition ref="FC4:FC63"/>
    <sortCondition ref="FD4:FD63"/>
    <sortCondition ref="FE4:FE63"/>
    <sortCondition ref="FF4:FF63"/>
    <sortCondition ref="FG4:FG63"/>
    <sortCondition ref="FH4:FH63"/>
    <sortCondition ref="FI4:FI63"/>
    <sortCondition ref="FJ4:FJ63"/>
    <sortCondition ref="FK4:FK63"/>
    <sortCondition ref="FL4:FL63"/>
    <sortCondition ref="FM4:FM63"/>
    <sortCondition ref="FN4:FN63"/>
    <sortCondition ref="FO4:FO63"/>
    <sortCondition ref="FP4:FP63"/>
    <sortCondition ref="FQ4:FQ63"/>
    <sortCondition ref="FR4:FR63"/>
    <sortCondition ref="FS4:FS63"/>
    <sortCondition ref="FT4:FT63"/>
    <sortCondition ref="FU4:FU63"/>
    <sortCondition ref="FV4:FV63"/>
    <sortCondition ref="FW4:FW63"/>
    <sortCondition ref="FX4:FX63"/>
    <sortCondition ref="FY4:FY63"/>
    <sortCondition ref="FZ4:FZ63"/>
    <sortCondition ref="GA4:GA63"/>
    <sortCondition ref="GB4:GB63"/>
    <sortCondition ref="GC4:GC63"/>
    <sortCondition ref="GD4:GD63"/>
    <sortCondition ref="GE4:GE63"/>
    <sortCondition ref="GF4:GF63"/>
    <sortCondition ref="GG4:GG63"/>
    <sortCondition ref="GH4:GH63"/>
    <sortCondition ref="GI4:GI63"/>
    <sortCondition ref="GJ4:GJ63"/>
    <sortCondition ref="GK4:GK63"/>
    <sortCondition ref="GL4:GL63"/>
    <sortCondition ref="GM4:GM63"/>
    <sortCondition ref="GN4:GN63"/>
    <sortCondition ref="GO4:GO63"/>
    <sortCondition ref="GP4:GP63"/>
    <sortCondition ref="GQ4:GQ63"/>
    <sortCondition ref="GR4:GR63"/>
    <sortCondition ref="GT4:GT63"/>
  </sortState>
  <mergeCells count="2">
    <mergeCell ref="AE2:AG2"/>
    <mergeCell ref="R2:AA2"/>
  </mergeCells>
  <conditionalFormatting sqref="D4:D63">
    <cfRule type="cellIs" dxfId="12" priority="1" operator="equal">
      <formula>"GM   GUL"</formula>
    </cfRule>
    <cfRule type="cellIs" dxfId="11" priority="2" operator="equal">
      <formula>"GM   BLÅ"</formula>
    </cfRule>
    <cfRule type="cellIs" dxfId="10" priority="3" operator="equal">
      <formula>"GM   RÖD"</formula>
    </cfRule>
    <cfRule type="cellIs" dxfId="9" priority="4" operator="equal">
      <formula>"GM   GRÖN"</formula>
    </cfRule>
    <cfRule type="cellIs" dxfId="8" priority="10" operator="equal">
      <formula>"BLÅ"</formula>
    </cfRule>
    <cfRule type="cellIs" dxfId="7" priority="11" operator="equal">
      <formula>"GUL"</formula>
    </cfRule>
    <cfRule type="cellIs" dxfId="6" priority="12" operator="equal">
      <formula>"RÖD"</formula>
    </cfRule>
    <cfRule type="cellIs" dxfId="5" priority="13" operator="equal">
      <formula>"GRÖN"</formula>
    </cfRule>
  </conditionalFormatting>
  <conditionalFormatting sqref="J4:J63 M4:M63 P4:P63 S4:S63 V4:V63 Y4:Y63 AB4:AB63 AE4:AE63 AH4:AH63 AK4:AK63 AN4:AN63 AQ4:AQ63 AT4:AT63 AW4:AW63 AZ4:AZ63 BC4:BC63 BF4:BF63 BI4:BI63 BL4:BL63 BO4:BO63">
    <cfRule type="cellIs" dxfId="4" priority="7" operator="equal">
      <formula>" DNS "</formula>
    </cfRule>
  </conditionalFormatting>
  <conditionalFormatting sqref="K4:K63 N4:N63 Q4:Q63 T4:T63 W4:W63 Z4:Z63 AC4:AC63 AF4:AF63 AI4:AI63 AL4:AL63 AO4:AO63 AR4:AR63 AU4:AU63 AX4:AX63 BA4:BA63 BD4:BD63 BG4:BG63 BJ4:BJ63 BM4:BM63 BP4:BP63">
    <cfRule type="cellIs" dxfId="3" priority="6" operator="equal">
      <formula>" DNS "</formula>
    </cfRule>
  </conditionalFormatting>
  <conditionalFormatting sqref="O4:O63 L4:L63 R4:R63 U4:U63 X4:X63 AA4:AA63 AD4:AD63 AG4:AG63 AJ4:AJ63 AM4:AM63 AP4:AP63 AS4:AS63 AV4:AV63 AY4:AY63 BB4:BB63 BE4:BE63 BH4:BH63 BK4:BK63 BN4:BN63 BQ4:BQ63">
    <cfRule type="cellIs" dxfId="2" priority="5" operator="equal">
      <formula>" DNS "</formula>
    </cfRule>
  </conditionalFormatting>
  <pageMargins left="0.23622047244094491" right="0.23622047244094491" top="0.74803149606299213" bottom="0.74803149606299213" header="0.31496062992125984" footer="0.31496062992125984"/>
  <pageSetup paperSize="9" orientation="portrait" r:id="rId1"/>
  <headerFooter>
    <oddFooter>&amp;A</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9" id="{35809217-40DB-4EEA-AFFB-2D26C40CC91C}">
            <xm:f>OR(Deltagarlista!$K$3=1,Deltagarlista!$K$3=4)</xm:f>
            <x14:dxf>
              <border>
                <left style="thin">
                  <color auto="1"/>
                </left>
                <vertical/>
                <horizontal/>
              </border>
            </x14:dxf>
          </x14:cfRule>
          <xm:sqref>AP4:AP63 AT4:AT63 AX4:AX63 BB4:BB63 BF4:BF63 BJ4:BJ63 BN4:BN63 N4:N63 R4:R63 V4:V63 Z4:Z63 AD4:AD63 AH4:AH63 AL4:AL63</xm:sqref>
        </x14:conditionalFormatting>
        <x14:conditionalFormatting xmlns:xm="http://schemas.microsoft.com/office/excel/2006/main">
          <x14:cfRule type="expression" priority="8" id="{43F87A35-AECC-4DE0-9207-33C4240D39F7}">
            <xm:f>Deltagarlista!$K$3=2</xm:f>
            <x14:dxf>
              <border>
                <left style="thin">
                  <color auto="1"/>
                </left>
                <vertical/>
                <horizontal/>
              </border>
            </x14:dxf>
          </x14:cfRule>
          <xm:sqref>AN4:AN63 AQ4:AQ63 AT4:AT63 AW4:AW63 AZ4:AZ63 BC4:BC63 BF4:BF63 BI4:BI63 BL4:BL63 BO4:BO63 M4:M63 P4:P63 S4:S63 V4:V63 Y4:Y63 AB4:AB63 AE4:AE63 AH4:AH63 AK4:AK63</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Instruktion</vt:lpstr>
      <vt:lpstr>Deltagarlista</vt:lpstr>
      <vt:lpstr>Arrangörslista</vt:lpstr>
      <vt:lpstr>Resultatlista</vt:lpstr>
      <vt:lpstr>Resultat Grand Master</vt:lpstr>
      <vt:lpstr>Arrangörslista!Print_Area</vt:lpstr>
      <vt:lpstr>Deltagarlista!Print_Area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Petter Kostmann</dc:creator>
  <cp:lastModifiedBy>Kostmann, Petter</cp:lastModifiedBy>
  <cp:lastPrinted>2017-11-05T16:37:57Z</cp:lastPrinted>
  <dcterms:created xsi:type="dcterms:W3CDTF">1996-05-19T07:16:10Z</dcterms:created>
  <dcterms:modified xsi:type="dcterms:W3CDTF">2018-03-06T06:24:05Z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fea2623-af8f-4fb8-b1cf-b63cc8e496aa_Enabled">
    <vt:lpwstr>True</vt:lpwstr>
  </property>
  <property fmtid="{D5CDD505-2E9C-101B-9397-08002B2CF9AE}" pid="3" name="MSIP_Label_7fea2623-af8f-4fb8-b1cf-b63cc8e496aa_SiteId">
    <vt:lpwstr>81fa766e-a349-4867-8bf4-ab35e250a08f</vt:lpwstr>
  </property>
  <property fmtid="{D5CDD505-2E9C-101B-9397-08002B2CF9AE}" pid="4" name="MSIP_Label_7fea2623-af8f-4fb8-b1cf-b63cc8e496aa_Ref">
    <vt:lpwstr>https://api.informationprotection.azure.com/api/81fa766e-a349-4867-8bf4-ab35e250a08f</vt:lpwstr>
  </property>
  <property fmtid="{D5CDD505-2E9C-101B-9397-08002B2CF9AE}" pid="5" name="MSIP_Label_7fea2623-af8f-4fb8-b1cf-b63cc8e496aa_Owner">
    <vt:lpwstr>PKOSTMAN@volvocars.com</vt:lpwstr>
  </property>
  <property fmtid="{D5CDD505-2E9C-101B-9397-08002B2CF9AE}" pid="6" name="MSIP_Label_7fea2623-af8f-4fb8-b1cf-b63cc8e496aa_SetDate">
    <vt:lpwstr>2018-03-06T07:23:29.5279243+01:00</vt:lpwstr>
  </property>
  <property fmtid="{D5CDD505-2E9C-101B-9397-08002B2CF9AE}" pid="7" name="MSIP_Label_7fea2623-af8f-4fb8-b1cf-b63cc8e496aa_Name">
    <vt:lpwstr>Proprietary</vt:lpwstr>
  </property>
  <property fmtid="{D5CDD505-2E9C-101B-9397-08002B2CF9AE}" pid="8" name="MSIP_Label_7fea2623-af8f-4fb8-b1cf-b63cc8e496aa_Application">
    <vt:lpwstr>Microsoft Azure Information Protection</vt:lpwstr>
  </property>
  <property fmtid="{D5CDD505-2E9C-101B-9397-08002B2CF9AE}" pid="9" name="MSIP_Label_7fea2623-af8f-4fb8-b1cf-b63cc8e496aa_Extended_MSFT_Method">
    <vt:lpwstr>Automatic</vt:lpwstr>
  </property>
  <property fmtid="{D5CDD505-2E9C-101B-9397-08002B2CF9AE}" pid="10" name="Sensitivity">
    <vt:lpwstr>Proprietary</vt:lpwstr>
  </property>
</Properties>
</file>